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240" windowWidth="19440" windowHeight="11400" tabRatio="812" firstSheet="6" activeTab="12"/>
  </bookViews>
  <sheets>
    <sheet name="March '20" sheetId="158" r:id="rId1"/>
    <sheet name="April '20" sheetId="159" r:id="rId2"/>
    <sheet name="May '20" sheetId="160" r:id="rId3"/>
    <sheet name="June '20" sheetId="161" r:id="rId4"/>
    <sheet name="July '20" sheetId="162" r:id="rId5"/>
    <sheet name="August '20" sheetId="163" r:id="rId6"/>
    <sheet name="September '20" sheetId="164" r:id="rId7"/>
    <sheet name="October '20" sheetId="165" r:id="rId8"/>
    <sheet name="November '20" sheetId="166" r:id="rId9"/>
    <sheet name="December '20" sheetId="167" r:id="rId10"/>
    <sheet name="January '21" sheetId="169" r:id="rId11"/>
    <sheet name="February '21" sheetId="170" r:id="rId12"/>
    <sheet name="EMP201" sheetId="138" r:id="rId13"/>
    <sheet name="EMP501" sheetId="171" r:id="rId14"/>
  </sheets>
  <definedNames>
    <definedName name="_xlnm.Print_Area" localSheetId="1">'April ''20'!#REF!</definedName>
    <definedName name="_xlnm.Print_Area" localSheetId="5">'August ''20'!#REF!</definedName>
    <definedName name="_xlnm.Print_Area" localSheetId="9">'December ''20'!#REF!</definedName>
    <definedName name="_xlnm.Print_Area" localSheetId="12">'EMP201'!$A$510:$Q$545</definedName>
    <definedName name="_xlnm.Print_Area" localSheetId="13">'EMP501'!$A$1:$P$21</definedName>
    <definedName name="_xlnm.Print_Area" localSheetId="11">'February ''21'!#REF!</definedName>
    <definedName name="_xlnm.Print_Area" localSheetId="10">'January ''21'!#REF!</definedName>
    <definedName name="_xlnm.Print_Area" localSheetId="4">'July ''20'!#REF!</definedName>
    <definedName name="_xlnm.Print_Area" localSheetId="3">'June ''20'!#REF!</definedName>
    <definedName name="_xlnm.Print_Area" localSheetId="0">'March ''20'!#REF!</definedName>
    <definedName name="_xlnm.Print_Area" localSheetId="2">'May ''20'!#REF!</definedName>
    <definedName name="_xlnm.Print_Area" localSheetId="8">'November ''20'!#REF!</definedName>
    <definedName name="_xlnm.Print_Area" localSheetId="7">'October ''20'!#REF!</definedName>
    <definedName name="_xlnm.Print_Area" localSheetId="6">'September ''20'!#REF!</definedName>
  </definedNames>
  <calcPr calcId="145621"/>
</workbook>
</file>

<file path=xl/calcChain.xml><?xml version="1.0" encoding="utf-8"?>
<calcChain xmlns="http://schemas.openxmlformats.org/spreadsheetml/2006/main">
  <c r="C38" i="171" l="1"/>
  <c r="C39" i="171" s="1"/>
  <c r="Z414" i="171"/>
  <c r="Z415" i="171"/>
  <c r="Z416" i="171"/>
  <c r="Z387" i="171"/>
  <c r="Z388" i="171"/>
  <c r="Z389" i="171"/>
  <c r="E37" i="171"/>
  <c r="E36" i="171"/>
  <c r="E35" i="171"/>
  <c r="E34" i="171"/>
  <c r="E33" i="171"/>
  <c r="E32" i="171"/>
  <c r="E31" i="171"/>
  <c r="E30" i="171"/>
  <c r="E29" i="171"/>
  <c r="E28" i="171"/>
  <c r="E27" i="171"/>
  <c r="E26" i="171"/>
  <c r="C28" i="171" l="1"/>
  <c r="C37" i="171"/>
  <c r="C36" i="171"/>
  <c r="C35" i="171"/>
  <c r="C34" i="171"/>
  <c r="C33" i="171"/>
  <c r="C32" i="171"/>
  <c r="C31" i="171"/>
  <c r="C30" i="171"/>
  <c r="C29" i="171"/>
  <c r="C27" i="171"/>
  <c r="C26" i="171"/>
  <c r="J18" i="171" l="1"/>
  <c r="J17" i="171"/>
  <c r="J16" i="171"/>
  <c r="O20" i="171"/>
  <c r="L20" i="171"/>
  <c r="L19" i="171"/>
  <c r="J19" i="171"/>
  <c r="L5" i="171"/>
  <c r="L6" i="171"/>
  <c r="L7" i="171"/>
  <c r="L8" i="171"/>
  <c r="L9" i="171"/>
  <c r="L10" i="171"/>
  <c r="L11" i="171"/>
  <c r="L12" i="171"/>
  <c r="L13" i="171"/>
  <c r="L14" i="171"/>
  <c r="L15" i="171"/>
  <c r="L16" i="171"/>
  <c r="L17" i="171"/>
  <c r="L18" i="171"/>
  <c r="L4" i="171"/>
  <c r="G4" i="171"/>
  <c r="F20" i="171"/>
  <c r="F4" i="171"/>
  <c r="P5" i="171"/>
  <c r="P6" i="171"/>
  <c r="P7" i="171"/>
  <c r="P8" i="171"/>
  <c r="P9" i="171"/>
  <c r="P10" i="171"/>
  <c r="P11" i="171"/>
  <c r="P12" i="171"/>
  <c r="P13" i="171"/>
  <c r="P14" i="171"/>
  <c r="P15" i="171"/>
  <c r="P16" i="171"/>
  <c r="P17" i="171"/>
  <c r="P18" i="171"/>
  <c r="O5" i="171"/>
  <c r="O6" i="171"/>
  <c r="O7" i="171"/>
  <c r="O8" i="171"/>
  <c r="O9" i="171"/>
  <c r="O10" i="171"/>
  <c r="O11" i="171"/>
  <c r="O12" i="171"/>
  <c r="O13" i="171"/>
  <c r="O14" i="171"/>
  <c r="O15" i="171"/>
  <c r="O16" i="171"/>
  <c r="O17" i="171"/>
  <c r="O18" i="171"/>
  <c r="N5" i="171"/>
  <c r="N6" i="171"/>
  <c r="N7" i="171"/>
  <c r="N8" i="171"/>
  <c r="N9" i="171"/>
  <c r="N10" i="171"/>
  <c r="N11" i="171"/>
  <c r="N12" i="171"/>
  <c r="N13" i="171"/>
  <c r="N14" i="171"/>
  <c r="N15" i="171"/>
  <c r="N16" i="171"/>
  <c r="N17" i="171"/>
  <c r="N18" i="171"/>
  <c r="M5" i="171"/>
  <c r="M6" i="171"/>
  <c r="M7" i="171"/>
  <c r="M8" i="171"/>
  <c r="M9" i="171"/>
  <c r="M10" i="171"/>
  <c r="M11" i="171"/>
  <c r="M12" i="171"/>
  <c r="M13" i="171"/>
  <c r="M14" i="171"/>
  <c r="M15" i="171"/>
  <c r="M16" i="171"/>
  <c r="M17" i="171"/>
  <c r="M18" i="171"/>
  <c r="P4" i="171"/>
  <c r="N4" i="171"/>
  <c r="M4" i="171"/>
  <c r="K5" i="171"/>
  <c r="K6" i="171"/>
  <c r="K7" i="171"/>
  <c r="K8" i="171"/>
  <c r="K9" i="171"/>
  <c r="K10" i="171"/>
  <c r="K11" i="171"/>
  <c r="K12" i="171"/>
  <c r="K13" i="171"/>
  <c r="K14" i="171"/>
  <c r="K15" i="171"/>
  <c r="K16" i="171"/>
  <c r="K17" i="171"/>
  <c r="K18" i="171"/>
  <c r="K4" i="171"/>
  <c r="I5" i="171"/>
  <c r="I6" i="171"/>
  <c r="I7" i="171"/>
  <c r="I8" i="171"/>
  <c r="I9" i="171"/>
  <c r="I10" i="171"/>
  <c r="I11" i="171"/>
  <c r="I12" i="171"/>
  <c r="I13" i="171"/>
  <c r="I14" i="171"/>
  <c r="I15" i="171"/>
  <c r="I16" i="171"/>
  <c r="I17" i="171"/>
  <c r="I18" i="171"/>
  <c r="I4" i="171"/>
  <c r="G5" i="171"/>
  <c r="G6" i="171"/>
  <c r="G7" i="171"/>
  <c r="G8" i="171"/>
  <c r="G9" i="171"/>
  <c r="G10" i="171"/>
  <c r="G11" i="171"/>
  <c r="G12" i="171"/>
  <c r="G13" i="171"/>
  <c r="G14" i="171"/>
  <c r="G15" i="171"/>
  <c r="G16" i="171"/>
  <c r="G17" i="171"/>
  <c r="G18" i="171"/>
  <c r="P21" i="171"/>
  <c r="N21" i="171"/>
  <c r="M21" i="171"/>
  <c r="K21" i="171"/>
  <c r="I21" i="171"/>
  <c r="G21" i="171"/>
  <c r="E21" i="171"/>
  <c r="D21" i="171"/>
  <c r="T418" i="171"/>
  <c r="D5" i="171"/>
  <c r="D6" i="171"/>
  <c r="F6" i="171" s="1"/>
  <c r="D7" i="171"/>
  <c r="D8" i="171"/>
  <c r="D9" i="171"/>
  <c r="D10" i="171"/>
  <c r="D11" i="171"/>
  <c r="D12" i="171"/>
  <c r="F12" i="171" s="1"/>
  <c r="D13" i="171"/>
  <c r="D14" i="171"/>
  <c r="D15" i="171"/>
  <c r="D16" i="171"/>
  <c r="F16" i="171" s="1"/>
  <c r="D17" i="171"/>
  <c r="D18" i="171"/>
  <c r="D4" i="171"/>
  <c r="F10" i="171"/>
  <c r="H16" i="171"/>
  <c r="H17" i="171"/>
  <c r="H18" i="171"/>
  <c r="F18" i="171" s="1"/>
  <c r="H6" i="171"/>
  <c r="H7" i="171"/>
  <c r="H8" i="171"/>
  <c r="H9" i="171"/>
  <c r="H10" i="171"/>
  <c r="H11" i="171"/>
  <c r="F11" i="171" s="1"/>
  <c r="H12" i="171"/>
  <c r="H13" i="171"/>
  <c r="F13" i="171" s="1"/>
  <c r="H14" i="171"/>
  <c r="H15" i="171"/>
  <c r="H5" i="171"/>
  <c r="H4" i="171"/>
  <c r="E19" i="171"/>
  <c r="E18" i="171"/>
  <c r="E17" i="171"/>
  <c r="E16" i="171"/>
  <c r="E15" i="171"/>
  <c r="E14" i="171"/>
  <c r="E13" i="171"/>
  <c r="E12" i="171"/>
  <c r="E11" i="171"/>
  <c r="E10" i="171"/>
  <c r="E9" i="171"/>
  <c r="E8" i="171"/>
  <c r="E7" i="171"/>
  <c r="E6" i="171"/>
  <c r="E5" i="171"/>
  <c r="E4" i="171"/>
  <c r="E38" i="171"/>
  <c r="F9" i="171"/>
  <c r="F8" i="171"/>
  <c r="AE417" i="171"/>
  <c r="AD417" i="171"/>
  <c r="AC417" i="171"/>
  <c r="AB417" i="171"/>
  <c r="AA417" i="171"/>
  <c r="Y417" i="171"/>
  <c r="X417" i="171"/>
  <c r="V417" i="171"/>
  <c r="U417" i="171"/>
  <c r="T417" i="171"/>
  <c r="P19" i="171" l="1"/>
  <c r="N19" i="171"/>
  <c r="M19" i="171"/>
  <c r="K19" i="171"/>
  <c r="I19" i="171"/>
  <c r="G19" i="171"/>
  <c r="F14" i="171"/>
  <c r="D19" i="171"/>
  <c r="F15" i="171"/>
  <c r="H19" i="171"/>
  <c r="F7" i="171"/>
  <c r="F5" i="171"/>
  <c r="F17" i="171"/>
  <c r="J4" i="171"/>
  <c r="O4" i="171"/>
  <c r="O19" i="171" l="1"/>
  <c r="F19" i="171"/>
  <c r="AG416" i="171" l="1"/>
  <c r="AG415" i="171"/>
  <c r="AG414" i="171"/>
  <c r="AG413" i="171"/>
  <c r="Z413" i="171"/>
  <c r="AG412" i="171"/>
  <c r="Z412" i="171"/>
  <c r="AG411" i="171"/>
  <c r="Z411" i="171"/>
  <c r="AG410" i="171"/>
  <c r="Z410" i="171"/>
  <c r="AG409" i="171"/>
  <c r="Z409" i="171"/>
  <c r="AG408" i="171"/>
  <c r="Z408" i="171"/>
  <c r="AG407" i="171"/>
  <c r="Z407" i="171"/>
  <c r="AG406" i="171"/>
  <c r="Z406" i="171"/>
  <c r="AG405" i="171"/>
  <c r="Z405" i="171"/>
  <c r="AG404" i="171"/>
  <c r="Z404" i="171"/>
  <c r="AG403" i="171"/>
  <c r="Z403" i="171"/>
  <c r="AG402" i="171"/>
  <c r="Z402" i="171"/>
  <c r="AG401" i="171"/>
  <c r="Z401" i="171"/>
  <c r="AG400" i="171"/>
  <c r="Z400" i="171"/>
  <c r="AG399" i="171"/>
  <c r="Z399" i="171"/>
  <c r="AG398" i="171"/>
  <c r="Z398" i="171"/>
  <c r="AG397" i="171"/>
  <c r="Z397" i="171"/>
  <c r="AG396" i="171"/>
  <c r="Z396" i="171"/>
  <c r="AG395" i="171"/>
  <c r="Z395" i="171"/>
  <c r="AG394" i="171"/>
  <c r="Z394" i="171"/>
  <c r="AG393" i="171"/>
  <c r="Z393" i="171"/>
  <c r="AG392" i="171"/>
  <c r="Z392" i="171"/>
  <c r="AG391" i="171"/>
  <c r="Z391" i="171"/>
  <c r="AG390" i="171"/>
  <c r="Z390" i="171"/>
  <c r="AG389" i="171"/>
  <c r="AG388" i="171"/>
  <c r="AG387" i="171"/>
  <c r="AG386" i="171"/>
  <c r="Z386" i="171"/>
  <c r="AG385" i="171"/>
  <c r="Z385" i="171"/>
  <c r="AG384" i="171"/>
  <c r="Z384" i="171"/>
  <c r="AG383" i="171"/>
  <c r="Z383" i="171"/>
  <c r="AG382" i="171"/>
  <c r="Z382" i="171"/>
  <c r="AG381" i="171"/>
  <c r="Z381" i="171"/>
  <c r="AG380" i="171"/>
  <c r="Z380" i="171"/>
  <c r="AG379" i="171"/>
  <c r="Z379" i="171"/>
  <c r="AG378" i="171"/>
  <c r="Z378" i="171"/>
  <c r="AG377" i="171"/>
  <c r="Z377" i="171"/>
  <c r="AG376" i="171"/>
  <c r="Z376" i="171"/>
  <c r="AG375" i="171"/>
  <c r="Z375" i="171"/>
  <c r="AG374" i="171"/>
  <c r="Z374" i="171"/>
  <c r="AG373" i="171"/>
  <c r="Z373" i="171"/>
  <c r="AG372" i="171"/>
  <c r="Z372" i="171"/>
  <c r="AG371" i="171"/>
  <c r="Z371" i="171"/>
  <c r="AG370" i="171"/>
  <c r="Z370" i="171"/>
  <c r="AG369" i="171"/>
  <c r="Z369" i="171"/>
  <c r="AG368" i="171"/>
  <c r="Z368" i="171"/>
  <c r="AG367" i="171"/>
  <c r="Z367" i="171"/>
  <c r="AG366" i="171"/>
  <c r="Z366" i="171"/>
  <c r="AG365" i="171"/>
  <c r="Z365" i="171"/>
  <c r="AG364" i="171"/>
  <c r="Z364" i="171"/>
  <c r="AG363" i="171"/>
  <c r="Z363" i="171"/>
  <c r="AG362" i="171"/>
  <c r="Z362" i="171"/>
  <c r="AG361" i="171"/>
  <c r="Z361" i="171"/>
  <c r="AG360" i="171"/>
  <c r="Z360" i="171"/>
  <c r="AG359" i="171"/>
  <c r="Z359" i="171"/>
  <c r="AG358" i="171"/>
  <c r="Z358" i="171"/>
  <c r="AG357" i="171"/>
  <c r="Z357" i="171"/>
  <c r="AG356" i="171"/>
  <c r="Z356" i="171"/>
  <c r="AG355" i="171"/>
  <c r="Z355" i="171"/>
  <c r="AG354" i="171"/>
  <c r="Z354" i="171"/>
  <c r="AG353" i="171"/>
  <c r="Z353" i="171"/>
  <c r="AG352" i="171"/>
  <c r="Z352" i="171"/>
  <c r="AG351" i="171"/>
  <c r="Z351" i="171"/>
  <c r="AG350" i="171"/>
  <c r="Z350" i="171"/>
  <c r="AG349" i="171"/>
  <c r="Z349" i="171"/>
  <c r="AG348" i="171"/>
  <c r="Z348" i="171"/>
  <c r="AG347" i="171"/>
  <c r="Z347" i="171"/>
  <c r="AG346" i="171"/>
  <c r="Z346" i="171"/>
  <c r="AG345" i="171"/>
  <c r="Z345" i="171"/>
  <c r="AG344" i="171"/>
  <c r="Z344" i="171"/>
  <c r="AG343" i="171"/>
  <c r="Z343" i="171"/>
  <c r="AG342" i="171"/>
  <c r="Z342" i="171"/>
  <c r="AG341" i="171"/>
  <c r="Z341" i="171"/>
  <c r="AG340" i="171"/>
  <c r="Z340" i="171"/>
  <c r="AG339" i="171"/>
  <c r="Z339" i="171"/>
  <c r="AG338" i="171"/>
  <c r="Z338" i="171"/>
  <c r="AG337" i="171"/>
  <c r="Z337" i="171"/>
  <c r="AG336" i="171"/>
  <c r="Z336" i="171"/>
  <c r="AG335" i="171"/>
  <c r="Z335" i="171"/>
  <c r="AG334" i="171"/>
  <c r="Z334" i="171"/>
  <c r="AG333" i="171"/>
  <c r="Z333" i="171"/>
  <c r="AG332" i="171"/>
  <c r="Z332" i="171"/>
  <c r="AF331" i="171"/>
  <c r="AG331" i="171" s="1"/>
  <c r="Z331" i="171"/>
  <c r="AG330" i="171"/>
  <c r="Z330" i="171"/>
  <c r="AG329" i="171"/>
  <c r="Z329" i="171"/>
  <c r="AG328" i="171"/>
  <c r="Z328" i="171"/>
  <c r="AG327" i="171"/>
  <c r="Z327" i="171"/>
  <c r="AG326" i="171"/>
  <c r="Z326" i="171"/>
  <c r="AG325" i="171"/>
  <c r="Z325" i="171"/>
  <c r="AG324" i="171"/>
  <c r="Z324" i="171"/>
  <c r="AG323" i="171"/>
  <c r="Z323" i="171"/>
  <c r="AG322" i="171"/>
  <c r="Z322" i="171"/>
  <c r="AG321" i="171"/>
  <c r="Z321" i="171"/>
  <c r="AG320" i="171"/>
  <c r="Z320" i="171"/>
  <c r="AG319" i="171"/>
  <c r="Z319" i="171"/>
  <c r="AG318" i="171"/>
  <c r="Z318" i="171"/>
  <c r="AG317" i="171"/>
  <c r="Z317" i="171"/>
  <c r="AF316" i="171"/>
  <c r="Z316" i="171"/>
  <c r="AG315" i="171"/>
  <c r="Z315" i="171"/>
  <c r="AG314" i="171"/>
  <c r="Z314" i="171"/>
  <c r="AG313" i="171"/>
  <c r="Z313" i="171"/>
  <c r="AG312" i="171"/>
  <c r="Z312" i="171"/>
  <c r="AG311" i="171"/>
  <c r="Z311" i="171"/>
  <c r="AG310" i="171"/>
  <c r="Z310" i="171"/>
  <c r="AG309" i="171"/>
  <c r="Z309" i="171"/>
  <c r="AG308" i="171"/>
  <c r="Z308" i="171"/>
  <c r="AG307" i="171"/>
  <c r="Z307" i="171"/>
  <c r="AG306" i="171"/>
  <c r="Z306" i="171"/>
  <c r="AG305" i="171"/>
  <c r="Z305" i="171"/>
  <c r="AF304" i="171"/>
  <c r="Z304" i="171"/>
  <c r="AG303" i="171"/>
  <c r="Z303" i="171"/>
  <c r="AG302" i="171"/>
  <c r="Z302" i="171"/>
  <c r="AG301" i="171"/>
  <c r="Z301" i="171"/>
  <c r="AG300" i="171"/>
  <c r="Z300" i="171"/>
  <c r="AG299" i="171"/>
  <c r="Z299" i="171"/>
  <c r="AG298" i="171"/>
  <c r="Z298" i="171"/>
  <c r="AG297" i="171"/>
  <c r="Z297" i="171"/>
  <c r="AG296" i="171"/>
  <c r="Z296" i="171"/>
  <c r="AG295" i="171"/>
  <c r="Z295" i="171"/>
  <c r="AG294" i="171"/>
  <c r="Z294" i="171"/>
  <c r="AG293" i="171"/>
  <c r="Z293" i="171"/>
  <c r="AF292" i="171"/>
  <c r="Z292" i="171"/>
  <c r="AG291" i="171"/>
  <c r="Z291" i="171"/>
  <c r="AG290" i="171"/>
  <c r="Z290" i="171"/>
  <c r="AG289" i="171"/>
  <c r="Z289" i="171"/>
  <c r="AG288" i="171"/>
  <c r="Z288" i="171"/>
  <c r="AG287" i="171"/>
  <c r="Z287" i="171"/>
  <c r="AG286" i="171"/>
  <c r="Z286" i="171"/>
  <c r="AG285" i="171"/>
  <c r="Z285" i="171"/>
  <c r="AG284" i="171"/>
  <c r="Z284" i="171"/>
  <c r="AG283" i="171"/>
  <c r="Z283" i="171"/>
  <c r="AG282" i="171"/>
  <c r="Z282" i="171"/>
  <c r="AG281" i="171"/>
  <c r="Z281" i="171"/>
  <c r="AF280" i="171"/>
  <c r="Z280" i="171"/>
  <c r="AG279" i="171"/>
  <c r="Z279" i="171"/>
  <c r="AG278" i="171"/>
  <c r="Z278" i="171"/>
  <c r="AG277" i="171"/>
  <c r="Z277" i="171"/>
  <c r="AG276" i="171"/>
  <c r="Z276" i="171"/>
  <c r="AG275" i="171"/>
  <c r="Z275" i="171"/>
  <c r="AG274" i="171"/>
  <c r="Z274" i="171"/>
  <c r="AG273" i="171"/>
  <c r="Z273" i="171"/>
  <c r="AG272" i="171"/>
  <c r="Z272" i="171"/>
  <c r="AG271" i="171"/>
  <c r="Z271" i="171"/>
  <c r="AG270" i="171"/>
  <c r="Z270" i="171"/>
  <c r="AG269" i="171"/>
  <c r="Z269" i="171"/>
  <c r="AG268" i="171"/>
  <c r="Z268" i="171"/>
  <c r="AG267" i="171"/>
  <c r="Z267" i="171"/>
  <c r="AG266" i="171"/>
  <c r="Z266" i="171"/>
  <c r="AF265" i="171"/>
  <c r="Z265" i="171"/>
  <c r="AG264" i="171"/>
  <c r="Z264" i="171"/>
  <c r="AG263" i="171"/>
  <c r="Z263" i="171"/>
  <c r="AG262" i="171"/>
  <c r="Z262" i="171"/>
  <c r="AG261" i="171"/>
  <c r="Z261" i="171"/>
  <c r="AG260" i="171"/>
  <c r="Z260" i="171"/>
  <c r="AG259" i="171"/>
  <c r="Z259" i="171"/>
  <c r="AG258" i="171"/>
  <c r="Z258" i="171"/>
  <c r="AG257" i="171"/>
  <c r="Z257" i="171"/>
  <c r="AG256" i="171"/>
  <c r="Z256" i="171"/>
  <c r="AG255" i="171"/>
  <c r="Z255" i="171"/>
  <c r="AG254" i="171"/>
  <c r="Z254" i="171"/>
  <c r="AF253" i="171"/>
  <c r="Z253" i="171"/>
  <c r="AG252" i="171"/>
  <c r="Z252" i="171"/>
  <c r="AG251" i="171"/>
  <c r="Z251" i="171"/>
  <c r="AG250" i="171"/>
  <c r="Z250" i="171"/>
  <c r="AG249" i="171"/>
  <c r="Z249" i="171"/>
  <c r="AG248" i="171"/>
  <c r="Z248" i="171"/>
  <c r="AG247" i="171"/>
  <c r="Z247" i="171"/>
  <c r="AG246" i="171"/>
  <c r="Z246" i="171"/>
  <c r="AG245" i="171"/>
  <c r="Z245" i="171"/>
  <c r="AG244" i="171"/>
  <c r="Z244" i="171"/>
  <c r="AG243" i="171"/>
  <c r="Z243" i="171"/>
  <c r="AG242" i="171"/>
  <c r="Z242" i="171"/>
  <c r="AF241" i="171"/>
  <c r="Z241" i="171"/>
  <c r="AG240" i="171"/>
  <c r="Z240" i="171"/>
  <c r="AG239" i="171"/>
  <c r="Z239" i="171"/>
  <c r="AG238" i="171"/>
  <c r="Z238" i="171"/>
  <c r="AG237" i="171"/>
  <c r="Z237" i="171"/>
  <c r="AG236" i="171"/>
  <c r="Z236" i="171"/>
  <c r="AG235" i="171"/>
  <c r="Z235" i="171"/>
  <c r="AG234" i="171"/>
  <c r="Z234" i="171"/>
  <c r="AG233" i="171"/>
  <c r="Z233" i="171"/>
  <c r="AG232" i="171"/>
  <c r="Z232" i="171"/>
  <c r="AG231" i="171"/>
  <c r="Z231" i="171"/>
  <c r="AF230" i="171"/>
  <c r="Z230" i="171"/>
  <c r="AG229" i="171"/>
  <c r="Z229" i="171"/>
  <c r="AG228" i="171"/>
  <c r="Z228" i="171"/>
  <c r="AG227" i="171"/>
  <c r="Z227" i="171"/>
  <c r="W226" i="171"/>
  <c r="AG226" i="171" s="1"/>
  <c r="W225" i="171"/>
  <c r="Z225" i="171" s="1"/>
  <c r="AG224" i="171"/>
  <c r="Z224" i="171"/>
  <c r="W223" i="171"/>
  <c r="AG223" i="171" s="1"/>
  <c r="AG222" i="171"/>
  <c r="Z222" i="171"/>
  <c r="W221" i="171"/>
  <c r="AG220" i="171"/>
  <c r="Z220" i="171"/>
  <c r="AG219" i="171"/>
  <c r="Z219" i="171"/>
  <c r="AG218" i="171"/>
  <c r="Z218" i="171"/>
  <c r="W217" i="171"/>
  <c r="Z217" i="171" s="1"/>
  <c r="AG216" i="171"/>
  <c r="Z216" i="171"/>
  <c r="AG215" i="171"/>
  <c r="Z215" i="171"/>
  <c r="AG214" i="171"/>
  <c r="Z214" i="171"/>
  <c r="AG213" i="171"/>
  <c r="Z213" i="171"/>
  <c r="AG212" i="171"/>
  <c r="Z212" i="171"/>
  <c r="AG211" i="171"/>
  <c r="Z211" i="171"/>
  <c r="AG210" i="171"/>
  <c r="Z210" i="171"/>
  <c r="AG209" i="171"/>
  <c r="Z209" i="171"/>
  <c r="AG208" i="171"/>
  <c r="Z208" i="171"/>
  <c r="AG207" i="171"/>
  <c r="Z207" i="171"/>
  <c r="AG206" i="171"/>
  <c r="Z206" i="171"/>
  <c r="AG205" i="171"/>
  <c r="Z205" i="171"/>
  <c r="AG204" i="171"/>
  <c r="Z204" i="171"/>
  <c r="AG203" i="171"/>
  <c r="Z203" i="171"/>
  <c r="AG202" i="171"/>
  <c r="Z202" i="171"/>
  <c r="AG201" i="171"/>
  <c r="Z201" i="171"/>
  <c r="AG200" i="171"/>
  <c r="Z200" i="171"/>
  <c r="AG199" i="171"/>
  <c r="Z199" i="171"/>
  <c r="AG198" i="171"/>
  <c r="Z198" i="171"/>
  <c r="AG197" i="171"/>
  <c r="Z197" i="171"/>
  <c r="AG196" i="171"/>
  <c r="Z196" i="171"/>
  <c r="AG195" i="171"/>
  <c r="Z195" i="171"/>
  <c r="AG194" i="171"/>
  <c r="Z194" i="171"/>
  <c r="AG193" i="171"/>
  <c r="Z193" i="171"/>
  <c r="AG192" i="171"/>
  <c r="Z192" i="171"/>
  <c r="AG191" i="171"/>
  <c r="Z191" i="171"/>
  <c r="AG190" i="171"/>
  <c r="Z190" i="171"/>
  <c r="AG189" i="171"/>
  <c r="Z189" i="171"/>
  <c r="AG188" i="171"/>
  <c r="Z188" i="171"/>
  <c r="AG187" i="171"/>
  <c r="Z187" i="171"/>
  <c r="AG186" i="171"/>
  <c r="Z186" i="171"/>
  <c r="AG185" i="171"/>
  <c r="Z185" i="171"/>
  <c r="AG184" i="171"/>
  <c r="Z184" i="171"/>
  <c r="AG183" i="171"/>
  <c r="Z183" i="171"/>
  <c r="AG182" i="171"/>
  <c r="Z182" i="171"/>
  <c r="AG181" i="171"/>
  <c r="Z181" i="171"/>
  <c r="AG180" i="171"/>
  <c r="Z180" i="171"/>
  <c r="AG179" i="171"/>
  <c r="Z179" i="171"/>
  <c r="AG178" i="171"/>
  <c r="Z178" i="171"/>
  <c r="AG177" i="171"/>
  <c r="Z177" i="171"/>
  <c r="AG176" i="171"/>
  <c r="Z176" i="171"/>
  <c r="AG175" i="171"/>
  <c r="Z175" i="171"/>
  <c r="AG174" i="171"/>
  <c r="Z174" i="171"/>
  <c r="AG173" i="171"/>
  <c r="Z173" i="171"/>
  <c r="AG172" i="171"/>
  <c r="Z172" i="171"/>
  <c r="W171" i="171"/>
  <c r="AG170" i="171"/>
  <c r="Z170" i="171"/>
  <c r="AG169" i="171"/>
  <c r="Z169" i="171"/>
  <c r="AG168" i="171"/>
  <c r="Z168" i="171"/>
  <c r="AG167" i="171"/>
  <c r="Z167" i="171"/>
  <c r="AG166" i="171"/>
  <c r="Z166" i="171"/>
  <c r="AG165" i="171"/>
  <c r="Z165" i="171"/>
  <c r="AG164" i="171"/>
  <c r="Z164" i="171"/>
  <c r="AG163" i="171"/>
  <c r="Z163" i="171"/>
  <c r="AG162" i="171"/>
  <c r="Z162" i="171"/>
  <c r="AG161" i="171"/>
  <c r="Z161" i="171"/>
  <c r="AG160" i="171"/>
  <c r="Z160" i="171"/>
  <c r="AG159" i="171"/>
  <c r="Z159" i="171"/>
  <c r="AG158" i="171"/>
  <c r="Z158" i="171"/>
  <c r="AG157" i="171"/>
  <c r="Z157" i="171"/>
  <c r="AG156" i="171"/>
  <c r="Z156" i="171"/>
  <c r="AG155" i="171"/>
  <c r="Z155" i="171"/>
  <c r="AG154" i="171"/>
  <c r="Z154" i="171"/>
  <c r="AG153" i="171"/>
  <c r="Z153" i="171"/>
  <c r="AG152" i="171"/>
  <c r="Z152" i="171"/>
  <c r="AG151" i="171"/>
  <c r="Z151" i="171"/>
  <c r="AG150" i="171"/>
  <c r="Z150" i="171"/>
  <c r="AG149" i="171"/>
  <c r="Z149" i="171"/>
  <c r="AG148" i="171"/>
  <c r="Z148" i="171"/>
  <c r="AG147" i="171"/>
  <c r="Z147" i="171"/>
  <c r="AG146" i="171"/>
  <c r="Z146" i="171"/>
  <c r="AG145" i="171"/>
  <c r="Z145" i="171"/>
  <c r="AG144" i="171"/>
  <c r="Z144" i="171"/>
  <c r="AG143" i="171"/>
  <c r="Z143" i="171"/>
  <c r="AG142" i="171"/>
  <c r="Z142" i="171"/>
  <c r="AG141" i="171"/>
  <c r="Z141" i="171"/>
  <c r="AG140" i="171"/>
  <c r="Z140" i="171"/>
  <c r="AG139" i="171"/>
  <c r="Z139" i="171"/>
  <c r="AG138" i="171"/>
  <c r="Z138" i="171"/>
  <c r="AG137" i="171"/>
  <c r="Z137" i="171"/>
  <c r="AG136" i="171"/>
  <c r="Z136" i="171"/>
  <c r="AG135" i="171"/>
  <c r="Z135" i="171"/>
  <c r="AG134" i="171"/>
  <c r="Z134" i="171"/>
  <c r="AG133" i="171"/>
  <c r="Z133" i="171"/>
  <c r="AG132" i="171"/>
  <c r="Z132" i="171"/>
  <c r="AG131" i="171"/>
  <c r="Z131" i="171"/>
  <c r="AG130" i="171"/>
  <c r="Z130" i="171"/>
  <c r="AG129" i="171"/>
  <c r="Z129" i="171"/>
  <c r="AG128" i="171"/>
  <c r="Z128" i="171"/>
  <c r="AG127" i="171"/>
  <c r="Z127" i="171"/>
  <c r="AG126" i="171"/>
  <c r="Z126" i="171"/>
  <c r="AG125" i="171"/>
  <c r="Z125" i="171"/>
  <c r="AG124" i="171"/>
  <c r="Z124" i="171"/>
  <c r="AG123" i="171"/>
  <c r="Z123" i="171"/>
  <c r="AG122" i="171"/>
  <c r="Z122" i="171"/>
  <c r="AG121" i="171"/>
  <c r="Z121" i="171"/>
  <c r="AG120" i="171"/>
  <c r="Z120" i="171"/>
  <c r="AG119" i="171"/>
  <c r="Z119" i="171"/>
  <c r="AG118" i="171"/>
  <c r="Z118" i="171"/>
  <c r="AG117" i="171"/>
  <c r="Z117" i="171"/>
  <c r="AG116" i="171"/>
  <c r="Z116" i="171"/>
  <c r="AG115" i="171"/>
  <c r="Z115" i="171"/>
  <c r="AG114" i="171"/>
  <c r="Z114" i="171"/>
  <c r="AG113" i="171"/>
  <c r="Z113" i="171"/>
  <c r="AG112" i="171"/>
  <c r="Z112" i="171"/>
  <c r="AG111" i="171"/>
  <c r="Z111" i="171"/>
  <c r="AG110" i="171"/>
  <c r="Z110" i="171"/>
  <c r="AG109" i="171"/>
  <c r="Z109" i="171"/>
  <c r="AG108" i="171"/>
  <c r="Z108" i="171"/>
  <c r="AG107" i="171"/>
  <c r="Z107" i="171"/>
  <c r="AG106" i="171"/>
  <c r="Z106" i="171"/>
  <c r="AG105" i="171"/>
  <c r="Z105" i="171"/>
  <c r="AG104" i="171"/>
  <c r="Z104" i="171"/>
  <c r="AG103" i="171"/>
  <c r="Z103" i="171"/>
  <c r="AG102" i="171"/>
  <c r="Z102" i="171"/>
  <c r="AG101" i="171"/>
  <c r="Z101" i="171"/>
  <c r="AG100" i="171"/>
  <c r="Z100" i="171"/>
  <c r="AG99" i="171"/>
  <c r="Z99" i="171"/>
  <c r="AG98" i="171"/>
  <c r="Z98" i="171"/>
  <c r="AG97" i="171"/>
  <c r="Z97" i="171"/>
  <c r="AG96" i="171"/>
  <c r="Z96" i="171"/>
  <c r="AG95" i="171"/>
  <c r="Z95" i="171"/>
  <c r="AG94" i="171"/>
  <c r="Z94" i="171"/>
  <c r="AG93" i="171"/>
  <c r="Z93" i="171"/>
  <c r="AG92" i="171"/>
  <c r="Z92" i="171"/>
  <c r="AG91" i="171"/>
  <c r="Z91" i="171"/>
  <c r="AG90" i="171"/>
  <c r="Z90" i="171"/>
  <c r="AG89" i="171"/>
  <c r="Z89" i="171"/>
  <c r="AG88" i="171"/>
  <c r="Z88" i="171"/>
  <c r="AG87" i="171"/>
  <c r="Z87" i="171"/>
  <c r="AG86" i="171"/>
  <c r="Z86" i="171"/>
  <c r="AG85" i="171"/>
  <c r="Z85" i="171"/>
  <c r="AG84" i="171"/>
  <c r="Z84" i="171"/>
  <c r="AG83" i="171"/>
  <c r="Z83" i="171"/>
  <c r="AG82" i="171"/>
  <c r="Z82" i="171"/>
  <c r="AG81" i="171"/>
  <c r="Z81" i="171"/>
  <c r="AG80" i="171"/>
  <c r="Z80" i="171"/>
  <c r="AG79" i="171"/>
  <c r="Z79" i="171"/>
  <c r="AG78" i="171"/>
  <c r="Z78" i="171"/>
  <c r="AG77" i="171"/>
  <c r="Z77" i="171"/>
  <c r="AG76" i="171"/>
  <c r="Z76" i="171"/>
  <c r="AG75" i="171"/>
  <c r="Z75" i="171"/>
  <c r="AG74" i="171"/>
  <c r="Z74" i="171"/>
  <c r="AG73" i="171"/>
  <c r="Z73" i="171"/>
  <c r="AG72" i="171"/>
  <c r="Z72" i="171"/>
  <c r="AG71" i="171"/>
  <c r="Z71" i="171"/>
  <c r="AG70" i="171"/>
  <c r="Z70" i="171"/>
  <c r="AG69" i="171"/>
  <c r="Z69" i="171"/>
  <c r="AG68" i="171"/>
  <c r="Z68" i="171"/>
  <c r="AG67" i="171"/>
  <c r="Z67" i="171"/>
  <c r="AG66" i="171"/>
  <c r="Z66" i="171"/>
  <c r="AG65" i="171"/>
  <c r="Z65" i="171"/>
  <c r="AG64" i="171"/>
  <c r="Z64" i="171"/>
  <c r="AG63" i="171"/>
  <c r="Z63" i="171"/>
  <c r="AG62" i="171"/>
  <c r="Z62" i="171"/>
  <c r="AG61" i="171"/>
  <c r="Z61" i="171"/>
  <c r="AG60" i="171"/>
  <c r="Z60" i="171"/>
  <c r="AG59" i="171"/>
  <c r="Z59" i="171"/>
  <c r="AG58" i="171"/>
  <c r="Z58" i="171"/>
  <c r="AG57" i="171"/>
  <c r="Z57" i="171"/>
  <c r="AG56" i="171"/>
  <c r="Z56" i="171"/>
  <c r="AG55" i="171"/>
  <c r="Z55" i="171"/>
  <c r="AG54" i="171"/>
  <c r="Z54" i="171"/>
  <c r="AG53" i="171"/>
  <c r="Z53" i="171"/>
  <c r="AG52" i="171"/>
  <c r="Z52" i="171"/>
  <c r="AG51" i="171"/>
  <c r="Z51" i="171"/>
  <c r="AG50" i="171"/>
  <c r="Z50" i="171"/>
  <c r="AG49" i="171"/>
  <c r="Z49" i="171"/>
  <c r="AG48" i="171"/>
  <c r="Z48" i="171"/>
  <c r="AG47" i="171"/>
  <c r="Z47" i="171"/>
  <c r="AG46" i="171"/>
  <c r="Z46" i="171"/>
  <c r="AG45" i="171"/>
  <c r="Z45" i="171"/>
  <c r="AG44" i="171"/>
  <c r="Z44" i="171"/>
  <c r="AG43" i="171"/>
  <c r="Z43" i="171"/>
  <c r="AG42" i="171"/>
  <c r="Z42" i="171"/>
  <c r="AG41" i="171"/>
  <c r="Z41" i="171"/>
  <c r="AG40" i="171"/>
  <c r="Z40" i="171"/>
  <c r="AG39" i="171"/>
  <c r="Z39" i="171"/>
  <c r="AG38" i="171"/>
  <c r="Z38" i="171"/>
  <c r="AG37" i="171"/>
  <c r="Z37" i="171"/>
  <c r="AG36" i="171"/>
  <c r="Z36" i="171"/>
  <c r="AG35" i="171"/>
  <c r="Z35" i="171"/>
  <c r="AG34" i="171"/>
  <c r="Z34" i="171"/>
  <c r="AG33" i="171"/>
  <c r="Z33" i="171"/>
  <c r="AG32" i="171"/>
  <c r="Z32" i="171"/>
  <c r="AG31" i="171"/>
  <c r="Z31" i="171"/>
  <c r="AG30" i="171"/>
  <c r="Z30" i="171"/>
  <c r="AG29" i="171"/>
  <c r="Z29" i="171"/>
  <c r="AG28" i="171"/>
  <c r="Z28" i="171"/>
  <c r="AG27" i="171"/>
  <c r="Z27" i="171"/>
  <c r="AG26" i="171"/>
  <c r="Z26" i="171"/>
  <c r="AG25" i="171"/>
  <c r="Z25" i="171"/>
  <c r="AG24" i="171"/>
  <c r="Z24" i="171"/>
  <c r="AG23" i="171"/>
  <c r="Z23" i="171"/>
  <c r="AG22" i="171"/>
  <c r="Z22" i="171"/>
  <c r="AG21" i="171"/>
  <c r="Z21" i="171"/>
  <c r="AG20" i="171"/>
  <c r="Z20" i="171"/>
  <c r="AG19" i="171"/>
  <c r="Z19" i="171"/>
  <c r="AG18" i="171"/>
  <c r="Z18" i="171"/>
  <c r="AG17" i="171"/>
  <c r="Z17" i="171"/>
  <c r="AG16" i="171"/>
  <c r="Z16" i="171"/>
  <c r="AG15" i="171"/>
  <c r="Z15" i="171"/>
  <c r="AG14" i="171"/>
  <c r="Z14" i="171"/>
  <c r="AG13" i="171"/>
  <c r="Z13" i="171"/>
  <c r="AG12" i="171"/>
  <c r="Z12" i="171"/>
  <c r="AG11" i="171"/>
  <c r="Z11" i="171"/>
  <c r="AG10" i="171"/>
  <c r="Z10" i="171"/>
  <c r="AG9" i="171"/>
  <c r="Z9" i="171"/>
  <c r="AG8" i="171"/>
  <c r="Z8" i="171"/>
  <c r="AG7" i="171"/>
  <c r="Z7" i="171"/>
  <c r="AG6" i="171"/>
  <c r="Z6" i="171"/>
  <c r="AG5" i="171"/>
  <c r="Z5" i="171"/>
  <c r="AG4" i="171"/>
  <c r="Z4" i="171"/>
  <c r="Z171" i="171" l="1"/>
  <c r="W417" i="171"/>
  <c r="AG230" i="171"/>
  <c r="AF417" i="171"/>
  <c r="AG280" i="171"/>
  <c r="AG241" i="171"/>
  <c r="AG225" i="171"/>
  <c r="AG253" i="171"/>
  <c r="AG292" i="171"/>
  <c r="AG171" i="171"/>
  <c r="Z223" i="171"/>
  <c r="Z226" i="171"/>
  <c r="AG316" i="171"/>
  <c r="AG265" i="171"/>
  <c r="AG217" i="171"/>
  <c r="AG221" i="171"/>
  <c r="Z221" i="171"/>
  <c r="AG304" i="171"/>
  <c r="C539" i="138"/>
  <c r="J545" i="138"/>
  <c r="I545" i="138"/>
  <c r="H545" i="138"/>
  <c r="C544" i="138"/>
  <c r="C540" i="138"/>
  <c r="N538" i="138"/>
  <c r="G538" i="138"/>
  <c r="N537" i="138"/>
  <c r="G537" i="138"/>
  <c r="N536" i="138"/>
  <c r="G536" i="138"/>
  <c r="N535" i="138"/>
  <c r="G535" i="138"/>
  <c r="N534" i="138"/>
  <c r="G534" i="138"/>
  <c r="N533" i="138"/>
  <c r="G533" i="138"/>
  <c r="AG417" i="171" l="1"/>
  <c r="Z417" i="171"/>
  <c r="N531" i="138"/>
  <c r="G531" i="138"/>
  <c r="N530" i="138"/>
  <c r="G530" i="138"/>
  <c r="N529" i="138"/>
  <c r="G529" i="138"/>
  <c r="N528" i="138"/>
  <c r="G528" i="138"/>
  <c r="N527" i="138"/>
  <c r="G527" i="138"/>
  <c r="N526" i="138"/>
  <c r="G526" i="138"/>
  <c r="N543" i="138"/>
  <c r="N542" i="138"/>
  <c r="N541" i="138"/>
  <c r="H507" i="138" l="1"/>
  <c r="N506" i="138"/>
  <c r="M507" i="138"/>
  <c r="L507" i="138"/>
  <c r="K507" i="138"/>
  <c r="J507" i="138"/>
  <c r="I507" i="138"/>
  <c r="G507" i="138"/>
  <c r="F507" i="138"/>
  <c r="N505" i="138"/>
  <c r="N504" i="138"/>
  <c r="N507" i="138" l="1"/>
  <c r="N524" i="138"/>
  <c r="G524" i="138"/>
  <c r="N523" i="138"/>
  <c r="G523" i="138"/>
  <c r="N522" i="138"/>
  <c r="G522" i="138"/>
  <c r="N521" i="138"/>
  <c r="G521" i="138"/>
  <c r="N520" i="138"/>
  <c r="G520" i="138"/>
  <c r="N519" i="138"/>
  <c r="G519" i="138"/>
  <c r="F34" i="170" l="1"/>
  <c r="N517" i="138" l="1"/>
  <c r="G517" i="138"/>
  <c r="N516" i="138"/>
  <c r="G516" i="138"/>
  <c r="N515" i="138"/>
  <c r="G515" i="138"/>
  <c r="N514" i="138"/>
  <c r="G514" i="138"/>
  <c r="N513" i="138"/>
  <c r="G513" i="138"/>
  <c r="N512" i="138"/>
  <c r="G512" i="138"/>
  <c r="J66" i="169" l="1"/>
  <c r="E17" i="170" l="1"/>
  <c r="E13" i="170"/>
  <c r="E15" i="170" s="1"/>
  <c r="F17" i="170" s="1"/>
  <c r="H76" i="170"/>
  <c r="E68" i="170"/>
  <c r="E64" i="170"/>
  <c r="E66" i="170" s="1"/>
  <c r="E51" i="170"/>
  <c r="E47" i="170"/>
  <c r="E49" i="170" s="1"/>
  <c r="E34" i="170"/>
  <c r="E30" i="170"/>
  <c r="E32" i="170" s="1"/>
  <c r="N501" i="138"/>
  <c r="G501" i="138"/>
  <c r="N500" i="138"/>
  <c r="G500" i="138"/>
  <c r="N499" i="138"/>
  <c r="G499" i="138"/>
  <c r="N498" i="138"/>
  <c r="G498" i="138"/>
  <c r="N497" i="138"/>
  <c r="G497" i="138"/>
  <c r="N496" i="138"/>
  <c r="G496" i="138"/>
  <c r="F51" i="170" l="1"/>
  <c r="F68" i="170"/>
  <c r="H77" i="170" s="1"/>
  <c r="N494" i="138" l="1"/>
  <c r="G494" i="138"/>
  <c r="N493" i="138"/>
  <c r="G493" i="138"/>
  <c r="N492" i="138"/>
  <c r="G492" i="138"/>
  <c r="N491" i="138"/>
  <c r="G491" i="138"/>
  <c r="N490" i="138"/>
  <c r="G490" i="138"/>
  <c r="N489" i="138"/>
  <c r="G489" i="138"/>
  <c r="N486" i="138"/>
  <c r="G486" i="138"/>
  <c r="O476" i="138"/>
  <c r="N476" i="138"/>
  <c r="M476" i="138"/>
  <c r="L476" i="138"/>
  <c r="K476" i="138"/>
  <c r="J476" i="138"/>
  <c r="H476" i="138"/>
  <c r="G476" i="138"/>
  <c r="F476" i="138"/>
  <c r="E476" i="138"/>
  <c r="D476" i="138"/>
  <c r="C476" i="138"/>
  <c r="O460" i="138"/>
  <c r="N460" i="138"/>
  <c r="M460" i="138"/>
  <c r="L460" i="138"/>
  <c r="K460" i="138"/>
  <c r="J460" i="138"/>
  <c r="H460" i="138"/>
  <c r="G460" i="138"/>
  <c r="F460" i="138"/>
  <c r="E460" i="138"/>
  <c r="D460" i="138"/>
  <c r="C460" i="138"/>
  <c r="P475" i="138"/>
  <c r="I475" i="138"/>
  <c r="P474" i="138"/>
  <c r="I474" i="138"/>
  <c r="P473" i="138"/>
  <c r="I473" i="138"/>
  <c r="I476" i="138" l="1"/>
  <c r="P476" i="138"/>
  <c r="N471" i="138"/>
  <c r="M471" i="138"/>
  <c r="L471" i="138"/>
  <c r="K471" i="138"/>
  <c r="J471" i="138"/>
  <c r="H471" i="138"/>
  <c r="G471" i="138"/>
  <c r="F471" i="138"/>
  <c r="E471" i="138"/>
  <c r="D471" i="138"/>
  <c r="C471" i="138"/>
  <c r="P470" i="138"/>
  <c r="I470" i="138"/>
  <c r="P469" i="138"/>
  <c r="I469" i="138"/>
  <c r="P468" i="138"/>
  <c r="I468" i="138"/>
  <c r="P467" i="138"/>
  <c r="I467" i="138"/>
  <c r="P466" i="138"/>
  <c r="I466" i="138"/>
  <c r="P465" i="138"/>
  <c r="I465" i="138"/>
  <c r="P464" i="138"/>
  <c r="I464" i="138"/>
  <c r="P463" i="138"/>
  <c r="I463" i="138"/>
  <c r="P462" i="138"/>
  <c r="I462" i="138"/>
  <c r="P461" i="138"/>
  <c r="O471" i="138"/>
  <c r="I461" i="138"/>
  <c r="P449" i="138"/>
  <c r="P450" i="138"/>
  <c r="P451" i="138"/>
  <c r="P452" i="138"/>
  <c r="P453" i="138"/>
  <c r="P454" i="138"/>
  <c r="P455" i="138"/>
  <c r="P456" i="138"/>
  <c r="P457" i="138"/>
  <c r="P458" i="138"/>
  <c r="P459" i="138"/>
  <c r="P448" i="138"/>
  <c r="E447" i="138"/>
  <c r="E472" i="138" s="1"/>
  <c r="D447" i="138"/>
  <c r="D472" i="138" s="1"/>
  <c r="I459" i="138"/>
  <c r="I458" i="138"/>
  <c r="I457" i="138"/>
  <c r="I456" i="138"/>
  <c r="I455" i="138"/>
  <c r="I454" i="138"/>
  <c r="I453" i="138"/>
  <c r="I452" i="138"/>
  <c r="I451" i="138"/>
  <c r="I450" i="138"/>
  <c r="I449" i="138"/>
  <c r="I448" i="138"/>
  <c r="P460" i="138" l="1"/>
  <c r="I460" i="138"/>
  <c r="P471" i="138"/>
  <c r="I471" i="138"/>
  <c r="G15" i="169" l="1"/>
  <c r="E96" i="167" l="1"/>
  <c r="D96" i="167"/>
  <c r="E70" i="167" l="1"/>
  <c r="E43" i="169" l="1"/>
  <c r="E26" i="169"/>
  <c r="G72" i="167"/>
  <c r="I45" i="167"/>
  <c r="I46" i="167"/>
  <c r="G47" i="167"/>
  <c r="H39" i="167"/>
  <c r="H38" i="167"/>
  <c r="H37" i="167"/>
  <c r="H36" i="167"/>
  <c r="H35" i="167"/>
  <c r="H34" i="167"/>
  <c r="H33" i="167"/>
  <c r="H32" i="167"/>
  <c r="H31" i="167"/>
  <c r="H30" i="167"/>
  <c r="O31" i="167"/>
  <c r="O30" i="167"/>
  <c r="O34" i="167"/>
  <c r="O33" i="167"/>
  <c r="O32" i="167"/>
  <c r="M39" i="167"/>
  <c r="O39" i="167" s="1"/>
  <c r="M38" i="167"/>
  <c r="O38" i="167" s="1"/>
  <c r="N30" i="167"/>
  <c r="N39" i="167" l="1"/>
  <c r="E43" i="167" l="1"/>
  <c r="I43" i="167" s="1"/>
  <c r="I47" i="167" s="1"/>
  <c r="I53" i="167" s="1"/>
  <c r="M41" i="167"/>
  <c r="U35" i="167"/>
  <c r="M37" i="167"/>
  <c r="O37" i="167" s="1"/>
  <c r="M36" i="167"/>
  <c r="O36" i="167" s="1"/>
  <c r="M40" i="167"/>
  <c r="N40" i="167" s="1"/>
  <c r="N34" i="167"/>
  <c r="N33" i="167"/>
  <c r="N32" i="167"/>
  <c r="N31" i="167"/>
  <c r="P30" i="167"/>
  <c r="H68" i="169" l="1"/>
  <c r="E60" i="169"/>
  <c r="E56" i="169"/>
  <c r="E58" i="169" s="1"/>
  <c r="E39" i="169"/>
  <c r="E41" i="169" s="1"/>
  <c r="F43" i="169" s="1"/>
  <c r="E22" i="169"/>
  <c r="E24" i="169" s="1"/>
  <c r="F26" i="169" s="1"/>
  <c r="M35" i="167"/>
  <c r="O35" i="167" s="1"/>
  <c r="N37" i="167"/>
  <c r="F60" i="169" l="1"/>
  <c r="H69" i="169" s="1"/>
  <c r="N35" i="167"/>
  <c r="N36" i="167"/>
  <c r="R32" i="167"/>
  <c r="R34" i="167"/>
  <c r="R30" i="167"/>
  <c r="R31" i="167"/>
  <c r="R33" i="167"/>
  <c r="E40" i="167"/>
  <c r="N41" i="167"/>
  <c r="E41" i="167" s="1"/>
  <c r="H41" i="167" s="1"/>
  <c r="N38" i="167"/>
  <c r="R37" i="167"/>
  <c r="P446" i="138"/>
  <c r="I446" i="138"/>
  <c r="P445" i="138"/>
  <c r="I445" i="138"/>
  <c r="P444" i="138"/>
  <c r="I444" i="138"/>
  <c r="P443" i="138"/>
  <c r="I443" i="138"/>
  <c r="P442" i="138"/>
  <c r="I442" i="138"/>
  <c r="P441" i="138"/>
  <c r="I441" i="138"/>
  <c r="P440" i="138"/>
  <c r="I440" i="138"/>
  <c r="P439" i="138"/>
  <c r="I439" i="138"/>
  <c r="P438" i="138"/>
  <c r="I438" i="138"/>
  <c r="P437" i="138"/>
  <c r="I437" i="138"/>
  <c r="P436" i="138"/>
  <c r="I436" i="138"/>
  <c r="O435" i="138"/>
  <c r="P435" i="138" s="1"/>
  <c r="I435" i="138"/>
  <c r="L386" i="138"/>
  <c r="K386" i="138"/>
  <c r="J386" i="138"/>
  <c r="I386" i="138"/>
  <c r="H386" i="138"/>
  <c r="F386" i="138"/>
  <c r="E386" i="138"/>
  <c r="D386" i="138"/>
  <c r="C386" i="138"/>
  <c r="L399" i="138"/>
  <c r="K399" i="138"/>
  <c r="J399" i="138"/>
  <c r="I399" i="138"/>
  <c r="H399" i="138"/>
  <c r="F399" i="138"/>
  <c r="E399" i="138"/>
  <c r="D399" i="138"/>
  <c r="C399" i="138"/>
  <c r="L412" i="138"/>
  <c r="K412" i="138"/>
  <c r="J412" i="138"/>
  <c r="I412" i="138"/>
  <c r="H412" i="138"/>
  <c r="F412" i="138"/>
  <c r="E412" i="138"/>
  <c r="D412" i="138"/>
  <c r="C412" i="138"/>
  <c r="L425" i="138"/>
  <c r="K425" i="138"/>
  <c r="J425" i="138"/>
  <c r="I425" i="138"/>
  <c r="H425" i="138"/>
  <c r="F425" i="138"/>
  <c r="E425" i="138"/>
  <c r="D425" i="138"/>
  <c r="M374" i="138"/>
  <c r="M386" i="138" s="1"/>
  <c r="N385" i="138"/>
  <c r="G385" i="138"/>
  <c r="N384" i="138"/>
  <c r="G384" i="138"/>
  <c r="N383" i="138"/>
  <c r="G383" i="138"/>
  <c r="N382" i="138"/>
  <c r="G382" i="138"/>
  <c r="N381" i="138"/>
  <c r="G381" i="138"/>
  <c r="N380" i="138"/>
  <c r="G380" i="138"/>
  <c r="N379" i="138"/>
  <c r="G379" i="138"/>
  <c r="N378" i="138"/>
  <c r="G378" i="138"/>
  <c r="N377" i="138"/>
  <c r="G377" i="138"/>
  <c r="N376" i="138"/>
  <c r="G376" i="138"/>
  <c r="N375" i="138"/>
  <c r="G375" i="138"/>
  <c r="G374" i="138"/>
  <c r="N429" i="138"/>
  <c r="G429" i="138"/>
  <c r="N428" i="138"/>
  <c r="G428" i="138"/>
  <c r="N427" i="138"/>
  <c r="G427" i="138"/>
  <c r="H426" i="138" l="1"/>
  <c r="L426" i="138"/>
  <c r="D426" i="138"/>
  <c r="G386" i="138"/>
  <c r="N374" i="138"/>
  <c r="N386" i="138" s="1"/>
  <c r="E426" i="138"/>
  <c r="J426" i="138"/>
  <c r="F426" i="138"/>
  <c r="K426" i="138"/>
  <c r="E42" i="167"/>
  <c r="H40" i="167"/>
  <c r="H47" i="167" s="1"/>
  <c r="J47" i="167" s="1"/>
  <c r="R36" i="167"/>
  <c r="R35" i="167"/>
  <c r="R38" i="167"/>
  <c r="R40" i="167"/>
  <c r="R39" i="167"/>
  <c r="R41" i="167"/>
  <c r="I426" i="138"/>
  <c r="E19" i="167"/>
  <c r="E21" i="167" s="1"/>
  <c r="G23" i="167" s="1"/>
  <c r="E44" i="167" l="1"/>
  <c r="E47" i="167" s="1"/>
  <c r="E53" i="167" s="1"/>
  <c r="N424" i="138"/>
  <c r="G424" i="138"/>
  <c r="N423" i="138"/>
  <c r="G423" i="138"/>
  <c r="N422" i="138"/>
  <c r="G422" i="138"/>
  <c r="N421" i="138"/>
  <c r="G421" i="138"/>
  <c r="N420" i="138"/>
  <c r="G420" i="138"/>
  <c r="N419" i="138"/>
  <c r="G419" i="138"/>
  <c r="N418" i="138"/>
  <c r="G418" i="138"/>
  <c r="N417" i="138"/>
  <c r="G417" i="138"/>
  <c r="N416" i="138"/>
  <c r="G416" i="138"/>
  <c r="N415" i="138"/>
  <c r="G415" i="138"/>
  <c r="N414" i="138"/>
  <c r="G414" i="138"/>
  <c r="M413" i="138"/>
  <c r="G413" i="138"/>
  <c r="N413" i="138" l="1"/>
  <c r="N425" i="138" s="1"/>
  <c r="M425" i="138"/>
  <c r="G425" i="138"/>
  <c r="N411" i="138"/>
  <c r="G411" i="138"/>
  <c r="N410" i="138"/>
  <c r="G410" i="138"/>
  <c r="N409" i="138"/>
  <c r="G409" i="138"/>
  <c r="N408" i="138"/>
  <c r="G408" i="138"/>
  <c r="N407" i="138"/>
  <c r="G407" i="138"/>
  <c r="N406" i="138"/>
  <c r="G406" i="138"/>
  <c r="N405" i="138"/>
  <c r="G405" i="138"/>
  <c r="N404" i="138"/>
  <c r="G404" i="138"/>
  <c r="N403" i="138"/>
  <c r="G403" i="138"/>
  <c r="N402" i="138"/>
  <c r="G402" i="138"/>
  <c r="N401" i="138"/>
  <c r="G401" i="138"/>
  <c r="M400" i="138"/>
  <c r="G400" i="138"/>
  <c r="E65" i="166"/>
  <c r="E67" i="166" s="1"/>
  <c r="F69" i="166" s="1"/>
  <c r="E69" i="166"/>
  <c r="N400" i="138" l="1"/>
  <c r="N412" i="138" s="1"/>
  <c r="M412" i="138"/>
  <c r="G412" i="138"/>
  <c r="M387" i="138" l="1"/>
  <c r="M399" i="138" s="1"/>
  <c r="M426" i="138" s="1"/>
  <c r="N398" i="138"/>
  <c r="G398" i="138"/>
  <c r="N397" i="138"/>
  <c r="G397" i="138"/>
  <c r="N396" i="138"/>
  <c r="G396" i="138"/>
  <c r="N395" i="138"/>
  <c r="G395" i="138"/>
  <c r="N394" i="138"/>
  <c r="G394" i="138"/>
  <c r="N393" i="138"/>
  <c r="G393" i="138"/>
  <c r="N392" i="138"/>
  <c r="G392" i="138"/>
  <c r="N391" i="138"/>
  <c r="G391" i="138"/>
  <c r="N390" i="138"/>
  <c r="G390" i="138"/>
  <c r="N389" i="138"/>
  <c r="G389" i="138"/>
  <c r="N388" i="138"/>
  <c r="G388" i="138"/>
  <c r="G387" i="138"/>
  <c r="E46" i="166"/>
  <c r="G46" i="166" s="1"/>
  <c r="N387" i="138" l="1"/>
  <c r="N399" i="138" s="1"/>
  <c r="N426" i="138" s="1"/>
  <c r="G399" i="138"/>
  <c r="G426" i="138" s="1"/>
  <c r="E92" i="166"/>
  <c r="E23" i="166"/>
  <c r="L325" i="138" l="1"/>
  <c r="K325" i="138"/>
  <c r="J325" i="138"/>
  <c r="I325" i="138"/>
  <c r="H325" i="138"/>
  <c r="F325" i="138"/>
  <c r="E325" i="138"/>
  <c r="D325" i="138"/>
  <c r="C325" i="138"/>
  <c r="L338" i="138"/>
  <c r="K338" i="138"/>
  <c r="J338" i="138"/>
  <c r="I338" i="138"/>
  <c r="H338" i="138"/>
  <c r="F338" i="138"/>
  <c r="E338" i="138"/>
  <c r="D338" i="138"/>
  <c r="C338" i="138"/>
  <c r="L351" i="138"/>
  <c r="K351" i="138"/>
  <c r="J351" i="138"/>
  <c r="I351" i="138"/>
  <c r="H351" i="138"/>
  <c r="F351" i="138"/>
  <c r="E351" i="138"/>
  <c r="D351" i="138"/>
  <c r="C351" i="138"/>
  <c r="C364" i="138"/>
  <c r="G366" i="138"/>
  <c r="N366" i="138"/>
  <c r="C365" i="138" l="1"/>
  <c r="N363" i="138" l="1"/>
  <c r="G363" i="138"/>
  <c r="N362" i="138"/>
  <c r="G362" i="138"/>
  <c r="N361" i="138"/>
  <c r="G361" i="138"/>
  <c r="N360" i="138"/>
  <c r="G360" i="138"/>
  <c r="N359" i="138"/>
  <c r="G359" i="138"/>
  <c r="N358" i="138"/>
  <c r="G358" i="138"/>
  <c r="N357" i="138"/>
  <c r="G357" i="138"/>
  <c r="N356" i="138"/>
  <c r="G356" i="138"/>
  <c r="N355" i="138"/>
  <c r="G355" i="138"/>
  <c r="N354" i="138"/>
  <c r="G354" i="138"/>
  <c r="N353" i="138"/>
  <c r="G353" i="138"/>
  <c r="M352" i="138"/>
  <c r="N352" i="138" s="1"/>
  <c r="G352" i="138"/>
  <c r="H100" i="166"/>
  <c r="E88" i="166"/>
  <c r="E90" i="166" s="1"/>
  <c r="F92" i="166" s="1"/>
  <c r="H101" i="166" s="1"/>
  <c r="E42" i="166"/>
  <c r="E44" i="166" s="1"/>
  <c r="F46" i="166" s="1"/>
  <c r="E19" i="166"/>
  <c r="E21" i="166" s="1"/>
  <c r="F23" i="166" s="1"/>
  <c r="E91" i="165" l="1"/>
  <c r="M364" i="138" l="1"/>
  <c r="L364" i="138"/>
  <c r="L365" i="138" s="1"/>
  <c r="K364" i="138"/>
  <c r="K365" i="138" s="1"/>
  <c r="J364" i="138"/>
  <c r="J365" i="138" s="1"/>
  <c r="I364" i="138"/>
  <c r="I365" i="138" s="1"/>
  <c r="H364" i="138"/>
  <c r="H365" i="138" s="1"/>
  <c r="F364" i="138"/>
  <c r="F365" i="138" s="1"/>
  <c r="E364" i="138"/>
  <c r="E365" i="138" s="1"/>
  <c r="D364" i="138"/>
  <c r="D365" i="138" s="1"/>
  <c r="G364" i="138"/>
  <c r="N350" i="138"/>
  <c r="G350" i="138"/>
  <c r="N337" i="138"/>
  <c r="G337" i="138"/>
  <c r="N324" i="138"/>
  <c r="G324" i="138"/>
  <c r="G349" i="138"/>
  <c r="N349" i="138"/>
  <c r="G336" i="138"/>
  <c r="N336" i="138"/>
  <c r="N323" i="138"/>
  <c r="G323" i="138"/>
  <c r="D303" i="138"/>
  <c r="G303" i="138" s="1"/>
  <c r="G292" i="138"/>
  <c r="N292" i="138"/>
  <c r="N283" i="138"/>
  <c r="G283" i="138"/>
  <c r="G274" i="138"/>
  <c r="N266" i="138"/>
  <c r="G266" i="138"/>
  <c r="N348" i="138"/>
  <c r="G348" i="138"/>
  <c r="N335" i="138"/>
  <c r="N322" i="138"/>
  <c r="G322" i="138"/>
  <c r="D302" i="138"/>
  <c r="N302" i="138" s="1"/>
  <c r="N291" i="138"/>
  <c r="G291" i="138"/>
  <c r="N282" i="138"/>
  <c r="G282" i="138"/>
  <c r="N273" i="138"/>
  <c r="G273" i="138"/>
  <c r="N265" i="138"/>
  <c r="G265" i="138"/>
  <c r="N347" i="138"/>
  <c r="G347" i="138"/>
  <c r="N334" i="138"/>
  <c r="G334" i="138"/>
  <c r="N321" i="138"/>
  <c r="G321" i="138"/>
  <c r="G301" i="138"/>
  <c r="N346" i="138"/>
  <c r="G346" i="138"/>
  <c r="N333" i="138"/>
  <c r="G333" i="138"/>
  <c r="N320" i="138"/>
  <c r="G320" i="138"/>
  <c r="D300" i="138"/>
  <c r="N300" i="138" s="1"/>
  <c r="G290" i="138"/>
  <c r="G281" i="138"/>
  <c r="N344" i="138"/>
  <c r="G344" i="138"/>
  <c r="N331" i="138"/>
  <c r="G331" i="138"/>
  <c r="N319" i="138"/>
  <c r="G319" i="138"/>
  <c r="G299" i="138"/>
  <c r="N343" i="138"/>
  <c r="G343" i="138"/>
  <c r="N330" i="138"/>
  <c r="G330" i="138"/>
  <c r="N318" i="138"/>
  <c r="D298" i="138"/>
  <c r="N298" i="138" s="1"/>
  <c r="N289" i="138"/>
  <c r="G289" i="138"/>
  <c r="N280" i="138"/>
  <c r="G280" i="138"/>
  <c r="N272" i="138"/>
  <c r="G272" i="138"/>
  <c r="N264" i="138"/>
  <c r="G264" i="138"/>
  <c r="N342" i="138"/>
  <c r="G342" i="138"/>
  <c r="N364" i="138" l="1"/>
  <c r="N303" i="138"/>
  <c r="G335" i="138"/>
  <c r="G302" i="138"/>
  <c r="G298" i="138"/>
  <c r="G300" i="138"/>
  <c r="G318" i="138"/>
  <c r="N329" i="138" l="1"/>
  <c r="G329" i="138"/>
  <c r="N317" i="138"/>
  <c r="G317" i="138"/>
  <c r="N297" i="138"/>
  <c r="G297" i="138"/>
  <c r="N288" i="138"/>
  <c r="G288" i="138"/>
  <c r="N279" i="138"/>
  <c r="G279" i="138"/>
  <c r="N271" i="138"/>
  <c r="G271" i="138"/>
  <c r="N263" i="138"/>
  <c r="G263" i="138"/>
  <c r="N341" i="138"/>
  <c r="G341" i="138"/>
  <c r="N328" i="138"/>
  <c r="G328" i="138"/>
  <c r="N316" i="138"/>
  <c r="G316" i="138"/>
  <c r="N296" i="138"/>
  <c r="G296" i="138"/>
  <c r="N287" i="138"/>
  <c r="G287" i="138"/>
  <c r="N278" i="138"/>
  <c r="G278" i="138"/>
  <c r="N270" i="138"/>
  <c r="G270" i="138"/>
  <c r="N262" i="138"/>
  <c r="G262" i="138"/>
  <c r="N261" i="138"/>
  <c r="G261" i="138"/>
  <c r="N269" i="138"/>
  <c r="G269" i="138"/>
  <c r="N277" i="138"/>
  <c r="G277" i="138"/>
  <c r="N286" i="138"/>
  <c r="G286" i="138"/>
  <c r="N295" i="138"/>
  <c r="G295" i="138"/>
  <c r="N315" i="138"/>
  <c r="G315" i="138"/>
  <c r="N327" i="138"/>
  <c r="G327" i="138"/>
  <c r="N340" i="138"/>
  <c r="G340" i="138"/>
  <c r="M339" i="138"/>
  <c r="M351" i="138" s="1"/>
  <c r="G339" i="138"/>
  <c r="M326" i="138"/>
  <c r="M338" i="138" s="1"/>
  <c r="G326" i="138"/>
  <c r="M314" i="138"/>
  <c r="M325" i="138" s="1"/>
  <c r="G314" i="138"/>
  <c r="D294" i="138"/>
  <c r="G294" i="138" s="1"/>
  <c r="N285" i="138"/>
  <c r="G285" i="138"/>
  <c r="N276" i="138"/>
  <c r="G276" i="138"/>
  <c r="N268" i="138"/>
  <c r="G268" i="138"/>
  <c r="N260" i="138"/>
  <c r="G260" i="138"/>
  <c r="G325" i="138" l="1"/>
  <c r="M365" i="138"/>
  <c r="N314" i="138"/>
  <c r="N325" i="138" s="1"/>
  <c r="N339" i="138"/>
  <c r="N326" i="138"/>
  <c r="N294" i="138"/>
  <c r="G45" i="165" l="1"/>
  <c r="M293" i="138" l="1"/>
  <c r="L293" i="138"/>
  <c r="K293" i="138"/>
  <c r="J293" i="138"/>
  <c r="I293" i="138"/>
  <c r="H293" i="138"/>
  <c r="G293" i="138"/>
  <c r="F293" i="138"/>
  <c r="E293" i="138"/>
  <c r="D293" i="138"/>
  <c r="C293" i="138"/>
  <c r="N290" i="138"/>
  <c r="H99" i="165"/>
  <c r="E87" i="165"/>
  <c r="E89" i="165" s="1"/>
  <c r="E64" i="165"/>
  <c r="E66" i="165" s="1"/>
  <c r="F68" i="165" s="1"/>
  <c r="G68" i="165" s="1"/>
  <c r="E41" i="165"/>
  <c r="E43" i="165" s="1"/>
  <c r="F45" i="165" s="1"/>
  <c r="E18" i="165"/>
  <c r="E20" i="165" s="1"/>
  <c r="F22" i="165" s="1"/>
  <c r="F91" i="165" l="1"/>
  <c r="H100" i="165" s="1"/>
  <c r="N293" i="138"/>
  <c r="N308" i="138" l="1"/>
  <c r="G308" i="138"/>
  <c r="N307" i="138"/>
  <c r="G307" i="138"/>
  <c r="N306" i="138"/>
  <c r="G306" i="138"/>
  <c r="N254" i="138" l="1"/>
  <c r="G254" i="138"/>
  <c r="N253" i="138"/>
  <c r="G253" i="138"/>
  <c r="N252" i="138"/>
  <c r="G252" i="138"/>
  <c r="N244" i="138"/>
  <c r="G244" i="138"/>
  <c r="N237" i="138"/>
  <c r="G237" i="138"/>
  <c r="N230" i="138"/>
  <c r="G230" i="138"/>
  <c r="N223" i="138"/>
  <c r="G223" i="138"/>
  <c r="N224" i="138"/>
  <c r="G224" i="138"/>
  <c r="N231" i="138"/>
  <c r="G231" i="138"/>
  <c r="N238" i="138"/>
  <c r="G238" i="138"/>
  <c r="N245" i="138"/>
  <c r="G245" i="138"/>
  <c r="N225" i="138"/>
  <c r="G225" i="138"/>
  <c r="N232" i="138"/>
  <c r="G232" i="138"/>
  <c r="N239" i="138"/>
  <c r="G239" i="138"/>
  <c r="N246" i="138"/>
  <c r="G246" i="138"/>
  <c r="N226" i="138"/>
  <c r="G226" i="138"/>
  <c r="N233" i="138"/>
  <c r="G233" i="138"/>
  <c r="N240" i="138"/>
  <c r="G240" i="138"/>
  <c r="N247" i="138"/>
  <c r="G247" i="138"/>
  <c r="N227" i="138"/>
  <c r="G227" i="138"/>
  <c r="N234" i="138"/>
  <c r="G234" i="138"/>
  <c r="N241" i="138"/>
  <c r="G241" i="138"/>
  <c r="N248" i="138"/>
  <c r="G248" i="138"/>
  <c r="G228" i="138"/>
  <c r="N228" i="138"/>
  <c r="D235" i="138"/>
  <c r="G235" i="138" s="1"/>
  <c r="N242" i="138"/>
  <c r="G242" i="138"/>
  <c r="G249" i="138"/>
  <c r="N235" i="138" l="1"/>
  <c r="E91" i="164"/>
  <c r="F93" i="164" s="1"/>
  <c r="E32" i="164"/>
  <c r="E34" i="164" s="1"/>
  <c r="F36" i="164" s="1"/>
  <c r="H101" i="164"/>
  <c r="E70" i="164"/>
  <c r="E72" i="164" s="1"/>
  <c r="F74" i="164" s="1"/>
  <c r="E51" i="164"/>
  <c r="E53" i="164" s="1"/>
  <c r="F55" i="164" s="1"/>
  <c r="E14" i="164"/>
  <c r="E16" i="164" s="1"/>
  <c r="F18" i="164" s="1"/>
  <c r="G93" i="164" s="1"/>
  <c r="H102" i="164" l="1"/>
  <c r="L216" i="138"/>
  <c r="K216" i="138"/>
  <c r="J216" i="138"/>
  <c r="I216" i="138"/>
  <c r="H216" i="138"/>
  <c r="G215" i="138" l="1"/>
  <c r="G214" i="138"/>
  <c r="G213" i="138"/>
  <c r="N210" i="138" l="1"/>
  <c r="G210" i="138"/>
  <c r="N209" i="138"/>
  <c r="G209" i="138"/>
  <c r="N208" i="138"/>
  <c r="G208" i="138"/>
  <c r="N207" i="138"/>
  <c r="G207" i="138"/>
  <c r="N206" i="138"/>
  <c r="G206" i="138"/>
  <c r="N205" i="138"/>
  <c r="G205" i="138"/>
  <c r="N203" i="138"/>
  <c r="G203" i="138"/>
  <c r="N202" i="138"/>
  <c r="G202" i="138"/>
  <c r="N201" i="138"/>
  <c r="G201" i="138"/>
  <c r="N200" i="138"/>
  <c r="G200" i="138"/>
  <c r="N199" i="138"/>
  <c r="G199" i="138"/>
  <c r="N198" i="138"/>
  <c r="G198" i="138"/>
  <c r="N196" i="138"/>
  <c r="G196" i="138"/>
  <c r="N195" i="138"/>
  <c r="G195" i="138"/>
  <c r="N194" i="138"/>
  <c r="G194" i="138"/>
  <c r="N193" i="138"/>
  <c r="G193" i="138"/>
  <c r="N192" i="138"/>
  <c r="G192" i="138"/>
  <c r="N191" i="138"/>
  <c r="G191" i="138"/>
  <c r="E30" i="163" l="1"/>
  <c r="H76" i="163" l="1"/>
  <c r="E64" i="163"/>
  <c r="E66" i="163" s="1"/>
  <c r="F68" i="163" s="1"/>
  <c r="H77" i="163" s="1"/>
  <c r="E47" i="163"/>
  <c r="E49" i="163" s="1"/>
  <c r="F51" i="163" s="1"/>
  <c r="G50" i="163" s="1"/>
  <c r="E32" i="163"/>
  <c r="F34" i="163" s="1"/>
  <c r="E13" i="163"/>
  <c r="E15" i="163" s="1"/>
  <c r="F17" i="163" s="1"/>
  <c r="K88" i="162" l="1"/>
  <c r="E81" i="162" l="1"/>
  <c r="G83" i="162" s="1"/>
  <c r="N189" i="138" l="1"/>
  <c r="G189" i="138"/>
  <c r="N188" i="138"/>
  <c r="G188" i="138"/>
  <c r="N187" i="138"/>
  <c r="G187" i="138"/>
  <c r="N186" i="138"/>
  <c r="G186" i="138"/>
  <c r="N185" i="138"/>
  <c r="G185" i="138"/>
  <c r="N184" i="138"/>
  <c r="G184" i="138"/>
  <c r="N182" i="138"/>
  <c r="G182" i="138"/>
  <c r="N181" i="138"/>
  <c r="G181" i="138"/>
  <c r="N180" i="138"/>
  <c r="G180" i="138"/>
  <c r="N179" i="138"/>
  <c r="G179" i="138"/>
  <c r="N178" i="138"/>
  <c r="G178" i="138"/>
  <c r="N177" i="138"/>
  <c r="G177" i="138"/>
  <c r="E30" i="162" l="1"/>
  <c r="E32" i="162" s="1"/>
  <c r="F34" i="162" s="1"/>
  <c r="H91" i="162"/>
  <c r="H92" i="162" s="1"/>
  <c r="E64" i="162"/>
  <c r="E66" i="162" s="1"/>
  <c r="F68" i="162" s="1"/>
  <c r="E47" i="162"/>
  <c r="E49" i="162" s="1"/>
  <c r="F51" i="162" s="1"/>
  <c r="E13" i="162"/>
  <c r="E15" i="162" s="1"/>
  <c r="F17" i="162" s="1"/>
  <c r="G60" i="161" l="1"/>
  <c r="H60" i="161" s="1"/>
  <c r="E65" i="161"/>
  <c r="E67" i="161" s="1"/>
  <c r="N169" i="138"/>
  <c r="G169" i="138"/>
  <c r="N168" i="138"/>
  <c r="G168" i="138"/>
  <c r="N167" i="138"/>
  <c r="G167" i="138"/>
  <c r="N164" i="138" l="1"/>
  <c r="G164" i="138"/>
  <c r="N163" i="138"/>
  <c r="G163" i="138"/>
  <c r="N162" i="138"/>
  <c r="G162" i="138"/>
  <c r="N161" i="138"/>
  <c r="G161" i="138"/>
  <c r="N160" i="138"/>
  <c r="G160" i="138"/>
  <c r="N159" i="138"/>
  <c r="G159" i="138"/>
  <c r="G64" i="161" l="1"/>
  <c r="G63" i="161"/>
  <c r="G62" i="161"/>
  <c r="G61" i="161"/>
  <c r="G59" i="161"/>
  <c r="H69" i="161" l="1"/>
  <c r="J48" i="161"/>
  <c r="G53" i="161" l="1"/>
  <c r="J53" i="161" s="1"/>
  <c r="H53" i="161"/>
  <c r="N157" i="138" l="1"/>
  <c r="G157" i="138"/>
  <c r="N156" i="138"/>
  <c r="G156" i="138"/>
  <c r="N155" i="138"/>
  <c r="G155" i="138"/>
  <c r="N154" i="138"/>
  <c r="G154" i="138"/>
  <c r="N153" i="138"/>
  <c r="G153" i="138"/>
  <c r="N152" i="138"/>
  <c r="G152" i="138"/>
  <c r="G130" i="138" l="1"/>
  <c r="G129" i="138"/>
  <c r="G128" i="138"/>
  <c r="N150" i="138" l="1"/>
  <c r="G150" i="138"/>
  <c r="N149" i="138"/>
  <c r="G149" i="138"/>
  <c r="N148" i="138"/>
  <c r="G148" i="138"/>
  <c r="N147" i="138"/>
  <c r="G147" i="138"/>
  <c r="N146" i="138"/>
  <c r="G146" i="138"/>
  <c r="N145" i="138"/>
  <c r="G145" i="138"/>
  <c r="C151" i="138"/>
  <c r="D151" i="138"/>
  <c r="E151" i="138"/>
  <c r="F151" i="138"/>
  <c r="H151" i="138"/>
  <c r="I151" i="138"/>
  <c r="J151" i="138"/>
  <c r="K151" i="138"/>
  <c r="L151" i="138"/>
  <c r="M151" i="138"/>
  <c r="N143" i="138"/>
  <c r="G143" i="138"/>
  <c r="N142" i="138"/>
  <c r="G142" i="138"/>
  <c r="N141" i="138"/>
  <c r="G141" i="138"/>
  <c r="N140" i="138"/>
  <c r="G140" i="138"/>
  <c r="N139" i="138"/>
  <c r="G139" i="138"/>
  <c r="N138" i="138"/>
  <c r="G138" i="138"/>
  <c r="N125" i="138"/>
  <c r="G125" i="138"/>
  <c r="N124" i="138"/>
  <c r="G124" i="138"/>
  <c r="N123" i="138"/>
  <c r="G123" i="138"/>
  <c r="N122" i="138"/>
  <c r="G122" i="138"/>
  <c r="N121" i="138"/>
  <c r="G121" i="138"/>
  <c r="N120" i="138"/>
  <c r="G120" i="138"/>
  <c r="N118" i="138"/>
  <c r="G118" i="138"/>
  <c r="N117" i="138"/>
  <c r="G117" i="138"/>
  <c r="N116" i="138"/>
  <c r="G116" i="138"/>
  <c r="N115" i="138"/>
  <c r="G115" i="138"/>
  <c r="N114" i="138"/>
  <c r="G114" i="138"/>
  <c r="N113" i="138"/>
  <c r="G113" i="138"/>
  <c r="C119" i="138"/>
  <c r="D119" i="138"/>
  <c r="E119" i="138"/>
  <c r="F119" i="138"/>
  <c r="H119" i="138"/>
  <c r="I119" i="138"/>
  <c r="J119" i="138"/>
  <c r="K119" i="138"/>
  <c r="L119" i="138"/>
  <c r="M119" i="138"/>
  <c r="N151" i="138" l="1"/>
  <c r="G151" i="138"/>
  <c r="G119" i="138"/>
  <c r="N119" i="138"/>
  <c r="F30" i="161"/>
  <c r="J30" i="161" s="1"/>
  <c r="G29" i="161"/>
  <c r="G28" i="161"/>
  <c r="G27" i="161"/>
  <c r="G26" i="161"/>
  <c r="G25" i="161"/>
  <c r="G24" i="161"/>
  <c r="G34" i="161" s="1"/>
  <c r="G11" i="161" l="1"/>
  <c r="G12" i="161"/>
  <c r="G10" i="161"/>
  <c r="G9" i="161"/>
  <c r="G8" i="161"/>
  <c r="G7" i="161"/>
  <c r="H77" i="161"/>
  <c r="H78" i="161" s="1"/>
  <c r="F69" i="161"/>
  <c r="E47" i="161"/>
  <c r="E49" i="161" s="1"/>
  <c r="F52" i="161" s="1"/>
  <c r="E30" i="161"/>
  <c r="E32" i="161" s="1"/>
  <c r="E13" i="161"/>
  <c r="E15" i="161" s="1"/>
  <c r="G17" i="161" l="1"/>
  <c r="H76" i="160"/>
  <c r="G63" i="160" l="1"/>
  <c r="G62" i="160"/>
  <c r="G61" i="160"/>
  <c r="G60" i="160"/>
  <c r="G59" i="160"/>
  <c r="G58" i="160"/>
  <c r="H77" i="160" l="1"/>
  <c r="G46" i="160"/>
  <c r="G45" i="160"/>
  <c r="G44" i="160"/>
  <c r="G43" i="160"/>
  <c r="G42" i="160"/>
  <c r="G41" i="160"/>
  <c r="G51" i="160" s="1"/>
  <c r="M17" i="160" l="1"/>
  <c r="M32" i="160"/>
  <c r="M25" i="160"/>
  <c r="Q14" i="160"/>
  <c r="M30" i="160" l="1"/>
  <c r="M34" i="160" s="1"/>
  <c r="M14" i="160"/>
  <c r="M18" i="160" s="1"/>
  <c r="M23" i="160"/>
  <c r="M27" i="160" s="1"/>
  <c r="G111" i="138" l="1"/>
  <c r="G110" i="138"/>
  <c r="G109" i="138"/>
  <c r="G108" i="138"/>
  <c r="G107" i="138"/>
  <c r="G106" i="138"/>
  <c r="G91" i="138" l="1"/>
  <c r="G90" i="138"/>
  <c r="G89" i="138"/>
  <c r="G40" i="138"/>
  <c r="G39" i="138"/>
  <c r="G38" i="138"/>
  <c r="N62" i="138" l="1"/>
  <c r="M79" i="138"/>
  <c r="L79" i="138"/>
  <c r="K79" i="138"/>
  <c r="J79" i="138"/>
  <c r="I79" i="138"/>
  <c r="H79" i="138"/>
  <c r="F79" i="138"/>
  <c r="E79" i="138"/>
  <c r="D79" i="138"/>
  <c r="C79" i="138"/>
  <c r="N78" i="138"/>
  <c r="G78" i="138"/>
  <c r="M87" i="138"/>
  <c r="L87" i="138"/>
  <c r="K87" i="138"/>
  <c r="J87" i="138"/>
  <c r="I87" i="138"/>
  <c r="H87" i="138"/>
  <c r="F87" i="138"/>
  <c r="E87" i="138"/>
  <c r="D87" i="138"/>
  <c r="C87" i="138"/>
  <c r="N86" i="138"/>
  <c r="G86" i="138"/>
  <c r="M71" i="138"/>
  <c r="L71" i="138"/>
  <c r="K71" i="138"/>
  <c r="J71" i="138"/>
  <c r="I71" i="138"/>
  <c r="H71" i="138"/>
  <c r="F71" i="138"/>
  <c r="E71" i="138"/>
  <c r="D71" i="138"/>
  <c r="C71" i="138"/>
  <c r="N70" i="138"/>
  <c r="G70" i="138"/>
  <c r="M63" i="138"/>
  <c r="L63" i="138"/>
  <c r="K63" i="138"/>
  <c r="J63" i="138"/>
  <c r="I63" i="138"/>
  <c r="H63" i="138"/>
  <c r="F63" i="138"/>
  <c r="E63" i="138"/>
  <c r="D63" i="138"/>
  <c r="C63" i="138"/>
  <c r="G62" i="138"/>
  <c r="G54" i="138"/>
  <c r="G35" i="138"/>
  <c r="M55" i="138"/>
  <c r="L55" i="138"/>
  <c r="K55" i="138"/>
  <c r="J55" i="138"/>
  <c r="I55" i="138"/>
  <c r="H55" i="138"/>
  <c r="F55" i="138"/>
  <c r="E55" i="138"/>
  <c r="D55" i="138"/>
  <c r="C55" i="138"/>
  <c r="N54" i="138"/>
  <c r="G104" i="138"/>
  <c r="G85" i="138"/>
  <c r="G77" i="138"/>
  <c r="G69" i="138"/>
  <c r="G61" i="138"/>
  <c r="G53" i="138"/>
  <c r="G34" i="138"/>
  <c r="G103" i="138"/>
  <c r="G84" i="138"/>
  <c r="G76" i="138"/>
  <c r="G68" i="138"/>
  <c r="G60" i="138"/>
  <c r="G52" i="138"/>
  <c r="G33" i="138"/>
  <c r="G102" i="138"/>
  <c r="G83" i="138"/>
  <c r="G75" i="138"/>
  <c r="G67" i="138"/>
  <c r="G59" i="138"/>
  <c r="G51" i="138"/>
  <c r="G32" i="138"/>
  <c r="G101" i="138"/>
  <c r="G82" i="138"/>
  <c r="G74" i="138"/>
  <c r="G66" i="138"/>
  <c r="G58" i="138"/>
  <c r="G50" i="138"/>
  <c r="G31" i="138"/>
  <c r="G30" i="138"/>
  <c r="G49" i="138"/>
  <c r="G57" i="138"/>
  <c r="G65" i="138"/>
  <c r="G73" i="138"/>
  <c r="G81" i="138"/>
  <c r="G29" i="138"/>
  <c r="G48" i="138"/>
  <c r="N56" i="138"/>
  <c r="G56" i="138"/>
  <c r="N64" i="138"/>
  <c r="G64" i="138"/>
  <c r="G72" i="138"/>
  <c r="C92" i="138"/>
  <c r="N77" i="138"/>
  <c r="N76" i="138"/>
  <c r="N75" i="138"/>
  <c r="N74" i="138"/>
  <c r="N73" i="138"/>
  <c r="N72" i="138"/>
  <c r="J88" i="138" l="1"/>
  <c r="H88" i="138"/>
  <c r="L88" i="138"/>
  <c r="M88" i="138"/>
  <c r="I88" i="138"/>
  <c r="F88" i="138"/>
  <c r="K88" i="138"/>
  <c r="E88" i="138"/>
  <c r="D88" i="138"/>
  <c r="C88" i="138"/>
  <c r="G71" i="138"/>
  <c r="G79" i="138"/>
  <c r="N79" i="138"/>
  <c r="G63" i="138"/>
  <c r="G55" i="138"/>
  <c r="E64" i="160"/>
  <c r="E66" i="160" s="1"/>
  <c r="E47" i="160"/>
  <c r="E49" i="160" s="1"/>
  <c r="E30" i="160"/>
  <c r="E32" i="160" s="1"/>
  <c r="E13" i="160"/>
  <c r="E15" i="160" s="1"/>
  <c r="E85" i="159" l="1"/>
  <c r="G87" i="159" s="1"/>
  <c r="E50" i="159" l="1"/>
  <c r="E52" i="159" s="1"/>
  <c r="H95" i="159"/>
  <c r="E67" i="159"/>
  <c r="E69" i="159" s="1"/>
  <c r="E32" i="159"/>
  <c r="E34" i="159" s="1"/>
  <c r="E14" i="159"/>
  <c r="E16" i="159" s="1"/>
  <c r="L87" i="159" l="1"/>
  <c r="H96" i="159"/>
  <c r="N27" i="138"/>
  <c r="G27" i="138"/>
  <c r="N26" i="138"/>
  <c r="G26" i="138"/>
  <c r="N25" i="138"/>
  <c r="G25" i="138"/>
  <c r="N24" i="138"/>
  <c r="G24" i="138"/>
  <c r="N23" i="138"/>
  <c r="G23" i="138"/>
  <c r="N22" i="138"/>
  <c r="G22" i="138"/>
  <c r="N21" i="138"/>
  <c r="G21" i="138"/>
  <c r="E50" i="158"/>
  <c r="N19" i="138" l="1"/>
  <c r="G19" i="138"/>
  <c r="N18" i="138"/>
  <c r="G18" i="138"/>
  <c r="N17" i="138"/>
  <c r="G17" i="138"/>
  <c r="N16" i="138"/>
  <c r="G16" i="138"/>
  <c r="N15" i="138"/>
  <c r="G15" i="138"/>
  <c r="N14" i="138"/>
  <c r="G14" i="138"/>
  <c r="N13" i="138"/>
  <c r="G13" i="138"/>
  <c r="N31" i="138"/>
  <c r="H80" i="158" l="1"/>
  <c r="E52" i="158" l="1"/>
  <c r="E68" i="158"/>
  <c r="E70" i="158" s="1"/>
  <c r="H81" i="158" s="1"/>
  <c r="E32" i="158"/>
  <c r="E34" i="158" s="1"/>
  <c r="E14" i="158"/>
  <c r="E16" i="158" s="1"/>
  <c r="N487" i="138" l="1"/>
  <c r="G487" i="138"/>
  <c r="N485" i="138"/>
  <c r="G485" i="138"/>
  <c r="N484" i="138"/>
  <c r="G484" i="138"/>
  <c r="N483" i="138"/>
  <c r="G483" i="138"/>
  <c r="N482" i="138"/>
  <c r="G482" i="138"/>
  <c r="N481" i="138"/>
  <c r="G481" i="138"/>
  <c r="M544" i="138"/>
  <c r="L544" i="138"/>
  <c r="K544" i="138"/>
  <c r="J544" i="138"/>
  <c r="I544" i="138"/>
  <c r="H544" i="138"/>
  <c r="F544" i="138"/>
  <c r="E544" i="138"/>
  <c r="D544" i="138"/>
  <c r="N544" i="138" l="1"/>
  <c r="G544" i="138"/>
  <c r="C425" i="138" l="1"/>
  <c r="C426" i="138" s="1"/>
  <c r="M204" i="138" l="1"/>
  <c r="L204" i="138"/>
  <c r="K204" i="138"/>
  <c r="J204" i="138"/>
  <c r="I204" i="138"/>
  <c r="H204" i="138"/>
  <c r="F204" i="138"/>
  <c r="E204" i="138"/>
  <c r="D204" i="138"/>
  <c r="C204" i="138"/>
  <c r="N204" i="138" l="1"/>
  <c r="G204" i="138"/>
  <c r="N110" i="138" l="1"/>
  <c r="N111" i="138"/>
  <c r="N109" i="138"/>
  <c r="N108" i="138"/>
  <c r="N107" i="138"/>
  <c r="N106" i="138"/>
  <c r="N112" i="138" l="1"/>
  <c r="N80" i="138" l="1"/>
  <c r="G80" i="138"/>
  <c r="G87" i="138" s="1"/>
  <c r="G88" i="138" s="1"/>
  <c r="N59" i="138" l="1"/>
  <c r="N51" i="138"/>
  <c r="N33" i="138"/>
  <c r="N8" i="138"/>
  <c r="G5" i="138"/>
  <c r="G6" i="138"/>
  <c r="G7" i="138"/>
  <c r="G8" i="138"/>
  <c r="N52" i="138" l="1"/>
  <c r="N34" i="138"/>
  <c r="N10" i="138"/>
  <c r="G10" i="138"/>
  <c r="N6" i="138" l="1"/>
  <c r="M518" i="138" l="1"/>
  <c r="L518" i="138"/>
  <c r="K518" i="138"/>
  <c r="J518" i="138"/>
  <c r="I518" i="138"/>
  <c r="H518" i="138"/>
  <c r="F518" i="138"/>
  <c r="E518" i="138"/>
  <c r="D518" i="138"/>
  <c r="C518" i="138"/>
  <c r="C507" i="138"/>
  <c r="M502" i="138"/>
  <c r="L502" i="138"/>
  <c r="K502" i="138"/>
  <c r="J502" i="138"/>
  <c r="I502" i="138"/>
  <c r="H502" i="138"/>
  <c r="F502" i="138"/>
  <c r="E502" i="138"/>
  <c r="D502" i="138"/>
  <c r="C502" i="138"/>
  <c r="I495" i="138"/>
  <c r="H495" i="138"/>
  <c r="F495" i="138"/>
  <c r="E495" i="138"/>
  <c r="D495" i="138"/>
  <c r="C495" i="138"/>
  <c r="M488" i="138"/>
  <c r="L488" i="138"/>
  <c r="K488" i="138"/>
  <c r="J488" i="138"/>
  <c r="I488" i="138"/>
  <c r="H488" i="138"/>
  <c r="H503" i="138" s="1"/>
  <c r="F488" i="138"/>
  <c r="E488" i="138"/>
  <c r="D488" i="138"/>
  <c r="C488" i="138"/>
  <c r="E507" i="138"/>
  <c r="D507" i="138"/>
  <c r="R475" i="138"/>
  <c r="R474" i="138"/>
  <c r="R473" i="138"/>
  <c r="L304" i="138"/>
  <c r="K304" i="138"/>
  <c r="J304" i="138"/>
  <c r="I304" i="138"/>
  <c r="H304" i="138"/>
  <c r="F304" i="138"/>
  <c r="E304" i="138"/>
  <c r="D304" i="138"/>
  <c r="C304" i="138"/>
  <c r="L284" i="138"/>
  <c r="K284" i="138"/>
  <c r="J284" i="138"/>
  <c r="I284" i="138"/>
  <c r="H284" i="138"/>
  <c r="F284" i="138"/>
  <c r="E284" i="138"/>
  <c r="D284" i="138"/>
  <c r="C284" i="138"/>
  <c r="K275" i="138"/>
  <c r="J275" i="138"/>
  <c r="I275" i="138"/>
  <c r="H275" i="138"/>
  <c r="F275" i="138"/>
  <c r="E275" i="138"/>
  <c r="D275" i="138"/>
  <c r="C275" i="138"/>
  <c r="M267" i="138"/>
  <c r="L267" i="138"/>
  <c r="K267" i="138"/>
  <c r="J267" i="138"/>
  <c r="I267" i="138"/>
  <c r="H267" i="138"/>
  <c r="F267" i="138"/>
  <c r="E267" i="138"/>
  <c r="D267" i="138"/>
  <c r="C267" i="138"/>
  <c r="C255" i="138"/>
  <c r="F255" i="138"/>
  <c r="K250" i="138"/>
  <c r="D243" i="138"/>
  <c r="C250" i="138"/>
  <c r="L250" i="138"/>
  <c r="E243" i="138"/>
  <c r="H236" i="138"/>
  <c r="M229" i="138"/>
  <c r="C229" i="138"/>
  <c r="C216" i="138"/>
  <c r="L211" i="138"/>
  <c r="I197" i="138"/>
  <c r="C183" i="138"/>
  <c r="L158" i="138"/>
  <c r="C144" i="138"/>
  <c r="C131" i="138"/>
  <c r="I131" i="138"/>
  <c r="L105" i="138"/>
  <c r="N40" i="138"/>
  <c r="N38" i="138"/>
  <c r="N39" i="138"/>
  <c r="C36" i="138"/>
  <c r="C28" i="138"/>
  <c r="M12" i="138"/>
  <c r="L12" i="138"/>
  <c r="K12" i="138"/>
  <c r="J12" i="138"/>
  <c r="I12" i="138"/>
  <c r="H12" i="138"/>
  <c r="F12" i="138"/>
  <c r="E12" i="138"/>
  <c r="D12" i="138"/>
  <c r="C12" i="138"/>
  <c r="M430" i="138"/>
  <c r="L430" i="138"/>
  <c r="K430" i="138"/>
  <c r="J430" i="138"/>
  <c r="J431" i="138" s="1"/>
  <c r="I430" i="138"/>
  <c r="I431" i="138" s="1"/>
  <c r="H430" i="138"/>
  <c r="H431" i="138" s="1"/>
  <c r="F430" i="138"/>
  <c r="E430" i="138"/>
  <c r="D430" i="138"/>
  <c r="C430" i="138"/>
  <c r="N370" i="138"/>
  <c r="M369" i="138"/>
  <c r="L369" i="138"/>
  <c r="K369" i="138"/>
  <c r="J369" i="138"/>
  <c r="I369" i="138"/>
  <c r="I370" i="138" s="1"/>
  <c r="H369" i="138"/>
  <c r="H370" i="138" s="1"/>
  <c r="F369" i="138"/>
  <c r="E369" i="138"/>
  <c r="D369" i="138"/>
  <c r="C369" i="138"/>
  <c r="N368" i="138"/>
  <c r="G368" i="138"/>
  <c r="N367" i="138"/>
  <c r="G367" i="138"/>
  <c r="C309" i="138"/>
  <c r="N310" i="138"/>
  <c r="M309" i="138"/>
  <c r="L309" i="138"/>
  <c r="K309" i="138"/>
  <c r="J309" i="138"/>
  <c r="I309" i="138"/>
  <c r="H309" i="138"/>
  <c r="F309" i="138"/>
  <c r="E309" i="138"/>
  <c r="D309" i="138"/>
  <c r="N256" i="138"/>
  <c r="M255" i="138"/>
  <c r="L255" i="138"/>
  <c r="K255" i="138"/>
  <c r="J255" i="138"/>
  <c r="I255" i="138"/>
  <c r="H255" i="138"/>
  <c r="E255" i="138"/>
  <c r="D255" i="138"/>
  <c r="N217" i="138"/>
  <c r="M216" i="138"/>
  <c r="F216" i="138"/>
  <c r="E216" i="138"/>
  <c r="D216" i="138"/>
  <c r="N215" i="138"/>
  <c r="N214" i="138"/>
  <c r="N213" i="138"/>
  <c r="E503" i="138" l="1"/>
  <c r="F503" i="138"/>
  <c r="C503" i="138"/>
  <c r="I503" i="138"/>
  <c r="I508" i="138" s="1"/>
  <c r="D503" i="138"/>
  <c r="C305" i="138"/>
  <c r="H305" i="138"/>
  <c r="H310" i="138" s="1"/>
  <c r="F305" i="138"/>
  <c r="K305" i="138"/>
  <c r="D305" i="138"/>
  <c r="I305" i="138"/>
  <c r="E305" i="138"/>
  <c r="J305" i="138"/>
  <c r="H508" i="138"/>
  <c r="N430" i="138"/>
  <c r="G430" i="138"/>
  <c r="G255" i="138"/>
  <c r="N369" i="138"/>
  <c r="G369" i="138"/>
  <c r="N309" i="138"/>
  <c r="G309" i="138"/>
  <c r="N255" i="138"/>
  <c r="N216" i="138"/>
  <c r="G216" i="138"/>
  <c r="N130" i="138" l="1"/>
  <c r="N129" i="138"/>
  <c r="N128" i="138"/>
  <c r="N91" i="138"/>
  <c r="N90" i="138"/>
  <c r="N89" i="138"/>
  <c r="N171" i="138"/>
  <c r="N170" i="138"/>
  <c r="M170" i="138"/>
  <c r="L170" i="138"/>
  <c r="K170" i="138"/>
  <c r="J170" i="138"/>
  <c r="I170" i="138"/>
  <c r="H170" i="138"/>
  <c r="G170" i="138"/>
  <c r="F170" i="138"/>
  <c r="E170" i="138"/>
  <c r="D170" i="138"/>
  <c r="C170" i="138"/>
  <c r="N132" i="138"/>
  <c r="M131" i="138"/>
  <c r="L131" i="138"/>
  <c r="K131" i="138"/>
  <c r="J131" i="138"/>
  <c r="H131" i="138"/>
  <c r="G131" i="138"/>
  <c r="F131" i="138"/>
  <c r="E131" i="138"/>
  <c r="D131" i="138"/>
  <c r="N93" i="138"/>
  <c r="M92" i="138"/>
  <c r="L92" i="138"/>
  <c r="K92" i="138"/>
  <c r="J92" i="138"/>
  <c r="I92" i="138"/>
  <c r="H92" i="138"/>
  <c r="G92" i="138"/>
  <c r="F92" i="138"/>
  <c r="E92" i="138"/>
  <c r="D92" i="138"/>
  <c r="N41" i="138"/>
  <c r="M41" i="138"/>
  <c r="L41" i="138"/>
  <c r="K41" i="138"/>
  <c r="J41" i="138"/>
  <c r="I41" i="138"/>
  <c r="H41" i="138"/>
  <c r="G41" i="138"/>
  <c r="F41" i="138"/>
  <c r="E41" i="138"/>
  <c r="D41" i="138"/>
  <c r="C41" i="138"/>
  <c r="N131" i="138" l="1"/>
  <c r="N92" i="138"/>
  <c r="N274" i="138"/>
  <c r="N301" i="138"/>
  <c r="N332" i="138"/>
  <c r="N338" i="138" s="1"/>
  <c r="G345" i="138"/>
  <c r="G351" i="138" s="1"/>
  <c r="N299" i="138"/>
  <c r="N281" i="138"/>
  <c r="G332" i="138"/>
  <c r="G338" i="138" s="1"/>
  <c r="N345" i="138"/>
  <c r="N351" i="138" s="1"/>
  <c r="G365" i="138" l="1"/>
  <c r="N365" i="138"/>
  <c r="M275" i="138"/>
  <c r="M284" i="138"/>
  <c r="M304" i="138"/>
  <c r="M539" i="138"/>
  <c r="L539" i="138"/>
  <c r="K539" i="138"/>
  <c r="J539" i="138"/>
  <c r="I539" i="138"/>
  <c r="H539" i="138"/>
  <c r="F539" i="138"/>
  <c r="E539" i="138"/>
  <c r="D539" i="138"/>
  <c r="M532" i="138"/>
  <c r="L532" i="138"/>
  <c r="K532" i="138"/>
  <c r="J532" i="138"/>
  <c r="I532" i="138"/>
  <c r="H532" i="138"/>
  <c r="F532" i="138"/>
  <c r="E532" i="138"/>
  <c r="D532" i="138"/>
  <c r="C532" i="138"/>
  <c r="M525" i="138"/>
  <c r="L525" i="138"/>
  <c r="K525" i="138"/>
  <c r="J525" i="138"/>
  <c r="I525" i="138"/>
  <c r="H525" i="138"/>
  <c r="F525" i="138"/>
  <c r="E525" i="138"/>
  <c r="D525" i="138"/>
  <c r="C525" i="138"/>
  <c r="M495" i="138"/>
  <c r="M503" i="138" s="1"/>
  <c r="L495" i="138"/>
  <c r="L503" i="138" s="1"/>
  <c r="K495" i="138"/>
  <c r="K503" i="138" s="1"/>
  <c r="J495" i="138"/>
  <c r="J503" i="138" s="1"/>
  <c r="O447" i="138"/>
  <c r="O472" i="138" s="1"/>
  <c r="N447" i="138"/>
  <c r="N472" i="138" s="1"/>
  <c r="M447" i="138"/>
  <c r="M472" i="138" s="1"/>
  <c r="L447" i="138"/>
  <c r="L472" i="138" s="1"/>
  <c r="K447" i="138"/>
  <c r="K472" i="138" s="1"/>
  <c r="J447" i="138"/>
  <c r="J472" i="138" s="1"/>
  <c r="H447" i="138"/>
  <c r="H472" i="138" s="1"/>
  <c r="G447" i="138"/>
  <c r="G472" i="138" s="1"/>
  <c r="F447" i="138"/>
  <c r="F472" i="138" s="1"/>
  <c r="C447" i="138"/>
  <c r="C472" i="138" s="1"/>
  <c r="L275" i="138"/>
  <c r="L305" i="138" s="1"/>
  <c r="M250" i="138"/>
  <c r="J250" i="138"/>
  <c r="I250" i="138"/>
  <c r="H250" i="138"/>
  <c r="F250" i="138"/>
  <c r="E250" i="138"/>
  <c r="D250" i="138"/>
  <c r="N249" i="138"/>
  <c r="M243" i="138"/>
  <c r="L243" i="138"/>
  <c r="K243" i="138"/>
  <c r="J243" i="138"/>
  <c r="I243" i="138"/>
  <c r="H243" i="138"/>
  <c r="F243" i="138"/>
  <c r="C243" i="138"/>
  <c r="M236" i="138"/>
  <c r="L236" i="138"/>
  <c r="K236" i="138"/>
  <c r="J236" i="138"/>
  <c r="I236" i="138"/>
  <c r="F236" i="138"/>
  <c r="E236" i="138"/>
  <c r="D236" i="138"/>
  <c r="C236" i="138"/>
  <c r="L229" i="138"/>
  <c r="K229" i="138"/>
  <c r="J229" i="138"/>
  <c r="I229" i="138"/>
  <c r="H229" i="138"/>
  <c r="F229" i="138"/>
  <c r="E229" i="138"/>
  <c r="D229" i="138"/>
  <c r="N42" i="138"/>
  <c r="K477" i="138" l="1"/>
  <c r="M305" i="138"/>
  <c r="I251" i="138"/>
  <c r="I256" i="138" s="1"/>
  <c r="H251" i="138"/>
  <c r="H256" i="138" s="1"/>
  <c r="H540" i="138"/>
  <c r="L540" i="138"/>
  <c r="D540" i="138"/>
  <c r="I540" i="138"/>
  <c r="M540" i="138"/>
  <c r="E540" i="138"/>
  <c r="J540" i="138"/>
  <c r="F540" i="138"/>
  <c r="K540" i="138"/>
  <c r="J477" i="138"/>
  <c r="J251" i="138"/>
  <c r="J256" i="138" s="1"/>
  <c r="E251" i="138"/>
  <c r="C251" i="138"/>
  <c r="M251" i="138"/>
  <c r="F251" i="138"/>
  <c r="K251" i="138"/>
  <c r="L251" i="138"/>
  <c r="D251" i="138"/>
  <c r="G518" i="138"/>
  <c r="N488" i="138"/>
  <c r="G488" i="138"/>
  <c r="G495" i="138"/>
  <c r="G502" i="138"/>
  <c r="N518" i="138"/>
  <c r="N502" i="138"/>
  <c r="L477" i="138"/>
  <c r="G229" i="138"/>
  <c r="G267" i="138"/>
  <c r="G284" i="138"/>
  <c r="N236" i="138"/>
  <c r="G304" i="138"/>
  <c r="G275" i="138"/>
  <c r="G532" i="138"/>
  <c r="J508" i="138"/>
  <c r="N284" i="138"/>
  <c r="N525" i="138"/>
  <c r="N539" i="138"/>
  <c r="P447" i="138"/>
  <c r="P472" i="138" s="1"/>
  <c r="N532" i="138"/>
  <c r="N275" i="138"/>
  <c r="N304" i="138"/>
  <c r="I447" i="138"/>
  <c r="I472" i="138" s="1"/>
  <c r="N495" i="138"/>
  <c r="G525" i="138"/>
  <c r="G539" i="138"/>
  <c r="G243" i="138"/>
  <c r="N243" i="138"/>
  <c r="G250" i="138"/>
  <c r="N250" i="138"/>
  <c r="I310" i="138"/>
  <c r="J310" i="138"/>
  <c r="N267" i="138"/>
  <c r="G236" i="138"/>
  <c r="N229" i="138"/>
  <c r="G503" i="138" l="1"/>
  <c r="N503" i="138"/>
  <c r="K256" i="138"/>
  <c r="G305" i="138"/>
  <c r="N305" i="138"/>
  <c r="N540" i="138"/>
  <c r="G540" i="138"/>
  <c r="N251" i="138"/>
  <c r="G251" i="138"/>
  <c r="M211" i="138" l="1"/>
  <c r="K211" i="138"/>
  <c r="J211" i="138"/>
  <c r="I211" i="138"/>
  <c r="H211" i="138"/>
  <c r="F211" i="138"/>
  <c r="E211" i="138"/>
  <c r="D211" i="138"/>
  <c r="C211" i="138"/>
  <c r="M197" i="138"/>
  <c r="L197" i="138"/>
  <c r="K197" i="138"/>
  <c r="J197" i="138"/>
  <c r="H197" i="138"/>
  <c r="F197" i="138"/>
  <c r="E197" i="138"/>
  <c r="D197" i="138"/>
  <c r="C197" i="138"/>
  <c r="L190" i="138"/>
  <c r="K190" i="138"/>
  <c r="J190" i="138"/>
  <c r="I190" i="138"/>
  <c r="H190" i="138"/>
  <c r="F190" i="138"/>
  <c r="E190" i="138"/>
  <c r="D190" i="138"/>
  <c r="C190" i="138"/>
  <c r="C212" i="138" l="1"/>
  <c r="G190" i="138"/>
  <c r="G211" i="138"/>
  <c r="N197" i="138"/>
  <c r="N211" i="138"/>
  <c r="G197" i="138"/>
  <c r="N190" i="138"/>
  <c r="M190" i="138"/>
  <c r="L183" i="138"/>
  <c r="L212" i="138" s="1"/>
  <c r="K183" i="138"/>
  <c r="K212" i="138" s="1"/>
  <c r="J183" i="138"/>
  <c r="J212" i="138" s="1"/>
  <c r="J217" i="138" s="1"/>
  <c r="I183" i="138"/>
  <c r="I212" i="138" s="1"/>
  <c r="I217" i="138" s="1"/>
  <c r="H183" i="138"/>
  <c r="H212" i="138" s="1"/>
  <c r="H217" i="138" s="1"/>
  <c r="F183" i="138"/>
  <c r="F212" i="138" s="1"/>
  <c r="E183" i="138"/>
  <c r="E212" i="138" s="1"/>
  <c r="D183" i="138"/>
  <c r="D212" i="138" s="1"/>
  <c r="G11" i="138"/>
  <c r="G9" i="138"/>
  <c r="I218" i="138" l="1"/>
  <c r="H219" i="138"/>
  <c r="M183" i="138"/>
  <c r="M212" i="138" s="1"/>
  <c r="G183" i="138"/>
  <c r="G212" i="138" s="1"/>
  <c r="N183" i="138"/>
  <c r="N212" i="138" s="1"/>
  <c r="N30" i="138"/>
  <c r="M144" i="138"/>
  <c r="M158" i="138"/>
  <c r="M165" i="138"/>
  <c r="C165" i="138"/>
  <c r="L165" i="138"/>
  <c r="K165" i="138"/>
  <c r="J165" i="138"/>
  <c r="I165" i="138"/>
  <c r="H165" i="138"/>
  <c r="F165" i="138"/>
  <c r="E165" i="138"/>
  <c r="D165" i="138"/>
  <c r="K158" i="138"/>
  <c r="J158" i="138"/>
  <c r="I158" i="138"/>
  <c r="H158" i="138"/>
  <c r="F158" i="138"/>
  <c r="E158" i="138"/>
  <c r="D158" i="138"/>
  <c r="C158" i="138"/>
  <c r="L144" i="138"/>
  <c r="K144" i="138"/>
  <c r="J144" i="138"/>
  <c r="I144" i="138"/>
  <c r="H144" i="138"/>
  <c r="F144" i="138"/>
  <c r="E144" i="138"/>
  <c r="D144" i="138"/>
  <c r="M126" i="138"/>
  <c r="L126" i="138"/>
  <c r="K126" i="138"/>
  <c r="J126" i="138"/>
  <c r="I126" i="138"/>
  <c r="H126" i="138"/>
  <c r="F126" i="138"/>
  <c r="E126" i="138"/>
  <c r="D126" i="138"/>
  <c r="C126" i="138"/>
  <c r="L112" i="138"/>
  <c r="K112" i="138"/>
  <c r="J112" i="138"/>
  <c r="I112" i="138"/>
  <c r="H112" i="138"/>
  <c r="F112" i="138"/>
  <c r="E112" i="138"/>
  <c r="D112" i="138"/>
  <c r="C112" i="138"/>
  <c r="M105" i="138"/>
  <c r="K105" i="138"/>
  <c r="J105" i="138"/>
  <c r="I105" i="138"/>
  <c r="H105" i="138"/>
  <c r="F105" i="138"/>
  <c r="E105" i="138"/>
  <c r="D105" i="138"/>
  <c r="C105" i="138"/>
  <c r="F28" i="138"/>
  <c r="M36" i="138"/>
  <c r="L36" i="138"/>
  <c r="K36" i="138"/>
  <c r="J36" i="138"/>
  <c r="I36" i="138"/>
  <c r="H36" i="138"/>
  <c r="F36" i="138"/>
  <c r="E36" i="138"/>
  <c r="D36" i="138"/>
  <c r="M28" i="138"/>
  <c r="L28" i="138"/>
  <c r="K28" i="138"/>
  <c r="J28" i="138"/>
  <c r="I28" i="138"/>
  <c r="H28" i="138"/>
  <c r="E28" i="138"/>
  <c r="D28" i="138"/>
  <c r="N7" i="138"/>
  <c r="N9" i="138"/>
  <c r="N11" i="138"/>
  <c r="N29" i="138"/>
  <c r="N32" i="138"/>
  <c r="N35" i="138"/>
  <c r="N48" i="138"/>
  <c r="N49" i="138"/>
  <c r="N50" i="138"/>
  <c r="N53" i="138"/>
  <c r="N57" i="138"/>
  <c r="N58" i="138"/>
  <c r="N60" i="138"/>
  <c r="N61" i="138"/>
  <c r="N65" i="138"/>
  <c r="N66" i="138"/>
  <c r="N67" i="138"/>
  <c r="N68" i="138"/>
  <c r="N69" i="138"/>
  <c r="N81" i="138"/>
  <c r="N82" i="138"/>
  <c r="N83" i="138"/>
  <c r="N84" i="138"/>
  <c r="N85" i="138"/>
  <c r="N99" i="138"/>
  <c r="N100" i="138"/>
  <c r="N101" i="138"/>
  <c r="N102" i="138"/>
  <c r="N103" i="138"/>
  <c r="N104" i="138"/>
  <c r="G99" i="138"/>
  <c r="G100" i="138"/>
  <c r="N5" i="138"/>
  <c r="L20" i="138"/>
  <c r="M20" i="138"/>
  <c r="K20" i="138"/>
  <c r="J20" i="138"/>
  <c r="I20" i="138"/>
  <c r="H20" i="138"/>
  <c r="F20" i="138"/>
  <c r="E20" i="138"/>
  <c r="D20" i="138"/>
  <c r="C20" i="138"/>
  <c r="N87" i="138" l="1"/>
  <c r="N71" i="138"/>
  <c r="N63" i="138"/>
  <c r="N55" i="138"/>
  <c r="E127" i="138"/>
  <c r="J127" i="138"/>
  <c r="J132" i="138" s="1"/>
  <c r="H93" i="138"/>
  <c r="J93" i="138"/>
  <c r="I93" i="138"/>
  <c r="K127" i="138"/>
  <c r="C127" i="138"/>
  <c r="H127" i="138"/>
  <c r="H132" i="138" s="1"/>
  <c r="L127" i="138"/>
  <c r="F127" i="138"/>
  <c r="D127" i="138"/>
  <c r="I127" i="138"/>
  <c r="I132" i="138" s="1"/>
  <c r="N20" i="138"/>
  <c r="C37" i="138"/>
  <c r="G165" i="138"/>
  <c r="D37" i="138"/>
  <c r="G12" i="138"/>
  <c r="C166" i="138"/>
  <c r="N12" i="138"/>
  <c r="M112" i="138"/>
  <c r="M127" i="138" s="1"/>
  <c r="N158" i="138"/>
  <c r="F37" i="138"/>
  <c r="L37" i="138"/>
  <c r="F166" i="138"/>
  <c r="K166" i="138"/>
  <c r="M37" i="138"/>
  <c r="I37" i="138"/>
  <c r="I42" i="138" s="1"/>
  <c r="H166" i="138"/>
  <c r="H171" i="138" s="1"/>
  <c r="L166" i="138"/>
  <c r="H37" i="138"/>
  <c r="H42" i="138" s="1"/>
  <c r="J37" i="138"/>
  <c r="J42" i="138" s="1"/>
  <c r="D166" i="138"/>
  <c r="I166" i="138"/>
  <c r="I171" i="138" s="1"/>
  <c r="E37" i="138"/>
  <c r="N144" i="138"/>
  <c r="K37" i="138"/>
  <c r="E166" i="138"/>
  <c r="J166" i="138"/>
  <c r="J171" i="138" s="1"/>
  <c r="M166" i="138"/>
  <c r="N165" i="138"/>
  <c r="G158" i="138"/>
  <c r="G144" i="138"/>
  <c r="N126" i="138"/>
  <c r="G126" i="138"/>
  <c r="G112" i="138"/>
  <c r="N105" i="138"/>
  <c r="G105" i="138"/>
  <c r="G28" i="138"/>
  <c r="N36" i="138"/>
  <c r="G36" i="138"/>
  <c r="G20" i="138"/>
  <c r="N28" i="138"/>
  <c r="N88" i="138" l="1"/>
  <c r="G127" i="138"/>
  <c r="N127" i="138"/>
  <c r="H44" i="138"/>
  <c r="H173" i="138"/>
  <c r="I133" i="138"/>
  <c r="I43" i="138"/>
  <c r="I172" i="138"/>
  <c r="I94" i="138"/>
  <c r="H95" i="138"/>
  <c r="H134" i="138"/>
  <c r="G166" i="138"/>
  <c r="N166" i="138"/>
  <c r="G37" i="138"/>
  <c r="N37" i="138"/>
</calcChain>
</file>

<file path=xl/sharedStrings.xml><?xml version="1.0" encoding="utf-8"?>
<sst xmlns="http://schemas.openxmlformats.org/spreadsheetml/2006/main" count="5400" uniqueCount="242">
  <si>
    <t>TOTAL</t>
  </si>
  <si>
    <t>NAME</t>
  </si>
  <si>
    <t>PAYOUT</t>
  </si>
  <si>
    <t>P004</t>
  </si>
  <si>
    <t>Total:</t>
  </si>
  <si>
    <t>HENRY RENT</t>
  </si>
  <si>
    <t>D500</t>
  </si>
  <si>
    <t>Nikki (STD Bank):</t>
  </si>
  <si>
    <t>D200</t>
  </si>
  <si>
    <t>Danny (Corolla Insurance):</t>
  </si>
  <si>
    <t>D400</t>
  </si>
  <si>
    <t>MADALA MNISI</t>
  </si>
  <si>
    <t>JOSEPH MALALE</t>
  </si>
  <si>
    <t>HENRY STEYNBERG</t>
  </si>
  <si>
    <t>Dan Salary</t>
  </si>
  <si>
    <t>Leon Salary</t>
  </si>
  <si>
    <t>D300, D0LB, D302</t>
  </si>
  <si>
    <t>01</t>
  </si>
  <si>
    <t>03</t>
  </si>
  <si>
    <t>F002</t>
  </si>
  <si>
    <t>Patricia De Kok</t>
  </si>
  <si>
    <t>PAY WEEK</t>
  </si>
  <si>
    <t>BANK CODE</t>
  </si>
  <si>
    <t>PAY DATE</t>
  </si>
  <si>
    <t>DORA NTULO</t>
  </si>
  <si>
    <t>P001</t>
  </si>
  <si>
    <t>P003</t>
  </si>
  <si>
    <t>D300</t>
  </si>
  <si>
    <t>Leon (Tata Insurance):</t>
  </si>
  <si>
    <t>P020</t>
  </si>
  <si>
    <t>WILLIAM MAGOSO</t>
  </si>
  <si>
    <t>P005</t>
  </si>
  <si>
    <t>Juliana (Bakkie payment)</t>
  </si>
  <si>
    <t>D303</t>
  </si>
  <si>
    <t>Petro - Investment</t>
  </si>
  <si>
    <t>Petro - Living Assistance</t>
  </si>
  <si>
    <t>Petro - Home Loan</t>
  </si>
  <si>
    <t>02</t>
  </si>
  <si>
    <t>04</t>
  </si>
  <si>
    <t>Dan DSTV (to Nikki)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</si>
  <si>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</si>
  <si>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</si>
  <si>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</si>
  <si>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</si>
  <si>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</si>
  <si>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</si>
  <si>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</si>
  <si>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</si>
  <si>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</si>
  <si>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</si>
  <si>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</si>
  <si>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</si>
  <si>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</si>
  <si>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</si>
  <si>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</si>
  <si>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</si>
  <si>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BASIC</t>
  </si>
  <si>
    <t>O/TIME</t>
  </si>
  <si>
    <t>PENSION</t>
  </si>
  <si>
    <t>UIF</t>
  </si>
  <si>
    <t>TAX</t>
  </si>
  <si>
    <t>OTHER</t>
  </si>
  <si>
    <t>MEDICAL</t>
  </si>
  <si>
    <t>HENRY</t>
  </si>
  <si>
    <t>CODE</t>
  </si>
  <si>
    <t>W/ENDING</t>
  </si>
  <si>
    <t>TAX CREDIT</t>
  </si>
  <si>
    <t>NON-TAX</t>
  </si>
  <si>
    <t>PER</t>
  </si>
  <si>
    <t>P007</t>
  </si>
  <si>
    <t>DORA</t>
  </si>
  <si>
    <t>JOSEPH</t>
  </si>
  <si>
    <t>MADALA</t>
  </si>
  <si>
    <t>WILLIAM</t>
  </si>
  <si>
    <t>B + M</t>
  </si>
  <si>
    <t>21</t>
  </si>
  <si>
    <t>22</t>
  </si>
  <si>
    <t>23</t>
  </si>
  <si>
    <t>24</t>
  </si>
  <si>
    <t>P010</t>
  </si>
  <si>
    <t>JAMES SMITH</t>
  </si>
  <si>
    <t>26</t>
  </si>
  <si>
    <t>27</t>
  </si>
  <si>
    <t>28</t>
  </si>
  <si>
    <t>29</t>
  </si>
  <si>
    <t>30</t>
  </si>
  <si>
    <t>31</t>
  </si>
  <si>
    <t>MONTH</t>
  </si>
  <si>
    <t>TOTALS</t>
  </si>
  <si>
    <t>SALARIES</t>
  </si>
  <si>
    <t>TO EMP201</t>
  </si>
  <si>
    <t>JAMES</t>
  </si>
  <si>
    <t>P011</t>
  </si>
  <si>
    <t>RIAAN</t>
  </si>
  <si>
    <t>SHAUN</t>
  </si>
  <si>
    <t>P014</t>
  </si>
  <si>
    <t>DANNY</t>
  </si>
  <si>
    <t>LEON</t>
  </si>
  <si>
    <t>NICOLE</t>
  </si>
  <si>
    <t>25</t>
  </si>
  <si>
    <t>P015</t>
  </si>
  <si>
    <t>JACQUES</t>
  </si>
  <si>
    <t>P016</t>
  </si>
  <si>
    <t>JACQUES ENGELBRECHT</t>
  </si>
  <si>
    <t>DERRICK</t>
  </si>
  <si>
    <t>49</t>
  </si>
  <si>
    <t>50</t>
  </si>
  <si>
    <t>51</t>
  </si>
  <si>
    <t>52</t>
  </si>
  <si>
    <t>Juliana Repay</t>
  </si>
  <si>
    <t>MARCH 2020</t>
  </si>
  <si>
    <t>F003</t>
  </si>
  <si>
    <t>LD Geldenhuys</t>
  </si>
  <si>
    <t>202003</t>
  </si>
  <si>
    <t>APRIL 2020</t>
  </si>
  <si>
    <t>Dora owes R100 to Nikki</t>
  </si>
  <si>
    <t>ü</t>
  </si>
  <si>
    <t>MAY 2020</t>
  </si>
  <si>
    <t>202004</t>
  </si>
  <si>
    <t>202005</t>
  </si>
  <si>
    <t>Month 1</t>
  </si>
  <si>
    <t>5 weeks</t>
  </si>
  <si>
    <t>Leon</t>
  </si>
  <si>
    <t>Mont 2</t>
  </si>
  <si>
    <t>4 weeks</t>
  </si>
  <si>
    <t>Month 3</t>
  </si>
  <si>
    <t>4 Weeks</t>
  </si>
  <si>
    <t>UTP</t>
  </si>
  <si>
    <t>Jacques + Robert</t>
  </si>
  <si>
    <t>Advanced</t>
  </si>
  <si>
    <t>CASH</t>
  </si>
  <si>
    <t>BALANCE</t>
  </si>
  <si>
    <t>JUNE 2020</t>
  </si>
  <si>
    <t>Less R20 Tues</t>
  </si>
  <si>
    <t>4k</t>
  </si>
  <si>
    <t>Dan paid R5 k to each from BB Credit</t>
  </si>
  <si>
    <t>202006</t>
  </si>
  <si>
    <t>Henry Rent from week 15</t>
  </si>
  <si>
    <t>Thursday</t>
  </si>
  <si>
    <t>Friday</t>
  </si>
  <si>
    <t>3k</t>
  </si>
  <si>
    <t>JULY 2020</t>
  </si>
  <si>
    <t>202007</t>
  </si>
  <si>
    <t>AUGUST 2020</t>
  </si>
  <si>
    <t xml:space="preserve"> - R100 per week for R4000 loan</t>
  </si>
  <si>
    <t>û</t>
  </si>
  <si>
    <t>P017</t>
  </si>
  <si>
    <t>WYNAND BARNARD</t>
  </si>
  <si>
    <t>from last week</t>
  </si>
  <si>
    <t>to Danny for Alibaba purchase</t>
  </si>
  <si>
    <t>202008</t>
  </si>
  <si>
    <t>WYNAND</t>
  </si>
  <si>
    <t>to Dora</t>
  </si>
  <si>
    <t>SEPTEMBER 2020</t>
  </si>
  <si>
    <t>P018</t>
  </si>
  <si>
    <t>JACQUES ROODT</t>
  </si>
  <si>
    <t>R500 Loan</t>
  </si>
  <si>
    <t xml:space="preserve"> - R100 per week x 5 weeks</t>
  </si>
  <si>
    <t>SHAUN NTULO</t>
  </si>
  <si>
    <t>DERRICK VENTER</t>
  </si>
  <si>
    <t>32</t>
  </si>
  <si>
    <t>33</t>
  </si>
  <si>
    <t>34</t>
  </si>
  <si>
    <t>35</t>
  </si>
  <si>
    <t>P019</t>
  </si>
  <si>
    <t>202009</t>
  </si>
  <si>
    <t>JACO GROENEWALD</t>
  </si>
  <si>
    <t>RIAAN DE RUYTER</t>
  </si>
  <si>
    <t>R600 LOAN - 300 per week</t>
  </si>
  <si>
    <t>202010</t>
  </si>
  <si>
    <t>JACO</t>
  </si>
  <si>
    <t>To deduct less Thursday 22/10 to Danielle school</t>
  </si>
  <si>
    <t>Less Thursday 29/10 not worked</t>
  </si>
  <si>
    <t>NOVEMBER 2020</t>
  </si>
  <si>
    <t>OCTOBER 2020</t>
  </si>
  <si>
    <t>36</t>
  </si>
  <si>
    <t>37</t>
  </si>
  <si>
    <t>38</t>
  </si>
  <si>
    <t>39</t>
  </si>
  <si>
    <t>cash</t>
  </si>
  <si>
    <t>R 500 loan from next week - R200 cash, R300 eft</t>
  </si>
  <si>
    <t>202011</t>
  </si>
  <si>
    <t>DECEMBER 2020</t>
  </si>
  <si>
    <t>40</t>
  </si>
  <si>
    <t>41</t>
  </si>
  <si>
    <t>202012</t>
  </si>
  <si>
    <t>WAGE RATE</t>
  </si>
  <si>
    <t>SHIFTS WRKD</t>
  </si>
  <si>
    <t>BONUS</t>
  </si>
  <si>
    <t>LEAVE</t>
  </si>
  <si>
    <t>NORMAL WEEKS WAGES</t>
  </si>
  <si>
    <t>Start date</t>
  </si>
  <si>
    <t>days off</t>
  </si>
  <si>
    <t>End date</t>
  </si>
  <si>
    <t>DL Geldenhuys</t>
  </si>
  <si>
    <t>LB Geldenhuys</t>
  </si>
  <si>
    <t>NL Potgieter</t>
  </si>
  <si>
    <t>END DECEMBER</t>
  </si>
  <si>
    <t>TOTAL :</t>
  </si>
  <si>
    <t>JANUARY 2021</t>
  </si>
  <si>
    <t>42</t>
  </si>
  <si>
    <t>43</t>
  </si>
  <si>
    <t>44</t>
  </si>
  <si>
    <t>45</t>
  </si>
  <si>
    <t>46</t>
  </si>
  <si>
    <t>47</t>
  </si>
  <si>
    <t>48</t>
  </si>
  <si>
    <t>LEAVE RENT / OT / LOAN</t>
  </si>
  <si>
    <t>2020/09/30</t>
  </si>
  <si>
    <t>not returning</t>
  </si>
  <si>
    <t>Returning</t>
  </si>
  <si>
    <t>THURSDAY</t>
  </si>
  <si>
    <t>FRIDAY</t>
  </si>
  <si>
    <t>SATURDAY</t>
  </si>
  <si>
    <t>BONUSES AND LEAVE PAY</t>
  </si>
  <si>
    <t>Leave week 1</t>
  </si>
  <si>
    <t>Leave week 2</t>
  </si>
  <si>
    <t>Leave week 3</t>
  </si>
  <si>
    <t>Open 11 Jan 2021</t>
  </si>
  <si>
    <t>+ rent + medical aid</t>
  </si>
  <si>
    <t>Management Bonuses</t>
  </si>
  <si>
    <t>202101</t>
  </si>
  <si>
    <t>Loan</t>
  </si>
  <si>
    <t>per week</t>
  </si>
  <si>
    <t>then R200 per month</t>
  </si>
  <si>
    <t>FEBRUARY 2021</t>
  </si>
  <si>
    <t>202102</t>
  </si>
  <si>
    <t>EMP201</t>
  </si>
  <si>
    <t>EMP501</t>
  </si>
  <si>
    <t>3810 + 4474</t>
  </si>
  <si>
    <t>EMPLOY. PERIOD</t>
  </si>
  <si>
    <t>TOTAL INCOME</t>
  </si>
  <si>
    <t>TOTAL MEDICAL</t>
  </si>
  <si>
    <t>TAX TOTAL</t>
  </si>
  <si>
    <t>COIDA</t>
  </si>
  <si>
    <t>Month</t>
  </si>
  <si>
    <t>No of employees</t>
  </si>
  <si>
    <t>No of management</t>
  </si>
  <si>
    <t>Earnings</t>
  </si>
  <si>
    <t>AVERAGE</t>
  </si>
  <si>
    <t>EMPLOYEE NO</t>
  </si>
  <si>
    <t>UIF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</si>
</sst>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[$$-C09]#,##0"/>
    <numFmt numFmtId="165" formatCode="_ * #,##0_ ;_ * \-#,##0_ ;_ * &quot;-&quot;??_ ;_ @_ "/>
  </numFmts>
  <fonts count="3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8"/>
      <color indexed="2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9"/>
      <color indexed="1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36"/>
      <color theme="4" tint="0.59999389629810485"/>
      <name val="Arial"/>
      <family val="2"/>
    </font>
    <font>
      <b/>
      <sz val="16"/>
      <color theme="0" tint="-0.499984740745262"/>
      <name val="Arial"/>
      <family val="2"/>
    </font>
    <font>
      <i/>
      <sz val="22"/>
      <color indexed="8"/>
      <name val="Arial Black"/>
      <family val="2"/>
    </font>
    <font>
      <sz val="10"/>
      <name val="Wingdings"/>
      <charset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18"/>
      <color theme="8" tint="-0.249977111117893"/>
      <name val="Arial"/>
      <family val="2"/>
    </font>
    <font>
      <b/>
      <i/>
      <u/>
      <sz val="1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sz val="10"/>
      <color rgb="FFFF0000"/>
      <name val="Wingdings"/>
      <charset val="2"/>
    </font>
    <font>
      <b/>
      <i/>
      <sz val="22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gray0625">
        <fgColor theme="4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164" fontId="0" fillId="0" borderId="0"/>
    <xf numFmtId="44" fontId="1" fillId="0" borderId="0" applyFont="0" applyFill="0" applyBorder="0" applyAlignment="0" applyProtection="0"/>
    <xf numFmtId="164" fontId="1" fillId="0" borderId="0"/>
    <xf numFmtId="164" fontId="2" fillId="0" borderId="0"/>
    <xf numFmtId="164" fontId="2" fillId="0" borderId="0"/>
    <xf numFmtId="43" fontId="11" fillId="0" borderId="0" applyFont="0" applyFill="0" applyBorder="0" applyAlignment="0" applyProtection="0"/>
  </cellStyleXfs>
  <cellXfs count="455">
    <xf numFmtId="164" fontId="0" fillId="0" borderId="0" xfId="0"/>
    <xf numFmtId="164" fontId="2" fillId="0" borderId="0" xfId="3"/>
    <xf numFmtId="164" fontId="3" fillId="0" borderId="0" xfId="3" applyFont="1" applyFill="1" applyBorder="1" applyAlignment="1">
      <alignment horizontal="center"/>
    </xf>
    <xf numFmtId="15" fontId="5" fillId="0" borderId="0" xfId="2" applyNumberFormat="1" applyFont="1" applyBorder="1"/>
    <xf numFmtId="164" fontId="1" fillId="0" borderId="0" xfId="2" applyBorder="1"/>
    <xf numFmtId="164" fontId="1" fillId="0" borderId="0" xfId="2"/>
    <xf numFmtId="164" fontId="1" fillId="0" borderId="0" xfId="2" applyAlignment="1">
      <alignment vertical="center"/>
    </xf>
    <xf numFmtId="164" fontId="7" fillId="0" borderId="0" xfId="2" applyFont="1" applyAlignment="1">
      <alignment horizontal="center"/>
    </xf>
    <xf numFmtId="164" fontId="5" fillId="0" borderId="0" xfId="2" applyFont="1"/>
    <xf numFmtId="164" fontId="5" fillId="0" borderId="0" xfId="2" applyFont="1" applyAlignment="1">
      <alignment horizontal="center"/>
    </xf>
    <xf numFmtId="164" fontId="6" fillId="0" borderId="0" xfId="2" applyFont="1" applyBorder="1" applyAlignment="1">
      <alignment horizontal="center"/>
    </xf>
    <xf numFmtId="164" fontId="1" fillId="0" borderId="0" xfId="2" applyAlignment="1">
      <alignment horizontal="center"/>
    </xf>
    <xf numFmtId="4" fontId="7" fillId="0" borderId="0" xfId="2" applyNumberFormat="1" applyFont="1" applyBorder="1"/>
    <xf numFmtId="164" fontId="1" fillId="0" borderId="5" xfId="2" applyFont="1" applyBorder="1" applyAlignment="1">
      <alignment horizontal="center"/>
    </xf>
    <xf numFmtId="164" fontId="6" fillId="0" borderId="0" xfId="2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left" vertical="center"/>
    </xf>
    <xf numFmtId="164" fontId="1" fillId="0" borderId="5" xfId="2" applyFont="1" applyBorder="1"/>
    <xf numFmtId="164" fontId="3" fillId="0" borderId="0" xfId="3" quotePrefix="1" applyFont="1" applyFill="1" applyBorder="1" applyAlignment="1">
      <alignment horizontal="center"/>
    </xf>
    <xf numFmtId="164" fontId="1" fillId="0" borderId="4" xfId="2" applyFont="1" applyBorder="1" applyAlignment="1">
      <alignment horizontal="center"/>
    </xf>
    <xf numFmtId="164" fontId="1" fillId="0" borderId="4" xfId="2" applyFont="1" applyBorder="1"/>
    <xf numFmtId="164" fontId="12" fillId="0" borderId="0" xfId="2" applyFont="1" applyBorder="1" applyAlignment="1">
      <alignment horizontal="right" vertical="center"/>
    </xf>
    <xf numFmtId="164" fontId="7" fillId="0" borderId="0" xfId="2" applyFont="1" applyBorder="1" applyAlignment="1">
      <alignment horizontal="center"/>
    </xf>
    <xf numFmtId="164" fontId="1" fillId="0" borderId="6" xfId="2" applyFont="1" applyBorder="1"/>
    <xf numFmtId="164" fontId="7" fillId="0" borderId="3" xfId="2" applyFont="1" applyBorder="1" applyAlignment="1">
      <alignment horizontal="center"/>
    </xf>
    <xf numFmtId="164" fontId="1" fillId="2" borderId="0" xfId="2" applyFill="1"/>
    <xf numFmtId="164" fontId="6" fillId="2" borderId="0" xfId="2" applyFont="1" applyFill="1" applyBorder="1" applyAlignment="1">
      <alignment horizontal="center"/>
    </xf>
    <xf numFmtId="164" fontId="6" fillId="2" borderId="0" xfId="2" applyFont="1" applyFill="1" applyBorder="1"/>
    <xf numFmtId="4" fontId="7" fillId="2" borderId="0" xfId="2" applyNumberFormat="1" applyFont="1" applyFill="1" applyBorder="1"/>
    <xf numFmtId="164" fontId="8" fillId="0" borderId="0" xfId="2" applyFont="1" applyBorder="1" applyAlignment="1">
      <alignment horizontal="right" indent="1"/>
    </xf>
    <xf numFmtId="43" fontId="2" fillId="0" borderId="7" xfId="5" applyFont="1" applyFill="1" applyBorder="1" applyAlignment="1">
      <alignment horizontal="right"/>
    </xf>
    <xf numFmtId="43" fontId="6" fillId="0" borderId="2" xfId="5" applyFont="1" applyBorder="1"/>
    <xf numFmtId="43" fontId="1" fillId="0" borderId="0" xfId="1" applyNumberFormat="1" applyFont="1" applyBorder="1" applyAlignment="1">
      <alignment vertical="center"/>
    </xf>
    <xf numFmtId="43" fontId="1" fillId="0" borderId="8" xfId="1" applyNumberFormat="1" applyFont="1" applyBorder="1" applyAlignment="1">
      <alignment vertical="center"/>
    </xf>
    <xf numFmtId="164" fontId="14" fillId="0" borderId="0" xfId="2" applyFont="1" applyBorder="1" applyAlignment="1">
      <alignment horizontal="left" vertical="center" indent="1"/>
    </xf>
    <xf numFmtId="2" fontId="8" fillId="0" borderId="0" xfId="2" applyNumberFormat="1" applyFont="1" applyBorder="1" applyAlignment="1">
      <alignment horizontal="right" vertical="center" indent="1"/>
    </xf>
    <xf numFmtId="44" fontId="6" fillId="0" borderId="1" xfId="1" applyFont="1" applyBorder="1" applyAlignment="1">
      <alignment horizontal="center" vertical="center"/>
    </xf>
    <xf numFmtId="164" fontId="1" fillId="0" borderId="6" xfId="2" applyFont="1" applyBorder="1" applyAlignment="1">
      <alignment horizontal="center"/>
    </xf>
    <xf numFmtId="44" fontId="1" fillId="0" borderId="0" xfId="1" applyFont="1" applyBorder="1" applyAlignment="1">
      <alignment horizontal="center" vertical="center"/>
    </xf>
    <xf numFmtId="164" fontId="13" fillId="0" borderId="0" xfId="2" quotePrefix="1" applyFont="1" applyAlignment="1">
      <alignment horizontal="center" vertical="center"/>
    </xf>
    <xf numFmtId="164" fontId="14" fillId="0" borderId="0" xfId="2" quotePrefix="1" applyFont="1" applyBorder="1" applyAlignment="1">
      <alignment horizontal="left" vertical="center" indent="1"/>
    </xf>
    <xf numFmtId="164" fontId="1" fillId="0" borderId="11" xfId="2" applyFont="1" applyBorder="1"/>
    <xf numFmtId="164" fontId="1" fillId="0" borderId="9" xfId="2" applyFont="1" applyBorder="1"/>
    <xf numFmtId="164" fontId="1" fillId="0" borderId="10" xfId="2" applyFont="1" applyBorder="1"/>
    <xf numFmtId="43" fontId="16" fillId="0" borderId="0" xfId="1" applyNumberFormat="1" applyFont="1" applyBorder="1" applyAlignment="1">
      <alignment horizontal="right" vertical="center" indent="3"/>
    </xf>
    <xf numFmtId="164" fontId="6" fillId="0" borderId="3" xfId="2" applyFont="1" applyBorder="1" applyAlignment="1">
      <alignment horizontal="center"/>
    </xf>
    <xf numFmtId="43" fontId="1" fillId="0" borderId="0" xfId="5" applyFont="1"/>
    <xf numFmtId="164" fontId="1" fillId="0" borderId="3" xfId="2" applyFont="1" applyBorder="1" applyAlignment="1">
      <alignment horizontal="center"/>
    </xf>
    <xf numFmtId="164" fontId="1" fillId="0" borderId="3" xfId="2" applyFont="1" applyBorder="1" applyAlignment="1">
      <alignment horizontal="left"/>
    </xf>
    <xf numFmtId="164" fontId="1" fillId="0" borderId="12" xfId="2" applyFont="1" applyBorder="1" applyAlignment="1">
      <alignment horizontal="left"/>
    </xf>
    <xf numFmtId="43" fontId="2" fillId="0" borderId="2" xfId="5" applyFont="1" applyFill="1" applyBorder="1" applyAlignment="1">
      <alignment horizontal="right"/>
    </xf>
    <xf numFmtId="164" fontId="1" fillId="0" borderId="13" xfId="2" applyFont="1" applyBorder="1"/>
    <xf numFmtId="43" fontId="16" fillId="0" borderId="0" xfId="1" applyNumberFormat="1" applyFont="1" applyBorder="1" applyAlignment="1">
      <alignment horizontal="center" vertical="center"/>
    </xf>
    <xf numFmtId="43" fontId="6" fillId="0" borderId="0" xfId="5" applyFont="1" applyBorder="1"/>
    <xf numFmtId="43" fontId="7" fillId="2" borderId="0" xfId="5" applyFont="1" applyFill="1" applyBorder="1"/>
    <xf numFmtId="43" fontId="7" fillId="0" borderId="0" xfId="5" applyFont="1" applyBorder="1"/>
    <xf numFmtId="43" fontId="4" fillId="0" borderId="0" xfId="5" applyFont="1" applyAlignment="1">
      <alignment horizontal="center"/>
    </xf>
    <xf numFmtId="43" fontId="1" fillId="0" borderId="0" xfId="5" applyFont="1" applyAlignment="1">
      <alignment horizontal="left" indent="1"/>
    </xf>
    <xf numFmtId="43" fontId="10" fillId="0" borderId="0" xfId="5" quotePrefix="1" applyFont="1"/>
    <xf numFmtId="43" fontId="10" fillId="0" borderId="0" xfId="5" quotePrefix="1" applyFont="1" applyBorder="1"/>
    <xf numFmtId="43" fontId="1" fillId="0" borderId="0" xfId="5" quotePrefix="1" applyFont="1" applyAlignment="1">
      <alignment horizontal="left" indent="1"/>
    </xf>
    <xf numFmtId="43" fontId="6" fillId="0" borderId="0" xfId="5" applyFont="1" applyBorder="1" applyAlignment="1">
      <alignment horizontal="center" vertical="center"/>
    </xf>
    <xf numFmtId="43" fontId="6" fillId="0" borderId="0" xfId="5" applyFont="1" applyBorder="1" applyAlignment="1">
      <alignment horizontal="right" vertical="center"/>
    </xf>
    <xf numFmtId="43" fontId="9" fillId="0" borderId="0" xfId="5" applyFont="1" applyBorder="1" applyAlignment="1">
      <alignment vertical="center"/>
    </xf>
    <xf numFmtId="43" fontId="5" fillId="0" borderId="0" xfId="5" applyFont="1"/>
    <xf numFmtId="43" fontId="6" fillId="0" borderId="0" xfId="5" applyFont="1" applyBorder="1" applyAlignment="1">
      <alignment horizontal="left"/>
    </xf>
    <xf numFmtId="43" fontId="17" fillId="0" borderId="0" xfId="5" applyFont="1"/>
    <xf numFmtId="43" fontId="1" fillId="0" borderId="9" xfId="5" applyFont="1" applyFill="1" applyBorder="1" applyAlignment="1">
      <alignment horizontal="right"/>
    </xf>
    <xf numFmtId="43" fontId="1" fillId="0" borderId="10" xfId="5" applyFont="1" applyFill="1" applyBorder="1" applyAlignment="1">
      <alignment horizontal="right"/>
    </xf>
    <xf numFmtId="164" fontId="1" fillId="0" borderId="14" xfId="2" applyFont="1" applyBorder="1" applyAlignment="1">
      <alignment horizontal="center"/>
    </xf>
    <xf numFmtId="164" fontId="1" fillId="0" borderId="15" xfId="2" applyFont="1" applyBorder="1"/>
    <xf numFmtId="43" fontId="1" fillId="0" borderId="15" xfId="5" applyFont="1" applyFill="1" applyBorder="1" applyAlignment="1">
      <alignment horizontal="right"/>
    </xf>
    <xf numFmtId="164" fontId="1" fillId="0" borderId="16" xfId="2" applyFont="1" applyBorder="1" applyAlignment="1">
      <alignment horizontal="center"/>
    </xf>
    <xf numFmtId="164" fontId="1" fillId="0" borderId="14" xfId="2" applyFont="1" applyBorder="1"/>
    <xf numFmtId="164" fontId="1" fillId="0" borderId="16" xfId="2" applyFont="1" applyBorder="1"/>
    <xf numFmtId="164" fontId="1" fillId="0" borderId="1" xfId="2" applyFont="1" applyBorder="1" applyAlignment="1">
      <alignment horizontal="center"/>
    </xf>
    <xf numFmtId="164" fontId="1" fillId="0" borderId="17" xfId="2" applyFont="1" applyBorder="1" applyAlignment="1"/>
    <xf numFmtId="43" fontId="2" fillId="0" borderId="18" xfId="5" applyFont="1" applyFill="1" applyBorder="1" applyAlignment="1">
      <alignment horizontal="right"/>
    </xf>
    <xf numFmtId="164" fontId="18" fillId="0" borderId="0" xfId="0" applyFont="1"/>
    <xf numFmtId="164" fontId="19" fillId="0" borderId="0" xfId="0" applyFont="1" applyAlignment="1">
      <alignment horizontal="center" vertical="center"/>
    </xf>
    <xf numFmtId="164" fontId="18" fillId="0" borderId="0" xfId="0" applyFont="1" applyAlignment="1">
      <alignment horizontal="center"/>
    </xf>
    <xf numFmtId="164" fontId="18" fillId="0" borderId="20" xfId="0" applyFont="1" applyBorder="1" applyAlignment="1">
      <alignment horizontal="center"/>
    </xf>
    <xf numFmtId="164" fontId="18" fillId="0" borderId="20" xfId="0" applyFont="1" applyBorder="1"/>
    <xf numFmtId="164" fontId="18" fillId="0" borderId="21" xfId="0" applyFont="1" applyBorder="1" applyAlignment="1">
      <alignment horizontal="center"/>
    </xf>
    <xf numFmtId="164" fontId="18" fillId="0" borderId="21" xfId="0" applyFont="1" applyBorder="1"/>
    <xf numFmtId="164" fontId="19" fillId="0" borderId="22" xfId="0" applyFont="1" applyBorder="1" applyAlignment="1">
      <alignment horizontal="center" vertical="center"/>
    </xf>
    <xf numFmtId="164" fontId="19" fillId="0" borderId="23" xfId="2" applyFont="1" applyBorder="1" applyAlignment="1">
      <alignment horizontal="center" vertical="center"/>
    </xf>
    <xf numFmtId="43" fontId="19" fillId="0" borderId="23" xfId="5" applyFont="1" applyBorder="1" applyAlignment="1">
      <alignment horizontal="center" vertical="center"/>
    </xf>
    <xf numFmtId="43" fontId="18" fillId="0" borderId="21" xfId="5" applyFont="1" applyBorder="1"/>
    <xf numFmtId="43" fontId="18" fillId="0" borderId="20" xfId="5" applyFont="1" applyBorder="1"/>
    <xf numFmtId="43" fontId="18" fillId="0" borderId="0" xfId="5" applyFont="1"/>
    <xf numFmtId="49" fontId="18" fillId="0" borderId="0" xfId="0" applyNumberFormat="1" applyFont="1" applyAlignment="1">
      <alignment horizontal="center"/>
    </xf>
    <xf numFmtId="14" fontId="19" fillId="0" borderId="23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164" fontId="19" fillId="0" borderId="0" xfId="0" applyFont="1"/>
    <xf numFmtId="43" fontId="18" fillId="0" borderId="27" xfId="5" applyFont="1" applyBorder="1"/>
    <xf numFmtId="43" fontId="18" fillId="0" borderId="30" xfId="5" applyFont="1" applyBorder="1"/>
    <xf numFmtId="14" fontId="18" fillId="0" borderId="0" xfId="0" applyNumberFormat="1" applyFont="1" applyAlignment="1">
      <alignment horizontal="center" vertical="center"/>
    </xf>
    <xf numFmtId="14" fontId="18" fillId="0" borderId="21" xfId="0" applyNumberFormat="1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/>
    </xf>
    <xf numFmtId="49" fontId="18" fillId="3" borderId="21" xfId="0" quotePrefix="1" applyNumberFormat="1" applyFont="1" applyFill="1" applyBorder="1" applyAlignment="1">
      <alignment horizontal="center"/>
    </xf>
    <xf numFmtId="43" fontId="19" fillId="3" borderId="22" xfId="5" applyFont="1" applyFill="1" applyBorder="1"/>
    <xf numFmtId="49" fontId="18" fillId="4" borderId="28" xfId="0" applyNumberFormat="1" applyFont="1" applyFill="1" applyBorder="1" applyAlignment="1">
      <alignment horizontal="center"/>
    </xf>
    <xf numFmtId="49" fontId="18" fillId="4" borderId="29" xfId="0" applyNumberFormat="1" applyFont="1" applyFill="1" applyBorder="1" applyAlignment="1">
      <alignment horizontal="center"/>
    </xf>
    <xf numFmtId="49" fontId="18" fillId="4" borderId="31" xfId="0" applyNumberFormat="1" applyFont="1" applyFill="1" applyBorder="1" applyAlignment="1">
      <alignment horizontal="center"/>
    </xf>
    <xf numFmtId="43" fontId="19" fillId="4" borderId="22" xfId="5" applyFont="1" applyFill="1" applyBorder="1"/>
    <xf numFmtId="43" fontId="19" fillId="4" borderId="23" xfId="5" applyFont="1" applyFill="1" applyBorder="1"/>
    <xf numFmtId="43" fontId="19" fillId="4" borderId="30" xfId="5" applyFont="1" applyFill="1" applyBorder="1"/>
    <xf numFmtId="49" fontId="18" fillId="6" borderId="21" xfId="0" applyNumberFormat="1" applyFont="1" applyFill="1" applyBorder="1" applyAlignment="1">
      <alignment horizontal="center"/>
    </xf>
    <xf numFmtId="43" fontId="19" fillId="6" borderId="22" xfId="5" applyFont="1" applyFill="1" applyBorder="1"/>
    <xf numFmtId="43" fontId="19" fillId="6" borderId="23" xfId="5" applyFont="1" applyFill="1" applyBorder="1"/>
    <xf numFmtId="49" fontId="18" fillId="7" borderId="28" xfId="0" applyNumberFormat="1" applyFont="1" applyFill="1" applyBorder="1" applyAlignment="1">
      <alignment horizontal="center"/>
    </xf>
    <xf numFmtId="49" fontId="18" fillId="7" borderId="29" xfId="0" applyNumberFormat="1" applyFont="1" applyFill="1" applyBorder="1" applyAlignment="1">
      <alignment horizontal="center"/>
    </xf>
    <xf numFmtId="43" fontId="19" fillId="7" borderId="22" xfId="5" applyFont="1" applyFill="1" applyBorder="1"/>
    <xf numFmtId="43" fontId="19" fillId="7" borderId="23" xfId="5" applyFont="1" applyFill="1" applyBorder="1"/>
    <xf numFmtId="49" fontId="18" fillId="4" borderId="34" xfId="0" applyNumberFormat="1" applyFont="1" applyFill="1" applyBorder="1" applyAlignment="1">
      <alignment horizontal="center"/>
    </xf>
    <xf numFmtId="49" fontId="18" fillId="4" borderId="35" xfId="0" applyNumberFormat="1" applyFont="1" applyFill="1" applyBorder="1" applyAlignment="1">
      <alignment horizontal="center"/>
    </xf>
    <xf numFmtId="43" fontId="19" fillId="5" borderId="22" xfId="5" applyFont="1" applyFill="1" applyBorder="1"/>
    <xf numFmtId="49" fontId="18" fillId="6" borderId="20" xfId="0" applyNumberFormat="1" applyFont="1" applyFill="1" applyBorder="1" applyAlignment="1">
      <alignment horizontal="center"/>
    </xf>
    <xf numFmtId="49" fontId="18" fillId="7" borderId="20" xfId="0" applyNumberFormat="1" applyFont="1" applyFill="1" applyBorder="1" applyAlignment="1">
      <alignment horizontal="center"/>
    </xf>
    <xf numFmtId="49" fontId="18" fillId="8" borderId="20" xfId="0" applyNumberFormat="1" applyFont="1" applyFill="1" applyBorder="1" applyAlignment="1">
      <alignment horizontal="center"/>
    </xf>
    <xf numFmtId="43" fontId="19" fillId="8" borderId="22" xfId="5" applyFont="1" applyFill="1" applyBorder="1"/>
    <xf numFmtId="49" fontId="18" fillId="4" borderId="20" xfId="0" applyNumberFormat="1" applyFont="1" applyFill="1" applyBorder="1" applyAlignment="1">
      <alignment horizontal="center"/>
    </xf>
    <xf numFmtId="49" fontId="18" fillId="5" borderId="20" xfId="0" applyNumberFormat="1" applyFont="1" applyFill="1" applyBorder="1" applyAlignment="1">
      <alignment horizontal="center"/>
    </xf>
    <xf numFmtId="49" fontId="18" fillId="3" borderId="20" xfId="0" applyNumberFormat="1" applyFont="1" applyFill="1" applyBorder="1" applyAlignment="1">
      <alignment horizontal="center"/>
    </xf>
    <xf numFmtId="43" fontId="17" fillId="0" borderId="0" xfId="5" quotePrefix="1" applyFont="1"/>
    <xf numFmtId="164" fontId="1" fillId="0" borderId="0" xfId="2" quotePrefix="1"/>
    <xf numFmtId="164" fontId="4" fillId="0" borderId="0" xfId="2" applyFont="1" applyAlignment="1">
      <alignment horizontal="center"/>
    </xf>
    <xf numFmtId="164" fontId="19" fillId="0" borderId="0" xfId="0" applyFont="1" applyFill="1" applyBorder="1" applyAlignment="1">
      <alignment horizontal="center"/>
    </xf>
    <xf numFmtId="14" fontId="19" fillId="0" borderId="0" xfId="0" applyNumberFormat="1" applyFont="1" applyFill="1" applyBorder="1" applyAlignment="1">
      <alignment horizontal="center"/>
    </xf>
    <xf numFmtId="164" fontId="19" fillId="0" borderId="0" xfId="0" applyFont="1" applyFill="1"/>
    <xf numFmtId="164" fontId="18" fillId="0" borderId="0" xfId="0" quotePrefix="1" applyFont="1" applyAlignment="1">
      <alignment horizontal="center"/>
    </xf>
    <xf numFmtId="164" fontId="19" fillId="0" borderId="0" xfId="0" applyFont="1" applyAlignment="1">
      <alignment horizontal="center"/>
    </xf>
    <xf numFmtId="164" fontId="19" fillId="0" borderId="0" xfId="0" applyFont="1" applyFill="1" applyAlignment="1">
      <alignment horizontal="center"/>
    </xf>
    <xf numFmtId="164" fontId="19" fillId="0" borderId="1" xfId="0" applyFont="1" applyBorder="1" applyAlignment="1">
      <alignment horizontal="center" vertical="center"/>
    </xf>
    <xf numFmtId="49" fontId="18" fillId="9" borderId="28" xfId="0" applyNumberFormat="1" applyFont="1" applyFill="1" applyBorder="1" applyAlignment="1">
      <alignment horizontal="center"/>
    </xf>
    <xf numFmtId="49" fontId="18" fillId="9" borderId="35" xfId="0" applyNumberFormat="1" applyFont="1" applyFill="1" applyBorder="1" applyAlignment="1">
      <alignment horizontal="center"/>
    </xf>
    <xf numFmtId="43" fontId="18" fillId="0" borderId="37" xfId="5" applyFont="1" applyBorder="1"/>
    <xf numFmtId="164" fontId="21" fillId="0" borderId="0" xfId="0" applyFont="1" applyFill="1" applyAlignment="1">
      <alignment horizontal="center"/>
    </xf>
    <xf numFmtId="164" fontId="21" fillId="0" borderId="0" xfId="0" applyFont="1" applyFill="1"/>
    <xf numFmtId="43" fontId="19" fillId="0" borderId="0" xfId="5" applyFont="1" applyFill="1" applyBorder="1"/>
    <xf numFmtId="164" fontId="19" fillId="0" borderId="0" xfId="0" applyFont="1" applyFill="1" applyBorder="1"/>
    <xf numFmtId="164" fontId="19" fillId="0" borderId="0" xfId="0" quotePrefix="1" applyFont="1" applyFill="1" applyAlignment="1">
      <alignment horizontal="center"/>
    </xf>
    <xf numFmtId="14" fontId="21" fillId="0" borderId="38" xfId="0" applyNumberFormat="1" applyFont="1" applyFill="1" applyBorder="1" applyAlignment="1">
      <alignment horizontal="center"/>
    </xf>
    <xf numFmtId="43" fontId="19" fillId="0" borderId="37" xfId="5" applyFont="1" applyFill="1" applyBorder="1"/>
    <xf numFmtId="164" fontId="21" fillId="0" borderId="0" xfId="0" applyFont="1" applyFill="1" applyBorder="1" applyAlignment="1">
      <alignment horizontal="center"/>
    </xf>
    <xf numFmtId="43" fontId="19" fillId="0" borderId="36" xfId="5" applyFont="1" applyFill="1" applyBorder="1"/>
    <xf numFmtId="43" fontId="19" fillId="0" borderId="12" xfId="5" applyFont="1" applyFill="1" applyBorder="1"/>
    <xf numFmtId="49" fontId="18" fillId="11" borderId="20" xfId="0" applyNumberFormat="1" applyFont="1" applyFill="1" applyBorder="1" applyAlignment="1">
      <alignment horizontal="center"/>
    </xf>
    <xf numFmtId="43" fontId="19" fillId="11" borderId="22" xfId="5" applyFont="1" applyFill="1" applyBorder="1"/>
    <xf numFmtId="49" fontId="18" fillId="12" borderId="20" xfId="0" applyNumberFormat="1" applyFont="1" applyFill="1" applyBorder="1" applyAlignment="1">
      <alignment horizontal="center"/>
    </xf>
    <xf numFmtId="43" fontId="19" fillId="12" borderId="22" xfId="5" applyFont="1" applyFill="1" applyBorder="1"/>
    <xf numFmtId="164" fontId="21" fillId="0" borderId="0" xfId="0" applyFont="1" applyFill="1" applyBorder="1" applyAlignment="1">
      <alignment horizontal="center"/>
    </xf>
    <xf numFmtId="164" fontId="21" fillId="0" borderId="0" xfId="0" applyFont="1" applyFill="1" applyBorder="1" applyAlignment="1">
      <alignment horizontal="center"/>
    </xf>
    <xf numFmtId="43" fontId="21" fillId="0" borderId="22" xfId="5" applyFont="1" applyFill="1" applyBorder="1"/>
    <xf numFmtId="43" fontId="21" fillId="0" borderId="41" xfId="5" applyFont="1" applyFill="1" applyBorder="1"/>
    <xf numFmtId="43" fontId="21" fillId="0" borderId="33" xfId="5" applyFont="1" applyFill="1" applyBorder="1"/>
    <xf numFmtId="43" fontId="19" fillId="0" borderId="22" xfId="5" applyFont="1" applyFill="1" applyBorder="1"/>
    <xf numFmtId="164" fontId="18" fillId="0" borderId="20" xfId="0" applyFont="1" applyFill="1" applyBorder="1" applyAlignment="1">
      <alignment horizontal="center"/>
    </xf>
    <xf numFmtId="43" fontId="18" fillId="0" borderId="21" xfId="5" applyFont="1" applyFill="1" applyBorder="1"/>
    <xf numFmtId="164" fontId="18" fillId="0" borderId="0" xfId="0" applyFont="1" applyFill="1" applyAlignment="1">
      <alignment horizontal="center"/>
    </xf>
    <xf numFmtId="164" fontId="18" fillId="0" borderId="0" xfId="0" applyFont="1" applyFill="1"/>
    <xf numFmtId="43" fontId="18" fillId="0" borderId="20" xfId="5" applyFont="1" applyFill="1" applyBorder="1"/>
    <xf numFmtId="43" fontId="18" fillId="0" borderId="25" xfId="5" applyFont="1" applyFill="1" applyBorder="1"/>
    <xf numFmtId="164" fontId="18" fillId="0" borderId="20" xfId="0" applyFont="1" applyFill="1" applyBorder="1" applyAlignment="1">
      <alignment horizontal="left"/>
    </xf>
    <xf numFmtId="43" fontId="17" fillId="0" borderId="0" xfId="5" quotePrefix="1" applyFont="1" applyAlignment="1">
      <alignment horizontal="left" indent="1"/>
    </xf>
    <xf numFmtId="164" fontId="21" fillId="0" borderId="0" xfId="0" applyFont="1" applyFill="1" applyBorder="1" applyAlignment="1">
      <alignment horizontal="center"/>
    </xf>
    <xf numFmtId="43" fontId="18" fillId="0" borderId="42" xfId="5" applyFont="1" applyBorder="1"/>
    <xf numFmtId="14" fontId="18" fillId="0" borderId="43" xfId="0" applyNumberFormat="1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164" fontId="19" fillId="0" borderId="0" xfId="0" quotePrefix="1" applyFont="1" applyFill="1" applyBorder="1" applyAlignment="1">
      <alignment horizontal="center"/>
    </xf>
    <xf numFmtId="164" fontId="18" fillId="0" borderId="0" xfId="0" applyFont="1" applyFill="1" applyBorder="1" applyAlignment="1">
      <alignment horizontal="center"/>
    </xf>
    <xf numFmtId="43" fontId="19" fillId="0" borderId="1" xfId="5" applyFont="1" applyFill="1" applyBorder="1"/>
    <xf numFmtId="14" fontId="21" fillId="0" borderId="44" xfId="0" applyNumberFormat="1" applyFont="1" applyFill="1" applyBorder="1" applyAlignment="1">
      <alignment horizontal="center"/>
    </xf>
    <xf numFmtId="14" fontId="19" fillId="0" borderId="43" xfId="0" applyNumberFormat="1" applyFont="1" applyFill="1" applyBorder="1" applyAlignment="1">
      <alignment horizontal="center"/>
    </xf>
    <xf numFmtId="164" fontId="18" fillId="0" borderId="45" xfId="0" applyFont="1" applyBorder="1" applyAlignment="1">
      <alignment horizontal="center"/>
    </xf>
    <xf numFmtId="43" fontId="1" fillId="0" borderId="0" xfId="5" applyFont="1" applyBorder="1"/>
    <xf numFmtId="43" fontId="1" fillId="0" borderId="0" xfId="5" applyFont="1" applyAlignment="1">
      <alignment horizontal="center"/>
    </xf>
    <xf numFmtId="43" fontId="1" fillId="0" borderId="0" xfId="5" applyFont="1" applyAlignment="1">
      <alignment vertical="center"/>
    </xf>
    <xf numFmtId="43" fontId="16" fillId="0" borderId="0" xfId="1" applyNumberFormat="1" applyFont="1" applyBorder="1" applyAlignment="1">
      <alignment horizontal="left" vertical="center"/>
    </xf>
    <xf numFmtId="43" fontId="1" fillId="0" borderId="9" xfId="5" quotePrefix="1" applyFont="1" applyFill="1" applyBorder="1" applyAlignment="1">
      <alignment horizontal="right"/>
    </xf>
    <xf numFmtId="164" fontId="6" fillId="0" borderId="0" xfId="2" applyFont="1" applyBorder="1" applyAlignment="1">
      <alignment horizontal="left" indent="1"/>
    </xf>
    <xf numFmtId="49" fontId="18" fillId="4" borderId="29" xfId="0" quotePrefix="1" applyNumberFormat="1" applyFont="1" applyFill="1" applyBorder="1" applyAlignment="1">
      <alignment horizontal="center"/>
    </xf>
    <xf numFmtId="49" fontId="18" fillId="6" borderId="21" xfId="0" quotePrefix="1" applyNumberFormat="1" applyFont="1" applyFill="1" applyBorder="1" applyAlignment="1">
      <alignment horizontal="center"/>
    </xf>
    <xf numFmtId="49" fontId="18" fillId="7" borderId="29" xfId="0" quotePrefix="1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center"/>
    </xf>
    <xf numFmtId="43" fontId="19" fillId="7" borderId="46" xfId="5" applyFont="1" applyFill="1" applyBorder="1"/>
    <xf numFmtId="43" fontId="1" fillId="0" borderId="0" xfId="5" applyFont="1" applyAlignment="1">
      <alignment horizontal="center"/>
    </xf>
    <xf numFmtId="164" fontId="1" fillId="0" borderId="0" xfId="2" applyBorder="1" applyAlignment="1">
      <alignment vertical="center"/>
    </xf>
    <xf numFmtId="43" fontId="1" fillId="0" borderId="0" xfId="5" applyFont="1" applyBorder="1" applyAlignment="1">
      <alignment vertical="center"/>
    </xf>
    <xf numFmtId="43" fontId="1" fillId="0" borderId="0" xfId="5" applyFont="1" applyAlignment="1">
      <alignment horizontal="center"/>
    </xf>
    <xf numFmtId="43" fontId="1" fillId="0" borderId="7" xfId="5" applyFont="1" applyFill="1" applyBorder="1" applyAlignment="1">
      <alignment horizontal="right"/>
    </xf>
    <xf numFmtId="14" fontId="18" fillId="0" borderId="43" xfId="0" quotePrefix="1" applyNumberFormat="1" applyFont="1" applyFill="1" applyBorder="1" applyAlignment="1">
      <alignment horizontal="center"/>
    </xf>
    <xf numFmtId="49" fontId="18" fillId="9" borderId="29" xfId="0" applyNumberFormat="1" applyFont="1" applyFill="1" applyBorder="1" applyAlignment="1">
      <alignment horizontal="center"/>
    </xf>
    <xf numFmtId="164" fontId="1" fillId="0" borderId="0" xfId="2" applyFont="1" applyAlignment="1">
      <alignment horizontal="center"/>
    </xf>
    <xf numFmtId="164" fontId="1" fillId="0" borderId="45" xfId="2" applyBorder="1"/>
    <xf numFmtId="43" fontId="2" fillId="0" borderId="0" xfId="5" applyFont="1"/>
    <xf numFmtId="43" fontId="1" fillId="2" borderId="0" xfId="5" applyFont="1" applyFill="1"/>
    <xf numFmtId="43" fontId="1" fillId="0" borderId="45" xfId="5" applyFont="1" applyBorder="1"/>
    <xf numFmtId="43" fontId="7" fillId="0" borderId="45" xfId="5" applyFont="1" applyBorder="1" applyAlignment="1">
      <alignment horizontal="center" vertical="center"/>
    </xf>
    <xf numFmtId="164" fontId="7" fillId="0" borderId="45" xfId="2" applyFont="1" applyBorder="1" applyAlignment="1">
      <alignment horizontal="center" vertical="center"/>
    </xf>
    <xf numFmtId="43" fontId="1" fillId="0" borderId="0" xfId="5" applyFont="1" applyAlignment="1">
      <alignment horizontal="center"/>
    </xf>
    <xf numFmtId="43" fontId="17" fillId="0" borderId="0" xfId="5" applyFont="1" applyBorder="1"/>
    <xf numFmtId="43" fontId="7" fillId="0" borderId="0" xfId="5" applyFont="1" applyBorder="1" applyAlignment="1">
      <alignment horizontal="center" vertical="center"/>
    </xf>
    <xf numFmtId="43" fontId="5" fillId="0" borderId="0" xfId="5" applyFont="1" applyBorder="1"/>
    <xf numFmtId="43" fontId="5" fillId="0" borderId="0" xfId="5" applyFont="1" applyBorder="1" applyAlignment="1">
      <alignment horizontal="left" vertical="center"/>
    </xf>
    <xf numFmtId="43" fontId="1" fillId="0" borderId="8" xfId="5" applyFont="1" applyBorder="1" applyAlignment="1">
      <alignment vertical="center"/>
    </xf>
    <xf numFmtId="43" fontId="1" fillId="0" borderId="0" xfId="5" applyFont="1" applyBorder="1" applyAlignment="1">
      <alignment horizontal="center" vertical="center"/>
    </xf>
    <xf numFmtId="43" fontId="8" fillId="0" borderId="0" xfId="5" applyFont="1" applyBorder="1" applyAlignment="1">
      <alignment horizontal="right" vertical="center" indent="1"/>
    </xf>
    <xf numFmtId="43" fontId="6" fillId="0" borderId="1" xfId="5" applyFont="1" applyBorder="1" applyAlignment="1">
      <alignment horizontal="center" vertical="center"/>
    </xf>
    <xf numFmtId="43" fontId="6" fillId="0" borderId="45" xfId="5" applyFont="1" applyBorder="1" applyAlignment="1">
      <alignment horizontal="center"/>
    </xf>
    <xf numFmtId="164" fontId="1" fillId="0" borderId="0" xfId="2" applyFill="1"/>
    <xf numFmtId="164" fontId="1" fillId="0" borderId="1" xfId="2" applyFont="1" applyFill="1" applyBorder="1" applyAlignment="1">
      <alignment horizontal="center"/>
    </xf>
    <xf numFmtId="164" fontId="1" fillId="0" borderId="17" xfId="2" applyFont="1" applyFill="1" applyBorder="1" applyAlignment="1"/>
    <xf numFmtId="43" fontId="1" fillId="0" borderId="0" xfId="5" applyFont="1" applyFill="1"/>
    <xf numFmtId="43" fontId="1" fillId="0" borderId="0" xfId="5" applyFont="1" applyAlignment="1">
      <alignment horizontal="center"/>
    </xf>
    <xf numFmtId="43" fontId="6" fillId="0" borderId="0" xfId="5" applyFont="1" applyBorder="1" applyAlignment="1">
      <alignment horizontal="center"/>
    </xf>
    <xf numFmtId="43" fontId="1" fillId="0" borderId="0" xfId="5" applyFont="1" applyBorder="1" applyAlignment="1">
      <alignment horizontal="left" indent="1"/>
    </xf>
    <xf numFmtId="43" fontId="1" fillId="0" borderId="0" xfId="5" quotePrefix="1" applyFont="1" applyBorder="1" applyAlignment="1">
      <alignment horizontal="left" indent="1"/>
    </xf>
    <xf numFmtId="43" fontId="1" fillId="0" borderId="47" xfId="5" applyFont="1" applyFill="1" applyBorder="1" applyAlignment="1">
      <alignment horizontal="right"/>
    </xf>
    <xf numFmtId="43" fontId="1" fillId="0" borderId="48" xfId="5" applyFont="1" applyFill="1" applyBorder="1" applyAlignment="1">
      <alignment horizontal="right"/>
    </xf>
    <xf numFmtId="43" fontId="1" fillId="0" borderId="49" xfId="5" applyFont="1" applyFill="1" applyBorder="1" applyAlignment="1">
      <alignment horizontal="right"/>
    </xf>
    <xf numFmtId="43" fontId="1" fillId="0" borderId="50" xfId="5" applyFont="1" applyFill="1" applyBorder="1" applyAlignment="1">
      <alignment horizontal="right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1" fillId="0" borderId="3" xfId="2" applyFont="1" applyBorder="1"/>
    <xf numFmtId="164" fontId="1" fillId="0" borderId="12" xfId="2" applyFont="1" applyBorder="1"/>
    <xf numFmtId="164" fontId="1" fillId="0" borderId="51" xfId="2" applyFont="1" applyBorder="1"/>
    <xf numFmtId="164" fontId="1" fillId="0" borderId="45" xfId="2" applyFont="1" applyBorder="1"/>
    <xf numFmtId="164" fontId="1" fillId="0" borderId="52" xfId="2" applyFont="1" applyBorder="1"/>
    <xf numFmtId="164" fontId="1" fillId="0" borderId="47" xfId="2" applyFont="1" applyBorder="1" applyAlignment="1">
      <alignment horizontal="center"/>
    </xf>
    <xf numFmtId="164" fontId="1" fillId="0" borderId="48" xfId="2" applyFont="1" applyBorder="1" applyAlignment="1">
      <alignment horizontal="center"/>
    </xf>
    <xf numFmtId="164" fontId="1" fillId="0" borderId="49" xfId="2" applyFont="1" applyBorder="1" applyAlignment="1">
      <alignment horizontal="center"/>
    </xf>
    <xf numFmtId="164" fontId="1" fillId="0" borderId="2" xfId="2" applyFont="1" applyBorder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9" fontId="18" fillId="4" borderId="20" xfId="0" quotePrefix="1" applyNumberFormat="1" applyFont="1" applyFill="1" applyBorder="1" applyAlignment="1">
      <alignment horizontal="center"/>
    </xf>
    <xf numFmtId="49" fontId="18" fillId="11" borderId="20" xfId="0" quotePrefix="1" applyNumberFormat="1" applyFont="1" applyFill="1" applyBorder="1" applyAlignment="1">
      <alignment horizontal="center"/>
    </xf>
    <xf numFmtId="49" fontId="18" fillId="7" borderId="20" xfId="0" quotePrefix="1" applyNumberFormat="1" applyFont="1" applyFill="1" applyBorder="1" applyAlignment="1">
      <alignment horizontal="center"/>
    </xf>
    <xf numFmtId="49" fontId="18" fillId="12" borderId="20" xfId="0" quotePrefix="1" applyNumberFormat="1" applyFont="1" applyFill="1" applyBorder="1" applyAlignment="1">
      <alignment horizontal="center"/>
    </xf>
    <xf numFmtId="164" fontId="18" fillId="0" borderId="25" xfId="0" applyFont="1" applyBorder="1"/>
    <xf numFmtId="43" fontId="18" fillId="0" borderId="25" xfId="5" applyFont="1" applyBorder="1"/>
    <xf numFmtId="43" fontId="18" fillId="0" borderId="26" xfId="5" applyFont="1" applyBorder="1"/>
    <xf numFmtId="14" fontId="18" fillId="0" borderId="25" xfId="0" applyNumberFormat="1" applyFont="1" applyBorder="1" applyAlignment="1">
      <alignment horizontal="center" vertical="center"/>
    </xf>
    <xf numFmtId="164" fontId="18" fillId="0" borderId="53" xfId="0" applyFont="1" applyBorder="1" applyAlignment="1">
      <alignment horizontal="center"/>
    </xf>
    <xf numFmtId="164" fontId="18" fillId="0" borderId="30" xfId="0" applyFont="1" applyBorder="1"/>
    <xf numFmtId="43" fontId="1" fillId="0" borderId="0" xfId="5" applyFont="1" applyAlignment="1">
      <alignment horizontal="center"/>
    </xf>
    <xf numFmtId="43" fontId="19" fillId="0" borderId="54" xfId="5" applyFont="1" applyFill="1" applyBorder="1"/>
    <xf numFmtId="164" fontId="18" fillId="0" borderId="0" xfId="0" applyFont="1" applyBorder="1" applyAlignment="1">
      <alignment horizontal="center"/>
    </xf>
    <xf numFmtId="164" fontId="18" fillId="0" borderId="55" xfId="0" applyFont="1" applyBorder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1" fillId="0" borderId="0" xfId="2" applyFont="1" applyBorder="1" applyAlignment="1">
      <alignment horizontal="center" vertical="center" wrapText="1"/>
    </xf>
    <xf numFmtId="164" fontId="1" fillId="0" borderId="0" xfId="2" applyFont="1" applyBorder="1" applyAlignment="1">
      <alignment horizontal="center" vertical="center" wrapText="1"/>
    </xf>
    <xf numFmtId="43" fontId="22" fillId="0" borderId="0" xfId="5" applyFont="1" applyAlignment="1">
      <alignment horizontal="center" wrapText="1"/>
    </xf>
    <xf numFmtId="164" fontId="22" fillId="0" borderId="0" xfId="2" applyFont="1" applyAlignment="1">
      <alignment horizontal="center" wrapText="1"/>
    </xf>
    <xf numFmtId="164" fontId="23" fillId="0" borderId="0" xfId="2" applyFont="1" applyAlignment="1">
      <alignment horizontal="center"/>
    </xf>
    <xf numFmtId="164" fontId="23" fillId="0" borderId="0" xfId="2" applyFont="1" applyAlignment="1">
      <alignment horizontal="center" wrapText="1"/>
    </xf>
    <xf numFmtId="2" fontId="24" fillId="0" borderId="55" xfId="5" applyNumberFormat="1" applyFont="1" applyBorder="1" applyAlignment="1">
      <alignment horizontal="center" vertical="center"/>
    </xf>
    <xf numFmtId="1" fontId="24" fillId="0" borderId="20" xfId="5" applyNumberFormat="1" applyFont="1" applyBorder="1" applyAlignment="1">
      <alignment horizontal="center" vertical="center"/>
    </xf>
    <xf numFmtId="43" fontId="10" fillId="0" borderId="20" xfId="5" applyFont="1" applyBorder="1" applyAlignment="1">
      <alignment vertical="center"/>
    </xf>
    <xf numFmtId="43" fontId="5" fillId="0" borderId="20" xfId="5" applyFont="1" applyBorder="1" applyAlignment="1">
      <alignment vertical="center"/>
    </xf>
    <xf numFmtId="164" fontId="1" fillId="0" borderId="45" xfId="2" applyBorder="1" applyAlignment="1">
      <alignment horizontal="center"/>
    </xf>
    <xf numFmtId="14" fontId="24" fillId="0" borderId="0" xfId="2" quotePrefix="1" applyNumberFormat="1" applyFont="1" applyAlignment="1">
      <alignment horizontal="center" vertical="center"/>
    </xf>
    <xf numFmtId="1" fontId="24" fillId="0" borderId="0" xfId="5" quotePrefix="1" applyNumberFormat="1" applyFont="1" applyAlignment="1">
      <alignment horizontal="center" vertical="center"/>
    </xf>
    <xf numFmtId="164" fontId="26" fillId="0" borderId="0" xfId="2" applyFont="1"/>
    <xf numFmtId="43" fontId="1" fillId="0" borderId="56" xfId="5" applyFont="1" applyBorder="1"/>
    <xf numFmtId="43" fontId="1" fillId="0" borderId="57" xfId="5" applyFont="1" applyBorder="1" applyAlignment="1">
      <alignment horizontal="center" vertical="center"/>
    </xf>
    <xf numFmtId="43" fontId="1" fillId="0" borderId="0" xfId="5" applyFont="1" applyAlignment="1">
      <alignment horizontal="center"/>
    </xf>
    <xf numFmtId="14" fontId="14" fillId="0" borderId="0" xfId="2" applyNumberFormat="1" applyFont="1" applyBorder="1" applyAlignment="1">
      <alignment horizontal="center" vertical="top"/>
    </xf>
    <xf numFmtId="164" fontId="1" fillId="0" borderId="0" xfId="2" applyFont="1" applyBorder="1" applyAlignment="1">
      <alignment horizontal="center" vertical="center" wrapText="1"/>
    </xf>
    <xf numFmtId="1" fontId="25" fillId="0" borderId="0" xfId="5" quotePrefix="1" applyNumberFormat="1" applyFont="1" applyAlignment="1">
      <alignment horizontal="center" vertical="center"/>
    </xf>
    <xf numFmtId="43" fontId="1" fillId="0" borderId="0" xfId="5" applyFont="1" applyFill="1" applyBorder="1" applyAlignment="1">
      <alignment horizontal="right"/>
    </xf>
    <xf numFmtId="43" fontId="2" fillId="0" borderId="0" xfId="5" applyFont="1" applyFill="1" applyBorder="1" applyAlignment="1">
      <alignment horizontal="right"/>
    </xf>
    <xf numFmtId="43" fontId="7" fillId="0" borderId="45" xfId="5" applyFont="1" applyBorder="1" applyAlignment="1">
      <alignment horizontal="center"/>
    </xf>
    <xf numFmtId="164" fontId="7" fillId="0" borderId="45" xfId="2" applyFont="1" applyBorder="1" applyAlignment="1">
      <alignment horizontal="center"/>
    </xf>
    <xf numFmtId="43" fontId="1" fillId="0" borderId="45" xfId="5" applyFont="1" applyFill="1" applyBorder="1" applyAlignment="1">
      <alignment horizontal="right"/>
    </xf>
    <xf numFmtId="43" fontId="1" fillId="0" borderId="58" xfId="5" applyFont="1" applyFill="1" applyBorder="1" applyAlignment="1">
      <alignment horizontal="right"/>
    </xf>
    <xf numFmtId="43" fontId="1" fillId="0" borderId="0" xfId="5" applyFont="1" applyFill="1" applyBorder="1"/>
    <xf numFmtId="43" fontId="1" fillId="0" borderId="43" xfId="5" applyFont="1" applyBorder="1"/>
    <xf numFmtId="164" fontId="1" fillId="0" borderId="0" xfId="2" applyFont="1" applyBorder="1" applyAlignment="1">
      <alignment vertical="center" wrapText="1"/>
    </xf>
    <xf numFmtId="4" fontId="28" fillId="0" borderId="0" xfId="2" applyNumberFormat="1" applyFont="1" applyBorder="1"/>
    <xf numFmtId="164" fontId="1" fillId="0" borderId="0" xfId="3" quotePrefix="1" applyFont="1" applyFill="1" applyBorder="1" applyAlignment="1">
      <alignment horizontal="left" vertical="center"/>
    </xf>
    <xf numFmtId="164" fontId="27" fillId="0" borderId="0" xfId="2" applyFont="1" applyBorder="1" applyAlignment="1">
      <alignment horizontal="left"/>
    </xf>
    <xf numFmtId="43" fontId="29" fillId="0" borderId="0" xfId="5" applyFont="1" applyAlignment="1">
      <alignment horizontal="center"/>
    </xf>
    <xf numFmtId="164" fontId="18" fillId="0" borderId="25" xfId="0" applyFont="1" applyBorder="1" applyAlignment="1">
      <alignment horizontal="center"/>
    </xf>
    <xf numFmtId="49" fontId="18" fillId="12" borderId="25" xfId="0" quotePrefix="1" applyNumberFormat="1" applyFont="1" applyFill="1" applyBorder="1" applyAlignment="1">
      <alignment horizontal="center"/>
    </xf>
    <xf numFmtId="164" fontId="18" fillId="0" borderId="59" xfId="0" applyFont="1" applyBorder="1" applyAlignment="1">
      <alignment horizontal="center"/>
    </xf>
    <xf numFmtId="164" fontId="18" fillId="0" borderId="27" xfId="0" applyFont="1" applyBorder="1"/>
    <xf numFmtId="164" fontId="18" fillId="0" borderId="60" xfId="0" applyFont="1" applyBorder="1" applyAlignment="1">
      <alignment horizontal="center"/>
    </xf>
    <xf numFmtId="49" fontId="18" fillId="7" borderId="35" xfId="0" applyNumberFormat="1" applyFont="1" applyFill="1" applyBorder="1" applyAlignment="1">
      <alignment horizontal="center"/>
    </xf>
    <xf numFmtId="49" fontId="18" fillId="7" borderId="61" xfId="0" applyNumberFormat="1" applyFont="1" applyFill="1" applyBorder="1" applyAlignment="1">
      <alignment horizontal="center"/>
    </xf>
    <xf numFmtId="49" fontId="18" fillId="7" borderId="34" xfId="0" applyNumberFormat="1" applyFont="1" applyFill="1" applyBorder="1" applyAlignment="1">
      <alignment horizontal="center"/>
    </xf>
    <xf numFmtId="43" fontId="1" fillId="0" borderId="0" xfId="5" applyFont="1" applyAlignment="1">
      <alignment horizontal="center"/>
    </xf>
    <xf numFmtId="43" fontId="18" fillId="0" borderId="42" xfId="5" applyFont="1" applyFill="1" applyBorder="1"/>
    <xf numFmtId="43" fontId="18" fillId="0" borderId="43" xfId="5" applyFont="1" applyBorder="1"/>
    <xf numFmtId="164" fontId="20" fillId="0" borderId="0" xfId="0" applyFont="1" applyAlignment="1">
      <alignment vertical="center"/>
    </xf>
    <xf numFmtId="164" fontId="20" fillId="0" borderId="3" xfId="0" applyFont="1" applyBorder="1" applyAlignment="1">
      <alignment vertical="center"/>
    </xf>
    <xf numFmtId="14" fontId="18" fillId="0" borderId="55" xfId="0" applyNumberFormat="1" applyFont="1" applyBorder="1" applyAlignment="1">
      <alignment horizontal="center" vertical="center"/>
    </xf>
    <xf numFmtId="164" fontId="18" fillId="0" borderId="25" xfId="0" applyFont="1" applyFill="1" applyBorder="1" applyAlignment="1">
      <alignment horizontal="left"/>
    </xf>
    <xf numFmtId="43" fontId="18" fillId="0" borderId="28" xfId="5" applyFont="1" applyBorder="1"/>
    <xf numFmtId="43" fontId="18" fillId="0" borderId="29" xfId="5" applyFont="1" applyBorder="1"/>
    <xf numFmtId="164" fontId="18" fillId="0" borderId="60" xfId="0" applyFont="1" applyFill="1" applyBorder="1" applyAlignment="1">
      <alignment horizontal="center"/>
    </xf>
    <xf numFmtId="43" fontId="18" fillId="0" borderId="29" xfId="5" applyFont="1" applyFill="1" applyBorder="1"/>
    <xf numFmtId="164" fontId="18" fillId="0" borderId="62" xfId="0" applyFont="1" applyFill="1" applyBorder="1" applyAlignment="1">
      <alignment horizontal="center"/>
    </xf>
    <xf numFmtId="164" fontId="18" fillId="0" borderId="30" xfId="0" applyFont="1" applyFill="1" applyBorder="1" applyAlignment="1">
      <alignment horizontal="left"/>
    </xf>
    <xf numFmtId="43" fontId="18" fillId="0" borderId="30" xfId="5" applyFont="1" applyFill="1" applyBorder="1"/>
    <xf numFmtId="164" fontId="18" fillId="13" borderId="59" xfId="0" applyFont="1" applyFill="1" applyBorder="1" applyAlignment="1">
      <alignment horizontal="center"/>
    </xf>
    <xf numFmtId="164" fontId="18" fillId="13" borderId="27" xfId="0" applyFont="1" applyFill="1" applyBorder="1"/>
    <xf numFmtId="43" fontId="18" fillId="13" borderId="27" xfId="5" applyFont="1" applyFill="1" applyBorder="1"/>
    <xf numFmtId="43" fontId="18" fillId="13" borderId="28" xfId="5" applyFont="1" applyFill="1" applyBorder="1"/>
    <xf numFmtId="164" fontId="18" fillId="13" borderId="60" xfId="0" applyFont="1" applyFill="1" applyBorder="1" applyAlignment="1">
      <alignment horizontal="center"/>
    </xf>
    <xf numFmtId="164" fontId="18" fillId="13" borderId="20" xfId="0" applyFont="1" applyFill="1" applyBorder="1"/>
    <xf numFmtId="43" fontId="18" fillId="13" borderId="20" xfId="5" applyFont="1" applyFill="1" applyBorder="1"/>
    <xf numFmtId="43" fontId="18" fillId="13" borderId="29" xfId="5" applyFont="1" applyFill="1" applyBorder="1"/>
    <xf numFmtId="164" fontId="18" fillId="13" borderId="20" xfId="0" applyFont="1" applyFill="1" applyBorder="1" applyAlignment="1">
      <alignment horizontal="left"/>
    </xf>
    <xf numFmtId="164" fontId="18" fillId="13" borderId="62" xfId="0" applyFont="1" applyFill="1" applyBorder="1" applyAlignment="1">
      <alignment horizontal="center"/>
    </xf>
    <xf numFmtId="164" fontId="18" fillId="13" borderId="30" xfId="0" applyFont="1" applyFill="1" applyBorder="1" applyAlignment="1">
      <alignment horizontal="left"/>
    </xf>
    <xf numFmtId="43" fontId="18" fillId="13" borderId="30" xfId="5" applyFont="1" applyFill="1" applyBorder="1"/>
    <xf numFmtId="43" fontId="18" fillId="13" borderId="63" xfId="5" applyFont="1" applyFill="1" applyBorder="1"/>
    <xf numFmtId="14" fontId="18" fillId="0" borderId="64" xfId="0" applyNumberFormat="1" applyFont="1" applyBorder="1" applyAlignment="1">
      <alignment horizontal="center" vertical="center"/>
    </xf>
    <xf numFmtId="14" fontId="18" fillId="0" borderId="65" xfId="0" applyNumberFormat="1" applyFont="1" applyBorder="1" applyAlignment="1">
      <alignment horizontal="center" vertical="center"/>
    </xf>
    <xf numFmtId="14" fontId="18" fillId="0" borderId="66" xfId="0" applyNumberFormat="1" applyFont="1" applyBorder="1" applyAlignment="1">
      <alignment horizontal="center" vertical="center"/>
    </xf>
    <xf numFmtId="14" fontId="18" fillId="0" borderId="67" xfId="0" applyNumberFormat="1" applyFont="1" applyBorder="1" applyAlignment="1">
      <alignment horizontal="center" vertical="center"/>
    </xf>
    <xf numFmtId="164" fontId="18" fillId="0" borderId="21" xfId="0" applyFont="1" applyFill="1" applyBorder="1" applyAlignment="1">
      <alignment horizontal="left"/>
    </xf>
    <xf numFmtId="43" fontId="18" fillId="0" borderId="63" xfId="5" applyFont="1" applyBorder="1"/>
    <xf numFmtId="164" fontId="18" fillId="13" borderId="30" xfId="0" applyFont="1" applyFill="1" applyBorder="1"/>
    <xf numFmtId="43" fontId="18" fillId="0" borderId="35" xfId="5" applyFont="1" applyBorder="1"/>
    <xf numFmtId="164" fontId="18" fillId="0" borderId="68" xfId="0" applyFont="1" applyBorder="1" applyAlignment="1">
      <alignment horizontal="center"/>
    </xf>
    <xf numFmtId="43" fontId="18" fillId="13" borderId="21" xfId="5" applyFont="1" applyFill="1" applyBorder="1"/>
    <xf numFmtId="43" fontId="18" fillId="13" borderId="35" xfId="5" applyFont="1" applyFill="1" applyBorder="1"/>
    <xf numFmtId="164" fontId="18" fillId="13" borderId="68" xfId="0" applyFont="1" applyFill="1" applyBorder="1" applyAlignment="1">
      <alignment horizontal="center"/>
    </xf>
    <xf numFmtId="164" fontId="18" fillId="13" borderId="21" xfId="0" applyFont="1" applyFill="1" applyBorder="1"/>
    <xf numFmtId="14" fontId="18" fillId="0" borderId="0" xfId="0" quotePrefix="1" applyNumberFormat="1" applyFont="1" applyFill="1" applyBorder="1" applyAlignment="1">
      <alignment horizontal="center"/>
    </xf>
    <xf numFmtId="43" fontId="18" fillId="0" borderId="67" xfId="5" applyFont="1" applyFill="1" applyBorder="1"/>
    <xf numFmtId="43" fontId="18" fillId="0" borderId="55" xfId="5" applyFont="1" applyFill="1" applyBorder="1"/>
    <xf numFmtId="43" fontId="18" fillId="0" borderId="64" xfId="5" applyFont="1" applyFill="1" applyBorder="1"/>
    <xf numFmtId="43" fontId="18" fillId="0" borderId="0" xfId="5" applyFont="1" applyBorder="1"/>
    <xf numFmtId="164" fontId="19" fillId="0" borderId="69" xfId="0" applyFont="1" applyBorder="1" applyAlignment="1">
      <alignment horizontal="center" vertical="center"/>
    </xf>
    <xf numFmtId="164" fontId="19" fillId="0" borderId="19" xfId="2" applyFont="1" applyBorder="1" applyAlignment="1">
      <alignment horizontal="center" vertical="center"/>
    </xf>
    <xf numFmtId="43" fontId="19" fillId="0" borderId="19" xfId="5" applyFont="1" applyBorder="1" applyAlignment="1">
      <alignment horizontal="center" vertical="center"/>
    </xf>
    <xf numFmtId="164" fontId="18" fillId="0" borderId="70" xfId="0" applyFont="1" applyFill="1" applyBorder="1" applyAlignment="1">
      <alignment horizontal="center"/>
    </xf>
    <xf numFmtId="43" fontId="18" fillId="0" borderId="31" xfId="5" applyFont="1" applyFill="1" applyBorder="1"/>
    <xf numFmtId="43" fontId="18" fillId="0" borderId="31" xfId="5" applyFont="1" applyBorder="1"/>
    <xf numFmtId="164" fontId="18" fillId="0" borderId="68" xfId="0" applyFont="1" applyFill="1" applyBorder="1" applyAlignment="1">
      <alignment horizontal="center"/>
    </xf>
    <xf numFmtId="14" fontId="18" fillId="0" borderId="60" xfId="0" applyNumberFormat="1" applyFont="1" applyBorder="1" applyAlignment="1">
      <alignment horizontal="center" vertical="center"/>
    </xf>
    <xf numFmtId="43" fontId="18" fillId="0" borderId="8" xfId="5" applyFont="1" applyBorder="1"/>
    <xf numFmtId="0" fontId="18" fillId="0" borderId="0" xfId="0" applyNumberFormat="1" applyFont="1" applyAlignment="1">
      <alignment horizontal="center"/>
    </xf>
    <xf numFmtId="0" fontId="31" fillId="0" borderId="0" xfId="5" applyNumberFormat="1" applyFont="1" applyAlignment="1">
      <alignment horizontal="center"/>
    </xf>
    <xf numFmtId="0" fontId="32" fillId="0" borderId="0" xfId="5" applyNumberFormat="1" applyFont="1" applyAlignment="1">
      <alignment horizontal="center"/>
    </xf>
    <xf numFmtId="0" fontId="19" fillId="0" borderId="0" xfId="0" applyNumberFormat="1" applyFont="1" applyAlignment="1">
      <alignment horizontal="center" vertical="center" wrapText="1"/>
    </xf>
    <xf numFmtId="43" fontId="19" fillId="0" borderId="71" xfId="5" applyFont="1" applyBorder="1" applyAlignment="1">
      <alignment horizontal="center" vertical="center" wrapText="1"/>
    </xf>
    <xf numFmtId="43" fontId="19" fillId="0" borderId="72" xfId="5" applyFont="1" applyBorder="1" applyAlignment="1">
      <alignment horizontal="center" vertical="center" wrapText="1"/>
    </xf>
    <xf numFmtId="43" fontId="19" fillId="0" borderId="53" xfId="5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/>
    </xf>
    <xf numFmtId="43" fontId="18" fillId="0" borderId="54" xfId="5" applyFont="1" applyBorder="1"/>
    <xf numFmtId="164" fontId="18" fillId="4" borderId="0" xfId="0" applyFont="1" applyFill="1" applyAlignment="1">
      <alignment horizontal="center" vertical="center"/>
    </xf>
    <xf numFmtId="43" fontId="18" fillId="4" borderId="0" xfId="5" applyFont="1" applyFill="1" applyAlignment="1">
      <alignment horizontal="center" vertical="center" wrapText="1"/>
    </xf>
    <xf numFmtId="43" fontId="18" fillId="4" borderId="0" xfId="5" applyFont="1" applyFill="1" applyAlignment="1">
      <alignment horizontal="center" vertical="center"/>
    </xf>
    <xf numFmtId="164" fontId="34" fillId="0" borderId="0" xfId="0" quotePrefix="1" applyFont="1" applyAlignment="1">
      <alignment horizontal="center"/>
    </xf>
    <xf numFmtId="165" fontId="18" fillId="0" borderId="0" xfId="5" applyNumberFormat="1" applyFont="1" applyAlignment="1">
      <alignment horizontal="center"/>
    </xf>
    <xf numFmtId="0" fontId="18" fillId="0" borderId="0" xfId="5" applyNumberFormat="1" applyFont="1" applyAlignment="1">
      <alignment horizontal="center"/>
    </xf>
    <xf numFmtId="43" fontId="18" fillId="0" borderId="0" xfId="5" applyFont="1" applyFill="1"/>
    <xf numFmtId="164" fontId="34" fillId="4" borderId="0" xfId="0" applyFont="1" applyFill="1" applyAlignment="1">
      <alignment horizontal="center"/>
    </xf>
    <xf numFmtId="0" fontId="18" fillId="0" borderId="0" xfId="0" applyNumberFormat="1" applyFont="1" applyFill="1" applyAlignment="1">
      <alignment horizontal="center"/>
    </xf>
    <xf numFmtId="164" fontId="18" fillId="0" borderId="0" xfId="0" applyFont="1" applyFill="1" applyAlignment="1">
      <alignment horizontal="center" vertical="center"/>
    </xf>
    <xf numFmtId="164" fontId="34" fillId="0" borderId="0" xfId="0" quotePrefix="1" applyFont="1" applyFill="1" applyAlignment="1">
      <alignment horizontal="center"/>
    </xf>
    <xf numFmtId="164" fontId="34" fillId="0" borderId="0" xfId="0" applyFont="1" applyFill="1" applyAlignment="1">
      <alignment horizontal="center"/>
    </xf>
    <xf numFmtId="0" fontId="18" fillId="0" borderId="0" xfId="0" applyNumberFormat="1" applyFont="1" applyBorder="1" applyAlignment="1">
      <alignment horizontal="center"/>
    </xf>
    <xf numFmtId="43" fontId="18" fillId="0" borderId="3" xfId="5" applyFont="1" applyBorder="1"/>
    <xf numFmtId="43" fontId="18" fillId="0" borderId="67" xfId="5" applyFont="1" applyBorder="1"/>
    <xf numFmtId="164" fontId="19" fillId="0" borderId="25" xfId="0" applyFont="1" applyBorder="1" applyAlignment="1">
      <alignment horizontal="center" vertical="center" wrapText="1"/>
    </xf>
    <xf numFmtId="0" fontId="18" fillId="0" borderId="73" xfId="0" applyNumberFormat="1" applyFont="1" applyBorder="1" applyAlignment="1">
      <alignment horizontal="center"/>
    </xf>
    <xf numFmtId="164" fontId="18" fillId="0" borderId="74" xfId="0" applyFont="1" applyBorder="1" applyAlignment="1">
      <alignment horizontal="center"/>
    </xf>
    <xf numFmtId="164" fontId="19" fillId="0" borderId="64" xfId="0" applyFont="1" applyBorder="1"/>
    <xf numFmtId="0" fontId="18" fillId="0" borderId="43" xfId="0" applyNumberFormat="1" applyFont="1" applyBorder="1" applyAlignment="1">
      <alignment horizontal="center"/>
    </xf>
    <xf numFmtId="164" fontId="19" fillId="0" borderId="66" xfId="0" applyFont="1" applyBorder="1"/>
    <xf numFmtId="164" fontId="19" fillId="0" borderId="75" xfId="0" applyFont="1" applyBorder="1"/>
    <xf numFmtId="0" fontId="18" fillId="0" borderId="42" xfId="0" applyNumberFormat="1" applyFont="1" applyBorder="1" applyAlignment="1">
      <alignment horizontal="center"/>
    </xf>
    <xf numFmtId="0" fontId="18" fillId="0" borderId="45" xfId="0" applyNumberFormat="1" applyFont="1" applyBorder="1" applyAlignment="1">
      <alignment horizontal="center"/>
    </xf>
    <xf numFmtId="164" fontId="19" fillId="0" borderId="67" xfId="0" applyFont="1" applyBorder="1"/>
    <xf numFmtId="0" fontId="18" fillId="0" borderId="54" xfId="0" applyNumberFormat="1" applyFont="1" applyBorder="1" applyAlignment="1">
      <alignment horizontal="center"/>
    </xf>
    <xf numFmtId="0" fontId="18" fillId="0" borderId="43" xfId="0" quotePrefix="1" applyNumberFormat="1" applyFont="1" applyBorder="1" applyAlignment="1">
      <alignment horizontal="center"/>
    </xf>
    <xf numFmtId="43" fontId="18" fillId="0" borderId="0" xfId="5" applyFont="1" applyFill="1" applyBorder="1"/>
    <xf numFmtId="164" fontId="18" fillId="0" borderId="0" xfId="0" applyFont="1" applyFill="1" applyBorder="1"/>
    <xf numFmtId="43" fontId="18" fillId="0" borderId="19" xfId="5" applyFont="1" applyBorder="1"/>
    <xf numFmtId="43" fontId="18" fillId="0" borderId="66" xfId="5" applyFont="1" applyBorder="1"/>
    <xf numFmtId="43" fontId="18" fillId="0" borderId="45" xfId="5" applyFont="1" applyBorder="1"/>
    <xf numFmtId="43" fontId="18" fillId="0" borderId="75" xfId="5" applyFont="1" applyBorder="1"/>
    <xf numFmtId="43" fontId="1" fillId="0" borderId="0" xfId="5" applyFont="1" applyAlignment="1">
      <alignment horizontal="center"/>
    </xf>
    <xf numFmtId="49" fontId="15" fillId="0" borderId="0" xfId="3" applyNumberFormat="1" applyFont="1" applyAlignment="1">
      <alignment horizontal="center" vertical="center"/>
    </xf>
    <xf numFmtId="14" fontId="14" fillId="0" borderId="0" xfId="2" quotePrefix="1" applyNumberFormat="1" applyFont="1" applyBorder="1" applyAlignment="1">
      <alignment horizontal="center" vertical="top"/>
    </xf>
    <xf numFmtId="14" fontId="14" fillId="0" borderId="0" xfId="2" applyNumberFormat="1" applyFont="1" applyBorder="1" applyAlignment="1">
      <alignment horizontal="center" vertical="top"/>
    </xf>
    <xf numFmtId="164" fontId="1" fillId="0" borderId="0" xfId="2" applyFont="1" applyBorder="1" applyAlignment="1">
      <alignment horizontal="center" vertical="center" wrapText="1"/>
    </xf>
    <xf numFmtId="164" fontId="3" fillId="0" borderId="0" xfId="3" quotePrefix="1" applyFont="1" applyFill="1" applyBorder="1" applyAlignment="1">
      <alignment horizontal="center" vertical="center"/>
    </xf>
    <xf numFmtId="164" fontId="19" fillId="10" borderId="17" xfId="0" quotePrefix="1" applyFont="1" applyFill="1" applyBorder="1" applyAlignment="1">
      <alignment horizontal="center" vertical="center"/>
    </xf>
    <xf numFmtId="164" fontId="19" fillId="10" borderId="32" xfId="0" quotePrefix="1" applyFont="1" applyFill="1" applyBorder="1" applyAlignment="1">
      <alignment horizontal="center" vertical="center"/>
    </xf>
    <xf numFmtId="164" fontId="19" fillId="10" borderId="33" xfId="0" quotePrefix="1" applyFont="1" applyFill="1" applyBorder="1" applyAlignment="1">
      <alignment horizontal="center" vertical="center"/>
    </xf>
    <xf numFmtId="164" fontId="21" fillId="0" borderId="39" xfId="0" applyFont="1" applyFill="1" applyBorder="1" applyAlignment="1">
      <alignment horizontal="center"/>
    </xf>
    <xf numFmtId="164" fontId="21" fillId="0" borderId="38" xfId="0" applyFont="1" applyFill="1" applyBorder="1" applyAlignment="1">
      <alignment horizontal="center"/>
    </xf>
    <xf numFmtId="164" fontId="19" fillId="7" borderId="17" xfId="0" applyFont="1" applyFill="1" applyBorder="1" applyAlignment="1">
      <alignment horizontal="center"/>
    </xf>
    <xf numFmtId="164" fontId="19" fillId="7" borderId="32" xfId="0" applyFont="1" applyFill="1" applyBorder="1" applyAlignment="1">
      <alignment horizontal="center"/>
    </xf>
    <xf numFmtId="14" fontId="19" fillId="7" borderId="32" xfId="0" applyNumberFormat="1" applyFont="1" applyFill="1" applyBorder="1" applyAlignment="1">
      <alignment horizontal="center"/>
    </xf>
    <xf numFmtId="14" fontId="19" fillId="7" borderId="33" xfId="0" applyNumberFormat="1" applyFont="1" applyFill="1" applyBorder="1" applyAlignment="1">
      <alignment horizontal="center"/>
    </xf>
    <xf numFmtId="14" fontId="19" fillId="11" borderId="32" xfId="0" applyNumberFormat="1" applyFont="1" applyFill="1" applyBorder="1" applyAlignment="1">
      <alignment horizontal="center"/>
    </xf>
    <xf numFmtId="14" fontId="19" fillId="11" borderId="33" xfId="0" applyNumberFormat="1" applyFont="1" applyFill="1" applyBorder="1" applyAlignment="1">
      <alignment horizontal="center"/>
    </xf>
    <xf numFmtId="164" fontId="19" fillId="12" borderId="17" xfId="0" applyFont="1" applyFill="1" applyBorder="1" applyAlignment="1">
      <alignment horizontal="center"/>
    </xf>
    <xf numFmtId="164" fontId="19" fillId="12" borderId="32" xfId="0" applyFont="1" applyFill="1" applyBorder="1" applyAlignment="1">
      <alignment horizontal="center"/>
    </xf>
    <xf numFmtId="14" fontId="19" fillId="12" borderId="32" xfId="0" applyNumberFormat="1" applyFont="1" applyFill="1" applyBorder="1" applyAlignment="1">
      <alignment horizontal="center"/>
    </xf>
    <xf numFmtId="14" fontId="19" fillId="12" borderId="33" xfId="0" applyNumberFormat="1" applyFont="1" applyFill="1" applyBorder="1" applyAlignment="1">
      <alignment horizontal="center"/>
    </xf>
    <xf numFmtId="164" fontId="19" fillId="4" borderId="17" xfId="0" applyFont="1" applyFill="1" applyBorder="1" applyAlignment="1">
      <alignment horizontal="center"/>
    </xf>
    <xf numFmtId="164" fontId="19" fillId="4" borderId="32" xfId="0" applyFont="1" applyFill="1" applyBorder="1" applyAlignment="1">
      <alignment horizontal="center"/>
    </xf>
    <xf numFmtId="164" fontId="21" fillId="0" borderId="36" xfId="0" applyFont="1" applyFill="1" applyBorder="1" applyAlignment="1">
      <alignment horizontal="center"/>
    </xf>
    <xf numFmtId="164" fontId="21" fillId="0" borderId="3" xfId="0" applyFont="1" applyFill="1" applyBorder="1" applyAlignment="1">
      <alignment horizontal="center"/>
    </xf>
    <xf numFmtId="164" fontId="21" fillId="0" borderId="0" xfId="0" applyFont="1" applyFill="1" applyBorder="1" applyAlignment="1">
      <alignment horizontal="center"/>
    </xf>
    <xf numFmtId="14" fontId="19" fillId="4" borderId="32" xfId="0" applyNumberFormat="1" applyFont="1" applyFill="1" applyBorder="1" applyAlignment="1">
      <alignment horizontal="center"/>
    </xf>
    <xf numFmtId="14" fontId="19" fillId="4" borderId="33" xfId="0" applyNumberFormat="1" applyFont="1" applyFill="1" applyBorder="1" applyAlignment="1">
      <alignment horizontal="center"/>
    </xf>
    <xf numFmtId="164" fontId="19" fillId="11" borderId="17" xfId="0" applyFont="1" applyFill="1" applyBorder="1" applyAlignment="1">
      <alignment horizontal="center"/>
    </xf>
    <xf numFmtId="164" fontId="19" fillId="11" borderId="33" xfId="0" applyFont="1" applyFill="1" applyBorder="1" applyAlignment="1">
      <alignment horizontal="center"/>
    </xf>
    <xf numFmtId="164" fontId="19" fillId="11" borderId="32" xfId="0" applyFont="1" applyFill="1" applyBorder="1" applyAlignment="1">
      <alignment horizontal="center"/>
    </xf>
    <xf numFmtId="14" fontId="19" fillId="3" borderId="32" xfId="0" applyNumberFormat="1" applyFont="1" applyFill="1" applyBorder="1" applyAlignment="1">
      <alignment horizontal="center"/>
    </xf>
    <xf numFmtId="14" fontId="19" fillId="3" borderId="33" xfId="0" applyNumberFormat="1" applyFont="1" applyFill="1" applyBorder="1" applyAlignment="1">
      <alignment horizontal="center"/>
    </xf>
    <xf numFmtId="43" fontId="19" fillId="0" borderId="39" xfId="5" applyFont="1" applyFill="1" applyBorder="1" applyAlignment="1">
      <alignment horizontal="center"/>
    </xf>
    <xf numFmtId="43" fontId="19" fillId="0" borderId="40" xfId="5" applyFont="1" applyFill="1" applyBorder="1" applyAlignment="1">
      <alignment horizontal="center"/>
    </xf>
    <xf numFmtId="43" fontId="21" fillId="0" borderId="17" xfId="5" applyFont="1" applyFill="1" applyBorder="1" applyAlignment="1">
      <alignment horizontal="center"/>
    </xf>
    <xf numFmtId="43" fontId="21" fillId="0" borderId="32" xfId="5" applyFont="1" applyFill="1" applyBorder="1" applyAlignment="1">
      <alignment horizontal="center"/>
    </xf>
    <xf numFmtId="43" fontId="21" fillId="0" borderId="33" xfId="5" applyFont="1" applyFill="1" applyBorder="1" applyAlignment="1">
      <alignment horizontal="center"/>
    </xf>
    <xf numFmtId="164" fontId="19" fillId="3" borderId="17" xfId="0" applyFont="1" applyFill="1" applyBorder="1" applyAlignment="1">
      <alignment horizontal="center"/>
    </xf>
    <xf numFmtId="164" fontId="19" fillId="3" borderId="32" xfId="0" applyFont="1" applyFill="1" applyBorder="1" applyAlignment="1">
      <alignment horizontal="center"/>
    </xf>
    <xf numFmtId="164" fontId="19" fillId="8" borderId="17" xfId="0" applyFont="1" applyFill="1" applyBorder="1" applyAlignment="1">
      <alignment horizontal="center"/>
    </xf>
    <xf numFmtId="164" fontId="19" fillId="8" borderId="32" xfId="0" applyFont="1" applyFill="1" applyBorder="1" applyAlignment="1">
      <alignment horizontal="center"/>
    </xf>
    <xf numFmtId="14" fontId="19" fillId="8" borderId="32" xfId="0" applyNumberFormat="1" applyFont="1" applyFill="1" applyBorder="1" applyAlignment="1">
      <alignment horizontal="center"/>
    </xf>
    <xf numFmtId="14" fontId="19" fillId="8" borderId="33" xfId="0" applyNumberFormat="1" applyFont="1" applyFill="1" applyBorder="1" applyAlignment="1">
      <alignment horizontal="center"/>
    </xf>
    <xf numFmtId="164" fontId="19" fillId="10" borderId="32" xfId="0" applyFont="1" applyFill="1" applyBorder="1" applyAlignment="1">
      <alignment horizontal="center" vertical="center"/>
    </xf>
    <xf numFmtId="164" fontId="19" fillId="10" borderId="33" xfId="0" applyFont="1" applyFill="1" applyBorder="1" applyAlignment="1">
      <alignment horizontal="center" vertical="center"/>
    </xf>
    <xf numFmtId="164" fontId="20" fillId="0" borderId="0" xfId="0" applyFont="1" applyAlignment="1">
      <alignment horizontal="center" vertical="center"/>
    </xf>
    <xf numFmtId="164" fontId="20" fillId="0" borderId="3" xfId="0" applyFont="1" applyBorder="1" applyAlignment="1">
      <alignment horizontal="center" vertical="center"/>
    </xf>
    <xf numFmtId="164" fontId="19" fillId="6" borderId="17" xfId="0" applyFont="1" applyFill="1" applyBorder="1" applyAlignment="1">
      <alignment horizontal="center"/>
    </xf>
    <xf numFmtId="164" fontId="19" fillId="6" borderId="32" xfId="0" applyFont="1" applyFill="1" applyBorder="1" applyAlignment="1">
      <alignment horizontal="center"/>
    </xf>
    <xf numFmtId="14" fontId="19" fillId="6" borderId="32" xfId="0" applyNumberFormat="1" applyFont="1" applyFill="1" applyBorder="1" applyAlignment="1">
      <alignment horizontal="center"/>
    </xf>
    <xf numFmtId="14" fontId="19" fillId="6" borderId="33" xfId="0" applyNumberFormat="1" applyFont="1" applyFill="1" applyBorder="1" applyAlignment="1">
      <alignment horizontal="center"/>
    </xf>
    <xf numFmtId="14" fontId="19" fillId="7" borderId="17" xfId="0" applyNumberFormat="1" applyFont="1" applyFill="1" applyBorder="1" applyAlignment="1">
      <alignment horizontal="center"/>
    </xf>
    <xf numFmtId="164" fontId="19" fillId="5" borderId="17" xfId="0" applyFont="1" applyFill="1" applyBorder="1" applyAlignment="1">
      <alignment horizontal="center"/>
    </xf>
    <xf numFmtId="164" fontId="19" fillId="5" borderId="32" xfId="0" applyFont="1" applyFill="1" applyBorder="1" applyAlignment="1">
      <alignment horizontal="center"/>
    </xf>
    <xf numFmtId="14" fontId="19" fillId="5" borderId="32" xfId="0" applyNumberFormat="1" applyFont="1" applyFill="1" applyBorder="1" applyAlignment="1">
      <alignment horizontal="center"/>
    </xf>
    <xf numFmtId="14" fontId="19" fillId="5" borderId="33" xfId="0" applyNumberFormat="1" applyFont="1" applyFill="1" applyBorder="1" applyAlignment="1">
      <alignment horizontal="center"/>
    </xf>
    <xf numFmtId="43" fontId="18" fillId="0" borderId="76" xfId="5" applyFont="1" applyBorder="1" applyAlignment="1">
      <alignment horizontal="center"/>
    </xf>
    <xf numFmtId="43" fontId="18" fillId="0" borderId="77" xfId="5" applyFont="1" applyBorder="1" applyAlignment="1">
      <alignment horizontal="center"/>
    </xf>
    <xf numFmtId="164" fontId="30" fillId="0" borderId="0" xfId="0" applyFont="1" applyAlignment="1">
      <alignment horizontal="center" vertical="center"/>
    </xf>
    <xf numFmtId="164" fontId="33" fillId="0" borderId="0" xfId="0" applyFont="1" applyAlignment="1">
      <alignment horizontal="center"/>
    </xf>
    <xf numFmtId="165" fontId="18" fillId="4" borderId="0" xfId="5" applyNumberFormat="1" applyFont="1" applyFill="1" applyAlignment="1">
      <alignment horizontal="center"/>
    </xf>
    <xf numFmtId="43" fontId="18" fillId="4" borderId="0" xfId="5" applyFont="1" applyFill="1" applyAlignment="1">
      <alignment horizontal="center" vertical="center"/>
    </xf>
  </cellXfs>
  <cellStyles count="6">
    <cellStyle name="Comma" xfId="5" builtinId="3"/>
    <cellStyle name="Currency" xfId="1" builtinId="4"/>
    <cellStyle name="Normal" xfId="0" builtinId="0"/>
    <cellStyle name="Normal 2" xfId="4"/>
    <cellStyle name="Normal_PREMAC WAGES MARCH'05" xfId="2"/>
    <cellStyle name="Normal_Wages - 2005" xfId="3"/>
  </cellStyles>
  <dxfs count="0"/>
  <tableStyles count="0" defaultTableStyle="TableStyleMedium2" defaultPivotStyle="PivotStyleLight16"/>
  <colors>
    <mruColors>
      <color rgb="FFFF00FF"/>
      <color rgb="FFFF33CC"/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73</xdr:row>
      <xdr:rowOff>0</xdr:rowOff>
    </xdr:from>
    <xdr:to>
      <xdr:col>0</xdr:col>
      <xdr:colOff>463120</xdr:colOff>
      <xdr:row>73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 rot="4938974">
          <a:off x="244477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82</xdr:row>
      <xdr:rowOff>0</xdr:rowOff>
    </xdr:from>
    <xdr:to>
      <xdr:col>0</xdr:col>
      <xdr:colOff>463120</xdr:colOff>
      <xdr:row>82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 rot="4938974">
          <a:off x="244477" y="11678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437287</xdr:colOff>
      <xdr:row>82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 rot="4938974">
          <a:off x="218644" y="11678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437287</xdr:colOff>
      <xdr:row>82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 rot="4938974">
          <a:off x="218644" y="11678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73</xdr:row>
      <xdr:rowOff>0</xdr:rowOff>
    </xdr:from>
    <xdr:to>
      <xdr:col>0</xdr:col>
      <xdr:colOff>537855</xdr:colOff>
      <xdr:row>73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 rot="4938974">
          <a:off x="281698" y="101832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73</xdr:row>
      <xdr:rowOff>0</xdr:rowOff>
    </xdr:from>
    <xdr:to>
      <xdr:col>0</xdr:col>
      <xdr:colOff>463120</xdr:colOff>
      <xdr:row>73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 rot="4938974">
          <a:off x="244477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437287</xdr:colOff>
      <xdr:row>73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 rot="4938974">
          <a:off x="218644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437287</xdr:colOff>
      <xdr:row>73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 rot="4938974">
          <a:off x="218644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437287</xdr:colOff>
      <xdr:row>73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 rot="4938974">
          <a:off x="218644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73</xdr:row>
      <xdr:rowOff>0</xdr:rowOff>
    </xdr:from>
    <xdr:to>
      <xdr:col>0</xdr:col>
      <xdr:colOff>463786</xdr:colOff>
      <xdr:row>73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 rot="4938974">
          <a:off x="245143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437287</xdr:colOff>
      <xdr:row>73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 rot="4938974" flipH="1">
          <a:off x="218644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437287</xdr:colOff>
      <xdr:row>73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 rot="4938974" flipH="1">
          <a:off x="218644" y="10220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20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 rot="4938974">
          <a:off x="218644" y="2800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28</xdr:row>
      <xdr:rowOff>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 rot="4938974" flipH="1">
          <a:off x="-467156" y="34865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10</xdr:row>
      <xdr:rowOff>3416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 rot="4938974" flipH="1">
          <a:off x="-379627" y="856289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119658</xdr:colOff>
      <xdr:row>55</xdr:row>
      <xdr:rowOff>77689</xdr:rowOff>
    </xdr:from>
    <xdr:to>
      <xdr:col>0</xdr:col>
      <xdr:colOff>556945</xdr:colOff>
      <xdr:row>66</xdr:row>
      <xdr:rowOff>0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 rot="4938974" flipH="1">
          <a:off x="-513441" y="6254338"/>
          <a:ext cx="170348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85401</xdr:colOff>
      <xdr:row>37</xdr:row>
      <xdr:rowOff>79988</xdr:rowOff>
    </xdr:from>
    <xdr:to>
      <xdr:col>0</xdr:col>
      <xdr:colOff>522688</xdr:colOff>
      <xdr:row>45</xdr:row>
      <xdr:rowOff>62047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 rot="4938974" flipH="1">
          <a:off x="-334685" y="6043624"/>
          <a:ext cx="127745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 txBox="1"/>
      </xdr:nvSpPr>
      <xdr:spPr>
        <a:xfrm rot="4938974">
          <a:off x="244477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93</xdr:row>
      <xdr:rowOff>0</xdr:rowOff>
    </xdr:from>
    <xdr:to>
      <xdr:col>0</xdr:col>
      <xdr:colOff>463120</xdr:colOff>
      <xdr:row>93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 txBox="1"/>
      </xdr:nvSpPr>
      <xdr:spPr>
        <a:xfrm rot="4938974">
          <a:off x="244477" y="16592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 txBox="1"/>
      </xdr:nvSpPr>
      <xdr:spPr>
        <a:xfrm rot="4938974">
          <a:off x="218644" y="16592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 txBox="1"/>
      </xdr:nvSpPr>
      <xdr:spPr>
        <a:xfrm rot="4938974">
          <a:off x="218644" y="16592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84</xdr:row>
      <xdr:rowOff>0</xdr:rowOff>
    </xdr:from>
    <xdr:to>
      <xdr:col>0</xdr:col>
      <xdr:colOff>537855</xdr:colOff>
      <xdr:row>84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 txBox="1"/>
      </xdr:nvSpPr>
      <xdr:spPr>
        <a:xfrm rot="4938974">
          <a:off x="281698" y="150981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 txBox="1"/>
      </xdr:nvSpPr>
      <xdr:spPr>
        <a:xfrm rot="4938974">
          <a:off x="244477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 txBox="1"/>
      </xdr:nvSpPr>
      <xdr:spPr>
        <a:xfrm rot="4938974">
          <a:off x="218644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 txBox="1"/>
      </xdr:nvSpPr>
      <xdr:spPr>
        <a:xfrm rot="4938974">
          <a:off x="218644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 txBox="1"/>
      </xdr:nvSpPr>
      <xdr:spPr>
        <a:xfrm rot="4938974">
          <a:off x="218644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84</xdr:row>
      <xdr:rowOff>0</xdr:rowOff>
    </xdr:from>
    <xdr:to>
      <xdr:col>0</xdr:col>
      <xdr:colOff>463786</xdr:colOff>
      <xdr:row>84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 txBox="1"/>
      </xdr:nvSpPr>
      <xdr:spPr>
        <a:xfrm rot="4938974">
          <a:off x="245143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 txBox="1"/>
      </xdr:nvSpPr>
      <xdr:spPr>
        <a:xfrm rot="4938974" flipH="1">
          <a:off x="218644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 txBox="1"/>
      </xdr:nvSpPr>
      <xdr:spPr>
        <a:xfrm rot="4938974" flipH="1">
          <a:off x="218644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 txBox="1"/>
      </xdr:nvSpPr>
      <xdr:spPr>
        <a:xfrm rot="4938974">
          <a:off x="218644" y="11459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17</xdr:row>
      <xdr:rowOff>3416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 txBox="1"/>
      </xdr:nvSpPr>
      <xdr:spPr>
        <a:xfrm rot="4938974" flipH="1">
          <a:off x="-946364" y="1423026"/>
          <a:ext cx="2514692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84</xdr:row>
      <xdr:rowOff>0</xdr:rowOff>
    </xdr:from>
    <xdr:to>
      <xdr:col>0</xdr:col>
      <xdr:colOff>543418</xdr:colOff>
      <xdr:row>84</xdr:row>
      <xdr:rowOff>0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 txBox="1"/>
      </xdr:nvSpPr>
      <xdr:spPr>
        <a:xfrm rot="4938974" flipH="1">
          <a:off x="324775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0</xdr:colOff>
      <xdr:row>54</xdr:row>
      <xdr:rowOff>70595</xdr:rowOff>
    </xdr:from>
    <xdr:to>
      <xdr:col>1</xdr:col>
      <xdr:colOff>91056</xdr:colOff>
      <xdr:row>61</xdr:row>
      <xdr:rowOff>157751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 txBox="1"/>
      </xdr:nvSpPr>
      <xdr:spPr>
        <a:xfrm rot="4938974" flipH="1">
          <a:off x="-374288" y="9693658"/>
          <a:ext cx="1411131" cy="662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105795</xdr:colOff>
      <xdr:row>24</xdr:row>
      <xdr:rowOff>78620</xdr:rowOff>
    </xdr:from>
    <xdr:to>
      <xdr:col>0</xdr:col>
      <xdr:colOff>543082</xdr:colOff>
      <xdr:row>34</xdr:row>
      <xdr:rowOff>0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 txBox="1"/>
      </xdr:nvSpPr>
      <xdr:spPr>
        <a:xfrm rot="4938974" flipH="1">
          <a:off x="-445876" y="4697466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1</xdr:col>
      <xdr:colOff>91056</xdr:colOff>
      <xdr:row>81</xdr:row>
      <xdr:rowOff>96681</xdr:rowOff>
    </xdr:to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 txBox="1"/>
      </xdr:nvSpPr>
      <xdr:spPr>
        <a:xfrm rot="4938974" flipH="1">
          <a:off x="-374288" y="13661663"/>
          <a:ext cx="1411131" cy="662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6</xdr:col>
      <xdr:colOff>180975</xdr:colOff>
      <xdr:row>73</xdr:row>
      <xdr:rowOff>57150</xdr:rowOff>
    </xdr:from>
    <xdr:to>
      <xdr:col>7</xdr:col>
      <xdr:colOff>43431</xdr:colOff>
      <xdr:row>81</xdr:row>
      <xdr:rowOff>68106</xdr:rowOff>
    </xdr:to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 txBox="1"/>
      </xdr:nvSpPr>
      <xdr:spPr>
        <a:xfrm rot="4938974" flipH="1">
          <a:off x="3807187" y="13633088"/>
          <a:ext cx="1411131" cy="662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5/5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 txBox="1"/>
      </xdr:nvSpPr>
      <xdr:spPr>
        <a:xfrm rot="4938974">
          <a:off x="244477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70</xdr:row>
      <xdr:rowOff>0</xdr:rowOff>
    </xdr:from>
    <xdr:to>
      <xdr:col>0</xdr:col>
      <xdr:colOff>463120</xdr:colOff>
      <xdr:row>70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 txBox="1"/>
      </xdr:nvSpPr>
      <xdr:spPr>
        <a:xfrm rot="4938974">
          <a:off x="244477" y="16592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 txBox="1"/>
      </xdr:nvSpPr>
      <xdr:spPr>
        <a:xfrm rot="4938974">
          <a:off x="218644" y="16592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 txBox="1"/>
      </xdr:nvSpPr>
      <xdr:spPr>
        <a:xfrm rot="4938974">
          <a:off x="218644" y="16592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61</xdr:row>
      <xdr:rowOff>0</xdr:rowOff>
    </xdr:from>
    <xdr:to>
      <xdr:col>0</xdr:col>
      <xdr:colOff>537855</xdr:colOff>
      <xdr:row>61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 txBox="1"/>
      </xdr:nvSpPr>
      <xdr:spPr>
        <a:xfrm rot="4938974">
          <a:off x="281698" y="150981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 txBox="1"/>
      </xdr:nvSpPr>
      <xdr:spPr>
        <a:xfrm rot="4938974">
          <a:off x="244477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 txBox="1"/>
      </xdr:nvSpPr>
      <xdr:spPr>
        <a:xfrm rot="4938974">
          <a:off x="218644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 txBox="1"/>
      </xdr:nvSpPr>
      <xdr:spPr>
        <a:xfrm rot="4938974">
          <a:off x="218644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 txBox="1"/>
      </xdr:nvSpPr>
      <xdr:spPr>
        <a:xfrm rot="4938974">
          <a:off x="218644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61</xdr:row>
      <xdr:rowOff>0</xdr:rowOff>
    </xdr:from>
    <xdr:to>
      <xdr:col>0</xdr:col>
      <xdr:colOff>463786</xdr:colOff>
      <xdr:row>61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 txBox="1"/>
      </xdr:nvSpPr>
      <xdr:spPr>
        <a:xfrm rot="4938974">
          <a:off x="245143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 txBox="1"/>
      </xdr:nvSpPr>
      <xdr:spPr>
        <a:xfrm rot="4938974" flipH="1">
          <a:off x="218644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 txBox="1"/>
      </xdr:nvSpPr>
      <xdr:spPr>
        <a:xfrm rot="4938974" flipH="1">
          <a:off x="218644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437287</xdr:colOff>
      <xdr:row>45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 txBox="1"/>
      </xdr:nvSpPr>
      <xdr:spPr>
        <a:xfrm rot="4938974">
          <a:off x="218644" y="11459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437287</xdr:colOff>
      <xdr:row>53</xdr:row>
      <xdr:rowOff>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 txBox="1"/>
      </xdr:nvSpPr>
      <xdr:spPr>
        <a:xfrm rot="4938974" flipH="1">
          <a:off x="-467156" y="121448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140444</xdr:colOff>
      <xdr:row>1</xdr:row>
      <xdr:rowOff>76292</xdr:rowOff>
    </xdr:from>
    <xdr:to>
      <xdr:col>1</xdr:col>
      <xdr:colOff>6231</xdr:colOff>
      <xdr:row>11</xdr:row>
      <xdr:rowOff>221076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SpPr txBox="1"/>
      </xdr:nvSpPr>
      <xdr:spPr>
        <a:xfrm rot="4938974" flipH="1">
          <a:off x="-280042" y="801578"/>
          <a:ext cx="127825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61</xdr:row>
      <xdr:rowOff>0</xdr:rowOff>
    </xdr:from>
    <xdr:to>
      <xdr:col>0</xdr:col>
      <xdr:colOff>543418</xdr:colOff>
      <xdr:row>61</xdr:row>
      <xdr:rowOff>0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SpPr txBox="1"/>
      </xdr:nvSpPr>
      <xdr:spPr>
        <a:xfrm rot="4938974" flipH="1">
          <a:off x="324775" y="151356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105795</xdr:colOff>
      <xdr:row>27</xdr:row>
      <xdr:rowOff>78620</xdr:rowOff>
    </xdr:from>
    <xdr:to>
      <xdr:col>0</xdr:col>
      <xdr:colOff>543082</xdr:colOff>
      <xdr:row>37</xdr:row>
      <xdr:rowOff>0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SpPr txBox="1"/>
      </xdr:nvSpPr>
      <xdr:spPr>
        <a:xfrm rot="4938974" flipH="1">
          <a:off x="-445876" y="8459841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105795</xdr:colOff>
      <xdr:row>9</xdr:row>
      <xdr:rowOff>78620</xdr:rowOff>
    </xdr:from>
    <xdr:to>
      <xdr:col>0</xdr:col>
      <xdr:colOff>543082</xdr:colOff>
      <xdr:row>19</xdr:row>
      <xdr:rowOff>0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SpPr txBox="1"/>
      </xdr:nvSpPr>
      <xdr:spPr>
        <a:xfrm rot="4938974" flipH="1">
          <a:off x="-445876" y="4697466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69</xdr:row>
      <xdr:rowOff>0</xdr:rowOff>
    </xdr:from>
    <xdr:to>
      <xdr:col>0</xdr:col>
      <xdr:colOff>463120</xdr:colOff>
      <xdr:row>69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 txBox="1"/>
      </xdr:nvSpPr>
      <xdr:spPr>
        <a:xfrm rot="4938974">
          <a:off x="244477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78</xdr:row>
      <xdr:rowOff>0</xdr:rowOff>
    </xdr:from>
    <xdr:to>
      <xdr:col>0</xdr:col>
      <xdr:colOff>463120</xdr:colOff>
      <xdr:row>78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 txBox="1"/>
      </xdr:nvSpPr>
      <xdr:spPr>
        <a:xfrm rot="4938974">
          <a:off x="244477" y="11468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 txBox="1"/>
      </xdr:nvSpPr>
      <xdr:spPr>
        <a:xfrm rot="4938974">
          <a:off x="218644" y="11468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 txBox="1"/>
      </xdr:nvSpPr>
      <xdr:spPr>
        <a:xfrm rot="4938974">
          <a:off x="218644" y="11468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69</xdr:row>
      <xdr:rowOff>0</xdr:rowOff>
    </xdr:from>
    <xdr:to>
      <xdr:col>0</xdr:col>
      <xdr:colOff>537855</xdr:colOff>
      <xdr:row>69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 txBox="1"/>
      </xdr:nvSpPr>
      <xdr:spPr>
        <a:xfrm rot="4938974">
          <a:off x="281698" y="99736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69</xdr:row>
      <xdr:rowOff>0</xdr:rowOff>
    </xdr:from>
    <xdr:to>
      <xdr:col>0</xdr:col>
      <xdr:colOff>463120</xdr:colOff>
      <xdr:row>69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 txBox="1"/>
      </xdr:nvSpPr>
      <xdr:spPr>
        <a:xfrm rot="4938974">
          <a:off x="244477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 txBox="1"/>
      </xdr:nvSpPr>
      <xdr:spPr>
        <a:xfrm rot="4938974">
          <a:off x="218644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 txBox="1"/>
      </xdr:nvSpPr>
      <xdr:spPr>
        <a:xfrm rot="4938974">
          <a:off x="218644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 txBox="1"/>
      </xdr:nvSpPr>
      <xdr:spPr>
        <a:xfrm rot="4938974">
          <a:off x="218644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69</xdr:row>
      <xdr:rowOff>0</xdr:rowOff>
    </xdr:from>
    <xdr:to>
      <xdr:col>0</xdr:col>
      <xdr:colOff>463786</xdr:colOff>
      <xdr:row>69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 txBox="1"/>
      </xdr:nvSpPr>
      <xdr:spPr>
        <a:xfrm rot="4938974">
          <a:off x="245143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 txBox="1"/>
      </xdr:nvSpPr>
      <xdr:spPr>
        <a:xfrm rot="4938974" flipH="1">
          <a:off x="218644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 txBox="1"/>
      </xdr:nvSpPr>
      <xdr:spPr>
        <a:xfrm rot="4938974" flipH="1">
          <a:off x="218644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437287</xdr:colOff>
      <xdr:row>53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 txBox="1"/>
      </xdr:nvSpPr>
      <xdr:spPr>
        <a:xfrm rot="4938974">
          <a:off x="218644" y="7306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 txBox="1"/>
      </xdr:nvSpPr>
      <xdr:spPr>
        <a:xfrm rot="4938974" flipH="1">
          <a:off x="-467156" y="79919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99514</xdr:colOff>
      <xdr:row>2</xdr:row>
      <xdr:rowOff>3188</xdr:rowOff>
    </xdr:from>
    <xdr:to>
      <xdr:col>0</xdr:col>
      <xdr:colOff>489287</xdr:colOff>
      <xdr:row>10</xdr:row>
      <xdr:rowOff>146336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SpPr txBox="1"/>
      </xdr:nvSpPr>
      <xdr:spPr>
        <a:xfrm rot="4938974" flipH="1">
          <a:off x="-462973" y="956200"/>
          <a:ext cx="1514748" cy="38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69</xdr:row>
      <xdr:rowOff>0</xdr:rowOff>
    </xdr:from>
    <xdr:to>
      <xdr:col>0</xdr:col>
      <xdr:colOff>543418</xdr:colOff>
      <xdr:row>69</xdr:row>
      <xdr:rowOff>0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SpPr txBox="1"/>
      </xdr:nvSpPr>
      <xdr:spPr>
        <a:xfrm rot="4938974" flipH="1">
          <a:off x="324775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105795</xdr:colOff>
      <xdr:row>35</xdr:row>
      <xdr:rowOff>78620</xdr:rowOff>
    </xdr:from>
    <xdr:to>
      <xdr:col>0</xdr:col>
      <xdr:colOff>543082</xdr:colOff>
      <xdr:row>45</xdr:row>
      <xdr:rowOff>0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SpPr txBox="1"/>
      </xdr:nvSpPr>
      <xdr:spPr>
        <a:xfrm rot="4938974" flipH="1">
          <a:off x="-445876" y="5278491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105795</xdr:colOff>
      <xdr:row>18</xdr:row>
      <xdr:rowOff>78620</xdr:rowOff>
    </xdr:from>
    <xdr:to>
      <xdr:col>0</xdr:col>
      <xdr:colOff>543082</xdr:colOff>
      <xdr:row>28</xdr:row>
      <xdr:rowOff>0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SpPr txBox="1"/>
      </xdr:nvSpPr>
      <xdr:spPr>
        <a:xfrm rot="4938974" flipH="1">
          <a:off x="-445876" y="2325741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88</xdr:row>
      <xdr:rowOff>0</xdr:rowOff>
    </xdr:from>
    <xdr:to>
      <xdr:col>0</xdr:col>
      <xdr:colOff>463120</xdr:colOff>
      <xdr:row>88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 rot="4938974">
          <a:off x="244477" y="11840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97</xdr:row>
      <xdr:rowOff>0</xdr:rowOff>
    </xdr:from>
    <xdr:to>
      <xdr:col>0</xdr:col>
      <xdr:colOff>463120</xdr:colOff>
      <xdr:row>97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 rot="4938974">
          <a:off x="244477" y="13297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437287</xdr:colOff>
      <xdr:row>97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 rot="4938974">
          <a:off x="218644" y="13297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437287</xdr:colOff>
      <xdr:row>97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 rot="4938974">
          <a:off x="218644" y="13297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88</xdr:row>
      <xdr:rowOff>0</xdr:rowOff>
    </xdr:from>
    <xdr:to>
      <xdr:col>0</xdr:col>
      <xdr:colOff>537855</xdr:colOff>
      <xdr:row>88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 rot="4938974">
          <a:off x="281698" y="118024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88</xdr:row>
      <xdr:rowOff>0</xdr:rowOff>
    </xdr:from>
    <xdr:to>
      <xdr:col>0</xdr:col>
      <xdr:colOff>463120</xdr:colOff>
      <xdr:row>88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 rot="4938974">
          <a:off x="244477" y="11840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 rot="4938974">
          <a:off x="218644" y="11840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 rot="4938974">
          <a:off x="218644" y="11840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 rot="4938974">
          <a:off x="218644" y="11840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88</xdr:row>
      <xdr:rowOff>0</xdr:rowOff>
    </xdr:from>
    <xdr:to>
      <xdr:col>0</xdr:col>
      <xdr:colOff>463786</xdr:colOff>
      <xdr:row>88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 rot="4938974">
          <a:off x="245143" y="11840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 rot="4938974" flipH="1">
          <a:off x="218644" y="11840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 rot="4938974" flipH="1">
          <a:off x="218644" y="11840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20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 rot="4938974">
          <a:off x="218644" y="3124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28</xdr:row>
      <xdr:rowOff>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 rot="4938974" flipH="1">
          <a:off x="-467156" y="38104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10</xdr:row>
      <xdr:rowOff>3416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 rot="4938974" flipH="1">
          <a:off x="-379627" y="856289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119658</xdr:colOff>
      <xdr:row>72</xdr:row>
      <xdr:rowOff>77689</xdr:rowOff>
    </xdr:from>
    <xdr:to>
      <xdr:col>0</xdr:col>
      <xdr:colOff>556945</xdr:colOff>
      <xdr:row>83</xdr:row>
      <xdr:rowOff>0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 rot="4938974" flipH="1">
          <a:off x="-513441" y="9835738"/>
          <a:ext cx="170348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85401</xdr:colOff>
      <xdr:row>54</xdr:row>
      <xdr:rowOff>79988</xdr:rowOff>
    </xdr:from>
    <xdr:to>
      <xdr:col>0</xdr:col>
      <xdr:colOff>522688</xdr:colOff>
      <xdr:row>62</xdr:row>
      <xdr:rowOff>62047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 rot="4938974" flipH="1">
          <a:off x="-334685" y="6691324"/>
          <a:ext cx="127745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37</xdr:row>
      <xdr:rowOff>78598</xdr:rowOff>
    </xdr:from>
    <xdr:to>
      <xdr:col>0</xdr:col>
      <xdr:colOff>543418</xdr:colOff>
      <xdr:row>47</xdr:row>
      <xdr:rowOff>46884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 rot="4938974" flipH="1">
          <a:off x="-468993" y="6844972"/>
          <a:ext cx="158753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69</xdr:row>
      <xdr:rowOff>0</xdr:rowOff>
    </xdr:from>
    <xdr:to>
      <xdr:col>0</xdr:col>
      <xdr:colOff>463120</xdr:colOff>
      <xdr:row>69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 rot="4938974">
          <a:off x="244477" y="14268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78</xdr:row>
      <xdr:rowOff>0</xdr:rowOff>
    </xdr:from>
    <xdr:to>
      <xdr:col>0</xdr:col>
      <xdr:colOff>463120</xdr:colOff>
      <xdr:row>78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 rot="4938974">
          <a:off x="244477" y="15726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 rot="4938974">
          <a:off x="218644" y="15726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 rot="4938974">
          <a:off x="218644" y="15726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69</xdr:row>
      <xdr:rowOff>0</xdr:rowOff>
    </xdr:from>
    <xdr:to>
      <xdr:col>0</xdr:col>
      <xdr:colOff>537855</xdr:colOff>
      <xdr:row>69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 rot="4938974">
          <a:off x="281698" y="142313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69</xdr:row>
      <xdr:rowOff>0</xdr:rowOff>
    </xdr:from>
    <xdr:to>
      <xdr:col>0</xdr:col>
      <xdr:colOff>463120</xdr:colOff>
      <xdr:row>69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 rot="4938974">
          <a:off x="244477" y="14268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 rot="4938974">
          <a:off x="218644" y="14268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 rot="4938974">
          <a:off x="218644" y="14268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 rot="4938974">
          <a:off x="218644" y="14268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69</xdr:row>
      <xdr:rowOff>0</xdr:rowOff>
    </xdr:from>
    <xdr:to>
      <xdr:col>0</xdr:col>
      <xdr:colOff>463786</xdr:colOff>
      <xdr:row>69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 txBox="1"/>
      </xdr:nvSpPr>
      <xdr:spPr>
        <a:xfrm rot="4938974">
          <a:off x="245143" y="14268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 txBox="1"/>
      </xdr:nvSpPr>
      <xdr:spPr>
        <a:xfrm rot="4938974" flipH="1">
          <a:off x="218644" y="14268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 txBox="1"/>
      </xdr:nvSpPr>
      <xdr:spPr>
        <a:xfrm rot="4938974" flipH="1">
          <a:off x="218644" y="14268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19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 txBox="1"/>
      </xdr:nvSpPr>
      <xdr:spPr>
        <a:xfrm rot="4938974">
          <a:off x="218644" y="3124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27</xdr:row>
      <xdr:rowOff>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 txBox="1"/>
      </xdr:nvSpPr>
      <xdr:spPr>
        <a:xfrm rot="4938974" flipH="1">
          <a:off x="-467156" y="38104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10</xdr:row>
      <xdr:rowOff>3416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SpPr txBox="1"/>
      </xdr:nvSpPr>
      <xdr:spPr>
        <a:xfrm rot="4938974" flipH="1">
          <a:off x="-379627" y="856289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85401</xdr:colOff>
      <xdr:row>52</xdr:row>
      <xdr:rowOff>79988</xdr:rowOff>
    </xdr:from>
    <xdr:to>
      <xdr:col>0</xdr:col>
      <xdr:colOff>522688</xdr:colOff>
      <xdr:row>60</xdr:row>
      <xdr:rowOff>62047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 txBox="1"/>
      </xdr:nvSpPr>
      <xdr:spPr>
        <a:xfrm rot="4938974" flipH="1">
          <a:off x="-334685" y="9463099"/>
          <a:ext cx="127745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35</xdr:row>
      <xdr:rowOff>78598</xdr:rowOff>
    </xdr:from>
    <xdr:to>
      <xdr:col>0</xdr:col>
      <xdr:colOff>543418</xdr:colOff>
      <xdr:row>45</xdr:row>
      <xdr:rowOff>46884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 txBox="1"/>
      </xdr:nvSpPr>
      <xdr:spPr>
        <a:xfrm rot="4938974" flipH="1">
          <a:off x="-468993" y="6844972"/>
          <a:ext cx="158753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70</xdr:row>
      <xdr:rowOff>0</xdr:rowOff>
    </xdr:from>
    <xdr:to>
      <xdr:col>0</xdr:col>
      <xdr:colOff>463120</xdr:colOff>
      <xdr:row>70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 rot="4938974">
          <a:off x="244477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79</xdr:row>
      <xdr:rowOff>0</xdr:rowOff>
    </xdr:from>
    <xdr:to>
      <xdr:col>0</xdr:col>
      <xdr:colOff>463120</xdr:colOff>
      <xdr:row>79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 rot="4938974">
          <a:off x="244477" y="1270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 rot="4938974">
          <a:off x="218644" y="1270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 rot="4938974">
          <a:off x="218644" y="1270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70</xdr:row>
      <xdr:rowOff>0</xdr:rowOff>
    </xdr:from>
    <xdr:to>
      <xdr:col>0</xdr:col>
      <xdr:colOff>537855</xdr:colOff>
      <xdr:row>70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 rot="4938974">
          <a:off x="281698" y="112119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70</xdr:row>
      <xdr:rowOff>0</xdr:rowOff>
    </xdr:from>
    <xdr:to>
      <xdr:col>0</xdr:col>
      <xdr:colOff>463120</xdr:colOff>
      <xdr:row>70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 rot="4938974">
          <a:off x="244477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 rot="4938974">
          <a:off x="218644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 rot="4938974">
          <a:off x="218644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 rot="4938974">
          <a:off x="218644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70</xdr:row>
      <xdr:rowOff>0</xdr:rowOff>
    </xdr:from>
    <xdr:to>
      <xdr:col>0</xdr:col>
      <xdr:colOff>463786</xdr:colOff>
      <xdr:row>70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 rot="4938974">
          <a:off x="245143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 rot="4938974" flipH="1">
          <a:off x="218644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 rot="4938974" flipH="1">
          <a:off x="218644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19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 rot="4938974">
          <a:off x="218644" y="2962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27</xdr:row>
      <xdr:rowOff>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 rot="4938974" flipH="1">
          <a:off x="-467156" y="36485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10</xdr:row>
      <xdr:rowOff>3416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 rot="4938974" flipH="1">
          <a:off x="-379627" y="856289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85401</xdr:colOff>
      <xdr:row>53</xdr:row>
      <xdr:rowOff>79988</xdr:rowOff>
    </xdr:from>
    <xdr:to>
      <xdr:col>0</xdr:col>
      <xdr:colOff>522688</xdr:colOff>
      <xdr:row>61</xdr:row>
      <xdr:rowOff>62047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 rot="4938974" flipH="1">
          <a:off x="-334685" y="9177349"/>
          <a:ext cx="127745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35</xdr:row>
      <xdr:rowOff>78598</xdr:rowOff>
    </xdr:from>
    <xdr:to>
      <xdr:col>0</xdr:col>
      <xdr:colOff>543418</xdr:colOff>
      <xdr:row>45</xdr:row>
      <xdr:rowOff>46884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/>
      </xdr:nvSpPr>
      <xdr:spPr>
        <a:xfrm rot="4938974" flipH="1">
          <a:off x="-468993" y="6540172"/>
          <a:ext cx="158753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/>
      </xdr:nvSpPr>
      <xdr:spPr>
        <a:xfrm rot="4938974">
          <a:off x="244477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93</xdr:row>
      <xdr:rowOff>0</xdr:rowOff>
    </xdr:from>
    <xdr:to>
      <xdr:col>0</xdr:col>
      <xdr:colOff>463120</xdr:colOff>
      <xdr:row>93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 rot="4938974">
          <a:off x="244477" y="12868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/>
      </xdr:nvSpPr>
      <xdr:spPr>
        <a:xfrm rot="4938974">
          <a:off x="218644" y="12868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/>
      </xdr:nvSpPr>
      <xdr:spPr>
        <a:xfrm rot="4938974">
          <a:off x="218644" y="12868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84</xdr:row>
      <xdr:rowOff>0</xdr:rowOff>
    </xdr:from>
    <xdr:to>
      <xdr:col>0</xdr:col>
      <xdr:colOff>537855</xdr:colOff>
      <xdr:row>84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 rot="4938974">
          <a:off x="281698" y="113738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 rot="4938974">
          <a:off x="244477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 txBox="1"/>
      </xdr:nvSpPr>
      <xdr:spPr>
        <a:xfrm rot="4938974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 txBox="1"/>
      </xdr:nvSpPr>
      <xdr:spPr>
        <a:xfrm rot="4938974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 txBox="1"/>
      </xdr:nvSpPr>
      <xdr:spPr>
        <a:xfrm rot="4938974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84</xdr:row>
      <xdr:rowOff>0</xdr:rowOff>
    </xdr:from>
    <xdr:to>
      <xdr:col>0</xdr:col>
      <xdr:colOff>463786</xdr:colOff>
      <xdr:row>84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 txBox="1"/>
      </xdr:nvSpPr>
      <xdr:spPr>
        <a:xfrm rot="4938974">
          <a:off x="245143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/>
      </xdr:nvSpPr>
      <xdr:spPr>
        <a:xfrm rot="4938974" flipH="1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 txBox="1"/>
      </xdr:nvSpPr>
      <xdr:spPr>
        <a:xfrm rot="4938974" flipH="1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437287</xdr:colOff>
      <xdr:row>36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 txBox="1"/>
      </xdr:nvSpPr>
      <xdr:spPr>
        <a:xfrm rot="4938974">
          <a:off x="218644" y="2962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437287</xdr:colOff>
      <xdr:row>44</xdr:row>
      <xdr:rowOff>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 txBox="1"/>
      </xdr:nvSpPr>
      <xdr:spPr>
        <a:xfrm rot="4938974" flipH="1">
          <a:off x="-467156" y="36485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10</xdr:row>
      <xdr:rowOff>3416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 txBox="1"/>
      </xdr:nvSpPr>
      <xdr:spPr>
        <a:xfrm rot="4938974" flipH="1">
          <a:off x="-379627" y="856289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85401</xdr:colOff>
      <xdr:row>69</xdr:row>
      <xdr:rowOff>79988</xdr:rowOff>
    </xdr:from>
    <xdr:to>
      <xdr:col>0</xdr:col>
      <xdr:colOff>522688</xdr:colOff>
      <xdr:row>77</xdr:row>
      <xdr:rowOff>62047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 txBox="1"/>
      </xdr:nvSpPr>
      <xdr:spPr>
        <a:xfrm rot="4938974" flipH="1">
          <a:off x="-334685" y="9339274"/>
          <a:ext cx="127745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52</xdr:row>
      <xdr:rowOff>78598</xdr:rowOff>
    </xdr:from>
    <xdr:to>
      <xdr:col>0</xdr:col>
      <xdr:colOff>543418</xdr:colOff>
      <xdr:row>62</xdr:row>
      <xdr:rowOff>46884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 txBox="1"/>
      </xdr:nvSpPr>
      <xdr:spPr>
        <a:xfrm rot="4938974" flipH="1">
          <a:off x="-468993" y="6540172"/>
          <a:ext cx="158753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105795</xdr:colOff>
      <xdr:row>18</xdr:row>
      <xdr:rowOff>78620</xdr:rowOff>
    </xdr:from>
    <xdr:to>
      <xdr:col>0</xdr:col>
      <xdr:colOff>543082</xdr:colOff>
      <xdr:row>28</xdr:row>
      <xdr:rowOff>41888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 txBox="1"/>
      </xdr:nvSpPr>
      <xdr:spPr>
        <a:xfrm rot="4938974" flipH="1">
          <a:off x="-466820" y="3746860"/>
          <a:ext cx="158251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69</xdr:row>
      <xdr:rowOff>0</xdr:rowOff>
    </xdr:from>
    <xdr:to>
      <xdr:col>0</xdr:col>
      <xdr:colOff>463120</xdr:colOff>
      <xdr:row>69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 rot="4938974">
          <a:off x="244477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78</xdr:row>
      <xdr:rowOff>0</xdr:rowOff>
    </xdr:from>
    <xdr:to>
      <xdr:col>0</xdr:col>
      <xdr:colOff>463120</xdr:colOff>
      <xdr:row>78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 rot="4938974">
          <a:off x="244477" y="15154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 rot="4938974">
          <a:off x="218644" y="15154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/>
      </xdr:nvSpPr>
      <xdr:spPr>
        <a:xfrm rot="4938974">
          <a:off x="218644" y="15154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69</xdr:row>
      <xdr:rowOff>0</xdr:rowOff>
    </xdr:from>
    <xdr:to>
      <xdr:col>0</xdr:col>
      <xdr:colOff>537855</xdr:colOff>
      <xdr:row>69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/>
      </xdr:nvSpPr>
      <xdr:spPr>
        <a:xfrm rot="4938974">
          <a:off x="281698" y="136598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69</xdr:row>
      <xdr:rowOff>0</xdr:rowOff>
    </xdr:from>
    <xdr:to>
      <xdr:col>0</xdr:col>
      <xdr:colOff>463120</xdr:colOff>
      <xdr:row>69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 rot="4938974">
          <a:off x="244477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/>
      </xdr:nvSpPr>
      <xdr:spPr>
        <a:xfrm rot="4938974">
          <a:off x="218644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/>
      </xdr:nvSpPr>
      <xdr:spPr>
        <a:xfrm rot="4938974">
          <a:off x="218644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/>
      </xdr:nvSpPr>
      <xdr:spPr>
        <a:xfrm rot="4938974">
          <a:off x="218644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69</xdr:row>
      <xdr:rowOff>0</xdr:rowOff>
    </xdr:from>
    <xdr:to>
      <xdr:col>0</xdr:col>
      <xdr:colOff>463786</xdr:colOff>
      <xdr:row>69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/>
      </xdr:nvSpPr>
      <xdr:spPr>
        <a:xfrm rot="4938974">
          <a:off x="245143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/>
      </xdr:nvSpPr>
      <xdr:spPr>
        <a:xfrm rot="4938974" flipH="1">
          <a:off x="218644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 txBox="1"/>
      </xdr:nvSpPr>
      <xdr:spPr>
        <a:xfrm rot="4938974" flipH="1">
          <a:off x="218644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437287</xdr:colOff>
      <xdr:row>36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 txBox="1"/>
      </xdr:nvSpPr>
      <xdr:spPr>
        <a:xfrm rot="4938974">
          <a:off x="218644" y="5753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437287</xdr:colOff>
      <xdr:row>44</xdr:row>
      <xdr:rowOff>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SpPr txBox="1"/>
      </xdr:nvSpPr>
      <xdr:spPr>
        <a:xfrm rot="4938974" flipH="1">
          <a:off x="-467156" y="64393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11</xdr:row>
      <xdr:rowOff>3416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SpPr txBox="1"/>
      </xdr:nvSpPr>
      <xdr:spPr>
        <a:xfrm rot="4938974" flipH="1">
          <a:off x="-379627" y="856289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52</xdr:row>
      <xdr:rowOff>78598</xdr:rowOff>
    </xdr:from>
    <xdr:to>
      <xdr:col>0</xdr:col>
      <xdr:colOff>543418</xdr:colOff>
      <xdr:row>63</xdr:row>
      <xdr:rowOff>0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SpPr txBox="1"/>
      </xdr:nvSpPr>
      <xdr:spPr>
        <a:xfrm rot="4938974" flipH="1">
          <a:off x="-468993" y="9330997"/>
          <a:ext cx="158753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105795</xdr:colOff>
      <xdr:row>18</xdr:row>
      <xdr:rowOff>78620</xdr:rowOff>
    </xdr:from>
    <xdr:to>
      <xdr:col>0</xdr:col>
      <xdr:colOff>543082</xdr:colOff>
      <xdr:row>28</xdr:row>
      <xdr:rowOff>0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SpPr txBox="1"/>
      </xdr:nvSpPr>
      <xdr:spPr>
        <a:xfrm rot="4938974" flipH="1">
          <a:off x="-466820" y="3746860"/>
          <a:ext cx="158251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94</xdr:row>
      <xdr:rowOff>0</xdr:rowOff>
    </xdr:from>
    <xdr:to>
      <xdr:col>0</xdr:col>
      <xdr:colOff>463120</xdr:colOff>
      <xdr:row>94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 rot="4938974">
          <a:off x="244477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103</xdr:row>
      <xdr:rowOff>0</xdr:rowOff>
    </xdr:from>
    <xdr:to>
      <xdr:col>0</xdr:col>
      <xdr:colOff>463120</xdr:colOff>
      <xdr:row>103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 rot="4938974">
          <a:off x="244477" y="1270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437287</xdr:colOff>
      <xdr:row>103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 rot="4938974">
          <a:off x="218644" y="1270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437287</xdr:colOff>
      <xdr:row>103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/>
      </xdr:nvSpPr>
      <xdr:spPr>
        <a:xfrm rot="4938974">
          <a:off x="218644" y="12706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94</xdr:row>
      <xdr:rowOff>0</xdr:rowOff>
    </xdr:from>
    <xdr:to>
      <xdr:col>0</xdr:col>
      <xdr:colOff>537855</xdr:colOff>
      <xdr:row>94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 rot="4938974">
          <a:off x="281698" y="112119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94</xdr:row>
      <xdr:rowOff>0</xdr:rowOff>
    </xdr:from>
    <xdr:to>
      <xdr:col>0</xdr:col>
      <xdr:colOff>463120</xdr:colOff>
      <xdr:row>94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 rot="4938974">
          <a:off x="244477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437287</xdr:colOff>
      <xdr:row>94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/>
      </xdr:nvSpPr>
      <xdr:spPr>
        <a:xfrm rot="4938974">
          <a:off x="218644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437287</xdr:colOff>
      <xdr:row>94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/>
      </xdr:nvSpPr>
      <xdr:spPr>
        <a:xfrm rot="4938974">
          <a:off x="218644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437287</xdr:colOff>
      <xdr:row>94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/>
      </xdr:nvSpPr>
      <xdr:spPr>
        <a:xfrm rot="4938974">
          <a:off x="218644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94</xdr:row>
      <xdr:rowOff>0</xdr:rowOff>
    </xdr:from>
    <xdr:to>
      <xdr:col>0</xdr:col>
      <xdr:colOff>463786</xdr:colOff>
      <xdr:row>94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/>
      </xdr:nvSpPr>
      <xdr:spPr>
        <a:xfrm rot="4938974">
          <a:off x="245143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437287</xdr:colOff>
      <xdr:row>94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/>
      </xdr:nvSpPr>
      <xdr:spPr>
        <a:xfrm rot="4938974" flipH="1">
          <a:off x="218644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437287</xdr:colOff>
      <xdr:row>94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/>
      </xdr:nvSpPr>
      <xdr:spPr>
        <a:xfrm rot="4938974" flipH="1">
          <a:off x="218644" y="112494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437287</xdr:colOff>
      <xdr:row>57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/>
      </xdr:nvSpPr>
      <xdr:spPr>
        <a:xfrm rot="4938974">
          <a:off x="218644" y="5753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/>
      </xdr:nvSpPr>
      <xdr:spPr>
        <a:xfrm rot="4938974" flipH="1">
          <a:off x="-467156" y="64393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12</xdr:row>
      <xdr:rowOff>3416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/>
      </xdr:nvSpPr>
      <xdr:spPr>
        <a:xfrm rot="4938974" flipH="1">
          <a:off x="-460589" y="937251"/>
          <a:ext cx="1543142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75</xdr:row>
      <xdr:rowOff>78598</xdr:rowOff>
    </xdr:from>
    <xdr:to>
      <xdr:col>0</xdr:col>
      <xdr:colOff>543418</xdr:colOff>
      <xdr:row>90</xdr:row>
      <xdr:rowOff>0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/>
      </xdr:nvSpPr>
      <xdr:spPr>
        <a:xfrm rot="4938974" flipH="1">
          <a:off x="-531276" y="9393280"/>
          <a:ext cx="1712102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105795</xdr:colOff>
      <xdr:row>37</xdr:row>
      <xdr:rowOff>78620</xdr:rowOff>
    </xdr:from>
    <xdr:to>
      <xdr:col>0</xdr:col>
      <xdr:colOff>543082</xdr:colOff>
      <xdr:row>47</xdr:row>
      <xdr:rowOff>0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/>
      </xdr:nvSpPr>
      <xdr:spPr>
        <a:xfrm rot="4938974" flipH="1">
          <a:off x="-445876" y="3725916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105795</xdr:colOff>
      <xdr:row>19</xdr:row>
      <xdr:rowOff>78620</xdr:rowOff>
    </xdr:from>
    <xdr:to>
      <xdr:col>0</xdr:col>
      <xdr:colOff>543082</xdr:colOff>
      <xdr:row>29</xdr:row>
      <xdr:rowOff>0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/>
      </xdr:nvSpPr>
      <xdr:spPr>
        <a:xfrm rot="4938974" flipH="1">
          <a:off x="-445876" y="6478641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92</xdr:row>
      <xdr:rowOff>0</xdr:rowOff>
    </xdr:from>
    <xdr:to>
      <xdr:col>0</xdr:col>
      <xdr:colOff>463120</xdr:colOff>
      <xdr:row>92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 rot="4938974">
          <a:off x="244477" y="1531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101</xdr:row>
      <xdr:rowOff>0</xdr:rowOff>
    </xdr:from>
    <xdr:to>
      <xdr:col>0</xdr:col>
      <xdr:colOff>463120</xdr:colOff>
      <xdr:row>101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/>
      </xdr:nvSpPr>
      <xdr:spPr>
        <a:xfrm rot="4938974">
          <a:off x="244477" y="16773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437287</xdr:colOff>
      <xdr:row>101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 txBox="1"/>
      </xdr:nvSpPr>
      <xdr:spPr>
        <a:xfrm rot="4938974">
          <a:off x="218644" y="16773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437287</xdr:colOff>
      <xdr:row>101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 txBox="1"/>
      </xdr:nvSpPr>
      <xdr:spPr>
        <a:xfrm rot="4938974">
          <a:off x="218644" y="16773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92</xdr:row>
      <xdr:rowOff>0</xdr:rowOff>
    </xdr:from>
    <xdr:to>
      <xdr:col>0</xdr:col>
      <xdr:colOff>537855</xdr:colOff>
      <xdr:row>92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 txBox="1"/>
      </xdr:nvSpPr>
      <xdr:spPr>
        <a:xfrm rot="4938974">
          <a:off x="281698" y="152791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92</xdr:row>
      <xdr:rowOff>0</xdr:rowOff>
    </xdr:from>
    <xdr:to>
      <xdr:col>0</xdr:col>
      <xdr:colOff>463120</xdr:colOff>
      <xdr:row>92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 txBox="1"/>
      </xdr:nvSpPr>
      <xdr:spPr>
        <a:xfrm rot="4938974">
          <a:off x="244477" y="1531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437287</xdr:colOff>
      <xdr:row>92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 txBox="1"/>
      </xdr:nvSpPr>
      <xdr:spPr>
        <a:xfrm rot="4938974">
          <a:off x="218644" y="1531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437287</xdr:colOff>
      <xdr:row>92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 txBox="1"/>
      </xdr:nvSpPr>
      <xdr:spPr>
        <a:xfrm rot="4938974">
          <a:off x="218644" y="1531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437287</xdr:colOff>
      <xdr:row>92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 txBox="1"/>
      </xdr:nvSpPr>
      <xdr:spPr>
        <a:xfrm rot="4938974">
          <a:off x="218644" y="1531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92</xdr:row>
      <xdr:rowOff>0</xdr:rowOff>
    </xdr:from>
    <xdr:to>
      <xdr:col>0</xdr:col>
      <xdr:colOff>463786</xdr:colOff>
      <xdr:row>92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 txBox="1"/>
      </xdr:nvSpPr>
      <xdr:spPr>
        <a:xfrm rot="4938974">
          <a:off x="245143" y="1531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437287</xdr:colOff>
      <xdr:row>92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 txBox="1"/>
      </xdr:nvSpPr>
      <xdr:spPr>
        <a:xfrm rot="4938974" flipH="1">
          <a:off x="218644" y="1531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437287</xdr:colOff>
      <xdr:row>92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 txBox="1"/>
      </xdr:nvSpPr>
      <xdr:spPr>
        <a:xfrm rot="4938974" flipH="1">
          <a:off x="218644" y="1531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 txBox="1"/>
      </xdr:nvSpPr>
      <xdr:spPr>
        <a:xfrm rot="4938974">
          <a:off x="218644" y="9192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 txBox="1"/>
      </xdr:nvSpPr>
      <xdr:spPr>
        <a:xfrm rot="4938974" flipH="1">
          <a:off x="-467156" y="98778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16</xdr:row>
      <xdr:rowOff>3416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SpPr txBox="1"/>
      </xdr:nvSpPr>
      <xdr:spPr>
        <a:xfrm rot="4938974" flipH="1">
          <a:off x="-541552" y="1018214"/>
          <a:ext cx="170506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92</xdr:row>
      <xdr:rowOff>0</xdr:rowOff>
    </xdr:from>
    <xdr:to>
      <xdr:col>0</xdr:col>
      <xdr:colOff>543418</xdr:colOff>
      <xdr:row>92</xdr:row>
      <xdr:rowOff>0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 txBox="1"/>
      </xdr:nvSpPr>
      <xdr:spPr>
        <a:xfrm rot="4938974" flipH="1">
          <a:off x="-855126" y="13479505"/>
          <a:ext cx="2359802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105795</xdr:colOff>
      <xdr:row>46</xdr:row>
      <xdr:rowOff>78620</xdr:rowOff>
    </xdr:from>
    <xdr:to>
      <xdr:col>0</xdr:col>
      <xdr:colOff>543082</xdr:colOff>
      <xdr:row>56</xdr:row>
      <xdr:rowOff>0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SpPr txBox="1"/>
      </xdr:nvSpPr>
      <xdr:spPr>
        <a:xfrm rot="4938974" flipH="1">
          <a:off x="-445876" y="6840591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105795</xdr:colOff>
      <xdr:row>23</xdr:row>
      <xdr:rowOff>78620</xdr:rowOff>
    </xdr:from>
    <xdr:to>
      <xdr:col>0</xdr:col>
      <xdr:colOff>543082</xdr:colOff>
      <xdr:row>33</xdr:row>
      <xdr:rowOff>0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SpPr txBox="1"/>
      </xdr:nvSpPr>
      <xdr:spPr>
        <a:xfrm rot="4938974" flipH="1">
          <a:off x="-445876" y="3887841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93</xdr:row>
      <xdr:rowOff>0</xdr:rowOff>
    </xdr:from>
    <xdr:to>
      <xdr:col>0</xdr:col>
      <xdr:colOff>463120</xdr:colOff>
      <xdr:row>93</xdr:row>
      <xdr:rowOff>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/>
      </xdr:nvSpPr>
      <xdr:spPr>
        <a:xfrm rot="4938974">
          <a:off x="244477" y="14973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102</xdr:row>
      <xdr:rowOff>0</xdr:rowOff>
    </xdr:from>
    <xdr:to>
      <xdr:col>0</xdr:col>
      <xdr:colOff>463120</xdr:colOff>
      <xdr:row>102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 txBox="1"/>
      </xdr:nvSpPr>
      <xdr:spPr>
        <a:xfrm rot="4938974">
          <a:off x="244477" y="16431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437287</xdr:colOff>
      <xdr:row>102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 txBox="1"/>
      </xdr:nvSpPr>
      <xdr:spPr>
        <a:xfrm rot="4938974">
          <a:off x="218644" y="16431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437287</xdr:colOff>
      <xdr:row>102</xdr:row>
      <xdr:rowOff>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 txBox="1"/>
      </xdr:nvSpPr>
      <xdr:spPr>
        <a:xfrm rot="4938974">
          <a:off x="218644" y="16431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93</xdr:row>
      <xdr:rowOff>0</xdr:rowOff>
    </xdr:from>
    <xdr:to>
      <xdr:col>0</xdr:col>
      <xdr:colOff>537855</xdr:colOff>
      <xdr:row>93</xdr:row>
      <xdr:rowOff>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 txBox="1"/>
      </xdr:nvSpPr>
      <xdr:spPr>
        <a:xfrm rot="4938974">
          <a:off x="281698" y="149362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93</xdr:row>
      <xdr:rowOff>0</xdr:rowOff>
    </xdr:from>
    <xdr:to>
      <xdr:col>0</xdr:col>
      <xdr:colOff>463120</xdr:colOff>
      <xdr:row>93</xdr:row>
      <xdr:rowOff>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 txBox="1"/>
      </xdr:nvSpPr>
      <xdr:spPr>
        <a:xfrm rot="4938974">
          <a:off x="244477" y="14973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 txBox="1"/>
      </xdr:nvSpPr>
      <xdr:spPr>
        <a:xfrm rot="4938974">
          <a:off x="218644" y="14973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SpPr txBox="1"/>
      </xdr:nvSpPr>
      <xdr:spPr>
        <a:xfrm rot="4938974">
          <a:off x="218644" y="14973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 txBox="1"/>
      </xdr:nvSpPr>
      <xdr:spPr>
        <a:xfrm rot="4938974">
          <a:off x="218644" y="14973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93</xdr:row>
      <xdr:rowOff>0</xdr:rowOff>
    </xdr:from>
    <xdr:to>
      <xdr:col>0</xdr:col>
      <xdr:colOff>463786</xdr:colOff>
      <xdr:row>93</xdr:row>
      <xdr:rowOff>0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SpPr txBox="1"/>
      </xdr:nvSpPr>
      <xdr:spPr>
        <a:xfrm rot="4938974">
          <a:off x="245143" y="14973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SpPr txBox="1"/>
      </xdr:nvSpPr>
      <xdr:spPr>
        <a:xfrm rot="4938974" flipH="1">
          <a:off x="218644" y="14973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SpPr txBox="1"/>
      </xdr:nvSpPr>
      <xdr:spPr>
        <a:xfrm rot="4938974" flipH="1">
          <a:off x="218644" y="14973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SpPr txBox="1"/>
      </xdr:nvSpPr>
      <xdr:spPr>
        <a:xfrm rot="4938974">
          <a:off x="218644" y="11297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SpPr txBox="1"/>
      </xdr:nvSpPr>
      <xdr:spPr>
        <a:xfrm rot="4938974" flipH="1">
          <a:off x="-467156" y="119828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</xdr:row>
      <xdr:rowOff>79524</xdr:rowOff>
    </xdr:from>
    <xdr:to>
      <xdr:col>0</xdr:col>
      <xdr:colOff>529625</xdr:colOff>
      <xdr:row>17</xdr:row>
      <xdr:rowOff>3416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800-000016000000}"/>
            </a:ext>
          </a:extLst>
        </xdr:cNvPr>
        <xdr:cNvSpPr txBox="1"/>
      </xdr:nvSpPr>
      <xdr:spPr>
        <a:xfrm rot="4938974" flipH="1">
          <a:off x="-865402" y="1342064"/>
          <a:ext cx="235276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93</xdr:row>
      <xdr:rowOff>0</xdr:rowOff>
    </xdr:from>
    <xdr:to>
      <xdr:col>0</xdr:col>
      <xdr:colOff>543418</xdr:colOff>
      <xdr:row>93</xdr:row>
      <xdr:rowOff>0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800-000017000000}"/>
            </a:ext>
          </a:extLst>
        </xdr:cNvPr>
        <xdr:cNvSpPr txBox="1"/>
      </xdr:nvSpPr>
      <xdr:spPr>
        <a:xfrm rot="4938974" flipH="1">
          <a:off x="324775" y="14973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105795</xdr:colOff>
      <xdr:row>47</xdr:row>
      <xdr:rowOff>78620</xdr:rowOff>
    </xdr:from>
    <xdr:to>
      <xdr:col>0</xdr:col>
      <xdr:colOff>543082</xdr:colOff>
      <xdr:row>57</xdr:row>
      <xdr:rowOff>0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SpPr txBox="1"/>
      </xdr:nvSpPr>
      <xdr:spPr>
        <a:xfrm rot="4938974" flipH="1">
          <a:off x="-445876" y="8297916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105795</xdr:colOff>
      <xdr:row>24</xdr:row>
      <xdr:rowOff>78620</xdr:rowOff>
    </xdr:from>
    <xdr:to>
      <xdr:col>0</xdr:col>
      <xdr:colOff>543082</xdr:colOff>
      <xdr:row>34</xdr:row>
      <xdr:rowOff>0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800-000019000000}"/>
            </a:ext>
          </a:extLst>
        </xdr:cNvPr>
        <xdr:cNvSpPr txBox="1"/>
      </xdr:nvSpPr>
      <xdr:spPr>
        <a:xfrm rot="4938974" flipH="1">
          <a:off x="-445876" y="4535541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4" zoomScaleNormal="100" workbookViewId="0">
      <selection activeCell="E74" sqref="E74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93" t="s">
        <v>110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s="24" customFormat="1" ht="6.75" customHeight="1" x14ac:dyDescent="0.2">
      <c r="B2" s="25"/>
      <c r="C2" s="26"/>
      <c r="D2" s="26"/>
      <c r="E2" s="27"/>
      <c r="F2" s="53"/>
      <c r="G2" s="27"/>
      <c r="H2" s="27"/>
      <c r="I2" s="27"/>
    </row>
    <row r="3" spans="1:10" ht="19.5" customHeight="1" x14ac:dyDescent="0.2">
      <c r="A3" s="38"/>
      <c r="B3" s="20" t="s">
        <v>21</v>
      </c>
      <c r="C3" s="39" t="s">
        <v>17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394">
        <v>43894</v>
      </c>
      <c r="D4" s="395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396"/>
      <c r="F5" s="396"/>
      <c r="G5" s="3"/>
      <c r="H5" s="4"/>
      <c r="I5" s="4"/>
    </row>
    <row r="6" spans="1:10" s="128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6">
        <v>2041.71</v>
      </c>
      <c r="G7" s="56"/>
    </row>
    <row r="8" spans="1:10" x14ac:dyDescent="0.2">
      <c r="B8" s="36" t="s">
        <v>26</v>
      </c>
      <c r="C8" s="22" t="s">
        <v>24</v>
      </c>
      <c r="D8" s="41"/>
      <c r="E8" s="66">
        <v>905.13</v>
      </c>
      <c r="F8" s="59"/>
      <c r="G8" s="126"/>
      <c r="H8" s="45"/>
    </row>
    <row r="9" spans="1:10" x14ac:dyDescent="0.2">
      <c r="B9" s="36" t="s">
        <v>3</v>
      </c>
      <c r="C9" s="22" t="s">
        <v>12</v>
      </c>
      <c r="D9" s="41"/>
      <c r="E9" s="66">
        <v>1303.77</v>
      </c>
      <c r="F9" s="59"/>
      <c r="G9" s="127"/>
    </row>
    <row r="10" spans="1:10" x14ac:dyDescent="0.2">
      <c r="B10" s="13" t="s">
        <v>31</v>
      </c>
      <c r="C10" s="16" t="s">
        <v>11</v>
      </c>
      <c r="D10" s="42"/>
      <c r="E10" s="67">
        <v>1269.22</v>
      </c>
    </row>
    <row r="11" spans="1:10" x14ac:dyDescent="0.2">
      <c r="B11" s="68" t="s">
        <v>69</v>
      </c>
      <c r="C11" s="72" t="s">
        <v>30</v>
      </c>
      <c r="D11" s="69"/>
      <c r="E11" s="70">
        <v>990</v>
      </c>
      <c r="G11" s="56"/>
      <c r="I11" s="178"/>
      <c r="J11" s="178"/>
    </row>
    <row r="12" spans="1:10" x14ac:dyDescent="0.2">
      <c r="B12" s="68" t="s">
        <v>79</v>
      </c>
      <c r="C12" s="72" t="s">
        <v>80</v>
      </c>
      <c r="D12" s="69"/>
      <c r="E12" s="70">
        <v>1137.5</v>
      </c>
      <c r="G12" s="56"/>
      <c r="I12" s="178"/>
      <c r="J12" s="178"/>
    </row>
    <row r="13" spans="1:10" ht="13.5" thickBot="1" x14ac:dyDescent="0.25">
      <c r="B13" s="71" t="s">
        <v>100</v>
      </c>
      <c r="C13" s="73" t="s">
        <v>103</v>
      </c>
      <c r="D13" s="50"/>
      <c r="E13" s="29">
        <v>1237.5</v>
      </c>
      <c r="G13" s="166"/>
      <c r="I13" s="178"/>
      <c r="J13" s="178"/>
    </row>
    <row r="14" spans="1:10" s="4" customFormat="1" ht="13.5" thickBot="1" x14ac:dyDescent="0.25">
      <c r="B14" s="46"/>
      <c r="C14" s="47"/>
      <c r="D14" s="48"/>
      <c r="E14" s="49">
        <f>SUM(E7:E13)</f>
        <v>8884.8300000000017</v>
      </c>
      <c r="F14" s="58"/>
      <c r="G14" s="64"/>
    </row>
    <row r="15" spans="1:10" ht="13.5" thickBot="1" x14ac:dyDescent="0.25">
      <c r="B15" s="74" t="s">
        <v>29</v>
      </c>
      <c r="C15" s="75" t="s">
        <v>5</v>
      </c>
      <c r="D15" s="75"/>
      <c r="E15" s="76">
        <v>1125</v>
      </c>
    </row>
    <row r="16" spans="1:10" ht="13.5" thickBot="1" x14ac:dyDescent="0.25">
      <c r="B16" s="10"/>
      <c r="C16" s="28" t="s">
        <v>0</v>
      </c>
      <c r="D16" s="28"/>
      <c r="E16" s="30">
        <f>SUM(E14:E15)</f>
        <v>10009.830000000002</v>
      </c>
    </row>
    <row r="17" spans="1:10" x14ac:dyDescent="0.2">
      <c r="B17" s="10"/>
      <c r="C17" s="28"/>
      <c r="D17" s="28"/>
      <c r="E17" s="52"/>
    </row>
    <row r="18" spans="1:10" x14ac:dyDescent="0.2">
      <c r="B18" s="10" t="s">
        <v>111</v>
      </c>
      <c r="C18" s="182" t="s">
        <v>112</v>
      </c>
      <c r="D18" s="28"/>
      <c r="E18" s="177">
        <v>3000</v>
      </c>
    </row>
    <row r="19" spans="1:10" x14ac:dyDescent="0.2">
      <c r="B19" s="10"/>
      <c r="C19" s="28"/>
      <c r="D19" s="28"/>
      <c r="E19" s="52"/>
    </row>
    <row r="20" spans="1:10" s="24" customFormat="1" ht="6.75" customHeight="1" x14ac:dyDescent="0.2">
      <c r="B20" s="25"/>
      <c r="C20" s="26"/>
      <c r="D20" s="26"/>
      <c r="E20" s="27"/>
      <c r="F20" s="53"/>
      <c r="G20" s="27"/>
      <c r="H20" s="27"/>
      <c r="I20" s="27"/>
    </row>
    <row r="21" spans="1:10" ht="19.5" customHeight="1" x14ac:dyDescent="0.2">
      <c r="A21" s="38"/>
      <c r="B21" s="20" t="s">
        <v>21</v>
      </c>
      <c r="C21" s="39" t="s">
        <v>37</v>
      </c>
      <c r="D21" s="33"/>
      <c r="E21" s="12"/>
      <c r="F21" s="54"/>
      <c r="G21" s="12"/>
      <c r="H21" s="12"/>
      <c r="I21" s="12"/>
    </row>
    <row r="22" spans="1:10" ht="19.5" customHeight="1" x14ac:dyDescent="0.2">
      <c r="B22" s="20" t="s">
        <v>23</v>
      </c>
      <c r="C22" s="395">
        <v>43901</v>
      </c>
      <c r="D22" s="395"/>
      <c r="E22" s="12"/>
      <c r="F22" s="54"/>
      <c r="G22" s="12"/>
      <c r="H22" s="12"/>
      <c r="I22" s="12"/>
    </row>
    <row r="23" spans="1:10" ht="4.5" customHeight="1" x14ac:dyDescent="0.45">
      <c r="B23" s="2"/>
      <c r="C23" s="17"/>
      <c r="D23" s="17"/>
      <c r="E23" s="396"/>
      <c r="F23" s="396"/>
      <c r="G23" s="3"/>
      <c r="H23" s="4"/>
      <c r="I23" s="4"/>
    </row>
    <row r="24" spans="1:10" s="128" customFormat="1" ht="13.5" thickBot="1" x14ac:dyDescent="0.25">
      <c r="B24" s="21" t="s">
        <v>22</v>
      </c>
      <c r="C24" s="44" t="s">
        <v>1</v>
      </c>
      <c r="D24" s="44"/>
      <c r="E24" s="23" t="s">
        <v>2</v>
      </c>
      <c r="F24" s="55"/>
    </row>
    <row r="25" spans="1:10" x14ac:dyDescent="0.2">
      <c r="B25" s="18" t="s">
        <v>25</v>
      </c>
      <c r="C25" s="19" t="s">
        <v>13</v>
      </c>
      <c r="D25" s="40"/>
      <c r="E25" s="66">
        <v>2041.71</v>
      </c>
      <c r="F25" s="59"/>
      <c r="G25" s="56"/>
    </row>
    <row r="26" spans="1:10" x14ac:dyDescent="0.2">
      <c r="B26" s="36" t="s">
        <v>26</v>
      </c>
      <c r="C26" s="22" t="s">
        <v>24</v>
      </c>
      <c r="D26" s="41"/>
      <c r="E26" s="66">
        <v>1005.13</v>
      </c>
      <c r="F26" s="59"/>
      <c r="G26" s="65"/>
      <c r="H26" s="45"/>
    </row>
    <row r="27" spans="1:10" x14ac:dyDescent="0.2">
      <c r="B27" s="36" t="s">
        <v>3</v>
      </c>
      <c r="C27" s="22" t="s">
        <v>12</v>
      </c>
      <c r="D27" s="41"/>
      <c r="E27" s="66">
        <v>1303.77</v>
      </c>
      <c r="F27" s="59"/>
    </row>
    <row r="28" spans="1:10" x14ac:dyDescent="0.2">
      <c r="B28" s="13" t="s">
        <v>31</v>
      </c>
      <c r="C28" s="16" t="s">
        <v>11</v>
      </c>
      <c r="D28" s="42"/>
      <c r="E28" s="67">
        <v>1269.22</v>
      </c>
    </row>
    <row r="29" spans="1:10" x14ac:dyDescent="0.2">
      <c r="B29" s="68" t="s">
        <v>69</v>
      </c>
      <c r="C29" s="72" t="s">
        <v>30</v>
      </c>
      <c r="D29" s="69"/>
      <c r="E29" s="70">
        <v>990</v>
      </c>
      <c r="G29" s="59"/>
      <c r="I29" s="178"/>
      <c r="J29" s="178"/>
    </row>
    <row r="30" spans="1:10" x14ac:dyDescent="0.2">
      <c r="B30" s="68" t="s">
        <v>79</v>
      </c>
      <c r="C30" s="72" t="s">
        <v>80</v>
      </c>
      <c r="D30" s="69"/>
      <c r="E30" s="70">
        <v>1137.5</v>
      </c>
      <c r="G30" s="59"/>
      <c r="I30" s="178"/>
      <c r="J30" s="178"/>
    </row>
    <row r="31" spans="1:10" ht="12" customHeight="1" thickBot="1" x14ac:dyDescent="0.25">
      <c r="B31" s="71" t="s">
        <v>100</v>
      </c>
      <c r="C31" s="73" t="s">
        <v>103</v>
      </c>
      <c r="D31" s="50"/>
      <c r="E31" s="29">
        <v>1237.5</v>
      </c>
      <c r="F31" s="57"/>
      <c r="G31" s="166"/>
      <c r="H31" s="45"/>
      <c r="I31" s="392"/>
      <c r="J31" s="392"/>
    </row>
    <row r="32" spans="1:10" s="4" customFormat="1" ht="13.5" thickBot="1" x14ac:dyDescent="0.25">
      <c r="B32" s="46"/>
      <c r="C32" s="47"/>
      <c r="D32" s="48"/>
      <c r="E32" s="49">
        <f>SUM(E25:E31)</f>
        <v>8984.8300000000017</v>
      </c>
      <c r="F32" s="58"/>
      <c r="G32" s="64"/>
    </row>
    <row r="33" spans="1:10" ht="13.5" thickBot="1" x14ac:dyDescent="0.25">
      <c r="B33" s="74" t="s">
        <v>29</v>
      </c>
      <c r="C33" s="75" t="s">
        <v>5</v>
      </c>
      <c r="D33" s="75"/>
      <c r="E33" s="76">
        <v>1125</v>
      </c>
    </row>
    <row r="34" spans="1:10" ht="13.5" thickBot="1" x14ac:dyDescent="0.25">
      <c r="B34" s="10"/>
      <c r="C34" s="28" t="s">
        <v>0</v>
      </c>
      <c r="D34" s="28"/>
      <c r="E34" s="30">
        <f>SUM(E32:E33)</f>
        <v>10109.830000000002</v>
      </c>
    </row>
    <row r="35" spans="1:10" x14ac:dyDescent="0.2">
      <c r="B35" s="10"/>
      <c r="C35" s="28"/>
      <c r="D35" s="28"/>
      <c r="E35" s="52"/>
    </row>
    <row r="36" spans="1:10" x14ac:dyDescent="0.2">
      <c r="B36" s="10" t="s">
        <v>111</v>
      </c>
      <c r="C36" s="182" t="s">
        <v>112</v>
      </c>
      <c r="D36" s="28"/>
      <c r="E36" s="177">
        <v>3000</v>
      </c>
    </row>
    <row r="37" spans="1:10" x14ac:dyDescent="0.2">
      <c r="B37" s="10"/>
      <c r="C37" s="28"/>
      <c r="D37" s="28"/>
      <c r="E37" s="52"/>
    </row>
    <row r="38" spans="1:10" s="24" customFormat="1" ht="6.75" customHeight="1" x14ac:dyDescent="0.2">
      <c r="B38" s="25"/>
      <c r="C38" s="26"/>
      <c r="D38" s="26"/>
      <c r="E38" s="27"/>
      <c r="F38" s="53"/>
      <c r="G38" s="27"/>
      <c r="H38" s="27"/>
      <c r="I38" s="27"/>
    </row>
    <row r="39" spans="1:10" ht="19.5" customHeight="1" x14ac:dyDescent="0.2">
      <c r="A39" s="38"/>
      <c r="B39" s="20" t="s">
        <v>21</v>
      </c>
      <c r="C39" s="39" t="s">
        <v>18</v>
      </c>
      <c r="D39" s="33"/>
      <c r="E39" s="12"/>
      <c r="F39" s="54"/>
      <c r="G39" s="12"/>
      <c r="H39" s="12"/>
      <c r="I39" s="12"/>
    </row>
    <row r="40" spans="1:10" ht="19.5" customHeight="1" x14ac:dyDescent="0.2">
      <c r="B40" s="20" t="s">
        <v>23</v>
      </c>
      <c r="C40" s="395">
        <v>43908</v>
      </c>
      <c r="D40" s="395"/>
      <c r="E40" s="12"/>
      <c r="F40" s="54"/>
      <c r="G40" s="12"/>
      <c r="H40" s="12"/>
      <c r="I40" s="12"/>
    </row>
    <row r="41" spans="1:10" ht="4.5" customHeight="1" x14ac:dyDescent="0.45">
      <c r="B41" s="2"/>
      <c r="C41" s="17"/>
      <c r="D41" s="17"/>
      <c r="E41" s="396"/>
      <c r="F41" s="396"/>
      <c r="G41" s="3"/>
      <c r="H41" s="4"/>
      <c r="I41" s="4"/>
    </row>
    <row r="42" spans="1:10" s="128" customFormat="1" ht="13.5" thickBot="1" x14ac:dyDescent="0.25">
      <c r="B42" s="21" t="s">
        <v>22</v>
      </c>
      <c r="C42" s="44" t="s">
        <v>1</v>
      </c>
      <c r="D42" s="44"/>
      <c r="E42" s="23" t="s">
        <v>2</v>
      </c>
      <c r="F42" s="55"/>
    </row>
    <row r="43" spans="1:10" x14ac:dyDescent="0.2">
      <c r="B43" s="18" t="s">
        <v>25</v>
      </c>
      <c r="C43" s="19" t="s">
        <v>13</v>
      </c>
      <c r="D43" s="40"/>
      <c r="E43" s="181">
        <v>2041.71</v>
      </c>
      <c r="F43" s="59"/>
      <c r="G43" s="56"/>
    </row>
    <row r="44" spans="1:10" x14ac:dyDescent="0.2">
      <c r="B44" s="36" t="s">
        <v>26</v>
      </c>
      <c r="C44" s="22" t="s">
        <v>24</v>
      </c>
      <c r="D44" s="41"/>
      <c r="E44" s="66">
        <v>1005.13</v>
      </c>
      <c r="F44" s="59"/>
      <c r="G44" s="65"/>
      <c r="H44" s="45"/>
    </row>
    <row r="45" spans="1:10" x14ac:dyDescent="0.2">
      <c r="B45" s="36" t="s">
        <v>3</v>
      </c>
      <c r="C45" s="22" t="s">
        <v>12</v>
      </c>
      <c r="D45" s="41"/>
      <c r="E45" s="66">
        <v>1303.77</v>
      </c>
      <c r="F45" s="59"/>
    </row>
    <row r="46" spans="1:10" x14ac:dyDescent="0.2">
      <c r="B46" s="13" t="s">
        <v>31</v>
      </c>
      <c r="C46" s="16" t="s">
        <v>11</v>
      </c>
      <c r="D46" s="42"/>
      <c r="E46" s="67">
        <v>1269.22</v>
      </c>
    </row>
    <row r="47" spans="1:10" x14ac:dyDescent="0.2">
      <c r="B47" s="68" t="s">
        <v>69</v>
      </c>
      <c r="C47" s="72" t="s">
        <v>30</v>
      </c>
      <c r="D47" s="69"/>
      <c r="E47" s="70">
        <v>990</v>
      </c>
      <c r="G47" s="59"/>
      <c r="I47" s="178"/>
      <c r="J47" s="178"/>
    </row>
    <row r="48" spans="1:10" x14ac:dyDescent="0.2">
      <c r="B48" s="68" t="s">
        <v>79</v>
      </c>
      <c r="C48" s="72" t="s">
        <v>80</v>
      </c>
      <c r="D48" s="69"/>
      <c r="E48" s="70">
        <v>1137.5</v>
      </c>
      <c r="G48" s="59"/>
      <c r="I48" s="178"/>
      <c r="J48" s="178"/>
    </row>
    <row r="49" spans="1:10" ht="12" customHeight="1" thickBot="1" x14ac:dyDescent="0.25">
      <c r="B49" s="71" t="s">
        <v>100</v>
      </c>
      <c r="C49" s="73" t="s">
        <v>103</v>
      </c>
      <c r="D49" s="50"/>
      <c r="E49" s="29">
        <v>1237.5</v>
      </c>
      <c r="F49" s="57"/>
      <c r="G49" s="166"/>
      <c r="H49" s="45"/>
      <c r="I49" s="392"/>
      <c r="J49" s="392"/>
    </row>
    <row r="50" spans="1:10" s="4" customFormat="1" ht="13.5" thickBot="1" x14ac:dyDescent="0.25">
      <c r="B50" s="46"/>
      <c r="C50" s="47"/>
      <c r="D50" s="48"/>
      <c r="E50" s="49">
        <f>SUM(E43:E49)</f>
        <v>8984.8300000000017</v>
      </c>
      <c r="F50" s="58"/>
      <c r="G50" s="64"/>
    </row>
    <row r="51" spans="1:10" ht="13.5" thickBot="1" x14ac:dyDescent="0.25">
      <c r="B51" s="74" t="s">
        <v>29</v>
      </c>
      <c r="C51" s="75" t="s">
        <v>5</v>
      </c>
      <c r="D51" s="75"/>
      <c r="E51" s="76">
        <v>1125</v>
      </c>
    </row>
    <row r="52" spans="1:10" ht="13.5" thickBot="1" x14ac:dyDescent="0.25">
      <c r="B52" s="10"/>
      <c r="C52" s="28" t="s">
        <v>0</v>
      </c>
      <c r="D52" s="28"/>
      <c r="E52" s="30">
        <f>SUM(E50:E51)</f>
        <v>10109.830000000002</v>
      </c>
    </row>
    <row r="53" spans="1:10" x14ac:dyDescent="0.2">
      <c r="B53" s="10"/>
      <c r="C53" s="28"/>
      <c r="D53" s="28"/>
      <c r="E53" s="52"/>
    </row>
    <row r="54" spans="1:10" x14ac:dyDescent="0.2">
      <c r="B54" s="10" t="s">
        <v>111</v>
      </c>
      <c r="C54" s="182" t="s">
        <v>112</v>
      </c>
      <c r="D54" s="28"/>
      <c r="E54" s="177">
        <v>3000</v>
      </c>
    </row>
    <row r="55" spans="1:10" x14ac:dyDescent="0.2">
      <c r="B55" s="10"/>
      <c r="C55" s="28"/>
      <c r="D55" s="28"/>
      <c r="E55" s="52"/>
    </row>
    <row r="56" spans="1:10" s="24" customFormat="1" ht="6.75" customHeight="1" x14ac:dyDescent="0.2">
      <c r="B56" s="25"/>
      <c r="C56" s="26"/>
      <c r="D56" s="26"/>
      <c r="E56" s="27"/>
      <c r="F56" s="53"/>
      <c r="G56" s="27"/>
      <c r="H56" s="27"/>
      <c r="I56" s="27"/>
    </row>
    <row r="57" spans="1:10" ht="19.5" customHeight="1" x14ac:dyDescent="0.2">
      <c r="A57" s="38"/>
      <c r="B57" s="20" t="s">
        <v>21</v>
      </c>
      <c r="C57" s="39" t="s">
        <v>38</v>
      </c>
      <c r="D57" s="33"/>
      <c r="E57" s="12"/>
      <c r="F57" s="54"/>
      <c r="G57" s="12"/>
      <c r="H57" s="12"/>
      <c r="I57" s="12"/>
    </row>
    <row r="58" spans="1:10" ht="19.5" customHeight="1" x14ac:dyDescent="0.2">
      <c r="B58" s="20" t="s">
        <v>23</v>
      </c>
      <c r="C58" s="395">
        <v>43915</v>
      </c>
      <c r="D58" s="395"/>
      <c r="E58" s="12"/>
      <c r="F58" s="54"/>
      <c r="G58" s="12"/>
      <c r="H58" s="12"/>
      <c r="I58" s="12"/>
    </row>
    <row r="59" spans="1:10" ht="4.5" customHeight="1" x14ac:dyDescent="0.45">
      <c r="B59" s="2"/>
      <c r="C59" s="17"/>
      <c r="D59" s="17">
        <v>43887</v>
      </c>
      <c r="E59" s="396"/>
      <c r="F59" s="396"/>
      <c r="G59" s="3"/>
      <c r="H59" s="4"/>
      <c r="I59" s="4"/>
    </row>
    <row r="60" spans="1:10" s="128" customFormat="1" ht="13.5" thickBot="1" x14ac:dyDescent="0.25">
      <c r="B60" s="21" t="s">
        <v>22</v>
      </c>
      <c r="C60" s="44" t="s">
        <v>1</v>
      </c>
      <c r="D60" s="44"/>
      <c r="E60" s="23" t="s">
        <v>2</v>
      </c>
      <c r="F60" s="55"/>
    </row>
    <row r="61" spans="1:10" x14ac:dyDescent="0.2">
      <c r="B61" s="18" t="s">
        <v>25</v>
      </c>
      <c r="C61" s="19" t="s">
        <v>13</v>
      </c>
      <c r="D61" s="40"/>
      <c r="E61" s="66">
        <v>2041.71</v>
      </c>
      <c r="F61" s="59"/>
      <c r="G61" s="56"/>
    </row>
    <row r="62" spans="1:10" x14ac:dyDescent="0.2">
      <c r="B62" s="36" t="s">
        <v>26</v>
      </c>
      <c r="C62" s="22" t="s">
        <v>24</v>
      </c>
      <c r="D62" s="41"/>
      <c r="E62" s="66">
        <v>1005.13</v>
      </c>
      <c r="F62" s="59"/>
      <c r="G62" s="65"/>
      <c r="H62" s="45"/>
    </row>
    <row r="63" spans="1:10" x14ac:dyDescent="0.2">
      <c r="B63" s="36" t="s">
        <v>3</v>
      </c>
      <c r="C63" s="22" t="s">
        <v>12</v>
      </c>
      <c r="D63" s="41"/>
      <c r="E63" s="66">
        <v>1303.77</v>
      </c>
      <c r="F63" s="59"/>
    </row>
    <row r="64" spans="1:10" x14ac:dyDescent="0.2">
      <c r="B64" s="13" t="s">
        <v>31</v>
      </c>
      <c r="C64" s="16" t="s">
        <v>11</v>
      </c>
      <c r="D64" s="42"/>
      <c r="E64" s="67">
        <v>1269.22</v>
      </c>
    </row>
    <row r="65" spans="1:10" x14ac:dyDescent="0.2">
      <c r="B65" s="68" t="s">
        <v>69</v>
      </c>
      <c r="C65" s="72" t="s">
        <v>30</v>
      </c>
      <c r="D65" s="69"/>
      <c r="E65" s="70">
        <v>990</v>
      </c>
      <c r="G65" s="59"/>
      <c r="I65" s="178"/>
      <c r="J65" s="178"/>
    </row>
    <row r="66" spans="1:10" x14ac:dyDescent="0.2">
      <c r="B66" s="68" t="s">
        <v>79</v>
      </c>
      <c r="C66" s="72" t="s">
        <v>80</v>
      </c>
      <c r="D66" s="69"/>
      <c r="E66" s="70">
        <v>1137.5</v>
      </c>
      <c r="G66" s="59"/>
      <c r="I66" s="178"/>
      <c r="J66" s="178"/>
    </row>
    <row r="67" spans="1:10" ht="12" customHeight="1" thickBot="1" x14ac:dyDescent="0.25">
      <c r="B67" s="71" t="s">
        <v>100</v>
      </c>
      <c r="C67" s="73" t="s">
        <v>103</v>
      </c>
      <c r="D67" s="50"/>
      <c r="E67" s="29">
        <v>1237.5</v>
      </c>
      <c r="F67" s="57"/>
      <c r="G67" s="166"/>
      <c r="H67" s="45"/>
      <c r="I67" s="392"/>
      <c r="J67" s="392"/>
    </row>
    <row r="68" spans="1:10" s="4" customFormat="1" ht="13.5" thickBot="1" x14ac:dyDescent="0.25">
      <c r="B68" s="46"/>
      <c r="C68" s="47"/>
      <c r="D68" s="48"/>
      <c r="E68" s="49">
        <f>SUM(E61:E67)</f>
        <v>8984.8300000000017</v>
      </c>
      <c r="F68" s="58"/>
      <c r="G68" s="64"/>
    </row>
    <row r="69" spans="1:10" ht="13.5" thickBot="1" x14ac:dyDescent="0.25">
      <c r="B69" s="74" t="s">
        <v>29</v>
      </c>
      <c r="C69" s="75" t="s">
        <v>5</v>
      </c>
      <c r="D69" s="75"/>
      <c r="E69" s="76">
        <v>1125</v>
      </c>
    </row>
    <row r="70" spans="1:10" ht="13.5" thickBot="1" x14ac:dyDescent="0.25">
      <c r="B70" s="10"/>
      <c r="C70" s="28" t="s">
        <v>0</v>
      </c>
      <c r="D70" s="28"/>
      <c r="E70" s="30">
        <f>SUM(E68:E69)</f>
        <v>10109.830000000002</v>
      </c>
      <c r="F70" s="180"/>
    </row>
    <row r="71" spans="1:10" x14ac:dyDescent="0.2">
      <c r="B71" s="10"/>
      <c r="C71" s="28"/>
      <c r="D71" s="28"/>
      <c r="E71" s="52"/>
      <c r="F71" s="180"/>
    </row>
    <row r="72" spans="1:10" x14ac:dyDescent="0.2">
      <c r="B72" s="10" t="s">
        <v>111</v>
      </c>
      <c r="C72" s="182" t="s">
        <v>112</v>
      </c>
      <c r="D72" s="28"/>
      <c r="E72" s="177">
        <v>3000</v>
      </c>
    </row>
    <row r="73" spans="1:10" x14ac:dyDescent="0.2">
      <c r="B73" s="10"/>
      <c r="C73" s="28"/>
      <c r="D73" s="28"/>
      <c r="E73" s="52"/>
    </row>
    <row r="74" spans="1:10" s="6" customFormat="1" ht="13.15" customHeight="1" x14ac:dyDescent="0.2">
      <c r="A74" s="14" t="s">
        <v>6</v>
      </c>
      <c r="B74" s="15" t="s">
        <v>7</v>
      </c>
      <c r="C74" s="15"/>
      <c r="D74" s="31">
        <v>9000</v>
      </c>
      <c r="E74" s="43" t="s">
        <v>116</v>
      </c>
      <c r="F74" s="14" t="s">
        <v>33</v>
      </c>
      <c r="G74" s="15" t="s">
        <v>32</v>
      </c>
      <c r="H74" s="31">
        <v>3929.39</v>
      </c>
      <c r="I74" s="51" t="s">
        <v>116</v>
      </c>
    </row>
    <row r="75" spans="1:10" s="6" customFormat="1" ht="13.15" customHeight="1" x14ac:dyDescent="0.2">
      <c r="A75" s="14" t="s">
        <v>8</v>
      </c>
      <c r="B75" s="15" t="s">
        <v>9</v>
      </c>
      <c r="C75" s="15"/>
      <c r="D75" s="31">
        <v>311.83999999999997</v>
      </c>
      <c r="E75" s="43" t="s">
        <v>116</v>
      </c>
      <c r="F75" s="14" t="s">
        <v>33</v>
      </c>
      <c r="G75" s="15" t="s">
        <v>109</v>
      </c>
      <c r="H75" s="31">
        <v>2000</v>
      </c>
      <c r="I75" s="51" t="s">
        <v>116</v>
      </c>
    </row>
    <row r="76" spans="1:10" s="6" customFormat="1" ht="13.15" customHeight="1" x14ac:dyDescent="0.2">
      <c r="A76" s="14" t="s">
        <v>27</v>
      </c>
      <c r="B76" s="15" t="s">
        <v>28</v>
      </c>
      <c r="C76" s="15"/>
      <c r="D76" s="31">
        <v>619.53</v>
      </c>
      <c r="E76" s="43" t="s">
        <v>116</v>
      </c>
      <c r="F76" s="60" t="s">
        <v>19</v>
      </c>
      <c r="G76" s="15" t="s">
        <v>20</v>
      </c>
      <c r="H76" s="31">
        <v>500</v>
      </c>
      <c r="I76" s="51" t="s">
        <v>116</v>
      </c>
    </row>
    <row r="77" spans="1:10" s="6" customFormat="1" ht="13.15" customHeight="1" x14ac:dyDescent="0.2">
      <c r="A77" s="14" t="s">
        <v>10</v>
      </c>
      <c r="B77" s="15" t="s">
        <v>34</v>
      </c>
      <c r="C77" s="31"/>
      <c r="D77" s="31">
        <v>5000</v>
      </c>
      <c r="E77" s="43" t="s">
        <v>116</v>
      </c>
      <c r="F77" s="60" t="s">
        <v>6</v>
      </c>
      <c r="G77" s="15" t="s">
        <v>39</v>
      </c>
      <c r="H77" s="31">
        <v>904</v>
      </c>
      <c r="I77" s="51" t="s">
        <v>116</v>
      </c>
    </row>
    <row r="78" spans="1:10" s="6" customFormat="1" ht="13.15" customHeight="1" x14ac:dyDescent="0.2">
      <c r="A78" s="14" t="s">
        <v>10</v>
      </c>
      <c r="B78" s="15" t="s">
        <v>35</v>
      </c>
      <c r="C78" s="31"/>
      <c r="D78" s="31">
        <v>4000</v>
      </c>
      <c r="E78" s="43" t="s">
        <v>116</v>
      </c>
      <c r="F78" s="60" t="s">
        <v>8</v>
      </c>
      <c r="G78" s="15" t="s">
        <v>14</v>
      </c>
      <c r="H78" s="31">
        <v>12000</v>
      </c>
      <c r="I78" s="51" t="s">
        <v>116</v>
      </c>
    </row>
    <row r="79" spans="1:10" s="6" customFormat="1" ht="13.15" customHeight="1" thickBot="1" x14ac:dyDescent="0.25">
      <c r="A79" s="14" t="s">
        <v>10</v>
      </c>
      <c r="B79" s="15" t="s">
        <v>36</v>
      </c>
      <c r="C79" s="31"/>
      <c r="D79" s="31">
        <v>1126.4100000000001</v>
      </c>
      <c r="E79" s="43"/>
      <c r="F79" s="61" t="s">
        <v>16</v>
      </c>
      <c r="G79" s="15" t="s">
        <v>15</v>
      </c>
      <c r="H79" s="32">
        <v>12000</v>
      </c>
      <c r="I79" s="51" t="s">
        <v>116</v>
      </c>
    </row>
    <row r="80" spans="1:10" s="6" customFormat="1" ht="13.15" customHeight="1" thickTop="1" thickBot="1" x14ac:dyDescent="0.25">
      <c r="A80" s="14"/>
      <c r="B80" s="15"/>
      <c r="C80" s="31"/>
      <c r="D80" s="31"/>
      <c r="E80" s="43"/>
      <c r="F80" s="62"/>
      <c r="G80" s="15"/>
      <c r="H80" s="37">
        <f>SUM(H74:H79)+SUM(D74:D79)</f>
        <v>51391.17</v>
      </c>
      <c r="I80" s="51"/>
    </row>
    <row r="81" spans="1:10" s="6" customFormat="1" ht="13.15" customHeight="1" thickBot="1" x14ac:dyDescent="0.25">
      <c r="A81" s="14"/>
      <c r="B81" s="15"/>
      <c r="C81" s="31"/>
      <c r="D81" s="31"/>
      <c r="E81" s="31"/>
      <c r="F81" s="62"/>
      <c r="G81" s="34" t="s">
        <v>4</v>
      </c>
      <c r="H81" s="35">
        <f>E70+H80</f>
        <v>61501</v>
      </c>
      <c r="I81" s="37"/>
      <c r="J81" s="179"/>
    </row>
    <row r="82" spans="1:10" s="6" customFormat="1" ht="13.15" customHeight="1" x14ac:dyDescent="0.2">
      <c r="B82" s="14"/>
      <c r="C82" s="15"/>
      <c r="D82" s="8"/>
      <c r="E82" s="31"/>
      <c r="F82" s="63"/>
      <c r="G82" s="8"/>
      <c r="H82" s="8"/>
      <c r="I82" s="37"/>
    </row>
    <row r="83" spans="1:10" s="6" customFormat="1" ht="13.15" customHeight="1" x14ac:dyDescent="0.2">
      <c r="B83" s="14"/>
      <c r="C83" s="15"/>
      <c r="D83" s="7"/>
      <c r="E83" s="8"/>
      <c r="F83" s="63"/>
      <c r="G83" s="8"/>
      <c r="H83" s="8"/>
      <c r="I83" s="37"/>
    </row>
    <row r="84" spans="1:10" s="6" customFormat="1" ht="13.15" customHeight="1" x14ac:dyDescent="0.2">
      <c r="A84" s="8"/>
      <c r="B84" s="9"/>
      <c r="C84" s="8"/>
      <c r="D84" s="7"/>
      <c r="E84" s="8"/>
      <c r="F84" s="63"/>
      <c r="G84" s="8"/>
      <c r="H84" s="8"/>
      <c r="I84" s="37"/>
    </row>
    <row r="85" spans="1:10" s="6" customFormat="1" ht="13.15" customHeight="1" x14ac:dyDescent="0.2">
      <c r="A85" s="8"/>
      <c r="B85" s="9"/>
      <c r="C85" s="7"/>
      <c r="D85" s="7"/>
      <c r="E85" s="8"/>
      <c r="F85" s="63"/>
      <c r="G85" s="8"/>
      <c r="H85" s="8"/>
      <c r="I85" s="37"/>
    </row>
    <row r="86" spans="1:10" s="6" customFormat="1" ht="13.15" customHeight="1" x14ac:dyDescent="0.2">
      <c r="A86" s="8"/>
      <c r="B86" s="9"/>
      <c r="C86" s="7"/>
      <c r="D86" s="7"/>
      <c r="E86" s="8"/>
      <c r="F86" s="63"/>
      <c r="G86" s="8"/>
      <c r="H86" s="8"/>
      <c r="I86" s="37"/>
    </row>
    <row r="87" spans="1:10" s="6" customFormat="1" ht="13.15" customHeight="1" x14ac:dyDescent="0.2">
      <c r="A87" s="8"/>
      <c r="B87" s="9"/>
      <c r="C87" s="7"/>
      <c r="D87" s="7"/>
      <c r="E87" s="8"/>
      <c r="F87" s="63"/>
      <c r="G87" s="8"/>
      <c r="H87" s="8"/>
      <c r="I87" s="37"/>
    </row>
    <row r="88" spans="1:10" s="8" customFormat="1" ht="12" x14ac:dyDescent="0.2">
      <c r="B88" s="9"/>
      <c r="C88" s="7"/>
      <c r="F88" s="63"/>
    </row>
    <row r="89" spans="1:10" s="8" customFormat="1" ht="12" x14ac:dyDescent="0.2">
      <c r="B89" s="9"/>
      <c r="C89" s="7"/>
      <c r="F89" s="63"/>
    </row>
    <row r="90" spans="1:10" s="8" customFormat="1" ht="12" x14ac:dyDescent="0.2">
      <c r="B90" s="9"/>
      <c r="C90" s="7"/>
      <c r="F90" s="63"/>
    </row>
    <row r="91" spans="1:10" s="8" customFormat="1" ht="12" x14ac:dyDescent="0.2">
      <c r="B91" s="9"/>
      <c r="F91" s="63"/>
    </row>
    <row r="92" spans="1:10" s="8" customFormat="1" ht="12" x14ac:dyDescent="0.2">
      <c r="B92" s="9"/>
      <c r="F92" s="63"/>
    </row>
    <row r="93" spans="1:10" s="8" customFormat="1" ht="12" x14ac:dyDescent="0.2">
      <c r="B93" s="9"/>
      <c r="F93" s="63"/>
    </row>
    <row r="94" spans="1:10" s="8" customFormat="1" x14ac:dyDescent="0.2">
      <c r="B94" s="9"/>
      <c r="D94" s="5"/>
      <c r="F94" s="63"/>
    </row>
    <row r="95" spans="1:10" s="8" customFormat="1" x14ac:dyDescent="0.2">
      <c r="B95" s="9"/>
      <c r="D95" s="5"/>
      <c r="F95" s="45"/>
      <c r="G95" s="5"/>
      <c r="H95" s="5"/>
    </row>
    <row r="96" spans="1:10" s="8" customFormat="1" x14ac:dyDescent="0.2">
      <c r="B96" s="9"/>
      <c r="D96" s="5"/>
      <c r="E96" s="5"/>
      <c r="F96" s="45"/>
      <c r="G96" s="5"/>
      <c r="H96" s="5"/>
    </row>
    <row r="97" spans="1:9" s="8" customFormat="1" x14ac:dyDescent="0.2">
      <c r="B97" s="11"/>
      <c r="C97" s="5"/>
      <c r="D97" s="5"/>
      <c r="E97" s="5"/>
      <c r="F97" s="45"/>
      <c r="G97" s="5"/>
      <c r="H97" s="5"/>
    </row>
    <row r="98" spans="1:9" s="8" customFormat="1" x14ac:dyDescent="0.2">
      <c r="B98" s="11"/>
      <c r="C98" s="5"/>
      <c r="D98" s="5"/>
      <c r="E98" s="5"/>
      <c r="F98" s="45"/>
      <c r="G98" s="5"/>
      <c r="H98" s="5"/>
    </row>
    <row r="99" spans="1:9" s="8" customFormat="1" x14ac:dyDescent="0.2">
      <c r="B99" s="11"/>
      <c r="C99" s="5"/>
      <c r="D99" s="5"/>
      <c r="E99" s="5"/>
      <c r="F99" s="45"/>
      <c r="G99" s="5"/>
      <c r="H99" s="5"/>
    </row>
    <row r="100" spans="1:9" s="8" customFormat="1" x14ac:dyDescent="0.2">
      <c r="B100" s="11"/>
      <c r="C100" s="5"/>
      <c r="D100" s="5"/>
      <c r="E100" s="5"/>
      <c r="F100" s="45"/>
      <c r="G100" s="5"/>
      <c r="H100" s="5"/>
    </row>
    <row r="101" spans="1:9" s="8" customFormat="1" x14ac:dyDescent="0.2">
      <c r="A101" s="5"/>
      <c r="B101" s="11"/>
      <c r="C101" s="5"/>
      <c r="D101" s="5"/>
      <c r="E101" s="5"/>
      <c r="F101" s="45"/>
      <c r="G101" s="5"/>
      <c r="H101" s="5"/>
      <c r="I101" s="5"/>
    </row>
    <row r="102" spans="1:9" s="8" customFormat="1" x14ac:dyDescent="0.2">
      <c r="A102" s="5"/>
      <c r="B102" s="11"/>
      <c r="C102" s="5"/>
      <c r="D102" s="5"/>
      <c r="E102" s="5"/>
      <c r="F102" s="45"/>
      <c r="G102" s="5"/>
      <c r="H102" s="5"/>
      <c r="I102" s="5"/>
    </row>
    <row r="103" spans="1:9" s="8" customFormat="1" x14ac:dyDescent="0.2">
      <c r="A103" s="5"/>
      <c r="B103" s="11"/>
      <c r="C103" s="5"/>
      <c r="D103" s="5"/>
      <c r="E103" s="5"/>
      <c r="F103" s="45"/>
      <c r="G103" s="5"/>
      <c r="H103" s="5"/>
      <c r="I103" s="5"/>
    </row>
    <row r="104" spans="1:9" s="8" customFormat="1" x14ac:dyDescent="0.2">
      <c r="A104" s="5"/>
      <c r="B104" s="11"/>
      <c r="C104" s="5"/>
      <c r="D104" s="5"/>
      <c r="E104" s="5"/>
      <c r="F104" s="45"/>
      <c r="G104" s="5"/>
      <c r="H104" s="5"/>
      <c r="I104" s="5"/>
    </row>
  </sheetData>
  <mergeCells count="12">
    <mergeCell ref="C58:D58"/>
    <mergeCell ref="E59:F59"/>
    <mergeCell ref="I67:J67"/>
    <mergeCell ref="C40:D40"/>
    <mergeCell ref="E41:F41"/>
    <mergeCell ref="I49:J49"/>
    <mergeCell ref="I31:J31"/>
    <mergeCell ref="A1:J1"/>
    <mergeCell ref="C4:D4"/>
    <mergeCell ref="E5:F5"/>
    <mergeCell ref="C22:D22"/>
    <mergeCell ref="E23:F23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topLeftCell="A64" zoomScaleNormal="100" workbookViewId="0">
      <selection activeCell="G99" sqref="G99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1.28515625" style="5" customWidth="1"/>
    <col min="6" max="6" width="3.140625" style="5" customWidth="1"/>
    <col min="7" max="8" width="12" style="45" customWidth="1"/>
    <col min="9" max="9" width="10.85546875" style="45" customWidth="1"/>
    <col min="10" max="10" width="11.7109375" style="45" customWidth="1"/>
    <col min="11" max="12" width="10.42578125" style="5" customWidth="1"/>
    <col min="13" max="13" width="9.28515625" style="5" customWidth="1"/>
    <col min="14" max="14" width="8.85546875" style="5"/>
    <col min="15" max="15" width="11.5703125" style="5" customWidth="1"/>
    <col min="16" max="16384" width="8.85546875" style="5"/>
  </cols>
  <sheetData>
    <row r="1" spans="1:12" s="1" customFormat="1" ht="24" customHeight="1" x14ac:dyDescent="0.2">
      <c r="A1" s="393" t="s">
        <v>182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</row>
    <row r="2" spans="1:12" s="24" customFormat="1" ht="6.75" customHeight="1" x14ac:dyDescent="0.2">
      <c r="B2" s="25"/>
      <c r="C2" s="26"/>
      <c r="D2" s="26"/>
      <c r="E2" s="27"/>
      <c r="F2" s="27"/>
      <c r="G2" s="53"/>
      <c r="H2" s="53"/>
      <c r="I2" s="53"/>
      <c r="J2" s="53"/>
      <c r="K2" s="27"/>
    </row>
    <row r="3" spans="1:12" ht="19.5" customHeight="1" x14ac:dyDescent="0.2">
      <c r="A3" s="38"/>
      <c r="B3" s="20" t="s">
        <v>21</v>
      </c>
      <c r="C3" s="39" t="s">
        <v>183</v>
      </c>
      <c r="D3" s="33"/>
      <c r="E3" s="12"/>
      <c r="F3" s="12"/>
      <c r="G3" s="54"/>
      <c r="H3" s="54"/>
      <c r="I3" s="54"/>
      <c r="J3" s="54"/>
      <c r="K3" s="12"/>
    </row>
    <row r="4" spans="1:12" ht="19.5" customHeight="1" x14ac:dyDescent="0.2">
      <c r="B4" s="20" t="s">
        <v>23</v>
      </c>
      <c r="C4" s="394">
        <v>44167</v>
      </c>
      <c r="D4" s="395"/>
      <c r="E4" s="12"/>
      <c r="F4" s="12"/>
      <c r="G4" s="54"/>
      <c r="H4" s="54"/>
      <c r="I4" s="54"/>
      <c r="J4" s="54"/>
      <c r="K4" s="12"/>
    </row>
    <row r="5" spans="1:12" ht="4.5" customHeight="1" x14ac:dyDescent="0.45">
      <c r="B5" s="2"/>
      <c r="C5" s="17"/>
      <c r="D5" s="17"/>
      <c r="E5" s="396"/>
      <c r="F5" s="396"/>
      <c r="G5" s="396"/>
      <c r="H5" s="256"/>
      <c r="I5" s="205"/>
      <c r="J5" s="177"/>
      <c r="K5" s="4"/>
    </row>
    <row r="6" spans="1:12" s="128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21"/>
      <c r="G6" s="204"/>
      <c r="H6" s="204"/>
      <c r="I6" s="204"/>
      <c r="J6" s="55"/>
    </row>
    <row r="7" spans="1:12" x14ac:dyDescent="0.2">
      <c r="B7" s="18" t="s">
        <v>25</v>
      </c>
      <c r="C7" s="19" t="s">
        <v>13</v>
      </c>
      <c r="D7" s="40"/>
      <c r="E7" s="66">
        <v>5127.54</v>
      </c>
      <c r="F7" s="275"/>
      <c r="G7" s="219"/>
      <c r="H7" s="219"/>
      <c r="I7" s="218"/>
    </row>
    <row r="8" spans="1:12" x14ac:dyDescent="0.2">
      <c r="B8" s="36" t="s">
        <v>26</v>
      </c>
      <c r="C8" s="22" t="s">
        <v>24</v>
      </c>
      <c r="D8" s="41"/>
      <c r="E8" s="66">
        <v>905.13</v>
      </c>
      <c r="F8" s="275"/>
      <c r="G8" s="59"/>
      <c r="H8" s="59"/>
      <c r="I8" s="219"/>
    </row>
    <row r="9" spans="1:12" x14ac:dyDescent="0.2">
      <c r="B9" s="36" t="s">
        <v>3</v>
      </c>
      <c r="C9" s="22" t="s">
        <v>12</v>
      </c>
      <c r="D9" s="41"/>
      <c r="E9" s="66">
        <v>1303.77</v>
      </c>
      <c r="F9" s="275"/>
      <c r="G9" s="59"/>
      <c r="H9" s="59"/>
      <c r="I9" s="56"/>
    </row>
    <row r="10" spans="1:12" x14ac:dyDescent="0.2">
      <c r="B10" s="13" t="s">
        <v>31</v>
      </c>
      <c r="C10" s="16" t="s">
        <v>11</v>
      </c>
      <c r="D10" s="42"/>
      <c r="E10" s="67">
        <v>1269.22</v>
      </c>
      <c r="F10" s="275"/>
      <c r="G10" s="59"/>
      <c r="H10" s="59"/>
      <c r="I10" s="56"/>
    </row>
    <row r="11" spans="1:12" x14ac:dyDescent="0.2">
      <c r="B11" s="68" t="s">
        <v>69</v>
      </c>
      <c r="C11" s="72" t="s">
        <v>30</v>
      </c>
      <c r="D11" s="69"/>
      <c r="E11" s="70">
        <v>990</v>
      </c>
      <c r="F11" s="275"/>
      <c r="G11" s="59"/>
      <c r="H11" s="59"/>
      <c r="I11" s="56"/>
    </row>
    <row r="12" spans="1:12" x14ac:dyDescent="0.2">
      <c r="B12" s="68" t="s">
        <v>79</v>
      </c>
      <c r="C12" s="72" t="s">
        <v>80</v>
      </c>
      <c r="D12" s="69"/>
      <c r="E12" s="70">
        <v>990</v>
      </c>
      <c r="F12" s="275"/>
      <c r="G12" s="59"/>
      <c r="H12" s="59"/>
      <c r="I12" s="218"/>
      <c r="J12" s="177"/>
    </row>
    <row r="13" spans="1:12" x14ac:dyDescent="0.2">
      <c r="B13" s="68" t="s">
        <v>92</v>
      </c>
      <c r="C13" s="72" t="s">
        <v>167</v>
      </c>
      <c r="D13" s="69"/>
      <c r="E13" s="70">
        <v>1237.5</v>
      </c>
      <c r="F13" s="275"/>
      <c r="G13" s="59"/>
      <c r="H13" s="59"/>
      <c r="I13" s="218"/>
      <c r="J13" s="177"/>
    </row>
    <row r="14" spans="1:12" x14ac:dyDescent="0.2">
      <c r="B14" s="68" t="s">
        <v>26</v>
      </c>
      <c r="C14" s="72" t="s">
        <v>158</v>
      </c>
      <c r="D14" s="69"/>
      <c r="E14" s="70">
        <v>792</v>
      </c>
      <c r="F14" s="275"/>
      <c r="G14" s="59"/>
      <c r="H14" s="59"/>
      <c r="I14" s="218"/>
      <c r="J14" s="177"/>
    </row>
    <row r="15" spans="1:12" x14ac:dyDescent="0.2">
      <c r="B15" s="68" t="s">
        <v>102</v>
      </c>
      <c r="C15" s="72" t="s">
        <v>159</v>
      </c>
      <c r="D15" s="69"/>
      <c r="E15" s="70">
        <v>1423.13</v>
      </c>
      <c r="F15" s="275"/>
      <c r="G15" s="59"/>
      <c r="H15" s="59"/>
      <c r="I15" s="218"/>
      <c r="J15" s="177"/>
    </row>
    <row r="16" spans="1:12" x14ac:dyDescent="0.2">
      <c r="B16" s="68" t="s">
        <v>146</v>
      </c>
      <c r="C16" s="72" t="s">
        <v>147</v>
      </c>
      <c r="D16" s="69"/>
      <c r="E16" s="70">
        <v>1399.92</v>
      </c>
      <c r="F16" s="275"/>
      <c r="G16" s="59"/>
      <c r="H16" s="59"/>
      <c r="I16" s="56"/>
    </row>
    <row r="17" spans="1:20" x14ac:dyDescent="0.2">
      <c r="B17" s="68" t="s">
        <v>154</v>
      </c>
      <c r="C17" s="72" t="s">
        <v>155</v>
      </c>
      <c r="D17" s="69"/>
      <c r="E17" s="70">
        <v>742.5</v>
      </c>
      <c r="F17" s="275"/>
      <c r="G17" s="59"/>
      <c r="H17" s="59"/>
      <c r="I17" s="56"/>
    </row>
    <row r="18" spans="1:20" ht="13.5" thickBot="1" x14ac:dyDescent="0.25">
      <c r="B18" s="71" t="s">
        <v>164</v>
      </c>
      <c r="C18" s="73" t="s">
        <v>166</v>
      </c>
      <c r="D18" s="50"/>
      <c r="E18" s="192">
        <v>742.5</v>
      </c>
      <c r="F18" s="275"/>
      <c r="I18" s="56"/>
      <c r="K18" s="253"/>
      <c r="L18" s="253"/>
    </row>
    <row r="19" spans="1:20" s="4" customFormat="1" ht="13.5" thickBot="1" x14ac:dyDescent="0.25">
      <c r="B19" s="46"/>
      <c r="C19" s="47"/>
      <c r="D19" s="48"/>
      <c r="E19" s="49">
        <f>SUM(E7:E18)</f>
        <v>16923.21</v>
      </c>
      <c r="F19" s="276"/>
      <c r="G19" s="58"/>
      <c r="H19" s="58"/>
      <c r="I19" s="56"/>
      <c r="J19" s="177"/>
    </row>
    <row r="20" spans="1:20" ht="13.5" thickBot="1" x14ac:dyDescent="0.25">
      <c r="B20" s="74" t="s">
        <v>29</v>
      </c>
      <c r="C20" s="75" t="s">
        <v>5</v>
      </c>
      <c r="D20" s="75"/>
      <c r="E20" s="76">
        <v>1125</v>
      </c>
      <c r="F20" s="276"/>
    </row>
    <row r="21" spans="1:20" ht="13.5" thickBot="1" x14ac:dyDescent="0.25">
      <c r="B21" s="10"/>
      <c r="C21" s="28" t="s">
        <v>0</v>
      </c>
      <c r="D21" s="28"/>
      <c r="E21" s="30">
        <f>SUM(E19:E20)</f>
        <v>18048.21</v>
      </c>
      <c r="F21" s="52"/>
    </row>
    <row r="22" spans="1:20" x14ac:dyDescent="0.2">
      <c r="B22" s="10"/>
      <c r="C22" s="28"/>
      <c r="D22" s="28"/>
      <c r="E22" s="52"/>
      <c r="F22" s="52"/>
    </row>
    <row r="23" spans="1:20" x14ac:dyDescent="0.2">
      <c r="B23" s="10" t="s">
        <v>111</v>
      </c>
      <c r="C23" s="182" t="s">
        <v>112</v>
      </c>
      <c r="D23" s="28"/>
      <c r="E23" s="177">
        <v>4000</v>
      </c>
      <c r="F23" s="177"/>
      <c r="G23" s="45">
        <f>SUM(E21:E23)</f>
        <v>22048.21</v>
      </c>
      <c r="I23" s="65"/>
    </row>
    <row r="24" spans="1:20" x14ac:dyDescent="0.2">
      <c r="B24" s="10"/>
      <c r="C24" s="28"/>
      <c r="D24" s="28"/>
      <c r="E24" s="52"/>
      <c r="F24" s="52"/>
    </row>
    <row r="25" spans="1:20" s="24" customFormat="1" ht="6.75" customHeight="1" x14ac:dyDescent="0.2">
      <c r="B25" s="25"/>
      <c r="C25" s="26"/>
      <c r="D25" s="26"/>
      <c r="E25" s="27"/>
      <c r="F25" s="27"/>
      <c r="G25" s="53"/>
      <c r="H25" s="53"/>
      <c r="I25" s="53"/>
      <c r="J25" s="53"/>
      <c r="K25" s="27"/>
    </row>
    <row r="26" spans="1:20" ht="19.5" customHeight="1" x14ac:dyDescent="0.25">
      <c r="A26" s="38"/>
      <c r="B26" s="20" t="s">
        <v>21</v>
      </c>
      <c r="C26" s="39" t="s">
        <v>184</v>
      </c>
      <c r="D26" s="33"/>
      <c r="E26" s="284" t="s">
        <v>214</v>
      </c>
      <c r="F26" s="12"/>
      <c r="G26" s="54"/>
      <c r="H26" s="54"/>
      <c r="I26" s="54"/>
      <c r="J26" s="54"/>
      <c r="K26" s="12"/>
    </row>
    <row r="27" spans="1:20" ht="19.5" customHeight="1" x14ac:dyDescent="0.2">
      <c r="B27" s="20" t="s">
        <v>23</v>
      </c>
      <c r="C27" s="395">
        <v>44174</v>
      </c>
      <c r="D27" s="395"/>
      <c r="E27" s="12"/>
      <c r="F27" s="12"/>
      <c r="G27" s="54"/>
      <c r="H27" s="54"/>
      <c r="I27" s="54"/>
      <c r="J27" s="54"/>
      <c r="K27" s="12"/>
    </row>
    <row r="28" spans="1:20" ht="4.5" customHeight="1" x14ac:dyDescent="0.45">
      <c r="B28" s="2"/>
      <c r="C28" s="17"/>
      <c r="D28" s="17"/>
      <c r="E28" s="396"/>
      <c r="F28" s="396"/>
      <c r="G28" s="396"/>
      <c r="H28" s="256"/>
      <c r="I28" s="205"/>
      <c r="J28" s="177"/>
      <c r="K28" s="4"/>
    </row>
    <row r="29" spans="1:20" s="128" customFormat="1" ht="34.5" thickBot="1" x14ac:dyDescent="0.25">
      <c r="B29" s="21" t="s">
        <v>22</v>
      </c>
      <c r="C29" s="44" t="s">
        <v>1</v>
      </c>
      <c r="D29" s="44"/>
      <c r="E29" s="23" t="s">
        <v>2</v>
      </c>
      <c r="F29" s="21"/>
      <c r="G29" s="278" t="s">
        <v>211</v>
      </c>
      <c r="H29" s="277" t="s">
        <v>212</v>
      </c>
      <c r="I29" s="277" t="s">
        <v>213</v>
      </c>
      <c r="J29" s="204"/>
      <c r="K29" s="257" t="s">
        <v>186</v>
      </c>
      <c r="L29" s="258" t="s">
        <v>187</v>
      </c>
      <c r="M29" s="259" t="s">
        <v>188</v>
      </c>
      <c r="N29" s="259" t="s">
        <v>189</v>
      </c>
      <c r="O29" s="260" t="s">
        <v>207</v>
      </c>
      <c r="P29" s="260" t="s">
        <v>190</v>
      </c>
      <c r="Q29" s="259" t="s">
        <v>0</v>
      </c>
      <c r="R29" s="259" t="s">
        <v>191</v>
      </c>
      <c r="S29" s="259" t="s">
        <v>193</v>
      </c>
      <c r="T29" s="195"/>
    </row>
    <row r="30" spans="1:20" x14ac:dyDescent="0.2">
      <c r="B30" s="231" t="s">
        <v>25</v>
      </c>
      <c r="C30" s="228" t="s">
        <v>13</v>
      </c>
      <c r="D30" s="40"/>
      <c r="E30" s="220">
        <v>25339.56</v>
      </c>
      <c r="F30" s="275"/>
      <c r="G30" s="275">
        <v>10000</v>
      </c>
      <c r="H30" s="275">
        <f t="shared" ref="H30:H41" si="0">E30-G30</f>
        <v>15339.560000000001</v>
      </c>
      <c r="I30" s="275"/>
      <c r="J30" s="59"/>
      <c r="K30" s="59"/>
      <c r="L30" s="261">
        <v>99.16</v>
      </c>
      <c r="M30" s="262">
        <v>234</v>
      </c>
      <c r="N30" s="264">
        <f>L30*40*52*0.0833*(M30/234)</f>
        <v>17180.858239999998</v>
      </c>
      <c r="O30" s="263">
        <f t="shared" ref="O30:O39" si="1">Q30*3*(M30/234)</f>
        <v>6125.13</v>
      </c>
      <c r="P30" s="263">
        <f>1125*3+1664.91-404</f>
        <v>4635.91</v>
      </c>
      <c r="Q30" s="264">
        <v>2041.71</v>
      </c>
      <c r="R30" s="264">
        <f>N30+O30+Q30+P30-1125*3</f>
        <v>26608.608239999998</v>
      </c>
      <c r="S30" s="11"/>
      <c r="T30" s="11"/>
    </row>
    <row r="31" spans="1:20" x14ac:dyDescent="0.2">
      <c r="B31" s="232" t="s">
        <v>26</v>
      </c>
      <c r="C31" s="229" t="s">
        <v>24</v>
      </c>
      <c r="D31" s="41"/>
      <c r="E31" s="221">
        <v>8278.75</v>
      </c>
      <c r="F31" s="275"/>
      <c r="G31" s="275">
        <v>4000</v>
      </c>
      <c r="H31" s="275">
        <f t="shared" si="0"/>
        <v>4278.75</v>
      </c>
      <c r="I31" s="275"/>
      <c r="J31" s="59"/>
      <c r="K31" s="59"/>
      <c r="L31" s="261">
        <v>25.59</v>
      </c>
      <c r="M31" s="262">
        <v>234</v>
      </c>
      <c r="N31" s="264">
        <f t="shared" ref="N31:N38" si="2">L31*40*52*0.0833*(M31/234)</f>
        <v>4433.8257600000006</v>
      </c>
      <c r="O31" s="264">
        <f t="shared" si="1"/>
        <v>3015.39</v>
      </c>
      <c r="P31" s="263"/>
      <c r="Q31" s="264">
        <v>1005.13</v>
      </c>
      <c r="R31" s="264">
        <f>N31+O31+Q31-(50*3)+(58.14*3)-400</f>
        <v>8078.7657600000002</v>
      </c>
      <c r="S31" s="11"/>
      <c r="T31" s="11"/>
    </row>
    <row r="32" spans="1:20" x14ac:dyDescent="0.2">
      <c r="B32" s="232" t="s">
        <v>3</v>
      </c>
      <c r="C32" s="229" t="s">
        <v>12</v>
      </c>
      <c r="D32" s="41"/>
      <c r="E32" s="221">
        <v>11113.9</v>
      </c>
      <c r="F32" s="275"/>
      <c r="G32" s="275">
        <v>6000</v>
      </c>
      <c r="H32" s="275">
        <f t="shared" si="0"/>
        <v>5113.8999999999996</v>
      </c>
      <c r="I32" s="275"/>
      <c r="J32" s="59"/>
      <c r="K32" s="59"/>
      <c r="L32" s="261">
        <v>33.590000000000003</v>
      </c>
      <c r="M32" s="262">
        <v>234</v>
      </c>
      <c r="N32" s="264">
        <f t="shared" si="2"/>
        <v>5819.9377600000007</v>
      </c>
      <c r="O32" s="264">
        <f t="shared" si="1"/>
        <v>3911.31</v>
      </c>
      <c r="P32" s="263"/>
      <c r="Q32" s="264">
        <v>1303.77</v>
      </c>
      <c r="R32" s="264">
        <f>N32+O32+Q32-(50*3)+(76.3*3)</f>
        <v>11113.91776</v>
      </c>
      <c r="S32" s="11"/>
      <c r="T32" s="11"/>
    </row>
    <row r="33" spans="2:21" x14ac:dyDescent="0.2">
      <c r="B33" s="233" t="s">
        <v>31</v>
      </c>
      <c r="C33" s="230" t="s">
        <v>11</v>
      </c>
      <c r="D33" s="42"/>
      <c r="E33" s="222">
        <v>10731.3</v>
      </c>
      <c r="F33" s="275"/>
      <c r="G33" s="275">
        <v>5000</v>
      </c>
      <c r="H33" s="275">
        <f t="shared" si="0"/>
        <v>5731.2999999999993</v>
      </c>
      <c r="I33" s="275"/>
      <c r="J33" s="59"/>
      <c r="K33" s="59"/>
      <c r="L33" s="261">
        <v>32.5</v>
      </c>
      <c r="M33" s="262">
        <v>234</v>
      </c>
      <c r="N33" s="264">
        <f t="shared" si="2"/>
        <v>5631.08</v>
      </c>
      <c r="O33" s="264">
        <f t="shared" si="1"/>
        <v>3807.66</v>
      </c>
      <c r="P33" s="263"/>
      <c r="Q33" s="264">
        <v>1269.22</v>
      </c>
      <c r="R33" s="264">
        <f>N33+O33+Q33-(100*3)+(67.78*3)</f>
        <v>10611.3</v>
      </c>
      <c r="S33" s="11"/>
      <c r="T33" s="11"/>
      <c r="U33" s="4"/>
    </row>
    <row r="34" spans="2:21" x14ac:dyDescent="0.2">
      <c r="B34" s="233" t="s">
        <v>69</v>
      </c>
      <c r="C34" s="230" t="s">
        <v>30</v>
      </c>
      <c r="D34" s="42"/>
      <c r="E34" s="222">
        <v>7291.6</v>
      </c>
      <c r="F34" s="275"/>
      <c r="G34" s="275">
        <v>4000</v>
      </c>
      <c r="H34" s="275">
        <f t="shared" si="0"/>
        <v>3291.6000000000004</v>
      </c>
      <c r="I34" s="275"/>
      <c r="K34" s="45"/>
      <c r="L34" s="261">
        <v>25</v>
      </c>
      <c r="M34" s="262">
        <v>234</v>
      </c>
      <c r="N34" s="264">
        <f t="shared" si="2"/>
        <v>4331.6000000000004</v>
      </c>
      <c r="O34" s="264">
        <f t="shared" si="1"/>
        <v>2970</v>
      </c>
      <c r="P34" s="264">
        <v>-1000</v>
      </c>
      <c r="Q34" s="264">
        <v>990</v>
      </c>
      <c r="R34" s="264">
        <f>N34+O34+Q34</f>
        <v>8291.6</v>
      </c>
      <c r="S34" s="11"/>
      <c r="T34" s="11"/>
      <c r="U34" s="265" t="s">
        <v>192</v>
      </c>
    </row>
    <row r="35" spans="2:21" x14ac:dyDescent="0.2">
      <c r="B35" s="68" t="s">
        <v>79</v>
      </c>
      <c r="C35" s="72" t="s">
        <v>80</v>
      </c>
      <c r="D35" s="69"/>
      <c r="E35" s="70">
        <v>8283.7999999999993</v>
      </c>
      <c r="F35" s="275"/>
      <c r="G35" s="275">
        <v>4000</v>
      </c>
      <c r="H35" s="275">
        <f t="shared" si="0"/>
        <v>4283.7999999999993</v>
      </c>
      <c r="I35" s="275"/>
      <c r="J35" s="59"/>
      <c r="K35" s="59" t="s">
        <v>210</v>
      </c>
      <c r="L35" s="261">
        <v>31.25</v>
      </c>
      <c r="M35" s="262">
        <f t="shared" ref="M35" si="3">234-U35</f>
        <v>187</v>
      </c>
      <c r="N35" s="264">
        <f t="shared" si="2"/>
        <v>4326.9722222222226</v>
      </c>
      <c r="O35" s="264">
        <f t="shared" si="1"/>
        <v>2966.8269230769233</v>
      </c>
      <c r="P35" s="263"/>
      <c r="Q35" s="264">
        <v>1237.5</v>
      </c>
      <c r="R35" s="264">
        <f>N35+O35+Q35+P35</f>
        <v>8531.2991452991464</v>
      </c>
      <c r="S35" s="266">
        <v>44104</v>
      </c>
      <c r="T35" s="266">
        <v>44044</v>
      </c>
      <c r="U35" s="267">
        <f>45+2</f>
        <v>47</v>
      </c>
    </row>
    <row r="36" spans="2:21" x14ac:dyDescent="0.2">
      <c r="B36" s="68" t="s">
        <v>92</v>
      </c>
      <c r="C36" s="72" t="s">
        <v>167</v>
      </c>
      <c r="D36" s="69"/>
      <c r="E36" s="70">
        <v>2953.69</v>
      </c>
      <c r="F36" s="275"/>
      <c r="G36" s="275">
        <v>1500</v>
      </c>
      <c r="H36" s="275">
        <f t="shared" si="0"/>
        <v>1453.69</v>
      </c>
      <c r="I36" s="275"/>
      <c r="J36" s="59"/>
      <c r="K36" s="59" t="s">
        <v>209</v>
      </c>
      <c r="L36" s="261">
        <v>31.25</v>
      </c>
      <c r="M36" s="262">
        <f>12+20+12</f>
        <v>44</v>
      </c>
      <c r="N36" s="264">
        <f t="shared" si="2"/>
        <v>1018.1111111111111</v>
      </c>
      <c r="O36" s="264">
        <f t="shared" si="1"/>
        <v>698.07692307692309</v>
      </c>
      <c r="P36" s="263"/>
      <c r="Q36" s="264">
        <v>1237.5</v>
      </c>
      <c r="R36" s="264">
        <f>N36+O36+Q36</f>
        <v>2953.6880341880342</v>
      </c>
      <c r="S36" s="266">
        <v>44117</v>
      </c>
      <c r="T36" s="266"/>
      <c r="U36" s="274"/>
    </row>
    <row r="37" spans="2:21" x14ac:dyDescent="0.2">
      <c r="B37" s="68" t="s">
        <v>26</v>
      </c>
      <c r="C37" s="72" t="s">
        <v>158</v>
      </c>
      <c r="D37" s="69"/>
      <c r="E37" s="70">
        <v>2389.62</v>
      </c>
      <c r="F37" s="275"/>
      <c r="G37" s="275">
        <v>1500</v>
      </c>
      <c r="H37" s="275">
        <f t="shared" si="0"/>
        <v>889.61999999999989</v>
      </c>
      <c r="I37" s="275"/>
      <c r="J37" s="59"/>
      <c r="K37" s="59" t="s">
        <v>209</v>
      </c>
      <c r="L37" s="261">
        <v>20</v>
      </c>
      <c r="M37" s="262">
        <f>12+20+20+12</f>
        <v>64</v>
      </c>
      <c r="N37" s="264">
        <f t="shared" si="2"/>
        <v>947.76888888888891</v>
      </c>
      <c r="O37" s="264">
        <f t="shared" si="1"/>
        <v>649.84615384615392</v>
      </c>
      <c r="P37" s="263"/>
      <c r="Q37" s="264">
        <v>792</v>
      </c>
      <c r="R37" s="264">
        <f>N37+O37+Q37</f>
        <v>2389.6150427350431</v>
      </c>
      <c r="S37" s="266">
        <v>44089</v>
      </c>
      <c r="T37" s="266"/>
      <c r="U37" s="274"/>
    </row>
    <row r="38" spans="2:21" x14ac:dyDescent="0.2">
      <c r="B38" s="68" t="s">
        <v>102</v>
      </c>
      <c r="C38" s="72" t="s">
        <v>159</v>
      </c>
      <c r="D38" s="69"/>
      <c r="E38" s="70">
        <v>2940.21</v>
      </c>
      <c r="F38" s="275"/>
      <c r="G38" s="275">
        <v>1500</v>
      </c>
      <c r="H38" s="275">
        <f t="shared" si="0"/>
        <v>1440.21</v>
      </c>
      <c r="I38" s="275"/>
      <c r="J38" s="59"/>
      <c r="K38" s="59"/>
      <c r="L38" s="261">
        <v>31.25</v>
      </c>
      <c r="M38" s="262">
        <f>1+20+20+9</f>
        <v>50</v>
      </c>
      <c r="N38" s="264">
        <f t="shared" si="2"/>
        <v>1156.9444444444443</v>
      </c>
      <c r="O38" s="263">
        <f t="shared" si="1"/>
        <v>793.26923076923072</v>
      </c>
      <c r="P38" s="263"/>
      <c r="Q38" s="264">
        <v>1237.5</v>
      </c>
      <c r="R38" s="264">
        <f>N38+O38+Q38+P38</f>
        <v>3187.7136752136748</v>
      </c>
      <c r="S38" s="266" t="s">
        <v>208</v>
      </c>
      <c r="T38" s="266"/>
      <c r="U38" s="274"/>
    </row>
    <row r="39" spans="2:21" x14ac:dyDescent="0.2">
      <c r="B39" s="68" t="s">
        <v>146</v>
      </c>
      <c r="C39" s="72" t="s">
        <v>147</v>
      </c>
      <c r="D39" s="69"/>
      <c r="E39" s="70">
        <v>4934.51</v>
      </c>
      <c r="F39" s="275"/>
      <c r="G39" s="275">
        <v>2500</v>
      </c>
      <c r="H39" s="275">
        <f t="shared" si="0"/>
        <v>2434.5100000000002</v>
      </c>
      <c r="I39" s="275"/>
      <c r="J39" s="59"/>
      <c r="K39" s="59"/>
      <c r="L39" s="261">
        <v>31.25</v>
      </c>
      <c r="M39" s="262">
        <f>16+25+20+20+12</f>
        <v>93</v>
      </c>
      <c r="N39" s="264">
        <f>L39*40*52*0.0833*(M39/234)</f>
        <v>2151.9166666666665</v>
      </c>
      <c r="O39" s="263">
        <f t="shared" si="1"/>
        <v>1475.4807692307691</v>
      </c>
      <c r="P39" s="263"/>
      <c r="Q39" s="264">
        <v>1237.5</v>
      </c>
      <c r="R39" s="264">
        <f t="shared" ref="R39:R41" si="4">N39+O39+Q39+P39</f>
        <v>4864.8974358974356</v>
      </c>
      <c r="S39" s="266">
        <v>44048</v>
      </c>
      <c r="T39" s="266"/>
      <c r="U39" s="274"/>
    </row>
    <row r="40" spans="2:21" x14ac:dyDescent="0.2">
      <c r="B40" s="68" t="s">
        <v>154</v>
      </c>
      <c r="C40" s="72" t="s">
        <v>155</v>
      </c>
      <c r="D40" s="69"/>
      <c r="E40" s="70">
        <f>N40</f>
        <v>1457.75</v>
      </c>
      <c r="F40" s="275"/>
      <c r="G40" s="275"/>
      <c r="H40" s="275">
        <f t="shared" si="0"/>
        <v>1457.75</v>
      </c>
      <c r="I40" s="275"/>
      <c r="J40" s="59"/>
      <c r="K40" s="59" t="s">
        <v>209</v>
      </c>
      <c r="L40" s="261">
        <v>31.25</v>
      </c>
      <c r="M40" s="262">
        <f>22+20+21</f>
        <v>63</v>
      </c>
      <c r="N40" s="264">
        <f>L40*40*52*0.0833*(M40/234)</f>
        <v>1457.75</v>
      </c>
      <c r="O40" s="263"/>
      <c r="P40" s="263"/>
      <c r="Q40" s="264">
        <v>1237.5</v>
      </c>
      <c r="R40" s="264">
        <f t="shared" si="4"/>
        <v>2695.25</v>
      </c>
      <c r="S40" s="266">
        <v>44075</v>
      </c>
      <c r="T40" s="266">
        <v>44165</v>
      </c>
      <c r="U40" s="274"/>
    </row>
    <row r="41" spans="2:21" ht="13.5" thickBot="1" x14ac:dyDescent="0.25">
      <c r="B41" s="71" t="s">
        <v>164</v>
      </c>
      <c r="C41" s="73" t="s">
        <v>166</v>
      </c>
      <c r="D41" s="50"/>
      <c r="E41" s="192">
        <f>N41</f>
        <v>925.55555555555554</v>
      </c>
      <c r="F41" s="280"/>
      <c r="G41" s="275"/>
      <c r="H41" s="275">
        <f t="shared" si="0"/>
        <v>925.55555555555554</v>
      </c>
      <c r="I41" s="275"/>
      <c r="K41" s="59" t="s">
        <v>209</v>
      </c>
      <c r="L41" s="261">
        <v>31.25</v>
      </c>
      <c r="M41" s="262">
        <f>19+21</f>
        <v>40</v>
      </c>
      <c r="N41" s="264">
        <f t="shared" ref="N41" si="5">L41*40*52*0.0833*(M41/234)</f>
        <v>925.55555555555554</v>
      </c>
      <c r="O41" s="263"/>
      <c r="P41" s="263"/>
      <c r="Q41" s="264">
        <v>1237.5</v>
      </c>
      <c r="R41" s="264">
        <f t="shared" si="4"/>
        <v>2163.0555555555557</v>
      </c>
      <c r="S41" s="266">
        <v>44105</v>
      </c>
      <c r="T41" s="266">
        <v>44165</v>
      </c>
      <c r="U41" s="274"/>
    </row>
    <row r="42" spans="2:21" s="4" customFormat="1" ht="13.5" thickBot="1" x14ac:dyDescent="0.25">
      <c r="B42" s="46"/>
      <c r="C42" s="47"/>
      <c r="D42" s="48"/>
      <c r="E42" s="49">
        <f>SUM(E30:E41)</f>
        <v>86640.24555555555</v>
      </c>
      <c r="F42" s="276"/>
      <c r="G42" s="276"/>
      <c r="H42" s="276"/>
      <c r="I42" s="275"/>
      <c r="J42" s="58"/>
      <c r="K42" s="58"/>
      <c r="L42" s="56"/>
      <c r="M42" s="203"/>
      <c r="O42" s="177"/>
      <c r="P42" s="5"/>
    </row>
    <row r="43" spans="2:21" s="212" customFormat="1" ht="13.5" thickBot="1" x14ac:dyDescent="0.25">
      <c r="B43" s="213" t="s">
        <v>29</v>
      </c>
      <c r="C43" s="214" t="s">
        <v>5</v>
      </c>
      <c r="D43" s="214"/>
      <c r="E43" s="76">
        <f>1125*4</f>
        <v>4500</v>
      </c>
      <c r="F43" s="276"/>
      <c r="G43" s="276"/>
      <c r="H43" s="281"/>
      <c r="I43" s="275">
        <f t="shared" ref="I43:I46" si="6">E43-G43-H43</f>
        <v>4500</v>
      </c>
      <c r="J43" s="215"/>
      <c r="K43" s="215"/>
      <c r="L43" s="215"/>
    </row>
    <row r="44" spans="2:21" ht="13.5" thickBot="1" x14ac:dyDescent="0.25">
      <c r="B44" s="10"/>
      <c r="C44" s="28" t="s">
        <v>0</v>
      </c>
      <c r="D44" s="28"/>
      <c r="E44" s="30">
        <f>SUM(E42:E43)</f>
        <v>91140.24555555555</v>
      </c>
      <c r="F44" s="52"/>
      <c r="G44" s="52"/>
      <c r="H44" s="52"/>
      <c r="I44" s="275"/>
      <c r="K44" s="45"/>
      <c r="L44" s="45"/>
      <c r="O44" s="4"/>
    </row>
    <row r="45" spans="2:21" x14ac:dyDescent="0.2">
      <c r="B45" s="10"/>
      <c r="C45" s="28"/>
      <c r="D45" s="28"/>
      <c r="E45" s="52"/>
      <c r="F45" s="52"/>
      <c r="G45" s="177"/>
      <c r="H45" s="177"/>
      <c r="I45" s="275">
        <f t="shared" si="6"/>
        <v>0</v>
      </c>
      <c r="K45" s="45"/>
    </row>
    <row r="46" spans="2:21" x14ac:dyDescent="0.2">
      <c r="B46" s="10" t="s">
        <v>111</v>
      </c>
      <c r="C46" s="182" t="s">
        <v>112</v>
      </c>
      <c r="D46" s="28"/>
      <c r="E46" s="199">
        <v>4000</v>
      </c>
      <c r="F46" s="177"/>
      <c r="G46" s="199">
        <v>4000</v>
      </c>
      <c r="H46" s="199"/>
      <c r="I46" s="279">
        <f t="shared" si="6"/>
        <v>0</v>
      </c>
      <c r="K46" s="45"/>
    </row>
    <row r="47" spans="2:21" x14ac:dyDescent="0.2">
      <c r="B47" s="286" t="s">
        <v>220</v>
      </c>
      <c r="C47" s="182"/>
      <c r="D47" s="28"/>
      <c r="E47" s="177">
        <f>SUM(E44:E46)</f>
        <v>95140.24555555555</v>
      </c>
      <c r="F47" s="177"/>
      <c r="G47" s="45">
        <f>SUM(G30:G46)</f>
        <v>44000</v>
      </c>
      <c r="H47" s="45">
        <f>SUM(H30:H46)</f>
        <v>46640.245555555564</v>
      </c>
      <c r="I47" s="45">
        <f>SUM(I30:I46)</f>
        <v>4500</v>
      </c>
      <c r="J47" s="282">
        <f>SUM(G47:I47)</f>
        <v>95140.245555555564</v>
      </c>
      <c r="K47" s="45"/>
    </row>
    <row r="48" spans="2:21" x14ac:dyDescent="0.2">
      <c r="B48" s="10" t="s">
        <v>111</v>
      </c>
      <c r="C48" s="182" t="s">
        <v>112</v>
      </c>
      <c r="D48" s="28"/>
      <c r="E48" s="177">
        <v>16000</v>
      </c>
      <c r="F48" s="177" t="s">
        <v>134</v>
      </c>
      <c r="G48" s="287" t="s">
        <v>116</v>
      </c>
      <c r="H48" s="287" t="s">
        <v>116</v>
      </c>
      <c r="I48" s="45">
        <v>12000</v>
      </c>
      <c r="K48" s="45"/>
    </row>
    <row r="49" spans="1:13" x14ac:dyDescent="0.2">
      <c r="B49" s="10" t="s">
        <v>8</v>
      </c>
      <c r="C49" s="182" t="s">
        <v>194</v>
      </c>
      <c r="D49" s="28"/>
      <c r="E49" s="177">
        <v>12000</v>
      </c>
      <c r="F49" s="177"/>
      <c r="I49" s="45">
        <v>12000</v>
      </c>
      <c r="K49" s="45"/>
    </row>
    <row r="50" spans="1:13" x14ac:dyDescent="0.2">
      <c r="B50" s="10" t="s">
        <v>27</v>
      </c>
      <c r="C50" s="182" t="s">
        <v>195</v>
      </c>
      <c r="D50" s="28"/>
      <c r="E50" s="177">
        <v>12000</v>
      </c>
      <c r="F50" s="177"/>
      <c r="I50" s="45">
        <v>12000</v>
      </c>
      <c r="K50" s="45"/>
    </row>
    <row r="51" spans="1:13" x14ac:dyDescent="0.2">
      <c r="B51" s="10" t="s">
        <v>6</v>
      </c>
      <c r="C51" s="182" t="s">
        <v>196</v>
      </c>
      <c r="D51" s="28"/>
      <c r="E51" s="177">
        <v>9000</v>
      </c>
      <c r="F51" s="177" t="s">
        <v>134</v>
      </c>
      <c r="I51" s="45">
        <v>9000</v>
      </c>
      <c r="K51" s="45"/>
    </row>
    <row r="52" spans="1:13" x14ac:dyDescent="0.2">
      <c r="B52" s="10"/>
      <c r="C52" s="182"/>
      <c r="D52" s="28"/>
      <c r="E52" s="177"/>
      <c r="F52" s="177"/>
      <c r="I52" s="199"/>
      <c r="K52" s="45"/>
    </row>
    <row r="53" spans="1:13" ht="13.5" thickBot="1" x14ac:dyDescent="0.25">
      <c r="B53" s="10"/>
      <c r="C53" s="182"/>
      <c r="D53" s="28" t="s">
        <v>198</v>
      </c>
      <c r="E53" s="269">
        <f>SUM(E47:E51)</f>
        <v>144140.24555555556</v>
      </c>
      <c r="F53" s="177"/>
      <c r="I53" s="45">
        <f>SUM(I47:I52)</f>
        <v>49500</v>
      </c>
      <c r="K53" s="45"/>
    </row>
    <row r="54" spans="1:13" ht="13.5" thickTop="1" x14ac:dyDescent="0.2">
      <c r="B54" s="10"/>
      <c r="C54" s="28"/>
      <c r="D54" s="28"/>
      <c r="E54" s="52"/>
      <c r="F54" s="52"/>
    </row>
    <row r="55" spans="1:13" s="24" customFormat="1" ht="6.75" customHeight="1" x14ac:dyDescent="0.2">
      <c r="B55" s="25"/>
      <c r="C55" s="26"/>
      <c r="D55" s="26"/>
      <c r="E55" s="27"/>
      <c r="F55" s="27"/>
      <c r="G55" s="53"/>
      <c r="H55" s="53"/>
      <c r="I55" s="53"/>
      <c r="J55" s="53"/>
      <c r="K55" s="27"/>
    </row>
    <row r="56" spans="1:13" ht="19.5" customHeight="1" x14ac:dyDescent="0.2">
      <c r="A56" s="38"/>
      <c r="B56" s="20" t="s">
        <v>21</v>
      </c>
      <c r="C56" s="39" t="s">
        <v>200</v>
      </c>
      <c r="D56" s="33"/>
      <c r="E56" s="12"/>
      <c r="F56" s="54"/>
      <c r="G56" s="20"/>
      <c r="H56" s="39"/>
      <c r="I56" s="33"/>
      <c r="J56" s="5"/>
      <c r="K56" s="20"/>
      <c r="L56" s="39"/>
      <c r="M56" s="33"/>
    </row>
    <row r="57" spans="1:13" ht="19.5" customHeight="1" x14ac:dyDescent="0.2">
      <c r="B57" s="20" t="s">
        <v>23</v>
      </c>
      <c r="C57" s="395">
        <v>44181</v>
      </c>
      <c r="D57" s="395"/>
      <c r="E57" s="12"/>
      <c r="F57" s="54"/>
      <c r="G57" s="20"/>
      <c r="H57" s="395"/>
      <c r="I57" s="395"/>
      <c r="J57" s="5"/>
      <c r="K57" s="20"/>
      <c r="L57" s="395"/>
      <c r="M57" s="395"/>
    </row>
    <row r="58" spans="1:13" ht="19.5" customHeight="1" x14ac:dyDescent="0.2">
      <c r="B58" s="20"/>
      <c r="C58" s="272"/>
      <c r="D58" s="272"/>
      <c r="E58" s="12"/>
      <c r="F58" s="54"/>
      <c r="G58" s="20"/>
      <c r="H58" s="272"/>
      <c r="I58" s="272"/>
      <c r="J58" s="5"/>
      <c r="K58" s="20"/>
      <c r="L58" s="272"/>
      <c r="M58" s="272"/>
    </row>
    <row r="59" spans="1:13" s="128" customFormat="1" ht="13.5" thickBot="1" x14ac:dyDescent="0.25">
      <c r="B59" s="21" t="s">
        <v>22</v>
      </c>
      <c r="C59" s="44" t="s">
        <v>1</v>
      </c>
      <c r="D59" s="44"/>
      <c r="E59" s="23" t="s">
        <v>2</v>
      </c>
      <c r="F59" s="21"/>
      <c r="G59" s="204"/>
      <c r="H59" s="204"/>
      <c r="I59" s="204"/>
      <c r="J59" s="55"/>
    </row>
    <row r="60" spans="1:13" x14ac:dyDescent="0.2">
      <c r="B60" s="18" t="s">
        <v>25</v>
      </c>
      <c r="C60" s="19" t="s">
        <v>13</v>
      </c>
      <c r="D60" s="40"/>
      <c r="E60" s="66">
        <v>3303.21</v>
      </c>
      <c r="F60" s="275"/>
      <c r="G60" s="219" t="s">
        <v>219</v>
      </c>
      <c r="H60" s="219"/>
      <c r="I60" s="218"/>
    </row>
    <row r="61" spans="1:13" x14ac:dyDescent="0.2">
      <c r="B61" s="36" t="s">
        <v>26</v>
      </c>
      <c r="C61" s="22" t="s">
        <v>24</v>
      </c>
      <c r="D61" s="41"/>
      <c r="E61" s="66">
        <v>1005.13</v>
      </c>
      <c r="F61" s="275"/>
      <c r="G61" s="59"/>
      <c r="H61" s="59"/>
      <c r="I61" s="219"/>
    </row>
    <row r="62" spans="1:13" x14ac:dyDescent="0.2">
      <c r="B62" s="36" t="s">
        <v>3</v>
      </c>
      <c r="C62" s="22" t="s">
        <v>12</v>
      </c>
      <c r="D62" s="41"/>
      <c r="E62" s="66">
        <v>1303.77</v>
      </c>
      <c r="F62" s="275"/>
      <c r="G62" s="59"/>
      <c r="H62" s="59"/>
      <c r="I62" s="56"/>
    </row>
    <row r="63" spans="1:13" x14ac:dyDescent="0.2">
      <c r="B63" s="13" t="s">
        <v>31</v>
      </c>
      <c r="C63" s="16" t="s">
        <v>11</v>
      </c>
      <c r="D63" s="42"/>
      <c r="E63" s="67">
        <v>1269.22</v>
      </c>
      <c r="F63" s="275"/>
      <c r="G63" s="59"/>
      <c r="H63" s="59"/>
      <c r="I63" s="56"/>
    </row>
    <row r="64" spans="1:13" x14ac:dyDescent="0.2">
      <c r="B64" s="68" t="s">
        <v>69</v>
      </c>
      <c r="C64" s="72" t="s">
        <v>30</v>
      </c>
      <c r="D64" s="69"/>
      <c r="E64" s="70">
        <v>0</v>
      </c>
      <c r="F64" s="275"/>
      <c r="G64" s="59"/>
      <c r="H64" s="59"/>
      <c r="I64" s="56"/>
    </row>
    <row r="65" spans="1:13" x14ac:dyDescent="0.2">
      <c r="B65" s="68" t="s">
        <v>79</v>
      </c>
      <c r="C65" s="72" t="s">
        <v>80</v>
      </c>
      <c r="D65" s="69"/>
      <c r="E65" s="70">
        <v>1237.5</v>
      </c>
      <c r="F65" s="275"/>
      <c r="G65" s="59"/>
      <c r="H65" s="59"/>
      <c r="I65" s="218"/>
      <c r="J65" s="177"/>
    </row>
    <row r="66" spans="1:13" x14ac:dyDescent="0.2">
      <c r="B66" s="68" t="s">
        <v>92</v>
      </c>
      <c r="C66" s="72" t="s">
        <v>167</v>
      </c>
      <c r="D66" s="69"/>
      <c r="E66" s="70">
        <v>1237.5</v>
      </c>
      <c r="F66" s="275"/>
      <c r="G66" s="59"/>
      <c r="H66" s="59"/>
      <c r="I66" s="218"/>
      <c r="J66" s="177"/>
    </row>
    <row r="67" spans="1:13" x14ac:dyDescent="0.2">
      <c r="B67" s="68" t="s">
        <v>26</v>
      </c>
      <c r="C67" s="72" t="s">
        <v>158</v>
      </c>
      <c r="D67" s="69"/>
      <c r="E67" s="70">
        <v>792</v>
      </c>
      <c r="F67" s="275"/>
      <c r="G67" s="59"/>
      <c r="H67" s="59"/>
      <c r="I67" s="218"/>
      <c r="J67" s="177"/>
    </row>
    <row r="68" spans="1:13" x14ac:dyDescent="0.2">
      <c r="B68" s="68" t="s">
        <v>102</v>
      </c>
      <c r="C68" s="72" t="s">
        <v>159</v>
      </c>
      <c r="D68" s="69"/>
      <c r="E68" s="70">
        <v>990</v>
      </c>
      <c r="F68" s="275"/>
      <c r="G68" s="59"/>
      <c r="H68" s="59"/>
      <c r="I68" s="218"/>
      <c r="J68" s="177"/>
    </row>
    <row r="69" spans="1:13" ht="13.5" thickBot="1" x14ac:dyDescent="0.25">
      <c r="B69" s="71" t="s">
        <v>146</v>
      </c>
      <c r="C69" s="73" t="s">
        <v>147</v>
      </c>
      <c r="D69" s="50"/>
      <c r="E69" s="192">
        <v>1237.5</v>
      </c>
      <c r="F69" s="275"/>
      <c r="I69" s="56"/>
      <c r="K69" s="271"/>
      <c r="L69" s="271"/>
    </row>
    <row r="70" spans="1:13" ht="13.5" thickBot="1" x14ac:dyDescent="0.25">
      <c r="B70" s="10"/>
      <c r="C70" s="28" t="s">
        <v>0</v>
      </c>
      <c r="D70" s="28"/>
      <c r="E70" s="30">
        <f>SUM(E60:E69)</f>
        <v>12375.830000000002</v>
      </c>
      <c r="F70" s="52"/>
    </row>
    <row r="71" spans="1:13" x14ac:dyDescent="0.2">
      <c r="B71" s="10"/>
      <c r="C71" s="28"/>
      <c r="D71" s="28"/>
      <c r="E71" s="52"/>
      <c r="F71" s="52"/>
    </row>
    <row r="72" spans="1:13" x14ac:dyDescent="0.2">
      <c r="B72" s="10" t="s">
        <v>111</v>
      </c>
      <c r="C72" s="182" t="s">
        <v>112</v>
      </c>
      <c r="D72" s="28"/>
      <c r="E72" s="177">
        <v>4000</v>
      </c>
      <c r="F72" s="177"/>
      <c r="G72" s="45">
        <f>SUM(E70:E72)</f>
        <v>16375.830000000002</v>
      </c>
      <c r="I72" s="65"/>
    </row>
    <row r="73" spans="1:13" ht="12.75" customHeight="1" x14ac:dyDescent="0.45">
      <c r="B73" s="2"/>
      <c r="C73" s="17"/>
      <c r="D73" s="17"/>
      <c r="E73" s="283"/>
      <c r="F73" s="256"/>
      <c r="G73" s="2"/>
      <c r="H73" s="17"/>
      <c r="I73" s="17"/>
      <c r="J73" s="5"/>
      <c r="K73" s="2"/>
      <c r="L73" s="17"/>
      <c r="M73" s="17"/>
    </row>
    <row r="74" spans="1:13" s="24" customFormat="1" ht="6.75" customHeight="1" x14ac:dyDescent="0.2">
      <c r="B74" s="25"/>
      <c r="C74" s="26"/>
      <c r="D74" s="26"/>
      <c r="E74" s="27"/>
      <c r="F74" s="27"/>
      <c r="G74" s="53"/>
      <c r="H74" s="53"/>
      <c r="I74" s="53"/>
      <c r="J74" s="53"/>
      <c r="K74" s="27"/>
    </row>
    <row r="75" spans="1:13" ht="19.5" customHeight="1" x14ac:dyDescent="0.2">
      <c r="A75" s="38"/>
      <c r="B75" s="20" t="s">
        <v>21</v>
      </c>
      <c r="C75" s="39" t="s">
        <v>201</v>
      </c>
      <c r="D75" s="33"/>
      <c r="E75" s="12"/>
      <c r="F75" s="54"/>
      <c r="G75" s="38"/>
      <c r="H75" s="20" t="s">
        <v>21</v>
      </c>
      <c r="I75" s="39" t="s">
        <v>202</v>
      </c>
      <c r="J75" s="33"/>
      <c r="K75" s="12"/>
      <c r="L75" s="39"/>
      <c r="M75" s="33"/>
    </row>
    <row r="76" spans="1:13" ht="19.5" customHeight="1" x14ac:dyDescent="0.2">
      <c r="B76" s="20" t="s">
        <v>23</v>
      </c>
      <c r="C76" s="395">
        <v>44188</v>
      </c>
      <c r="D76" s="395"/>
      <c r="E76" s="12"/>
      <c r="F76" s="54"/>
      <c r="G76" s="5"/>
      <c r="H76" s="20" t="s">
        <v>23</v>
      </c>
      <c r="I76" s="395">
        <v>44195</v>
      </c>
      <c r="J76" s="395"/>
      <c r="K76" s="12"/>
      <c r="L76" s="395"/>
      <c r="M76" s="395"/>
    </row>
    <row r="77" spans="1:13" ht="19.5" customHeight="1" x14ac:dyDescent="0.2">
      <c r="B77" s="20"/>
      <c r="C77" s="272"/>
      <c r="D77" s="272"/>
      <c r="E77" s="12"/>
      <c r="F77" s="54"/>
      <c r="G77" s="5"/>
      <c r="H77" s="20"/>
      <c r="I77" s="272"/>
      <c r="J77" s="272"/>
      <c r="K77" s="12"/>
      <c r="L77" s="272"/>
      <c r="M77" s="272"/>
    </row>
    <row r="78" spans="1:13" ht="12.75" customHeight="1" x14ac:dyDescent="0.45">
      <c r="B78" s="397" t="s">
        <v>215</v>
      </c>
      <c r="C78" s="397"/>
      <c r="D78" s="397"/>
      <c r="E78" s="255"/>
      <c r="F78" s="256"/>
      <c r="G78" s="5"/>
      <c r="H78" s="397" t="s">
        <v>216</v>
      </c>
      <c r="I78" s="397"/>
      <c r="J78" s="397"/>
      <c r="K78" s="273"/>
      <c r="L78" s="17"/>
      <c r="M78" s="17"/>
    </row>
    <row r="79" spans="1:13" ht="12.75" customHeight="1" x14ac:dyDescent="0.45">
      <c r="B79" s="397"/>
      <c r="C79" s="397"/>
      <c r="D79" s="397"/>
      <c r="E79" s="255"/>
      <c r="F79" s="256"/>
      <c r="G79" s="5"/>
      <c r="H79" s="397"/>
      <c r="I79" s="397"/>
      <c r="J79" s="397"/>
      <c r="K79" s="273"/>
      <c r="L79" s="17"/>
      <c r="M79" s="17"/>
    </row>
    <row r="80" spans="1:13" x14ac:dyDescent="0.2">
      <c r="B80" s="10"/>
      <c r="C80" s="28"/>
      <c r="D80" s="28"/>
      <c r="E80" s="52"/>
      <c r="F80" s="52"/>
    </row>
    <row r="81" spans="1:13" s="24" customFormat="1" ht="6.75" customHeight="1" x14ac:dyDescent="0.2">
      <c r="B81" s="25"/>
      <c r="C81" s="26"/>
      <c r="D81" s="26"/>
      <c r="E81" s="27"/>
      <c r="F81" s="27"/>
      <c r="G81" s="53"/>
      <c r="H81" s="53"/>
      <c r="I81" s="53"/>
      <c r="J81" s="53"/>
      <c r="K81" s="27"/>
    </row>
    <row r="82" spans="1:13" x14ac:dyDescent="0.2">
      <c r="B82" s="10"/>
      <c r="C82" s="28"/>
      <c r="D82" s="28"/>
      <c r="E82" s="52"/>
      <c r="F82" s="52"/>
    </row>
    <row r="83" spans="1:13" ht="23.25" x14ac:dyDescent="0.35">
      <c r="A83" s="268" t="s">
        <v>197</v>
      </c>
      <c r="B83" s="10"/>
      <c r="C83" s="182"/>
      <c r="D83" s="28"/>
      <c r="E83" s="177"/>
      <c r="F83" s="177"/>
      <c r="L83" s="65"/>
    </row>
    <row r="84" spans="1:13" x14ac:dyDescent="0.2">
      <c r="B84" s="10"/>
      <c r="C84" s="28"/>
      <c r="D84" s="28"/>
      <c r="E84" s="177"/>
      <c r="F84" s="177"/>
    </row>
    <row r="85" spans="1:13" s="6" customFormat="1" ht="13.15" customHeight="1" x14ac:dyDescent="0.2">
      <c r="A85" s="14" t="s">
        <v>6</v>
      </c>
      <c r="B85" s="15" t="s">
        <v>7</v>
      </c>
      <c r="C85" s="15"/>
      <c r="D85" s="31">
        <v>9000</v>
      </c>
      <c r="E85" s="43" t="s">
        <v>116</v>
      </c>
      <c r="F85" s="43"/>
      <c r="G85" s="14"/>
      <c r="H85" s="14"/>
      <c r="I85" s="206"/>
      <c r="J85" s="31"/>
      <c r="K85" s="51"/>
      <c r="M85" s="5"/>
    </row>
    <row r="86" spans="1:13" s="6" customFormat="1" ht="13.15" customHeight="1" x14ac:dyDescent="0.2">
      <c r="A86" s="14" t="s">
        <v>8</v>
      </c>
      <c r="B86" s="15" t="s">
        <v>9</v>
      </c>
      <c r="C86" s="15"/>
      <c r="D86" s="31">
        <v>311.83999999999997</v>
      </c>
      <c r="E86" s="43" t="s">
        <v>116</v>
      </c>
      <c r="F86" s="43"/>
      <c r="G86" s="14"/>
      <c r="H86" s="14"/>
      <c r="I86" s="206"/>
      <c r="J86" s="190"/>
      <c r="K86" s="51"/>
      <c r="M86" s="5"/>
    </row>
    <row r="87" spans="1:13" s="6" customFormat="1" ht="13.15" customHeight="1" x14ac:dyDescent="0.2">
      <c r="A87" s="14" t="s">
        <v>27</v>
      </c>
      <c r="B87" s="15" t="s">
        <v>28</v>
      </c>
      <c r="C87" s="15"/>
      <c r="D87" s="31">
        <v>619.53</v>
      </c>
      <c r="E87" s="43" t="s">
        <v>116</v>
      </c>
      <c r="F87" s="43"/>
      <c r="G87" s="60"/>
      <c r="H87" s="60"/>
      <c r="I87" s="206"/>
      <c r="J87" s="190"/>
      <c r="K87" s="51"/>
    </row>
    <row r="88" spans="1:13" s="6" customFormat="1" ht="13.15" customHeight="1" x14ac:dyDescent="0.2">
      <c r="A88" s="14" t="s">
        <v>10</v>
      </c>
      <c r="B88" s="15" t="s">
        <v>34</v>
      </c>
      <c r="C88" s="31"/>
      <c r="D88" s="31">
        <v>5000</v>
      </c>
      <c r="E88" s="43" t="s">
        <v>116</v>
      </c>
      <c r="F88" s="43"/>
      <c r="G88" s="60"/>
      <c r="H88" s="60"/>
      <c r="I88" s="206"/>
      <c r="J88" s="190"/>
      <c r="K88" s="51"/>
    </row>
    <row r="89" spans="1:13" s="6" customFormat="1" ht="13.15" customHeight="1" x14ac:dyDescent="0.2">
      <c r="A89" s="14" t="s">
        <v>10</v>
      </c>
      <c r="B89" s="15" t="s">
        <v>35</v>
      </c>
      <c r="C89" s="31"/>
      <c r="D89" s="31">
        <v>4000</v>
      </c>
      <c r="E89" s="43" t="s">
        <v>116</v>
      </c>
      <c r="F89" s="43"/>
      <c r="G89" s="60"/>
      <c r="H89" s="60"/>
      <c r="I89" s="206"/>
      <c r="J89" s="190"/>
      <c r="K89" s="51"/>
      <c r="L89" s="189"/>
    </row>
    <row r="90" spans="1:13" s="6" customFormat="1" ht="13.15" customHeight="1" x14ac:dyDescent="0.2">
      <c r="A90" s="14" t="s">
        <v>33</v>
      </c>
      <c r="B90" s="206" t="s">
        <v>32</v>
      </c>
      <c r="C90" s="31"/>
      <c r="D90" s="31">
        <v>3864.58</v>
      </c>
      <c r="E90" s="43" t="s">
        <v>116</v>
      </c>
      <c r="F90" s="43"/>
      <c r="G90" s="61"/>
      <c r="H90" s="61"/>
      <c r="I90" s="206"/>
      <c r="J90" s="190"/>
      <c r="K90" s="51"/>
      <c r="L90" s="190"/>
    </row>
    <row r="91" spans="1:13" s="6" customFormat="1" ht="13.15" customHeight="1" x14ac:dyDescent="0.2">
      <c r="A91" s="14" t="s">
        <v>33</v>
      </c>
      <c r="B91" s="206" t="s">
        <v>109</v>
      </c>
      <c r="C91" s="190"/>
      <c r="D91" s="190">
        <v>2000</v>
      </c>
      <c r="E91" s="43" t="s">
        <v>116</v>
      </c>
      <c r="F91" s="43"/>
      <c r="G91" s="62"/>
      <c r="H91" s="62"/>
      <c r="I91" s="206"/>
      <c r="J91" s="208"/>
      <c r="K91" s="51"/>
      <c r="L91" s="190"/>
      <c r="M91" s="189"/>
    </row>
    <row r="92" spans="1:13" s="6" customFormat="1" ht="13.15" customHeight="1" x14ac:dyDescent="0.2">
      <c r="A92" s="60" t="s">
        <v>19</v>
      </c>
      <c r="B92" s="206" t="s">
        <v>20</v>
      </c>
      <c r="C92" s="190"/>
      <c r="D92" s="190">
        <v>500</v>
      </c>
      <c r="E92" s="43" t="s">
        <v>116</v>
      </c>
      <c r="F92" s="31"/>
      <c r="G92" s="62"/>
      <c r="H92" s="62"/>
      <c r="I92" s="209"/>
      <c r="J92" s="60"/>
      <c r="K92" s="37"/>
      <c r="L92" s="190"/>
      <c r="M92" s="189"/>
    </row>
    <row r="93" spans="1:13" s="6" customFormat="1" ht="13.15" customHeight="1" x14ac:dyDescent="0.2">
      <c r="A93" s="60" t="s">
        <v>6</v>
      </c>
      <c r="B93" s="206" t="s">
        <v>39</v>
      </c>
      <c r="C93" s="190"/>
      <c r="D93" s="190">
        <v>919</v>
      </c>
      <c r="E93" s="43" t="s">
        <v>116</v>
      </c>
      <c r="F93" s="31"/>
      <c r="G93" s="63"/>
      <c r="H93" s="63"/>
      <c r="I93" s="63"/>
      <c r="J93" s="205"/>
      <c r="K93" s="37"/>
      <c r="L93" s="190"/>
      <c r="M93" s="189"/>
    </row>
    <row r="94" spans="1:13" s="6" customFormat="1" ht="13.15" customHeight="1" x14ac:dyDescent="0.2">
      <c r="A94" s="60" t="s">
        <v>8</v>
      </c>
      <c r="B94" s="206" t="s">
        <v>14</v>
      </c>
      <c r="C94" s="190"/>
      <c r="D94" s="190">
        <v>12000</v>
      </c>
      <c r="E94" s="43" t="s">
        <v>116</v>
      </c>
      <c r="F94" s="8"/>
      <c r="G94" s="63"/>
      <c r="H94" s="63"/>
      <c r="I94" s="63"/>
      <c r="J94" s="205"/>
      <c r="K94" s="37"/>
      <c r="L94" s="190"/>
      <c r="M94" s="189"/>
    </row>
    <row r="95" spans="1:13" s="6" customFormat="1" ht="13.15" customHeight="1" thickBot="1" x14ac:dyDescent="0.25">
      <c r="A95" s="61" t="s">
        <v>16</v>
      </c>
      <c r="B95" s="206" t="s">
        <v>15</v>
      </c>
      <c r="C95" s="190"/>
      <c r="D95" s="207">
        <v>12000</v>
      </c>
      <c r="E95" s="43" t="s">
        <v>116</v>
      </c>
      <c r="F95" s="8"/>
      <c r="G95" s="63"/>
      <c r="H95" s="63"/>
      <c r="I95" s="63"/>
      <c r="J95" s="63"/>
      <c r="K95" s="37"/>
      <c r="L95" s="190"/>
      <c r="M95" s="189"/>
    </row>
    <row r="96" spans="1:13" s="6" customFormat="1" ht="13.15" customHeight="1" thickTop="1" x14ac:dyDescent="0.2">
      <c r="A96" s="62"/>
      <c r="B96" s="206"/>
      <c r="C96" s="208"/>
      <c r="D96" s="270">
        <f>SUM(D85:D95)</f>
        <v>50214.950000000004</v>
      </c>
      <c r="E96" s="8">
        <f>SUM(D86:D95)</f>
        <v>41214.949999999997</v>
      </c>
      <c r="F96" s="8"/>
      <c r="G96" s="63"/>
      <c r="H96" s="63"/>
      <c r="I96" s="63"/>
      <c r="J96" s="63"/>
      <c r="K96" s="37"/>
      <c r="L96" s="189"/>
      <c r="M96" s="189"/>
    </row>
    <row r="97" spans="1:13" s="6" customFormat="1" ht="13.15" customHeight="1" x14ac:dyDescent="0.2">
      <c r="A97" s="62"/>
      <c r="B97" s="209"/>
      <c r="C97" s="60"/>
      <c r="D97" s="60"/>
      <c r="E97" s="8"/>
      <c r="F97" s="8"/>
      <c r="G97" s="63"/>
      <c r="H97" s="63"/>
      <c r="I97" s="63"/>
      <c r="J97" s="63"/>
      <c r="K97" s="37"/>
      <c r="L97" s="189"/>
      <c r="M97" s="189"/>
    </row>
    <row r="98" spans="1:13" s="6" customFormat="1" ht="13.15" customHeight="1" x14ac:dyDescent="0.2">
      <c r="A98" s="8"/>
      <c r="B98" s="9"/>
      <c r="C98" s="7"/>
      <c r="D98" s="7"/>
      <c r="E98" s="8"/>
      <c r="F98" s="8"/>
      <c r="G98" s="63"/>
      <c r="H98" s="63"/>
      <c r="I98" s="63"/>
      <c r="J98" s="63"/>
      <c r="K98" s="37"/>
      <c r="M98" s="189"/>
    </row>
    <row r="99" spans="1:13" s="8" customFormat="1" x14ac:dyDescent="0.2">
      <c r="B99" s="9"/>
      <c r="C99" s="7"/>
      <c r="G99" s="63"/>
      <c r="H99" s="63"/>
      <c r="I99" s="63"/>
      <c r="J99" s="63"/>
      <c r="M99" s="189"/>
    </row>
    <row r="100" spans="1:13" s="8" customFormat="1" x14ac:dyDescent="0.2">
      <c r="B100" s="9"/>
      <c r="C100" s="7"/>
      <c r="G100" s="63"/>
      <c r="H100" s="63"/>
      <c r="I100" s="63"/>
      <c r="J100" s="63"/>
      <c r="M100" s="6"/>
    </row>
    <row r="101" spans="1:13" s="8" customFormat="1" ht="12" x14ac:dyDescent="0.2">
      <c r="B101" s="9"/>
      <c r="C101" s="7"/>
      <c r="G101" s="63"/>
      <c r="H101" s="63"/>
      <c r="I101" s="63"/>
      <c r="J101" s="63"/>
    </row>
    <row r="102" spans="1:13" s="8" customFormat="1" ht="12" x14ac:dyDescent="0.2">
      <c r="B102" s="9"/>
      <c r="G102" s="63"/>
      <c r="H102" s="63"/>
      <c r="I102" s="63"/>
      <c r="J102" s="63"/>
    </row>
    <row r="103" spans="1:13" s="8" customFormat="1" ht="12" x14ac:dyDescent="0.2">
      <c r="B103" s="9"/>
      <c r="G103" s="63"/>
      <c r="H103" s="63"/>
      <c r="I103" s="63"/>
      <c r="J103" s="63"/>
    </row>
    <row r="104" spans="1:13" s="8" customFormat="1" ht="12" x14ac:dyDescent="0.2">
      <c r="B104" s="9"/>
      <c r="G104" s="63"/>
      <c r="H104" s="63"/>
      <c r="I104" s="63"/>
      <c r="J104" s="63"/>
    </row>
    <row r="105" spans="1:13" s="8" customFormat="1" x14ac:dyDescent="0.2">
      <c r="B105" s="9"/>
      <c r="D105" s="5"/>
      <c r="G105" s="63"/>
      <c r="H105" s="63"/>
      <c r="I105" s="63"/>
      <c r="J105" s="63"/>
    </row>
    <row r="106" spans="1:13" s="8" customFormat="1" x14ac:dyDescent="0.2">
      <c r="B106" s="9"/>
      <c r="D106" s="5"/>
      <c r="G106" s="45"/>
      <c r="H106" s="45"/>
      <c r="I106" s="45"/>
      <c r="J106" s="45"/>
    </row>
    <row r="107" spans="1:13" s="8" customFormat="1" x14ac:dyDescent="0.2">
      <c r="B107" s="9"/>
      <c r="D107" s="5"/>
      <c r="E107" s="5"/>
      <c r="F107" s="5"/>
      <c r="G107" s="45"/>
      <c r="H107" s="45"/>
      <c r="I107" s="45"/>
      <c r="J107" s="45"/>
    </row>
    <row r="108" spans="1:13" s="8" customFormat="1" x14ac:dyDescent="0.2">
      <c r="B108" s="11"/>
      <c r="C108" s="5"/>
      <c r="D108" s="5"/>
      <c r="E108" s="5"/>
      <c r="F108" s="5"/>
      <c r="G108" s="45"/>
      <c r="H108" s="45"/>
      <c r="I108" s="45"/>
      <c r="J108" s="45"/>
    </row>
    <row r="109" spans="1:13" s="8" customFormat="1" x14ac:dyDescent="0.2">
      <c r="B109" s="11"/>
      <c r="C109" s="5"/>
      <c r="D109" s="5"/>
      <c r="E109" s="5"/>
      <c r="F109" s="5"/>
      <c r="G109" s="45"/>
      <c r="H109" s="45"/>
      <c r="I109" s="45"/>
      <c r="J109" s="45"/>
    </row>
    <row r="110" spans="1:13" s="8" customFormat="1" x14ac:dyDescent="0.2">
      <c r="B110" s="11"/>
      <c r="C110" s="5"/>
      <c r="D110" s="5"/>
      <c r="E110" s="5"/>
      <c r="F110" s="5"/>
      <c r="G110" s="45"/>
      <c r="H110" s="45"/>
      <c r="I110" s="45"/>
      <c r="J110" s="45"/>
    </row>
    <row r="111" spans="1:13" s="8" customFormat="1" x14ac:dyDescent="0.2">
      <c r="B111" s="11"/>
      <c r="C111" s="5"/>
      <c r="D111" s="5"/>
      <c r="E111" s="5"/>
      <c r="F111" s="5"/>
      <c r="G111" s="45"/>
      <c r="H111" s="45"/>
      <c r="I111" s="45"/>
      <c r="J111" s="45"/>
    </row>
    <row r="112" spans="1:13" s="8" customFormat="1" x14ac:dyDescent="0.2">
      <c r="A112" s="5"/>
      <c r="B112" s="11"/>
      <c r="C112" s="5"/>
      <c r="D112" s="5"/>
      <c r="E112" s="5"/>
      <c r="F112" s="5"/>
      <c r="G112" s="45"/>
      <c r="H112" s="45"/>
      <c r="I112" s="45"/>
      <c r="J112" s="45"/>
      <c r="K112" s="5"/>
    </row>
    <row r="113" spans="1:13" s="8" customFormat="1" x14ac:dyDescent="0.2">
      <c r="A113" s="5"/>
      <c r="B113" s="11"/>
      <c r="C113" s="5"/>
      <c r="D113" s="5"/>
      <c r="E113" s="5"/>
      <c r="F113" s="5"/>
      <c r="G113" s="45"/>
      <c r="H113" s="45"/>
      <c r="I113" s="45"/>
      <c r="J113" s="45"/>
      <c r="K113" s="5"/>
    </row>
    <row r="114" spans="1:13" s="8" customFormat="1" x14ac:dyDescent="0.2">
      <c r="A114" s="5"/>
      <c r="B114" s="11"/>
      <c r="C114" s="5"/>
      <c r="D114" s="5"/>
      <c r="E114" s="5"/>
      <c r="F114" s="5"/>
      <c r="G114" s="45"/>
      <c r="H114" s="45"/>
      <c r="I114" s="45"/>
      <c r="J114" s="45"/>
      <c r="K114" s="5"/>
    </row>
    <row r="115" spans="1:13" s="8" customFormat="1" x14ac:dyDescent="0.2">
      <c r="A115" s="5"/>
      <c r="B115" s="11"/>
      <c r="C115" s="5"/>
      <c r="D115" s="5"/>
      <c r="E115" s="5"/>
      <c r="F115" s="5"/>
      <c r="G115" s="45"/>
      <c r="H115" s="45"/>
      <c r="I115" s="45"/>
      <c r="J115" s="45"/>
      <c r="K115" s="5"/>
    </row>
    <row r="116" spans="1:13" x14ac:dyDescent="0.2">
      <c r="M116" s="8"/>
    </row>
    <row r="117" spans="1:13" x14ac:dyDescent="0.2">
      <c r="M117" s="8"/>
    </row>
  </sheetData>
  <mergeCells count="13">
    <mergeCell ref="L57:M57"/>
    <mergeCell ref="A1:L1"/>
    <mergeCell ref="C4:D4"/>
    <mergeCell ref="E5:G5"/>
    <mergeCell ref="C27:D27"/>
    <mergeCell ref="E28:G28"/>
    <mergeCell ref="C57:D57"/>
    <mergeCell ref="H57:I57"/>
    <mergeCell ref="C76:D76"/>
    <mergeCell ref="L76:M76"/>
    <mergeCell ref="I76:J76"/>
    <mergeCell ref="B78:D79"/>
    <mergeCell ref="H78:J7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40" zoomScaleNormal="100" workbookViewId="0">
      <selection activeCell="I62" sqref="I62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12" style="45" customWidth="1"/>
    <col min="7" max="7" width="14.85546875" style="45" customWidth="1"/>
    <col min="8" max="8" width="12.7109375" style="45" customWidth="1"/>
    <col min="9" max="9" width="3.28515625" style="5" customWidth="1"/>
    <col min="10" max="10" width="10.42578125" style="5" customWidth="1"/>
    <col min="11" max="16384" width="8.85546875" style="5"/>
  </cols>
  <sheetData>
    <row r="1" spans="1:10" s="1" customFormat="1" ht="24" customHeight="1" x14ac:dyDescent="0.2">
      <c r="A1" s="393" t="s">
        <v>199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s="24" customFormat="1" ht="6.75" customHeight="1" x14ac:dyDescent="0.2">
      <c r="B2" s="25"/>
      <c r="C2" s="26"/>
      <c r="D2" s="26"/>
      <c r="E2" s="27"/>
      <c r="F2" s="53"/>
      <c r="G2" s="53"/>
      <c r="H2" s="53"/>
      <c r="I2" s="27"/>
    </row>
    <row r="3" spans="1:10" ht="19.5" customHeight="1" x14ac:dyDescent="0.2">
      <c r="A3" s="38"/>
      <c r="B3" s="20" t="s">
        <v>21</v>
      </c>
      <c r="C3" s="39" t="s">
        <v>203</v>
      </c>
      <c r="D3" s="33"/>
      <c r="E3" s="12"/>
      <c r="F3" s="54"/>
      <c r="G3" s="54"/>
      <c r="H3" s="54"/>
      <c r="I3" s="12"/>
    </row>
    <row r="4" spans="1:10" ht="19.5" customHeight="1" x14ac:dyDescent="0.2">
      <c r="B4" s="20" t="s">
        <v>23</v>
      </c>
      <c r="C4" s="394">
        <v>44202</v>
      </c>
      <c r="D4" s="395"/>
      <c r="E4" s="12"/>
      <c r="F4" s="54"/>
      <c r="G4" s="54"/>
      <c r="H4" s="54"/>
      <c r="I4" s="12"/>
    </row>
    <row r="5" spans="1:10" ht="12.75" customHeight="1" x14ac:dyDescent="0.45">
      <c r="B5" s="2"/>
      <c r="C5" s="17"/>
      <c r="D5" s="17"/>
      <c r="E5" s="396"/>
      <c r="F5" s="396"/>
      <c r="G5" s="205"/>
      <c r="H5" s="177"/>
      <c r="I5" s="4"/>
    </row>
    <row r="6" spans="1:10" ht="12.75" customHeight="1" x14ac:dyDescent="0.45">
      <c r="B6" s="2"/>
      <c r="C6" s="397" t="s">
        <v>217</v>
      </c>
      <c r="D6" s="397"/>
      <c r="E6" s="397"/>
      <c r="F6" s="273"/>
      <c r="G6" s="205"/>
      <c r="H6" s="177"/>
      <c r="I6" s="4"/>
    </row>
    <row r="7" spans="1:10" ht="12.75" customHeight="1" x14ac:dyDescent="0.45">
      <c r="B7" s="2"/>
      <c r="C7" s="397"/>
      <c r="D7" s="397"/>
      <c r="E7" s="397"/>
      <c r="F7" s="273"/>
      <c r="G7" s="205"/>
      <c r="H7" s="177"/>
      <c r="I7" s="4"/>
    </row>
    <row r="8" spans="1:10" ht="12.75" customHeight="1" x14ac:dyDescent="0.45">
      <c r="B8" s="2"/>
      <c r="C8" s="285" t="s">
        <v>218</v>
      </c>
      <c r="D8" s="17"/>
      <c r="E8" s="273"/>
      <c r="F8" s="273"/>
      <c r="G8" s="205"/>
      <c r="H8" s="177"/>
      <c r="I8" s="4"/>
    </row>
    <row r="9" spans="1:10" x14ac:dyDescent="0.2">
      <c r="B9" s="10"/>
      <c r="C9" s="28"/>
      <c r="D9" s="28"/>
      <c r="E9" s="52"/>
    </row>
    <row r="10" spans="1:10" s="24" customFormat="1" ht="6.75" customHeight="1" x14ac:dyDescent="0.2">
      <c r="B10" s="25"/>
      <c r="C10" s="26"/>
      <c r="D10" s="26"/>
      <c r="E10" s="27"/>
      <c r="F10" s="53"/>
      <c r="G10" s="53"/>
      <c r="H10" s="53"/>
      <c r="I10" s="27"/>
    </row>
    <row r="11" spans="1:10" ht="19.5" customHeight="1" x14ac:dyDescent="0.2">
      <c r="A11" s="38"/>
      <c r="B11" s="20" t="s">
        <v>21</v>
      </c>
      <c r="C11" s="39" t="s">
        <v>204</v>
      </c>
      <c r="D11" s="33"/>
      <c r="E11" s="12"/>
      <c r="F11" s="54"/>
      <c r="G11" s="54"/>
      <c r="H11" s="54"/>
      <c r="I11" s="12"/>
    </row>
    <row r="12" spans="1:10" ht="19.5" customHeight="1" x14ac:dyDescent="0.2">
      <c r="B12" s="20" t="s">
        <v>23</v>
      </c>
      <c r="C12" s="395">
        <v>44209</v>
      </c>
      <c r="D12" s="395"/>
      <c r="E12" s="12"/>
      <c r="F12" s="54"/>
      <c r="G12" s="54"/>
      <c r="H12" s="54"/>
      <c r="I12" s="12"/>
    </row>
    <row r="13" spans="1:10" ht="4.5" customHeight="1" x14ac:dyDescent="0.45">
      <c r="B13" s="2"/>
      <c r="C13" s="17"/>
      <c r="D13" s="17"/>
      <c r="E13" s="396"/>
      <c r="F13" s="396"/>
      <c r="G13" s="205"/>
      <c r="H13" s="177"/>
      <c r="I13" s="4"/>
    </row>
    <row r="14" spans="1:10" s="128" customFormat="1" ht="13.5" thickBot="1" x14ac:dyDescent="0.25">
      <c r="B14" s="21" t="s">
        <v>22</v>
      </c>
      <c r="C14" s="44" t="s">
        <v>1</v>
      </c>
      <c r="D14" s="44"/>
      <c r="E14" s="23" t="s">
        <v>2</v>
      </c>
      <c r="F14" s="204"/>
      <c r="G14" s="204"/>
      <c r="H14" s="55"/>
    </row>
    <row r="15" spans="1:10" x14ac:dyDescent="0.2">
      <c r="B15" s="231" t="s">
        <v>25</v>
      </c>
      <c r="C15" s="228" t="s">
        <v>13</v>
      </c>
      <c r="D15" s="40"/>
      <c r="E15" s="220">
        <v>2755.52</v>
      </c>
      <c r="F15" s="59">
        <v>2041.71</v>
      </c>
      <c r="G15" s="56">
        <f>E15-F15</f>
        <v>713.81</v>
      </c>
    </row>
    <row r="16" spans="1:10" x14ac:dyDescent="0.2">
      <c r="B16" s="232" t="s">
        <v>26</v>
      </c>
      <c r="C16" s="229" t="s">
        <v>24</v>
      </c>
      <c r="D16" s="41"/>
      <c r="E16" s="221">
        <v>1005.13</v>
      </c>
      <c r="F16" s="59"/>
      <c r="G16" s="56"/>
    </row>
    <row r="17" spans="1:11" x14ac:dyDescent="0.2">
      <c r="B17" s="232" t="s">
        <v>3</v>
      </c>
      <c r="C17" s="229" t="s">
        <v>12</v>
      </c>
      <c r="D17" s="41"/>
      <c r="E17" s="221">
        <v>1303.77</v>
      </c>
      <c r="F17" s="59"/>
      <c r="G17" s="56"/>
    </row>
    <row r="18" spans="1:11" x14ac:dyDescent="0.2">
      <c r="B18" s="233" t="s">
        <v>31</v>
      </c>
      <c r="C18" s="230" t="s">
        <v>11</v>
      </c>
      <c r="D18" s="42"/>
      <c r="E18" s="222">
        <v>1269.22</v>
      </c>
      <c r="F18" s="59"/>
      <c r="G18" s="56"/>
    </row>
    <row r="19" spans="1:11" x14ac:dyDescent="0.2">
      <c r="B19" s="233" t="s">
        <v>69</v>
      </c>
      <c r="C19" s="230" t="s">
        <v>30</v>
      </c>
      <c r="D19" s="42"/>
      <c r="E19" s="222">
        <v>990</v>
      </c>
      <c r="G19" s="56"/>
      <c r="I19" s="254"/>
      <c r="J19" s="254"/>
    </row>
    <row r="20" spans="1:11" x14ac:dyDescent="0.2">
      <c r="B20" s="68" t="s">
        <v>79</v>
      </c>
      <c r="C20" s="72" t="s">
        <v>80</v>
      </c>
      <c r="D20" s="69"/>
      <c r="E20" s="70">
        <v>1237.5</v>
      </c>
      <c r="F20" s="59"/>
      <c r="G20" s="218"/>
      <c r="H20" s="177"/>
    </row>
    <row r="21" spans="1:11" ht="13.5" thickBot="1" x14ac:dyDescent="0.25">
      <c r="B21" s="71" t="s">
        <v>102</v>
      </c>
      <c r="C21" s="73" t="s">
        <v>159</v>
      </c>
      <c r="D21" s="50"/>
      <c r="E21" s="192">
        <v>796.64</v>
      </c>
      <c r="G21" s="56"/>
      <c r="I21" s="254"/>
      <c r="J21" s="254"/>
    </row>
    <row r="22" spans="1:11" s="4" customFormat="1" ht="13.5" thickBot="1" x14ac:dyDescent="0.25">
      <c r="B22" s="46"/>
      <c r="C22" s="47"/>
      <c r="D22" s="48"/>
      <c r="E22" s="49">
        <f>SUM(E15:E21)</f>
        <v>9357.7799999999988</v>
      </c>
      <c r="F22" s="58"/>
      <c r="G22" s="56"/>
      <c r="H22" s="203"/>
      <c r="J22" s="177"/>
      <c r="K22" s="5"/>
    </row>
    <row r="23" spans="1:11" s="212" customFormat="1" ht="13.5" thickBot="1" x14ac:dyDescent="0.25">
      <c r="B23" s="213" t="s">
        <v>29</v>
      </c>
      <c r="C23" s="214" t="s">
        <v>5</v>
      </c>
      <c r="D23" s="214"/>
      <c r="E23" s="76">
        <v>1125</v>
      </c>
      <c r="F23" s="215"/>
      <c r="G23" s="215"/>
      <c r="H23" s="215"/>
    </row>
    <row r="24" spans="1:11" ht="13.5" thickBot="1" x14ac:dyDescent="0.25">
      <c r="B24" s="10"/>
      <c r="C24" s="28" t="s">
        <v>0</v>
      </c>
      <c r="D24" s="28"/>
      <c r="E24" s="30">
        <f>SUM(E22:E23)</f>
        <v>10482.779999999999</v>
      </c>
      <c r="K24" s="4"/>
    </row>
    <row r="25" spans="1:11" x14ac:dyDescent="0.2">
      <c r="B25" s="10"/>
      <c r="C25" s="28"/>
      <c r="D25" s="28"/>
      <c r="E25" s="52"/>
    </row>
    <row r="26" spans="1:11" x14ac:dyDescent="0.2">
      <c r="B26" s="10" t="s">
        <v>111</v>
      </c>
      <c r="C26" s="182" t="s">
        <v>112</v>
      </c>
      <c r="D26" s="28"/>
      <c r="E26" s="177">
        <f>800*5</f>
        <v>4000</v>
      </c>
      <c r="F26" s="45">
        <f>SUM(E24:E26)</f>
        <v>14482.779999999999</v>
      </c>
    </row>
    <row r="27" spans="1:11" x14ac:dyDescent="0.2">
      <c r="B27" s="10"/>
      <c r="C27" s="28"/>
      <c r="D27" s="28"/>
      <c r="E27" s="52"/>
    </row>
    <row r="28" spans="1:11" s="24" customFormat="1" ht="6.75" customHeight="1" x14ac:dyDescent="0.2">
      <c r="B28" s="25"/>
      <c r="C28" s="26"/>
      <c r="D28" s="26"/>
      <c r="E28" s="27"/>
      <c r="F28" s="53"/>
      <c r="G28" s="53"/>
      <c r="H28" s="53"/>
      <c r="I28" s="27"/>
    </row>
    <row r="29" spans="1:11" ht="19.5" customHeight="1" x14ac:dyDescent="0.2">
      <c r="A29" s="38"/>
      <c r="B29" s="20" t="s">
        <v>21</v>
      </c>
      <c r="C29" s="39" t="s">
        <v>205</v>
      </c>
      <c r="D29" s="33"/>
      <c r="E29" s="12"/>
      <c r="F29" s="54"/>
      <c r="G29" s="54"/>
      <c r="H29" s="54"/>
      <c r="I29" s="12"/>
    </row>
    <row r="30" spans="1:11" ht="19.5" customHeight="1" x14ac:dyDescent="0.2">
      <c r="B30" s="20" t="s">
        <v>23</v>
      </c>
      <c r="C30" s="395">
        <v>44216</v>
      </c>
      <c r="D30" s="395"/>
      <c r="E30" s="12"/>
      <c r="F30" s="54"/>
      <c r="G30" s="54"/>
      <c r="H30" s="54"/>
      <c r="I30" s="12"/>
    </row>
    <row r="31" spans="1:11" ht="4.5" customHeight="1" x14ac:dyDescent="0.45">
      <c r="B31" s="2"/>
      <c r="C31" s="17"/>
      <c r="D31" s="17"/>
      <c r="E31" s="396"/>
      <c r="F31" s="396"/>
      <c r="G31" s="205"/>
      <c r="H31" s="177"/>
      <c r="I31" s="4"/>
    </row>
    <row r="32" spans="1:11" s="128" customFormat="1" ht="13.5" thickBot="1" x14ac:dyDescent="0.25">
      <c r="B32" s="21" t="s">
        <v>22</v>
      </c>
      <c r="C32" s="44" t="s">
        <v>1</v>
      </c>
      <c r="D32" s="44"/>
      <c r="E32" s="23" t="s">
        <v>2</v>
      </c>
      <c r="F32" s="204"/>
      <c r="G32" s="204"/>
      <c r="H32" s="55"/>
    </row>
    <row r="33" spans="1:11" x14ac:dyDescent="0.2">
      <c r="B33" s="231" t="s">
        <v>25</v>
      </c>
      <c r="C33" s="228" t="s">
        <v>13</v>
      </c>
      <c r="D33" s="40"/>
      <c r="E33" s="220">
        <v>2041.71</v>
      </c>
      <c r="F33" s="59"/>
      <c r="G33" s="56"/>
    </row>
    <row r="34" spans="1:11" x14ac:dyDescent="0.2">
      <c r="B34" s="232" t="s">
        <v>26</v>
      </c>
      <c r="C34" s="229" t="s">
        <v>24</v>
      </c>
      <c r="D34" s="41"/>
      <c r="E34" s="221">
        <v>1005.13</v>
      </c>
      <c r="F34" s="59">
        <v>2000</v>
      </c>
      <c r="G34" s="56" t="s">
        <v>222</v>
      </c>
    </row>
    <row r="35" spans="1:11" x14ac:dyDescent="0.2">
      <c r="B35" s="232" t="s">
        <v>3</v>
      </c>
      <c r="C35" s="229" t="s">
        <v>12</v>
      </c>
      <c r="D35" s="41"/>
      <c r="E35" s="221">
        <v>1303.77</v>
      </c>
      <c r="F35" s="59"/>
      <c r="G35" s="56"/>
    </row>
    <row r="36" spans="1:11" x14ac:dyDescent="0.2">
      <c r="B36" s="233" t="s">
        <v>31</v>
      </c>
      <c r="C36" s="230" t="s">
        <v>11</v>
      </c>
      <c r="D36" s="42"/>
      <c r="E36" s="222">
        <v>1269.22</v>
      </c>
      <c r="F36" s="59"/>
      <c r="G36" s="56"/>
    </row>
    <row r="37" spans="1:11" x14ac:dyDescent="0.2">
      <c r="B37" s="233" t="s">
        <v>69</v>
      </c>
      <c r="C37" s="230" t="s">
        <v>30</v>
      </c>
      <c r="D37" s="42"/>
      <c r="E37" s="222">
        <v>990</v>
      </c>
      <c r="G37" s="56"/>
      <c r="I37" s="254"/>
      <c r="J37" s="254"/>
    </row>
    <row r="38" spans="1:11" ht="13.5" thickBot="1" x14ac:dyDescent="0.25">
      <c r="B38" s="71" t="s">
        <v>79</v>
      </c>
      <c r="C38" s="73" t="s">
        <v>80</v>
      </c>
      <c r="D38" s="50"/>
      <c r="E38" s="192">
        <v>1237.5</v>
      </c>
      <c r="F38" s="59"/>
      <c r="G38" s="218"/>
      <c r="H38" s="177"/>
    </row>
    <row r="39" spans="1:11" s="4" customFormat="1" ht="13.5" thickBot="1" x14ac:dyDescent="0.25">
      <c r="B39" s="46"/>
      <c r="C39" s="47"/>
      <c r="D39" s="48"/>
      <c r="E39" s="49">
        <f>SUM(E33:E38)</f>
        <v>7847.3300000000008</v>
      </c>
      <c r="F39" s="58"/>
      <c r="G39" s="56"/>
      <c r="H39" s="203"/>
      <c r="J39" s="177"/>
      <c r="K39" s="5"/>
    </row>
    <row r="40" spans="1:11" s="212" customFormat="1" ht="13.5" thickBot="1" x14ac:dyDescent="0.25">
      <c r="B40" s="213" t="s">
        <v>29</v>
      </c>
      <c r="C40" s="214" t="s">
        <v>5</v>
      </c>
      <c r="D40" s="214"/>
      <c r="E40" s="76">
        <v>1125</v>
      </c>
      <c r="F40" s="215"/>
      <c r="G40" s="215"/>
      <c r="H40" s="215"/>
    </row>
    <row r="41" spans="1:11" ht="13.5" thickBot="1" x14ac:dyDescent="0.25">
      <c r="B41" s="10"/>
      <c r="C41" s="28" t="s">
        <v>0</v>
      </c>
      <c r="D41" s="28"/>
      <c r="E41" s="30">
        <f>SUM(E39:E40)</f>
        <v>8972.3300000000017</v>
      </c>
      <c r="K41" s="4"/>
    </row>
    <row r="42" spans="1:11" x14ac:dyDescent="0.2">
      <c r="B42" s="10"/>
      <c r="C42" s="28"/>
      <c r="D42" s="28"/>
      <c r="E42" s="52"/>
    </row>
    <row r="43" spans="1:11" x14ac:dyDescent="0.2">
      <c r="B43" s="10" t="s">
        <v>111</v>
      </c>
      <c r="C43" s="182" t="s">
        <v>112</v>
      </c>
      <c r="D43" s="28"/>
      <c r="E43" s="177">
        <f>800*5</f>
        <v>4000</v>
      </c>
      <c r="F43" s="45">
        <f>SUM(E41:E43)</f>
        <v>12972.330000000002</v>
      </c>
    </row>
    <row r="44" spans="1:11" x14ac:dyDescent="0.2">
      <c r="B44" s="10"/>
      <c r="C44" s="28"/>
      <c r="D44" s="28"/>
      <c r="E44" s="52"/>
    </row>
    <row r="45" spans="1:11" s="24" customFormat="1" ht="6.75" customHeight="1" x14ac:dyDescent="0.2">
      <c r="B45" s="25"/>
      <c r="C45" s="26"/>
      <c r="D45" s="26"/>
      <c r="E45" s="27"/>
      <c r="F45" s="53"/>
      <c r="G45" s="53"/>
      <c r="H45" s="53"/>
      <c r="I45" s="27"/>
    </row>
    <row r="46" spans="1:11" ht="19.5" customHeight="1" x14ac:dyDescent="0.2">
      <c r="A46" s="38"/>
      <c r="B46" s="20" t="s">
        <v>21</v>
      </c>
      <c r="C46" s="39" t="s">
        <v>206</v>
      </c>
      <c r="D46" s="33"/>
      <c r="E46" s="12"/>
      <c r="F46" s="54"/>
      <c r="G46" s="54"/>
      <c r="H46" s="54"/>
      <c r="I46" s="12"/>
    </row>
    <row r="47" spans="1:11" ht="19.5" customHeight="1" x14ac:dyDescent="0.2">
      <c r="B47" s="20" t="s">
        <v>23</v>
      </c>
      <c r="C47" s="395">
        <v>44223</v>
      </c>
      <c r="D47" s="395"/>
      <c r="E47" s="12"/>
      <c r="F47" s="54"/>
      <c r="G47" s="54"/>
      <c r="H47" s="54"/>
      <c r="I47" s="12"/>
    </row>
    <row r="48" spans="1:11" ht="4.5" customHeight="1" x14ac:dyDescent="0.45">
      <c r="B48" s="2"/>
      <c r="C48" s="17"/>
      <c r="D48" s="17"/>
      <c r="E48" s="396"/>
      <c r="F48" s="396"/>
      <c r="G48" s="205"/>
      <c r="H48" s="177"/>
      <c r="I48" s="4"/>
    </row>
    <row r="49" spans="1:11" s="128" customFormat="1" ht="13.5" thickBot="1" x14ac:dyDescent="0.25">
      <c r="B49" s="21" t="s">
        <v>22</v>
      </c>
      <c r="C49" s="44" t="s">
        <v>1</v>
      </c>
      <c r="D49" s="44"/>
      <c r="E49" s="23" t="s">
        <v>2</v>
      </c>
      <c r="F49" s="204"/>
      <c r="G49" s="204"/>
      <c r="H49" s="55"/>
    </row>
    <row r="50" spans="1:11" x14ac:dyDescent="0.2">
      <c r="B50" s="18" t="s">
        <v>25</v>
      </c>
      <c r="C50" s="19" t="s">
        <v>13</v>
      </c>
      <c r="D50" s="40"/>
      <c r="E50" s="220">
        <v>2041.71</v>
      </c>
      <c r="F50" s="59"/>
      <c r="G50" s="56"/>
    </row>
    <row r="51" spans="1:11" x14ac:dyDescent="0.2">
      <c r="B51" s="36" t="s">
        <v>26</v>
      </c>
      <c r="C51" s="22" t="s">
        <v>24</v>
      </c>
      <c r="D51" s="41"/>
      <c r="E51" s="221">
        <v>905.13</v>
      </c>
      <c r="F51" s="59">
        <v>-100</v>
      </c>
      <c r="G51" s="56" t="s">
        <v>223</v>
      </c>
      <c r="H51" s="45" t="s">
        <v>224</v>
      </c>
    </row>
    <row r="52" spans="1:11" x14ac:dyDescent="0.2">
      <c r="B52" s="36" t="s">
        <v>3</v>
      </c>
      <c r="C52" s="22" t="s">
        <v>12</v>
      </c>
      <c r="D52" s="41"/>
      <c r="E52" s="221">
        <v>1303.77</v>
      </c>
      <c r="F52" s="59"/>
      <c r="G52" s="56"/>
    </row>
    <row r="53" spans="1:11" x14ac:dyDescent="0.2">
      <c r="B53" s="13" t="s">
        <v>31</v>
      </c>
      <c r="C53" s="16" t="s">
        <v>11</v>
      </c>
      <c r="D53" s="42"/>
      <c r="E53" s="222">
        <v>1269.22</v>
      </c>
      <c r="F53" s="59"/>
      <c r="G53" s="56"/>
    </row>
    <row r="54" spans="1:11" x14ac:dyDescent="0.2">
      <c r="B54" s="68" t="s">
        <v>69</v>
      </c>
      <c r="C54" s="72" t="s">
        <v>30</v>
      </c>
      <c r="D54" s="69"/>
      <c r="E54" s="222">
        <v>990</v>
      </c>
      <c r="F54" s="59"/>
      <c r="G54" s="56"/>
    </row>
    <row r="55" spans="1:11" ht="13.5" thickBot="1" x14ac:dyDescent="0.25">
      <c r="B55" s="71" t="s">
        <v>79</v>
      </c>
      <c r="C55" s="73" t="s">
        <v>80</v>
      </c>
      <c r="D55" s="50"/>
      <c r="E55" s="192">
        <v>1237.5</v>
      </c>
      <c r="F55" s="59"/>
      <c r="G55" s="218"/>
      <c r="H55" s="177"/>
    </row>
    <row r="56" spans="1:11" s="4" customFormat="1" ht="13.5" thickBot="1" x14ac:dyDescent="0.25">
      <c r="B56" s="46"/>
      <c r="C56" s="47"/>
      <c r="D56" s="48"/>
      <c r="E56" s="49">
        <f>SUM(E50:E55)</f>
        <v>7747.3300000000008</v>
      </c>
      <c r="F56" s="58"/>
      <c r="G56" s="56"/>
      <c r="H56" s="203"/>
      <c r="J56" s="177"/>
      <c r="K56" s="5"/>
    </row>
    <row r="57" spans="1:11" s="212" customFormat="1" ht="13.5" thickBot="1" x14ac:dyDescent="0.25">
      <c r="B57" s="213" t="s">
        <v>29</v>
      </c>
      <c r="C57" s="214" t="s">
        <v>5</v>
      </c>
      <c r="D57" s="214"/>
      <c r="E57" s="76">
        <v>1125</v>
      </c>
      <c r="F57" s="215"/>
      <c r="G57" s="215"/>
      <c r="H57" s="215"/>
    </row>
    <row r="58" spans="1:11" ht="13.5" thickBot="1" x14ac:dyDescent="0.25">
      <c r="B58" s="10"/>
      <c r="C58" s="28" t="s">
        <v>0</v>
      </c>
      <c r="D58" s="28"/>
      <c r="E58" s="30">
        <f>SUM(E56:E57)</f>
        <v>8872.3300000000017</v>
      </c>
      <c r="K58" s="4"/>
    </row>
    <row r="59" spans="1:11" x14ac:dyDescent="0.2">
      <c r="B59" s="10"/>
      <c r="C59" s="28"/>
      <c r="D59" s="28"/>
      <c r="E59" s="52"/>
    </row>
    <row r="60" spans="1:11" x14ac:dyDescent="0.2">
      <c r="B60" s="10" t="s">
        <v>111</v>
      </c>
      <c r="C60" s="182" t="s">
        <v>112</v>
      </c>
      <c r="D60" s="28"/>
      <c r="E60" s="177">
        <f>800*5</f>
        <v>4000</v>
      </c>
      <c r="F60" s="45">
        <f>SUM(E58:E60)</f>
        <v>12872.330000000002</v>
      </c>
      <c r="J60" s="65"/>
    </row>
    <row r="61" spans="1:11" x14ac:dyDescent="0.2">
      <c r="B61" s="10"/>
      <c r="C61" s="28"/>
      <c r="D61" s="28"/>
      <c r="E61" s="177"/>
    </row>
    <row r="62" spans="1:11" s="6" customFormat="1" ht="13.15" customHeight="1" x14ac:dyDescent="0.2">
      <c r="A62" s="14" t="s">
        <v>6</v>
      </c>
      <c r="B62" s="15" t="s">
        <v>7</v>
      </c>
      <c r="C62" s="15"/>
      <c r="D62" s="31">
        <v>9000</v>
      </c>
      <c r="E62" s="43" t="s">
        <v>116</v>
      </c>
      <c r="F62" s="14" t="s">
        <v>33</v>
      </c>
      <c r="G62" s="206" t="s">
        <v>32</v>
      </c>
      <c r="H62" s="31">
        <v>3853.36</v>
      </c>
      <c r="I62" s="51" t="s">
        <v>116</v>
      </c>
      <c r="K62" s="5"/>
    </row>
    <row r="63" spans="1:11" s="6" customFormat="1" ht="13.15" customHeight="1" x14ac:dyDescent="0.2">
      <c r="A63" s="14" t="s">
        <v>8</v>
      </c>
      <c r="B63" s="15" t="s">
        <v>9</v>
      </c>
      <c r="C63" s="15"/>
      <c r="D63" s="31">
        <v>311.83999999999997</v>
      </c>
      <c r="E63" s="43" t="s">
        <v>116</v>
      </c>
      <c r="F63" s="14" t="s">
        <v>33</v>
      </c>
      <c r="G63" s="206" t="s">
        <v>109</v>
      </c>
      <c r="H63" s="190">
        <v>2000</v>
      </c>
      <c r="I63" s="51" t="s">
        <v>116</v>
      </c>
      <c r="K63" s="5"/>
    </row>
    <row r="64" spans="1:11" s="6" customFormat="1" ht="13.15" customHeight="1" x14ac:dyDescent="0.2">
      <c r="A64" s="14" t="s">
        <v>27</v>
      </c>
      <c r="B64" s="15" t="s">
        <v>28</v>
      </c>
      <c r="C64" s="15"/>
      <c r="D64" s="31">
        <v>619.53</v>
      </c>
      <c r="E64" s="43" t="s">
        <v>116</v>
      </c>
      <c r="F64" s="60" t="s">
        <v>19</v>
      </c>
      <c r="G64" s="206" t="s">
        <v>20</v>
      </c>
      <c r="H64" s="190">
        <v>500</v>
      </c>
      <c r="I64" s="51" t="s">
        <v>116</v>
      </c>
    </row>
    <row r="65" spans="1:11" s="6" customFormat="1" ht="13.15" customHeight="1" x14ac:dyDescent="0.2">
      <c r="A65" s="14" t="s">
        <v>10</v>
      </c>
      <c r="B65" s="15" t="s">
        <v>34</v>
      </c>
      <c r="C65" s="31"/>
      <c r="D65" s="31">
        <v>5000</v>
      </c>
      <c r="E65" s="43" t="s">
        <v>116</v>
      </c>
      <c r="F65" s="60" t="s">
        <v>6</v>
      </c>
      <c r="G65" s="206" t="s">
        <v>39</v>
      </c>
      <c r="H65" s="190">
        <v>919</v>
      </c>
      <c r="I65" s="51" t="s">
        <v>116</v>
      </c>
    </row>
    <row r="66" spans="1:11" s="6" customFormat="1" ht="13.15" customHeight="1" x14ac:dyDescent="0.2">
      <c r="A66" s="14" t="s">
        <v>10</v>
      </c>
      <c r="B66" s="15" t="s">
        <v>35</v>
      </c>
      <c r="C66" s="31"/>
      <c r="D66" s="31">
        <v>4000</v>
      </c>
      <c r="E66" s="43" t="s">
        <v>116</v>
      </c>
      <c r="F66" s="60" t="s">
        <v>8</v>
      </c>
      <c r="G66" s="206" t="s">
        <v>14</v>
      </c>
      <c r="H66" s="190">
        <v>12000</v>
      </c>
      <c r="I66" s="51" t="s">
        <v>116</v>
      </c>
      <c r="J66" s="189">
        <f>D65+D66+H63+H62+H66+H67</f>
        <v>38853.360000000001</v>
      </c>
    </row>
    <row r="67" spans="1:11" s="6" customFormat="1" ht="13.15" customHeight="1" thickBot="1" x14ac:dyDescent="0.25">
      <c r="A67" s="14"/>
      <c r="B67" s="15"/>
      <c r="C67" s="31"/>
      <c r="D67" s="31"/>
      <c r="E67" s="43"/>
      <c r="F67" s="61" t="s">
        <v>16</v>
      </c>
      <c r="G67" s="206" t="s">
        <v>15</v>
      </c>
      <c r="H67" s="207">
        <v>12000</v>
      </c>
      <c r="I67" s="51" t="s">
        <v>116</v>
      </c>
      <c r="J67" s="190"/>
    </row>
    <row r="68" spans="1:11" s="6" customFormat="1" ht="13.15" customHeight="1" thickTop="1" thickBot="1" x14ac:dyDescent="0.25">
      <c r="A68" s="14"/>
      <c r="B68" s="15"/>
      <c r="C68" s="31"/>
      <c r="D68" s="31"/>
      <c r="E68" s="43"/>
      <c r="F68" s="62"/>
      <c r="G68" s="206"/>
      <c r="H68" s="208">
        <f>SUM(H62:H67)+SUM(D62:D67)</f>
        <v>50203.73</v>
      </c>
      <c r="I68" s="51"/>
      <c r="J68" s="190"/>
      <c r="K68" s="189"/>
    </row>
    <row r="69" spans="1:11" s="6" customFormat="1" ht="13.15" customHeight="1" thickBot="1" x14ac:dyDescent="0.25">
      <c r="A69" s="14"/>
      <c r="B69" s="15"/>
      <c r="C69" s="31"/>
      <c r="D69" s="31"/>
      <c r="E69" s="31"/>
      <c r="F69" s="62"/>
      <c r="G69" s="209" t="s">
        <v>4</v>
      </c>
      <c r="H69" s="210">
        <f>F60+H68</f>
        <v>63076.060000000005</v>
      </c>
      <c r="I69" s="37"/>
      <c r="J69" s="190"/>
      <c r="K69" s="189"/>
    </row>
    <row r="70" spans="1:11" s="6" customFormat="1" ht="13.15" customHeight="1" x14ac:dyDescent="0.2">
      <c r="B70" s="14"/>
      <c r="C70" s="15"/>
      <c r="D70" s="8"/>
      <c r="E70" s="31"/>
      <c r="F70" s="63"/>
      <c r="G70" s="63"/>
      <c r="H70" s="63"/>
      <c r="I70" s="37"/>
      <c r="J70" s="190"/>
      <c r="K70" s="189"/>
    </row>
    <row r="71" spans="1:11" s="6" customFormat="1" ht="13.15" customHeight="1" x14ac:dyDescent="0.2">
      <c r="B71" s="14"/>
      <c r="C71" s="15"/>
      <c r="D71" s="7"/>
      <c r="E71" s="8"/>
      <c r="F71" s="63"/>
      <c r="G71" s="63"/>
      <c r="H71" s="63"/>
      <c r="I71" s="37"/>
      <c r="J71" s="190"/>
      <c r="K71" s="189"/>
    </row>
    <row r="72" spans="1:11" s="6" customFormat="1" ht="13.15" customHeight="1" x14ac:dyDescent="0.2">
      <c r="A72" s="8"/>
      <c r="B72" s="9"/>
      <c r="C72" s="8"/>
      <c r="D72" s="7"/>
      <c r="E72" s="8"/>
      <c r="F72" s="63"/>
      <c r="G72" s="63"/>
      <c r="H72" s="63"/>
      <c r="I72" s="37"/>
      <c r="J72" s="190"/>
      <c r="K72" s="189"/>
    </row>
    <row r="73" spans="1:11" s="6" customFormat="1" ht="13.15" customHeight="1" x14ac:dyDescent="0.2">
      <c r="A73" s="8"/>
      <c r="B73" s="9"/>
      <c r="C73" s="7"/>
      <c r="D73" s="7"/>
      <c r="E73" s="8"/>
      <c r="F73" s="63"/>
      <c r="G73" s="63"/>
      <c r="H73" s="63"/>
      <c r="I73" s="37"/>
      <c r="J73" s="189"/>
      <c r="K73" s="189"/>
    </row>
    <row r="74" spans="1:11" s="6" customFormat="1" ht="13.15" customHeight="1" x14ac:dyDescent="0.2">
      <c r="A74" s="8"/>
      <c r="B74" s="9"/>
      <c r="C74" s="7"/>
      <c r="D74" s="7"/>
      <c r="E74" s="8"/>
      <c r="F74" s="63"/>
      <c r="G74" s="63"/>
      <c r="H74" s="63"/>
      <c r="I74" s="37"/>
      <c r="J74" s="189"/>
      <c r="K74" s="189"/>
    </row>
    <row r="75" spans="1:11" s="6" customFormat="1" ht="13.15" customHeight="1" x14ac:dyDescent="0.2">
      <c r="A75" s="8"/>
      <c r="B75" s="9"/>
      <c r="C75" s="7"/>
      <c r="D75" s="7"/>
      <c r="E75" s="8"/>
      <c r="F75" s="63"/>
      <c r="G75" s="63"/>
      <c r="H75" s="63"/>
      <c r="I75" s="37"/>
      <c r="K75" s="189"/>
    </row>
    <row r="76" spans="1:11" s="8" customFormat="1" x14ac:dyDescent="0.2">
      <c r="B76" s="9"/>
      <c r="C76" s="7"/>
      <c r="F76" s="63"/>
      <c r="G76" s="63"/>
      <c r="H76" s="63"/>
      <c r="K76" s="189"/>
    </row>
    <row r="77" spans="1:11" s="8" customFormat="1" x14ac:dyDescent="0.2">
      <c r="B77" s="9"/>
      <c r="C77" s="7"/>
      <c r="F77" s="63"/>
      <c r="G77" s="63"/>
      <c r="H77" s="63"/>
      <c r="K77" s="6"/>
    </row>
    <row r="78" spans="1:11" s="8" customFormat="1" ht="12" x14ac:dyDescent="0.2">
      <c r="B78" s="9"/>
      <c r="C78" s="7"/>
      <c r="F78" s="63"/>
      <c r="G78" s="63"/>
      <c r="H78" s="63"/>
    </row>
    <row r="79" spans="1:11" s="8" customFormat="1" ht="12" x14ac:dyDescent="0.2">
      <c r="B79" s="9"/>
      <c r="F79" s="63"/>
      <c r="G79" s="63"/>
      <c r="H79" s="63"/>
    </row>
    <row r="80" spans="1:11" s="8" customFormat="1" ht="12" x14ac:dyDescent="0.2">
      <c r="B80" s="9"/>
      <c r="F80" s="63"/>
      <c r="G80" s="63"/>
      <c r="H80" s="63"/>
    </row>
    <row r="81" spans="1:11" s="8" customFormat="1" ht="12" x14ac:dyDescent="0.2">
      <c r="B81" s="9"/>
      <c r="F81" s="63"/>
      <c r="G81" s="63"/>
      <c r="H81" s="63"/>
    </row>
    <row r="82" spans="1:11" s="8" customFormat="1" x14ac:dyDescent="0.2">
      <c r="B82" s="9"/>
      <c r="D82" s="5"/>
      <c r="F82" s="63"/>
      <c r="G82" s="63"/>
      <c r="H82" s="63"/>
    </row>
    <row r="83" spans="1:11" s="8" customFormat="1" x14ac:dyDescent="0.2">
      <c r="B83" s="9"/>
      <c r="D83" s="5"/>
      <c r="F83" s="45"/>
      <c r="G83" s="45"/>
      <c r="H83" s="45"/>
    </row>
    <row r="84" spans="1:11" s="8" customFormat="1" x14ac:dyDescent="0.2">
      <c r="B84" s="9"/>
      <c r="D84" s="5"/>
      <c r="E84" s="5"/>
      <c r="F84" s="45"/>
      <c r="G84" s="45"/>
      <c r="H84" s="45"/>
    </row>
    <row r="85" spans="1:11" s="8" customFormat="1" x14ac:dyDescent="0.2">
      <c r="B85" s="11"/>
      <c r="C85" s="5"/>
      <c r="D85" s="5"/>
      <c r="E85" s="5"/>
      <c r="F85" s="45"/>
      <c r="G85" s="45"/>
      <c r="H85" s="45"/>
    </row>
    <row r="86" spans="1:11" s="8" customFormat="1" x14ac:dyDescent="0.2">
      <c r="B86" s="11"/>
      <c r="C86" s="5"/>
      <c r="D86" s="5"/>
      <c r="E86" s="5"/>
      <c r="F86" s="45"/>
      <c r="G86" s="45"/>
      <c r="H86" s="45"/>
    </row>
    <row r="87" spans="1:11" s="8" customFormat="1" x14ac:dyDescent="0.2">
      <c r="B87" s="11"/>
      <c r="C87" s="5"/>
      <c r="D87" s="5"/>
      <c r="E87" s="5"/>
      <c r="F87" s="45"/>
      <c r="G87" s="45"/>
      <c r="H87" s="45"/>
    </row>
    <row r="88" spans="1:11" s="8" customFormat="1" x14ac:dyDescent="0.2">
      <c r="B88" s="11"/>
      <c r="C88" s="5"/>
      <c r="D88" s="5"/>
      <c r="E88" s="5"/>
      <c r="F88" s="45"/>
      <c r="G88" s="45"/>
      <c r="H88" s="45"/>
    </row>
    <row r="89" spans="1:11" s="8" customFormat="1" x14ac:dyDescent="0.2">
      <c r="A89" s="5"/>
      <c r="B89" s="11"/>
      <c r="C89" s="5"/>
      <c r="D89" s="5"/>
      <c r="E89" s="5"/>
      <c r="F89" s="45"/>
      <c r="G89" s="45"/>
      <c r="H89" s="45"/>
      <c r="I89" s="5"/>
    </row>
    <row r="90" spans="1:11" s="8" customFormat="1" x14ac:dyDescent="0.2">
      <c r="A90" s="5"/>
      <c r="B90" s="11"/>
      <c r="C90" s="5"/>
      <c r="D90" s="5"/>
      <c r="E90" s="5"/>
      <c r="F90" s="45"/>
      <c r="G90" s="45"/>
      <c r="H90" s="45"/>
      <c r="I90" s="5"/>
    </row>
    <row r="91" spans="1:11" s="8" customFormat="1" x14ac:dyDescent="0.2">
      <c r="A91" s="5"/>
      <c r="B91" s="11"/>
      <c r="C91" s="5"/>
      <c r="D91" s="5"/>
      <c r="E91" s="5"/>
      <c r="F91" s="45"/>
      <c r="G91" s="45"/>
      <c r="H91" s="45"/>
      <c r="I91" s="5"/>
    </row>
    <row r="92" spans="1:11" s="8" customFormat="1" x14ac:dyDescent="0.2">
      <c r="A92" s="5"/>
      <c r="B92" s="11"/>
      <c r="C92" s="5"/>
      <c r="D92" s="5"/>
      <c r="E92" s="5"/>
      <c r="F92" s="45"/>
      <c r="G92" s="45"/>
      <c r="H92" s="45"/>
      <c r="I92" s="5"/>
    </row>
    <row r="93" spans="1:11" x14ac:dyDescent="0.2">
      <c r="K93" s="8"/>
    </row>
    <row r="94" spans="1:11" x14ac:dyDescent="0.2">
      <c r="K94" s="8"/>
    </row>
  </sheetData>
  <mergeCells count="10">
    <mergeCell ref="E31:F31"/>
    <mergeCell ref="C47:D47"/>
    <mergeCell ref="E48:F48"/>
    <mergeCell ref="A1:J1"/>
    <mergeCell ref="C4:D4"/>
    <mergeCell ref="E5:F5"/>
    <mergeCell ref="C12:D12"/>
    <mergeCell ref="E13:F13"/>
    <mergeCell ref="C30:D30"/>
    <mergeCell ref="C6:E7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40" zoomScaleNormal="100" workbookViewId="0">
      <selection activeCell="I73" sqref="I73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12" style="45" customWidth="1"/>
    <col min="7" max="7" width="14.85546875" style="45" customWidth="1"/>
    <col min="8" max="8" width="12.7109375" style="45" customWidth="1"/>
    <col min="9" max="9" width="3.28515625" style="5" customWidth="1"/>
    <col min="10" max="10" width="10.42578125" style="5" customWidth="1"/>
    <col min="11" max="16384" width="8.85546875" style="5"/>
  </cols>
  <sheetData>
    <row r="1" spans="1:11" s="1" customFormat="1" ht="24" customHeight="1" x14ac:dyDescent="0.2">
      <c r="A1" s="393" t="s">
        <v>225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1" s="24" customFormat="1" ht="6.75" customHeight="1" x14ac:dyDescent="0.2">
      <c r="B2" s="25"/>
      <c r="C2" s="26"/>
      <c r="D2" s="26"/>
      <c r="E2" s="27"/>
      <c r="F2" s="53"/>
      <c r="G2" s="53"/>
      <c r="H2" s="53"/>
      <c r="I2" s="27"/>
    </row>
    <row r="3" spans="1:11" ht="19.5" customHeight="1" x14ac:dyDescent="0.2">
      <c r="A3" s="38"/>
      <c r="B3" s="20" t="s">
        <v>21</v>
      </c>
      <c r="C3" s="39" t="s">
        <v>105</v>
      </c>
      <c r="D3" s="33"/>
      <c r="E3" s="12"/>
      <c r="F3" s="54"/>
      <c r="G3" s="54"/>
      <c r="H3" s="54"/>
      <c r="I3" s="12"/>
    </row>
    <row r="4" spans="1:11" ht="19.5" customHeight="1" x14ac:dyDescent="0.2">
      <c r="B4" s="20" t="s">
        <v>23</v>
      </c>
      <c r="C4" s="395">
        <v>44230</v>
      </c>
      <c r="D4" s="395"/>
      <c r="E4" s="12"/>
      <c r="F4" s="54"/>
      <c r="G4" s="54"/>
      <c r="H4" s="54"/>
      <c r="I4" s="12"/>
    </row>
    <row r="5" spans="1:11" ht="4.5" customHeight="1" x14ac:dyDescent="0.45">
      <c r="B5" s="2"/>
      <c r="C5" s="17"/>
      <c r="D5" s="17"/>
      <c r="E5" s="396"/>
      <c r="F5" s="396"/>
      <c r="G5" s="205"/>
      <c r="H5" s="177"/>
      <c r="I5" s="4"/>
    </row>
    <row r="6" spans="1:11" s="128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204"/>
      <c r="G6" s="204"/>
      <c r="H6" s="55"/>
    </row>
    <row r="7" spans="1:11" x14ac:dyDescent="0.2">
      <c r="B7" s="231" t="s">
        <v>25</v>
      </c>
      <c r="C7" s="228" t="s">
        <v>13</v>
      </c>
      <c r="D7" s="40"/>
      <c r="E7" s="220">
        <v>2041.71</v>
      </c>
      <c r="F7" s="59"/>
      <c r="G7" s="56"/>
    </row>
    <row r="8" spans="1:11" x14ac:dyDescent="0.2">
      <c r="B8" s="232" t="s">
        <v>26</v>
      </c>
      <c r="C8" s="229" t="s">
        <v>24</v>
      </c>
      <c r="D8" s="41"/>
      <c r="E8" s="221">
        <v>805.13</v>
      </c>
      <c r="F8" s="59"/>
      <c r="G8" s="56"/>
    </row>
    <row r="9" spans="1:11" x14ac:dyDescent="0.2">
      <c r="B9" s="232" t="s">
        <v>3</v>
      </c>
      <c r="C9" s="229" t="s">
        <v>12</v>
      </c>
      <c r="D9" s="41"/>
      <c r="E9" s="221">
        <v>1303.77</v>
      </c>
      <c r="F9" s="59"/>
      <c r="G9" s="56"/>
    </row>
    <row r="10" spans="1:11" x14ac:dyDescent="0.2">
      <c r="B10" s="233" t="s">
        <v>31</v>
      </c>
      <c r="C10" s="230" t="s">
        <v>11</v>
      </c>
      <c r="D10" s="42"/>
      <c r="E10" s="222">
        <v>1269.22</v>
      </c>
      <c r="F10" s="59"/>
      <c r="G10" s="56"/>
    </row>
    <row r="11" spans="1:11" x14ac:dyDescent="0.2">
      <c r="B11" s="233" t="s">
        <v>69</v>
      </c>
      <c r="C11" s="230" t="s">
        <v>30</v>
      </c>
      <c r="D11" s="42"/>
      <c r="E11" s="222">
        <v>990</v>
      </c>
      <c r="G11" s="56"/>
      <c r="I11" s="296"/>
      <c r="J11" s="296"/>
    </row>
    <row r="12" spans="1:11" ht="13.5" thickBot="1" x14ac:dyDescent="0.25">
      <c r="B12" s="71" t="s">
        <v>79</v>
      </c>
      <c r="C12" s="73" t="s">
        <v>80</v>
      </c>
      <c r="D12" s="50"/>
      <c r="E12" s="192">
        <v>1237.5</v>
      </c>
      <c r="F12" s="59"/>
      <c r="G12" s="218"/>
      <c r="H12" s="177"/>
    </row>
    <row r="13" spans="1:11" s="4" customFormat="1" ht="13.5" thickBot="1" x14ac:dyDescent="0.25">
      <c r="B13" s="46"/>
      <c r="C13" s="47"/>
      <c r="D13" s="48"/>
      <c r="E13" s="49">
        <f>SUM(E7:E12)</f>
        <v>7647.3300000000008</v>
      </c>
      <c r="F13" s="58"/>
      <c r="G13" s="56"/>
      <c r="H13" s="203"/>
      <c r="J13" s="177"/>
      <c r="K13" s="5"/>
    </row>
    <row r="14" spans="1:11" s="212" customFormat="1" ht="13.5" thickBot="1" x14ac:dyDescent="0.25">
      <c r="B14" s="213" t="s">
        <v>29</v>
      </c>
      <c r="C14" s="214" t="s">
        <v>5</v>
      </c>
      <c r="D14" s="214"/>
      <c r="E14" s="76">
        <v>1125</v>
      </c>
      <c r="F14" s="215"/>
      <c r="G14" s="215"/>
      <c r="H14" s="215"/>
    </row>
    <row r="15" spans="1:11" ht="13.5" thickBot="1" x14ac:dyDescent="0.25">
      <c r="B15" s="10"/>
      <c r="C15" s="28" t="s">
        <v>0</v>
      </c>
      <c r="D15" s="28"/>
      <c r="E15" s="30">
        <f>SUM(E13:E14)</f>
        <v>8772.3300000000017</v>
      </c>
      <c r="K15" s="4"/>
    </row>
    <row r="16" spans="1:11" x14ac:dyDescent="0.2">
      <c r="B16" s="10"/>
      <c r="C16" s="28"/>
      <c r="D16" s="28"/>
      <c r="E16" s="52"/>
    </row>
    <row r="17" spans="1:11" x14ac:dyDescent="0.2">
      <c r="B17" s="10" t="s">
        <v>111</v>
      </c>
      <c r="C17" s="182" t="s">
        <v>112</v>
      </c>
      <c r="D17" s="28"/>
      <c r="E17" s="177">
        <f>800*5</f>
        <v>4000</v>
      </c>
      <c r="F17" s="45">
        <f>SUM(E15:E17)</f>
        <v>12772.330000000002</v>
      </c>
    </row>
    <row r="18" spans="1:11" ht="12.75" customHeight="1" x14ac:dyDescent="0.45">
      <c r="B18" s="2"/>
      <c r="C18" s="17"/>
      <c r="D18" s="17"/>
      <c r="E18" s="396"/>
      <c r="F18" s="396"/>
      <c r="G18" s="205"/>
      <c r="H18" s="177"/>
      <c r="I18" s="4"/>
    </row>
    <row r="19" spans="1:11" s="24" customFormat="1" ht="6.75" customHeight="1" x14ac:dyDescent="0.2">
      <c r="B19" s="25"/>
      <c r="C19" s="26"/>
      <c r="D19" s="26"/>
      <c r="E19" s="27"/>
      <c r="F19" s="53"/>
      <c r="G19" s="53"/>
      <c r="H19" s="53"/>
      <c r="I19" s="27"/>
    </row>
    <row r="20" spans="1:11" ht="19.5" customHeight="1" x14ac:dyDescent="0.2">
      <c r="A20" s="38"/>
      <c r="B20" s="20" t="s">
        <v>21</v>
      </c>
      <c r="C20" s="39" t="s">
        <v>106</v>
      </c>
      <c r="D20" s="33"/>
      <c r="E20" s="12"/>
      <c r="F20" s="54"/>
      <c r="G20" s="54"/>
      <c r="H20" s="54"/>
      <c r="I20" s="12"/>
    </row>
    <row r="21" spans="1:11" ht="19.5" customHeight="1" x14ac:dyDescent="0.2">
      <c r="B21" s="20" t="s">
        <v>23</v>
      </c>
      <c r="C21" s="395">
        <v>44237</v>
      </c>
      <c r="D21" s="395"/>
      <c r="E21" s="12"/>
      <c r="F21" s="54"/>
      <c r="G21" s="54"/>
      <c r="H21" s="54"/>
      <c r="I21" s="12"/>
    </row>
    <row r="22" spans="1:11" ht="4.5" customHeight="1" x14ac:dyDescent="0.45">
      <c r="B22" s="2"/>
      <c r="C22" s="17"/>
      <c r="D22" s="17"/>
      <c r="E22" s="396"/>
      <c r="F22" s="396"/>
      <c r="G22" s="205"/>
      <c r="H22" s="177"/>
      <c r="I22" s="4"/>
    </row>
    <row r="23" spans="1:11" s="128" customFormat="1" ht="13.5" thickBot="1" x14ac:dyDescent="0.25">
      <c r="B23" s="21" t="s">
        <v>22</v>
      </c>
      <c r="C23" s="44" t="s">
        <v>1</v>
      </c>
      <c r="D23" s="44"/>
      <c r="E23" s="23" t="s">
        <v>2</v>
      </c>
      <c r="F23" s="204"/>
      <c r="G23" s="204"/>
      <c r="H23" s="55"/>
    </row>
    <row r="24" spans="1:11" x14ac:dyDescent="0.2">
      <c r="B24" s="231" t="s">
        <v>25</v>
      </c>
      <c r="C24" s="228" t="s">
        <v>13</v>
      </c>
      <c r="D24" s="40"/>
      <c r="E24" s="220">
        <v>2041.71</v>
      </c>
      <c r="F24" s="59"/>
      <c r="G24" s="56"/>
    </row>
    <row r="25" spans="1:11" x14ac:dyDescent="0.2">
      <c r="B25" s="232" t="s">
        <v>26</v>
      </c>
      <c r="C25" s="229" t="s">
        <v>24</v>
      </c>
      <c r="D25" s="41"/>
      <c r="E25" s="221">
        <v>1005.13</v>
      </c>
      <c r="F25" s="59" t="s">
        <v>179</v>
      </c>
      <c r="G25" s="56"/>
    </row>
    <row r="26" spans="1:11" x14ac:dyDescent="0.2">
      <c r="B26" s="232" t="s">
        <v>3</v>
      </c>
      <c r="C26" s="229" t="s">
        <v>12</v>
      </c>
      <c r="D26" s="41"/>
      <c r="E26" s="221">
        <v>1303.77</v>
      </c>
      <c r="F26" s="59"/>
      <c r="G26" s="56"/>
    </row>
    <row r="27" spans="1:11" x14ac:dyDescent="0.2">
      <c r="B27" s="233" t="s">
        <v>31</v>
      </c>
      <c r="C27" s="230" t="s">
        <v>11</v>
      </c>
      <c r="D27" s="42"/>
      <c r="E27" s="222">
        <v>1269.22</v>
      </c>
      <c r="F27" s="59"/>
      <c r="G27" s="56"/>
    </row>
    <row r="28" spans="1:11" x14ac:dyDescent="0.2">
      <c r="B28" s="233" t="s">
        <v>69</v>
      </c>
      <c r="C28" s="230" t="s">
        <v>30</v>
      </c>
      <c r="D28" s="42"/>
      <c r="E28" s="222">
        <v>990</v>
      </c>
      <c r="G28" s="56"/>
      <c r="I28" s="296"/>
      <c r="J28" s="296"/>
    </row>
    <row r="29" spans="1:11" ht="13.5" thickBot="1" x14ac:dyDescent="0.25">
      <c r="B29" s="71" t="s">
        <v>79</v>
      </c>
      <c r="C29" s="73" t="s">
        <v>80</v>
      </c>
      <c r="D29" s="50"/>
      <c r="E29" s="192">
        <v>1237.5</v>
      </c>
      <c r="F29" s="59"/>
      <c r="G29" s="218"/>
      <c r="H29" s="177"/>
    </row>
    <row r="30" spans="1:11" s="4" customFormat="1" ht="13.5" thickBot="1" x14ac:dyDescent="0.25">
      <c r="B30" s="46"/>
      <c r="C30" s="47"/>
      <c r="D30" s="48"/>
      <c r="E30" s="49">
        <f>SUM(E24:E29)</f>
        <v>7847.3300000000008</v>
      </c>
      <c r="F30" s="58"/>
      <c r="G30" s="56"/>
      <c r="H30" s="203"/>
      <c r="J30" s="177"/>
      <c r="K30" s="5"/>
    </row>
    <row r="31" spans="1:11" s="212" customFormat="1" ht="13.5" thickBot="1" x14ac:dyDescent="0.25">
      <c r="B31" s="213" t="s">
        <v>29</v>
      </c>
      <c r="C31" s="214" t="s">
        <v>5</v>
      </c>
      <c r="D31" s="214"/>
      <c r="E31" s="76">
        <v>1125</v>
      </c>
      <c r="F31" s="215"/>
      <c r="G31" s="215"/>
      <c r="H31" s="215"/>
    </row>
    <row r="32" spans="1:11" ht="13.5" thickBot="1" x14ac:dyDescent="0.25">
      <c r="B32" s="10"/>
      <c r="C32" s="28" t="s">
        <v>0</v>
      </c>
      <c r="D32" s="28"/>
      <c r="E32" s="30">
        <f>SUM(E30:E31)</f>
        <v>8972.3300000000017</v>
      </c>
      <c r="K32" s="4"/>
    </row>
    <row r="33" spans="1:11" x14ac:dyDescent="0.2">
      <c r="B33" s="10"/>
      <c r="C33" s="28"/>
      <c r="D33" s="28"/>
      <c r="E33" s="52"/>
    </row>
    <row r="34" spans="1:11" x14ac:dyDescent="0.2">
      <c r="B34" s="10" t="s">
        <v>111</v>
      </c>
      <c r="C34" s="182" t="s">
        <v>112</v>
      </c>
      <c r="D34" s="28"/>
      <c r="E34" s="177">
        <f>800*5</f>
        <v>4000</v>
      </c>
      <c r="F34" s="45">
        <f>SUM(E32:E34)-E25</f>
        <v>11967.200000000003</v>
      </c>
    </row>
    <row r="35" spans="1:11" x14ac:dyDescent="0.2">
      <c r="B35" s="10"/>
      <c r="C35" s="28"/>
      <c r="D35" s="28"/>
      <c r="E35" s="52"/>
    </row>
    <row r="36" spans="1:11" s="24" customFormat="1" ht="6.75" customHeight="1" x14ac:dyDescent="0.2">
      <c r="B36" s="25"/>
      <c r="C36" s="26"/>
      <c r="D36" s="26"/>
      <c r="E36" s="27"/>
      <c r="F36" s="53"/>
      <c r="G36" s="53"/>
      <c r="H36" s="53"/>
      <c r="I36" s="27"/>
    </row>
    <row r="37" spans="1:11" ht="19.5" customHeight="1" x14ac:dyDescent="0.2">
      <c r="A37" s="38"/>
      <c r="B37" s="20" t="s">
        <v>21</v>
      </c>
      <c r="C37" s="39" t="s">
        <v>107</v>
      </c>
      <c r="D37" s="33"/>
      <c r="E37" s="12"/>
      <c r="F37" s="54"/>
      <c r="G37" s="54"/>
      <c r="H37" s="54"/>
      <c r="I37" s="12"/>
    </row>
    <row r="38" spans="1:11" ht="19.5" customHeight="1" x14ac:dyDescent="0.2">
      <c r="B38" s="20" t="s">
        <v>23</v>
      </c>
      <c r="C38" s="395">
        <v>44244</v>
      </c>
      <c r="D38" s="395"/>
      <c r="E38" s="12"/>
      <c r="F38" s="54"/>
      <c r="G38" s="54"/>
      <c r="H38" s="54"/>
      <c r="I38" s="12"/>
    </row>
    <row r="39" spans="1:11" ht="4.5" customHeight="1" x14ac:dyDescent="0.45">
      <c r="B39" s="2"/>
      <c r="C39" s="17"/>
      <c r="D39" s="17"/>
      <c r="E39" s="396"/>
      <c r="F39" s="396"/>
      <c r="G39" s="205"/>
      <c r="H39" s="177"/>
      <c r="I39" s="4"/>
    </row>
    <row r="40" spans="1:11" s="128" customFormat="1" ht="13.5" thickBot="1" x14ac:dyDescent="0.25">
      <c r="B40" s="21" t="s">
        <v>22</v>
      </c>
      <c r="C40" s="44" t="s">
        <v>1</v>
      </c>
      <c r="D40" s="44"/>
      <c r="E40" s="23" t="s">
        <v>2</v>
      </c>
      <c r="F40" s="204"/>
      <c r="G40" s="204"/>
      <c r="H40" s="55"/>
    </row>
    <row r="41" spans="1:11" x14ac:dyDescent="0.2">
      <c r="B41" s="231" t="s">
        <v>25</v>
      </c>
      <c r="C41" s="228" t="s">
        <v>13</v>
      </c>
      <c r="D41" s="40"/>
      <c r="E41" s="220">
        <v>2918.63</v>
      </c>
      <c r="F41" s="59"/>
      <c r="G41" s="56"/>
    </row>
    <row r="42" spans="1:11" x14ac:dyDescent="0.2">
      <c r="B42" s="232" t="s">
        <v>26</v>
      </c>
      <c r="C42" s="229" t="s">
        <v>24</v>
      </c>
      <c r="D42" s="41"/>
      <c r="E42" s="221">
        <v>805.13</v>
      </c>
      <c r="F42" s="59"/>
      <c r="G42" s="56"/>
    </row>
    <row r="43" spans="1:11" x14ac:dyDescent="0.2">
      <c r="B43" s="232" t="s">
        <v>3</v>
      </c>
      <c r="C43" s="229" t="s">
        <v>12</v>
      </c>
      <c r="D43" s="41"/>
      <c r="E43" s="221">
        <v>1303.77</v>
      </c>
      <c r="F43" s="59"/>
      <c r="G43" s="56"/>
    </row>
    <row r="44" spans="1:11" x14ac:dyDescent="0.2">
      <c r="B44" s="233" t="s">
        <v>31</v>
      </c>
      <c r="C44" s="230" t="s">
        <v>11</v>
      </c>
      <c r="D44" s="42"/>
      <c r="E44" s="222">
        <v>1655.32</v>
      </c>
      <c r="F44" s="59"/>
      <c r="G44" s="56"/>
    </row>
    <row r="45" spans="1:11" x14ac:dyDescent="0.2">
      <c r="B45" s="233" t="s">
        <v>69</v>
      </c>
      <c r="C45" s="230" t="s">
        <v>30</v>
      </c>
      <c r="D45" s="42"/>
      <c r="E45" s="222">
        <v>990</v>
      </c>
      <c r="G45" s="56"/>
      <c r="I45" s="296"/>
      <c r="J45" s="296"/>
    </row>
    <row r="46" spans="1:11" ht="13.5" thickBot="1" x14ac:dyDescent="0.25">
      <c r="B46" s="71" t="s">
        <v>79</v>
      </c>
      <c r="C46" s="73" t="s">
        <v>80</v>
      </c>
      <c r="D46" s="50"/>
      <c r="E46" s="192">
        <v>1237.5</v>
      </c>
      <c r="F46" s="59"/>
      <c r="G46" s="218"/>
      <c r="H46" s="177"/>
    </row>
    <row r="47" spans="1:11" s="4" customFormat="1" ht="13.5" thickBot="1" x14ac:dyDescent="0.25">
      <c r="B47" s="46"/>
      <c r="C47" s="47"/>
      <c r="D47" s="48"/>
      <c r="E47" s="49">
        <f>SUM(E41:E46)</f>
        <v>8910.35</v>
      </c>
      <c r="F47" s="58"/>
      <c r="G47" s="56"/>
      <c r="H47" s="203"/>
      <c r="J47" s="177"/>
      <c r="K47" s="5"/>
    </row>
    <row r="48" spans="1:11" s="212" customFormat="1" ht="13.5" thickBot="1" x14ac:dyDescent="0.25">
      <c r="B48" s="213" t="s">
        <v>29</v>
      </c>
      <c r="C48" s="214" t="s">
        <v>5</v>
      </c>
      <c r="D48" s="214"/>
      <c r="E48" s="76">
        <v>1125</v>
      </c>
      <c r="F48" s="215"/>
      <c r="G48" s="215"/>
      <c r="H48" s="215"/>
    </row>
    <row r="49" spans="1:11" ht="13.5" thickBot="1" x14ac:dyDescent="0.25">
      <c r="B49" s="10"/>
      <c r="C49" s="28" t="s">
        <v>0</v>
      </c>
      <c r="D49" s="28"/>
      <c r="E49" s="30">
        <f>SUM(E47:E48)</f>
        <v>10035.35</v>
      </c>
      <c r="K49" s="4"/>
    </row>
    <row r="50" spans="1:11" x14ac:dyDescent="0.2">
      <c r="B50" s="10"/>
      <c r="C50" s="28"/>
      <c r="D50" s="28"/>
      <c r="E50" s="52"/>
    </row>
    <row r="51" spans="1:11" x14ac:dyDescent="0.2">
      <c r="B51" s="10" t="s">
        <v>111</v>
      </c>
      <c r="C51" s="182" t="s">
        <v>112</v>
      </c>
      <c r="D51" s="28"/>
      <c r="E51" s="177">
        <f>800*5</f>
        <v>4000</v>
      </c>
      <c r="F51" s="45">
        <f>SUM(E49:E51)</f>
        <v>14035.35</v>
      </c>
    </row>
    <row r="52" spans="1:11" x14ac:dyDescent="0.2">
      <c r="B52" s="10"/>
      <c r="C52" s="28"/>
      <c r="D52" s="28"/>
      <c r="E52" s="52"/>
    </row>
    <row r="53" spans="1:11" s="24" customFormat="1" ht="6.75" customHeight="1" x14ac:dyDescent="0.2">
      <c r="B53" s="25"/>
      <c r="C53" s="26"/>
      <c r="D53" s="26"/>
      <c r="E53" s="27"/>
      <c r="F53" s="53"/>
      <c r="G53" s="53"/>
      <c r="H53" s="53"/>
      <c r="I53" s="27"/>
    </row>
    <row r="54" spans="1:11" ht="19.5" customHeight="1" x14ac:dyDescent="0.2">
      <c r="A54" s="38"/>
      <c r="B54" s="20" t="s">
        <v>21</v>
      </c>
      <c r="C54" s="39" t="s">
        <v>108</v>
      </c>
      <c r="D54" s="33"/>
      <c r="E54" s="12"/>
      <c r="F54" s="54"/>
      <c r="G54" s="54"/>
      <c r="H54" s="54"/>
      <c r="I54" s="12"/>
    </row>
    <row r="55" spans="1:11" ht="19.5" customHeight="1" x14ac:dyDescent="0.2">
      <c r="B55" s="20" t="s">
        <v>23</v>
      </c>
      <c r="C55" s="395">
        <v>44251</v>
      </c>
      <c r="D55" s="395"/>
      <c r="E55" s="12"/>
      <c r="F55" s="54"/>
      <c r="G55" s="54"/>
      <c r="H55" s="54"/>
      <c r="I55" s="12"/>
    </row>
    <row r="56" spans="1:11" ht="4.5" customHeight="1" x14ac:dyDescent="0.45">
      <c r="B56" s="2"/>
      <c r="C56" s="17"/>
      <c r="D56" s="17"/>
      <c r="E56" s="396"/>
      <c r="F56" s="396"/>
      <c r="G56" s="205"/>
      <c r="H56" s="177"/>
      <c r="I56" s="4"/>
    </row>
    <row r="57" spans="1:11" s="128" customFormat="1" ht="13.5" thickBot="1" x14ac:dyDescent="0.25">
      <c r="B57" s="21" t="s">
        <v>22</v>
      </c>
      <c r="C57" s="44" t="s">
        <v>1</v>
      </c>
      <c r="D57" s="44"/>
      <c r="E57" s="23" t="s">
        <v>2</v>
      </c>
      <c r="F57" s="204"/>
      <c r="G57" s="204"/>
      <c r="H57" s="55"/>
    </row>
    <row r="58" spans="1:11" x14ac:dyDescent="0.2">
      <c r="B58" s="18" t="s">
        <v>25</v>
      </c>
      <c r="C58" s="19" t="s">
        <v>13</v>
      </c>
      <c r="D58" s="40"/>
      <c r="E58" s="220">
        <v>2041.71</v>
      </c>
      <c r="F58" s="59"/>
      <c r="G58" s="56"/>
    </row>
    <row r="59" spans="1:11" x14ac:dyDescent="0.2">
      <c r="B59" s="36" t="s">
        <v>26</v>
      </c>
      <c r="C59" s="22" t="s">
        <v>24</v>
      </c>
      <c r="D59" s="41"/>
      <c r="E59" s="221">
        <v>805.13</v>
      </c>
      <c r="F59" s="59"/>
      <c r="G59" s="56"/>
    </row>
    <row r="60" spans="1:11" x14ac:dyDescent="0.2">
      <c r="B60" s="36" t="s">
        <v>3</v>
      </c>
      <c r="C60" s="22" t="s">
        <v>12</v>
      </c>
      <c r="D60" s="41"/>
      <c r="E60" s="221">
        <v>1303.77</v>
      </c>
      <c r="F60" s="59"/>
      <c r="G60" s="56"/>
    </row>
    <row r="61" spans="1:11" x14ac:dyDescent="0.2">
      <c r="B61" s="13" t="s">
        <v>31</v>
      </c>
      <c r="C61" s="16" t="s">
        <v>11</v>
      </c>
      <c r="D61" s="42"/>
      <c r="E61" s="222">
        <v>1269.22</v>
      </c>
      <c r="F61" s="59"/>
      <c r="G61" s="56"/>
    </row>
    <row r="62" spans="1:11" x14ac:dyDescent="0.2">
      <c r="B62" s="68" t="s">
        <v>69</v>
      </c>
      <c r="C62" s="72" t="s">
        <v>30</v>
      </c>
      <c r="D62" s="69"/>
      <c r="E62" s="222">
        <v>990</v>
      </c>
      <c r="F62" s="59"/>
      <c r="G62" s="56"/>
    </row>
    <row r="63" spans="1:11" ht="13.5" thickBot="1" x14ac:dyDescent="0.25">
      <c r="B63" s="71" t="s">
        <v>79</v>
      </c>
      <c r="C63" s="73" t="s">
        <v>80</v>
      </c>
      <c r="D63" s="50"/>
      <c r="E63" s="192">
        <v>1485</v>
      </c>
      <c r="F63" s="59"/>
      <c r="G63" s="218"/>
      <c r="H63" s="177"/>
    </row>
    <row r="64" spans="1:11" s="4" customFormat="1" ht="13.5" thickBot="1" x14ac:dyDescent="0.25">
      <c r="B64" s="46"/>
      <c r="C64" s="47"/>
      <c r="D64" s="48"/>
      <c r="E64" s="49">
        <f>SUM(E58:E63)</f>
        <v>7894.8300000000008</v>
      </c>
      <c r="F64" s="58"/>
      <c r="G64" s="56"/>
      <c r="H64" s="203"/>
      <c r="J64" s="177"/>
      <c r="K64" s="5"/>
    </row>
    <row r="65" spans="1:11" s="212" customFormat="1" ht="13.5" thickBot="1" x14ac:dyDescent="0.25">
      <c r="B65" s="213" t="s">
        <v>29</v>
      </c>
      <c r="C65" s="214" t="s">
        <v>5</v>
      </c>
      <c r="D65" s="214"/>
      <c r="E65" s="76">
        <v>1125</v>
      </c>
      <c r="F65" s="215"/>
      <c r="G65" s="215"/>
      <c r="H65" s="215"/>
    </row>
    <row r="66" spans="1:11" ht="13.5" thickBot="1" x14ac:dyDescent="0.25">
      <c r="B66" s="10"/>
      <c r="C66" s="28" t="s">
        <v>0</v>
      </c>
      <c r="D66" s="28"/>
      <c r="E66" s="30">
        <f>SUM(E64:E65)</f>
        <v>9019.8300000000017</v>
      </c>
      <c r="K66" s="4"/>
    </row>
    <row r="67" spans="1:11" x14ac:dyDescent="0.2">
      <c r="B67" s="10"/>
      <c r="C67" s="28"/>
      <c r="D67" s="28"/>
      <c r="E67" s="52"/>
    </row>
    <row r="68" spans="1:11" x14ac:dyDescent="0.2">
      <c r="B68" s="10" t="s">
        <v>111</v>
      </c>
      <c r="C68" s="182" t="s">
        <v>112</v>
      </c>
      <c r="D68" s="28"/>
      <c r="E68" s="177">
        <f>800*5</f>
        <v>4000</v>
      </c>
      <c r="F68" s="45">
        <f>SUM(E66:E68)</f>
        <v>13019.830000000002</v>
      </c>
      <c r="J68" s="65"/>
    </row>
    <row r="69" spans="1:11" x14ac:dyDescent="0.2">
      <c r="B69" s="10"/>
      <c r="C69" s="28"/>
      <c r="D69" s="28"/>
      <c r="E69" s="177"/>
    </row>
    <row r="70" spans="1:11" s="6" customFormat="1" ht="13.15" customHeight="1" x14ac:dyDescent="0.2">
      <c r="A70" s="14" t="s">
        <v>6</v>
      </c>
      <c r="B70" s="15" t="s">
        <v>7</v>
      </c>
      <c r="C70" s="15"/>
      <c r="D70" s="31">
        <v>9000</v>
      </c>
      <c r="E70" s="43" t="s">
        <v>116</v>
      </c>
      <c r="F70" s="14" t="s">
        <v>33</v>
      </c>
      <c r="G70" s="206" t="s">
        <v>32</v>
      </c>
      <c r="H70" s="31">
        <v>3853.36</v>
      </c>
      <c r="I70" s="51" t="s">
        <v>116</v>
      </c>
      <c r="K70" s="5"/>
    </row>
    <row r="71" spans="1:11" s="6" customFormat="1" ht="13.15" customHeight="1" x14ac:dyDescent="0.2">
      <c r="A71" s="14" t="s">
        <v>8</v>
      </c>
      <c r="B71" s="15" t="s">
        <v>9</v>
      </c>
      <c r="C71" s="15"/>
      <c r="D71" s="31">
        <v>311.83999999999997</v>
      </c>
      <c r="E71" s="43" t="s">
        <v>116</v>
      </c>
      <c r="F71" s="14" t="s">
        <v>33</v>
      </c>
      <c r="G71" s="206" t="s">
        <v>109</v>
      </c>
      <c r="H71" s="190">
        <v>2000</v>
      </c>
      <c r="I71" s="51" t="s">
        <v>116</v>
      </c>
      <c r="K71" s="5"/>
    </row>
    <row r="72" spans="1:11" s="6" customFormat="1" ht="13.15" customHeight="1" x14ac:dyDescent="0.2">
      <c r="A72" s="14" t="s">
        <v>27</v>
      </c>
      <c r="B72" s="15" t="s">
        <v>28</v>
      </c>
      <c r="C72" s="15"/>
      <c r="D72" s="31">
        <v>619.53</v>
      </c>
      <c r="E72" s="43" t="s">
        <v>116</v>
      </c>
      <c r="F72" s="60" t="s">
        <v>19</v>
      </c>
      <c r="G72" s="206" t="s">
        <v>20</v>
      </c>
      <c r="H72" s="190">
        <v>500</v>
      </c>
      <c r="I72" s="51" t="s">
        <v>116</v>
      </c>
    </row>
    <row r="73" spans="1:11" s="6" customFormat="1" ht="13.15" customHeight="1" x14ac:dyDescent="0.2">
      <c r="A73" s="14" t="s">
        <v>10</v>
      </c>
      <c r="B73" s="15" t="s">
        <v>34</v>
      </c>
      <c r="C73" s="31"/>
      <c r="D73" s="31">
        <v>5000</v>
      </c>
      <c r="E73" s="43" t="s">
        <v>116</v>
      </c>
      <c r="F73" s="60" t="s">
        <v>6</v>
      </c>
      <c r="G73" s="206" t="s">
        <v>39</v>
      </c>
      <c r="H73" s="190">
        <v>919</v>
      </c>
      <c r="I73" s="51" t="s">
        <v>116</v>
      </c>
    </row>
    <row r="74" spans="1:11" s="6" customFormat="1" ht="13.15" customHeight="1" x14ac:dyDescent="0.2">
      <c r="A74" s="14" t="s">
        <v>10</v>
      </c>
      <c r="B74" s="15" t="s">
        <v>35</v>
      </c>
      <c r="C74" s="31"/>
      <c r="D74" s="31">
        <v>4000</v>
      </c>
      <c r="E74" s="43" t="s">
        <v>116</v>
      </c>
      <c r="F74" s="60" t="s">
        <v>8</v>
      </c>
      <c r="G74" s="206" t="s">
        <v>14</v>
      </c>
      <c r="H74" s="190">
        <v>12000</v>
      </c>
      <c r="I74" s="51" t="s">
        <v>116</v>
      </c>
      <c r="J74" s="189"/>
    </row>
    <row r="75" spans="1:11" s="6" customFormat="1" ht="13.15" customHeight="1" thickBot="1" x14ac:dyDescent="0.25">
      <c r="A75" s="14"/>
      <c r="B75" s="15"/>
      <c r="C75" s="31"/>
      <c r="D75" s="31"/>
      <c r="E75" s="43"/>
      <c r="F75" s="61" t="s">
        <v>16</v>
      </c>
      <c r="G75" s="206" t="s">
        <v>15</v>
      </c>
      <c r="H75" s="207">
        <v>12000</v>
      </c>
      <c r="I75" s="51" t="s">
        <v>116</v>
      </c>
      <c r="J75" s="190"/>
    </row>
    <row r="76" spans="1:11" s="6" customFormat="1" ht="13.15" customHeight="1" thickTop="1" thickBot="1" x14ac:dyDescent="0.25">
      <c r="A76" s="14"/>
      <c r="B76" s="15"/>
      <c r="C76" s="31"/>
      <c r="D76" s="31"/>
      <c r="E76" s="43"/>
      <c r="F76" s="62"/>
      <c r="G76" s="206"/>
      <c r="H76" s="208">
        <f>SUM(H70:H75)+SUM(D70:D75)</f>
        <v>50203.73</v>
      </c>
      <c r="I76" s="51"/>
      <c r="J76" s="190"/>
      <c r="K76" s="189"/>
    </row>
    <row r="77" spans="1:11" s="6" customFormat="1" ht="13.15" customHeight="1" thickBot="1" x14ac:dyDescent="0.25">
      <c r="A77" s="14"/>
      <c r="B77" s="15"/>
      <c r="C77" s="31"/>
      <c r="D77" s="31"/>
      <c r="E77" s="31"/>
      <c r="F77" s="62"/>
      <c r="G77" s="209" t="s">
        <v>4</v>
      </c>
      <c r="H77" s="210">
        <f>F68+H76</f>
        <v>63223.560000000005</v>
      </c>
      <c r="I77" s="37"/>
      <c r="J77" s="190"/>
      <c r="K77" s="189"/>
    </row>
    <row r="78" spans="1:11" s="6" customFormat="1" ht="13.15" customHeight="1" x14ac:dyDescent="0.2">
      <c r="B78" s="14"/>
      <c r="C78" s="15"/>
      <c r="D78" s="8"/>
      <c r="E78" s="31"/>
      <c r="F78" s="63"/>
      <c r="G78" s="63"/>
      <c r="H78" s="63"/>
      <c r="I78" s="37"/>
      <c r="J78" s="190"/>
      <c r="K78" s="189"/>
    </row>
    <row r="79" spans="1:11" s="6" customFormat="1" ht="13.15" customHeight="1" x14ac:dyDescent="0.2">
      <c r="B79" s="14"/>
      <c r="C79" s="15"/>
      <c r="D79" s="7"/>
      <c r="E79" s="8"/>
      <c r="F79" s="63"/>
      <c r="G79" s="63"/>
      <c r="H79" s="63"/>
      <c r="I79" s="37"/>
      <c r="J79" s="190"/>
      <c r="K79" s="189"/>
    </row>
    <row r="80" spans="1:11" s="6" customFormat="1" ht="13.15" customHeight="1" x14ac:dyDescent="0.2">
      <c r="A80" s="8"/>
      <c r="B80" s="9"/>
      <c r="C80" s="8"/>
      <c r="D80" s="7"/>
      <c r="E80" s="8"/>
      <c r="F80" s="63"/>
      <c r="G80" s="63"/>
      <c r="H80" s="63"/>
      <c r="I80" s="37"/>
      <c r="J80" s="190"/>
      <c r="K80" s="189"/>
    </row>
    <row r="81" spans="1:11" s="6" customFormat="1" ht="13.15" customHeight="1" x14ac:dyDescent="0.2">
      <c r="A81" s="8"/>
      <c r="B81" s="9"/>
      <c r="C81" s="7"/>
      <c r="D81" s="7"/>
      <c r="E81" s="8"/>
      <c r="F81" s="63"/>
      <c r="G81" s="63"/>
      <c r="H81" s="63"/>
      <c r="I81" s="37"/>
      <c r="J81" s="189"/>
      <c r="K81" s="189"/>
    </row>
    <row r="82" spans="1:11" s="6" customFormat="1" ht="13.15" customHeight="1" x14ac:dyDescent="0.2">
      <c r="A82" s="8"/>
      <c r="B82" s="9"/>
      <c r="C82" s="7"/>
      <c r="D82" s="7"/>
      <c r="E82" s="8"/>
      <c r="F82" s="63"/>
      <c r="G82" s="63"/>
      <c r="H82" s="63"/>
      <c r="I82" s="37"/>
      <c r="J82" s="189"/>
      <c r="K82" s="189"/>
    </row>
    <row r="83" spans="1:11" s="6" customFormat="1" ht="13.15" customHeight="1" x14ac:dyDescent="0.2">
      <c r="A83" s="8"/>
      <c r="B83" s="9"/>
      <c r="C83" s="7"/>
      <c r="D83" s="7"/>
      <c r="E83" s="8"/>
      <c r="F83" s="63"/>
      <c r="G83" s="63"/>
      <c r="H83" s="63"/>
      <c r="I83" s="37"/>
      <c r="K83" s="189"/>
    </row>
    <row r="84" spans="1:11" s="8" customFormat="1" x14ac:dyDescent="0.2">
      <c r="B84" s="9"/>
      <c r="C84" s="7"/>
      <c r="F84" s="63"/>
      <c r="G84" s="63"/>
      <c r="H84" s="63"/>
      <c r="K84" s="189"/>
    </row>
    <row r="85" spans="1:11" s="8" customFormat="1" x14ac:dyDescent="0.2">
      <c r="B85" s="9"/>
      <c r="C85" s="7"/>
      <c r="F85" s="63"/>
      <c r="G85" s="63"/>
      <c r="H85" s="63"/>
      <c r="K85" s="6"/>
    </row>
    <row r="86" spans="1:11" s="8" customFormat="1" ht="12" x14ac:dyDescent="0.2">
      <c r="B86" s="9"/>
      <c r="C86" s="7"/>
      <c r="F86" s="63"/>
      <c r="G86" s="63"/>
      <c r="H86" s="63"/>
    </row>
    <row r="87" spans="1:11" s="8" customFormat="1" ht="12" x14ac:dyDescent="0.2">
      <c r="B87" s="9"/>
      <c r="F87" s="63"/>
      <c r="G87" s="63"/>
      <c r="H87" s="63"/>
    </row>
    <row r="88" spans="1:11" s="8" customFormat="1" ht="12" x14ac:dyDescent="0.2">
      <c r="B88" s="9"/>
      <c r="F88" s="63"/>
      <c r="G88" s="63"/>
      <c r="H88" s="63"/>
    </row>
    <row r="89" spans="1:11" s="8" customFormat="1" ht="12" x14ac:dyDescent="0.2">
      <c r="B89" s="9"/>
      <c r="F89" s="63"/>
      <c r="G89" s="63"/>
      <c r="H89" s="63"/>
    </row>
    <row r="90" spans="1:11" s="8" customFormat="1" x14ac:dyDescent="0.2">
      <c r="B90" s="9"/>
      <c r="D90" s="5"/>
      <c r="F90" s="63"/>
      <c r="G90" s="63"/>
      <c r="H90" s="63"/>
    </row>
    <row r="91" spans="1:11" s="8" customFormat="1" x14ac:dyDescent="0.2">
      <c r="B91" s="9"/>
      <c r="D91" s="5"/>
      <c r="F91" s="45"/>
      <c r="G91" s="45"/>
      <c r="H91" s="45"/>
    </row>
    <row r="92" spans="1:11" s="8" customFormat="1" x14ac:dyDescent="0.2">
      <c r="B92" s="9"/>
      <c r="D92" s="5"/>
      <c r="E92" s="5"/>
      <c r="F92" s="45"/>
      <c r="G92" s="45"/>
      <c r="H92" s="45"/>
    </row>
    <row r="93" spans="1:11" s="8" customFormat="1" x14ac:dyDescent="0.2">
      <c r="B93" s="11"/>
      <c r="C93" s="5"/>
      <c r="D93" s="5"/>
      <c r="E93" s="5"/>
      <c r="F93" s="45"/>
      <c r="G93" s="45"/>
      <c r="H93" s="45"/>
    </row>
    <row r="94" spans="1:11" s="8" customFormat="1" x14ac:dyDescent="0.2">
      <c r="B94" s="11"/>
      <c r="C94" s="5"/>
      <c r="D94" s="5"/>
      <c r="E94" s="5"/>
      <c r="F94" s="45"/>
      <c r="G94" s="45"/>
      <c r="H94" s="45"/>
    </row>
    <row r="95" spans="1:11" s="8" customFormat="1" x14ac:dyDescent="0.2">
      <c r="B95" s="11"/>
      <c r="C95" s="5"/>
      <c r="D95" s="5"/>
      <c r="E95" s="5"/>
      <c r="F95" s="45"/>
      <c r="G95" s="45"/>
      <c r="H95" s="45"/>
    </row>
    <row r="96" spans="1:11" s="8" customFormat="1" x14ac:dyDescent="0.2">
      <c r="B96" s="11"/>
      <c r="C96" s="5"/>
      <c r="D96" s="5"/>
      <c r="E96" s="5"/>
      <c r="F96" s="45"/>
      <c r="G96" s="45"/>
      <c r="H96" s="45"/>
    </row>
    <row r="97" spans="1:11" s="8" customFormat="1" x14ac:dyDescent="0.2">
      <c r="A97" s="5"/>
      <c r="B97" s="11"/>
      <c r="C97" s="5"/>
      <c r="D97" s="5"/>
      <c r="E97" s="5"/>
      <c r="F97" s="45"/>
      <c r="G97" s="45"/>
      <c r="H97" s="45"/>
      <c r="I97" s="5"/>
    </row>
    <row r="98" spans="1:11" s="8" customFormat="1" x14ac:dyDescent="0.2">
      <c r="A98" s="5"/>
      <c r="B98" s="11"/>
      <c r="C98" s="5"/>
      <c r="D98" s="5"/>
      <c r="E98" s="5"/>
      <c r="F98" s="45"/>
      <c r="G98" s="45"/>
      <c r="H98" s="45"/>
      <c r="I98" s="5"/>
    </row>
    <row r="99" spans="1:11" s="8" customFormat="1" x14ac:dyDescent="0.2">
      <c r="A99" s="5"/>
      <c r="B99" s="11"/>
      <c r="C99" s="5"/>
      <c r="D99" s="5"/>
      <c r="E99" s="5"/>
      <c r="F99" s="45"/>
      <c r="G99" s="45"/>
      <c r="H99" s="45"/>
      <c r="I99" s="5"/>
    </row>
    <row r="100" spans="1:11" s="8" customFormat="1" x14ac:dyDescent="0.2">
      <c r="A100" s="5"/>
      <c r="B100" s="11"/>
      <c r="C100" s="5"/>
      <c r="D100" s="5"/>
      <c r="E100" s="5"/>
      <c r="F100" s="45"/>
      <c r="G100" s="45"/>
      <c r="H100" s="45"/>
      <c r="I100" s="5"/>
    </row>
    <row r="101" spans="1:11" x14ac:dyDescent="0.2">
      <c r="K101" s="8"/>
    </row>
    <row r="102" spans="1:11" x14ac:dyDescent="0.2">
      <c r="K102" s="8"/>
    </row>
  </sheetData>
  <mergeCells count="10">
    <mergeCell ref="A1:J1"/>
    <mergeCell ref="E18:F18"/>
    <mergeCell ref="C21:D21"/>
    <mergeCell ref="E22:F22"/>
    <mergeCell ref="C38:D38"/>
    <mergeCell ref="E39:F39"/>
    <mergeCell ref="C55:D55"/>
    <mergeCell ref="E56:F56"/>
    <mergeCell ref="C4:D4"/>
    <mergeCell ref="E5:F5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5"/>
  <sheetViews>
    <sheetView tabSelected="1" topLeftCell="D1" zoomScale="85" zoomScaleNormal="85" workbookViewId="0">
      <pane ySplit="3" topLeftCell="A4" activePane="bottomLeft" state="frozen"/>
      <selection pane="bottomLeft" activeCell="I545" sqref="I545"/>
    </sheetView>
  </sheetViews>
  <sheetFormatPr defaultRowHeight="12.75" x14ac:dyDescent="0.2"/>
  <cols>
    <col min="1" max="1" width="6.28515625" style="79" customWidth="1"/>
    <col min="2" max="2" width="9.140625" style="77"/>
    <col min="3" max="3" width="11.7109375" style="89" customWidth="1"/>
    <col min="4" max="5" width="9.7109375" style="89" bestFit="1" customWidth="1"/>
    <col min="6" max="6" width="10.140625" style="89" customWidth="1"/>
    <col min="7" max="7" width="11.7109375" style="89" customWidth="1"/>
    <col min="8" max="8" width="9.7109375" style="89" bestFit="1" customWidth="1"/>
    <col min="9" max="9" width="11.5703125" style="89" customWidth="1"/>
    <col min="10" max="10" width="9.140625" style="89"/>
    <col min="11" max="11" width="11" style="89" customWidth="1"/>
    <col min="12" max="12" width="9.140625" style="89"/>
    <col min="13" max="13" width="10.28515625" style="89" bestFit="1" customWidth="1"/>
    <col min="14" max="14" width="11.7109375" style="89" customWidth="1"/>
    <col min="15" max="15" width="11.7109375" style="96" customWidth="1"/>
    <col min="16" max="16" width="11.7109375" style="90" customWidth="1"/>
    <col min="17" max="17" width="11.42578125" style="79" customWidth="1"/>
    <col min="18" max="16384" width="9.140625" style="77"/>
  </cols>
  <sheetData>
    <row r="1" spans="1:17" ht="12.75" customHeight="1" x14ac:dyDescent="0.2">
      <c r="A1" s="438" t="s">
        <v>227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</row>
    <row r="2" spans="1:17" ht="13.5" customHeight="1" thickBot="1" x14ac:dyDescent="0.25">
      <c r="A2" s="439"/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</row>
    <row r="3" spans="1:17" s="78" customFormat="1" ht="13.5" thickBot="1" x14ac:dyDescent="0.25">
      <c r="A3" s="84" t="s">
        <v>64</v>
      </c>
      <c r="B3" s="85" t="s">
        <v>1</v>
      </c>
      <c r="C3" s="86" t="s">
        <v>56</v>
      </c>
      <c r="D3" s="86" t="s">
        <v>57</v>
      </c>
      <c r="E3" s="86" t="s">
        <v>67</v>
      </c>
      <c r="F3" s="86" t="s">
        <v>62</v>
      </c>
      <c r="G3" s="86" t="s">
        <v>74</v>
      </c>
      <c r="H3" s="86" t="s">
        <v>59</v>
      </c>
      <c r="I3" s="86" t="s">
        <v>60</v>
      </c>
      <c r="J3" s="86" t="s">
        <v>66</v>
      </c>
      <c r="K3" s="86" t="s">
        <v>62</v>
      </c>
      <c r="L3" s="86" t="s">
        <v>58</v>
      </c>
      <c r="M3" s="86" t="s">
        <v>61</v>
      </c>
      <c r="N3" s="86" t="s">
        <v>2</v>
      </c>
      <c r="O3" s="91" t="s">
        <v>65</v>
      </c>
      <c r="P3" s="92" t="s">
        <v>68</v>
      </c>
      <c r="Q3" s="135" t="s">
        <v>87</v>
      </c>
    </row>
    <row r="4" spans="1:17" s="78" customFormat="1" ht="13.5" thickBot="1" x14ac:dyDescent="0.25">
      <c r="A4" s="398" t="s">
        <v>113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7"/>
    </row>
    <row r="5" spans="1:17" x14ac:dyDescent="0.2">
      <c r="A5" s="82" t="s">
        <v>25</v>
      </c>
      <c r="B5" s="83" t="s">
        <v>63</v>
      </c>
      <c r="C5" s="87">
        <v>3966.4</v>
      </c>
      <c r="D5" s="87">
        <v>0</v>
      </c>
      <c r="E5" s="87">
        <v>490</v>
      </c>
      <c r="F5" s="87">
        <v>624</v>
      </c>
      <c r="G5" s="87">
        <f>C5+D5+F5+E5</f>
        <v>5080.3999999999996</v>
      </c>
      <c r="H5" s="87">
        <v>37.18</v>
      </c>
      <c r="I5" s="87">
        <v>588</v>
      </c>
      <c r="J5" s="87">
        <v>-159</v>
      </c>
      <c r="K5" s="87">
        <v>624</v>
      </c>
      <c r="L5" s="87">
        <v>200.01</v>
      </c>
      <c r="M5" s="87">
        <v>1125</v>
      </c>
      <c r="N5" s="87">
        <f>C5+D5+E5-H5-I5-J5-K5-L5-M5</f>
        <v>2041.2099999999991</v>
      </c>
      <c r="O5" s="97">
        <v>43894</v>
      </c>
      <c r="P5" s="101" t="s">
        <v>17</v>
      </c>
      <c r="Q5" s="132" t="s">
        <v>113</v>
      </c>
    </row>
    <row r="6" spans="1:17" x14ac:dyDescent="0.2">
      <c r="A6" s="80" t="s">
        <v>26</v>
      </c>
      <c r="B6" s="81" t="s">
        <v>70</v>
      </c>
      <c r="C6" s="88">
        <v>1023.5</v>
      </c>
      <c r="D6" s="88">
        <v>0</v>
      </c>
      <c r="E6" s="88">
        <v>50</v>
      </c>
      <c r="F6" s="88">
        <v>0</v>
      </c>
      <c r="G6" s="87">
        <f>C6+D6+F6+E6</f>
        <v>1073.5</v>
      </c>
      <c r="H6" s="88">
        <v>10.24</v>
      </c>
      <c r="I6" s="88">
        <v>0</v>
      </c>
      <c r="J6" s="88"/>
      <c r="K6" s="88"/>
      <c r="L6" s="88">
        <v>58.134999999999998</v>
      </c>
      <c r="M6" s="88">
        <v>100</v>
      </c>
      <c r="N6" s="87">
        <f t="shared" ref="N6:N99" si="0">C6+D6+E6-H6-I6-J6-K6-L6-M6</f>
        <v>905.125</v>
      </c>
      <c r="O6" s="97">
        <v>43894</v>
      </c>
      <c r="P6" s="101" t="s">
        <v>17</v>
      </c>
      <c r="Q6" s="132" t="s">
        <v>113</v>
      </c>
    </row>
    <row r="7" spans="1:17" x14ac:dyDescent="0.2">
      <c r="A7" s="80" t="s">
        <v>3</v>
      </c>
      <c r="B7" s="81" t="s">
        <v>71</v>
      </c>
      <c r="C7" s="88">
        <v>1343.5</v>
      </c>
      <c r="D7" s="88"/>
      <c r="E7" s="88">
        <v>50</v>
      </c>
      <c r="F7" s="88"/>
      <c r="G7" s="87">
        <f>C7+D7+F7+E7</f>
        <v>1393.5</v>
      </c>
      <c r="H7" s="88">
        <v>13.44</v>
      </c>
      <c r="I7" s="88"/>
      <c r="J7" s="88"/>
      <c r="K7" s="88"/>
      <c r="L7" s="88">
        <v>76.295000000000002</v>
      </c>
      <c r="M7" s="88"/>
      <c r="N7" s="87">
        <f t="shared" si="0"/>
        <v>1303.7649999999999</v>
      </c>
      <c r="O7" s="97">
        <v>43894</v>
      </c>
      <c r="P7" s="101" t="s">
        <v>17</v>
      </c>
      <c r="Q7" s="132" t="s">
        <v>113</v>
      </c>
    </row>
    <row r="8" spans="1:17" x14ac:dyDescent="0.2">
      <c r="A8" s="80" t="s">
        <v>31</v>
      </c>
      <c r="B8" s="81" t="s">
        <v>72</v>
      </c>
      <c r="C8" s="88">
        <v>1300</v>
      </c>
      <c r="D8" s="88"/>
      <c r="E8" s="88">
        <v>50</v>
      </c>
      <c r="F8" s="88"/>
      <c r="G8" s="87">
        <f>C8+D8+F8+E8</f>
        <v>1350</v>
      </c>
      <c r="H8" s="88">
        <v>13</v>
      </c>
      <c r="I8" s="88"/>
      <c r="J8" s="88"/>
      <c r="K8" s="88"/>
      <c r="L8" s="88">
        <v>67.78</v>
      </c>
      <c r="M8" s="88"/>
      <c r="N8" s="87">
        <f>C8+D8+E8-H8-I8-J8-K8-L8-M8</f>
        <v>1269.22</v>
      </c>
      <c r="O8" s="97">
        <v>43894</v>
      </c>
      <c r="P8" s="101" t="s">
        <v>17</v>
      </c>
      <c r="Q8" s="132" t="s">
        <v>113</v>
      </c>
    </row>
    <row r="9" spans="1:17" x14ac:dyDescent="0.2">
      <c r="A9" s="80" t="s">
        <v>69</v>
      </c>
      <c r="B9" s="81" t="s">
        <v>73</v>
      </c>
      <c r="C9" s="88">
        <v>1000</v>
      </c>
      <c r="D9" s="88"/>
      <c r="E9" s="88"/>
      <c r="F9" s="88"/>
      <c r="G9" s="87">
        <f t="shared" ref="G9:G99" si="1">C9+D9+F9</f>
        <v>1000</v>
      </c>
      <c r="H9" s="88">
        <v>10</v>
      </c>
      <c r="I9" s="88"/>
      <c r="J9" s="88"/>
      <c r="K9" s="88"/>
      <c r="L9" s="88"/>
      <c r="M9" s="88"/>
      <c r="N9" s="87">
        <f t="shared" si="0"/>
        <v>990</v>
      </c>
      <c r="O9" s="97">
        <v>43894</v>
      </c>
      <c r="P9" s="101" t="s">
        <v>17</v>
      </c>
      <c r="Q9" s="132" t="s">
        <v>113</v>
      </c>
    </row>
    <row r="10" spans="1:17" x14ac:dyDescent="0.2">
      <c r="A10" s="80" t="s">
        <v>79</v>
      </c>
      <c r="B10" s="81" t="s">
        <v>91</v>
      </c>
      <c r="C10" s="88">
        <v>1250</v>
      </c>
      <c r="D10" s="88"/>
      <c r="E10" s="88"/>
      <c r="F10" s="88"/>
      <c r="G10" s="87">
        <f t="shared" si="1"/>
        <v>1250</v>
      </c>
      <c r="H10" s="88">
        <v>12.5</v>
      </c>
      <c r="I10" s="88"/>
      <c r="J10" s="88"/>
      <c r="K10" s="88"/>
      <c r="L10" s="88"/>
      <c r="M10" s="88">
        <v>100</v>
      </c>
      <c r="N10" s="87">
        <f t="shared" si="0"/>
        <v>1137.5</v>
      </c>
      <c r="O10" s="97">
        <v>43894</v>
      </c>
      <c r="P10" s="101" t="s">
        <v>17</v>
      </c>
      <c r="Q10" s="132" t="s">
        <v>113</v>
      </c>
    </row>
    <row r="11" spans="1:17" ht="13.5" thickBot="1" x14ac:dyDescent="0.25">
      <c r="A11" s="80" t="s">
        <v>100</v>
      </c>
      <c r="B11" s="81" t="s">
        <v>101</v>
      </c>
      <c r="C11" s="88">
        <v>1250</v>
      </c>
      <c r="D11" s="88"/>
      <c r="E11" s="88"/>
      <c r="F11" s="88"/>
      <c r="G11" s="87">
        <f t="shared" si="1"/>
        <v>1250</v>
      </c>
      <c r="H11" s="88">
        <v>12.5</v>
      </c>
      <c r="I11" s="88"/>
      <c r="J11" s="88"/>
      <c r="K11" s="88"/>
      <c r="L11" s="88"/>
      <c r="M11" s="88"/>
      <c r="N11" s="95">
        <f t="shared" si="0"/>
        <v>1237.5</v>
      </c>
      <c r="O11" s="97">
        <v>43894</v>
      </c>
      <c r="P11" s="101" t="s">
        <v>17</v>
      </c>
      <c r="Q11" s="132" t="s">
        <v>113</v>
      </c>
    </row>
    <row r="12" spans="1:17" s="93" customFormat="1" ht="13.5" thickBot="1" x14ac:dyDescent="0.25">
      <c r="A12" s="430" t="s">
        <v>0</v>
      </c>
      <c r="B12" s="431"/>
      <c r="C12" s="102">
        <f t="shared" ref="C12:N12" si="2">SUM(C5:C11)</f>
        <v>11133.4</v>
      </c>
      <c r="D12" s="102">
        <f t="shared" si="2"/>
        <v>0</v>
      </c>
      <c r="E12" s="102">
        <f t="shared" si="2"/>
        <v>640</v>
      </c>
      <c r="F12" s="102">
        <f t="shared" si="2"/>
        <v>624</v>
      </c>
      <c r="G12" s="102">
        <f t="shared" si="2"/>
        <v>12397.4</v>
      </c>
      <c r="H12" s="102">
        <f t="shared" si="2"/>
        <v>108.86</v>
      </c>
      <c r="I12" s="102">
        <f t="shared" si="2"/>
        <v>588</v>
      </c>
      <c r="J12" s="102">
        <f t="shared" si="2"/>
        <v>-159</v>
      </c>
      <c r="K12" s="102">
        <f t="shared" si="2"/>
        <v>624</v>
      </c>
      <c r="L12" s="102">
        <f t="shared" si="2"/>
        <v>402.22</v>
      </c>
      <c r="M12" s="102">
        <f t="shared" si="2"/>
        <v>1325</v>
      </c>
      <c r="N12" s="102">
        <f t="shared" si="2"/>
        <v>8884.32</v>
      </c>
      <c r="O12" s="423" t="s">
        <v>0</v>
      </c>
      <c r="P12" s="424"/>
      <c r="Q12" s="133"/>
    </row>
    <row r="13" spans="1:17" x14ac:dyDescent="0.2">
      <c r="A13" s="82" t="s">
        <v>25</v>
      </c>
      <c r="B13" s="83" t="s">
        <v>63</v>
      </c>
      <c r="C13" s="87">
        <v>3966.4</v>
      </c>
      <c r="D13" s="87">
        <v>0</v>
      </c>
      <c r="E13" s="87">
        <v>490</v>
      </c>
      <c r="F13" s="87">
        <v>624</v>
      </c>
      <c r="G13" s="87">
        <f>C13+D13+F13+E13</f>
        <v>5080.3999999999996</v>
      </c>
      <c r="H13" s="87">
        <v>37.18</v>
      </c>
      <c r="I13" s="87">
        <v>588</v>
      </c>
      <c r="J13" s="87">
        <v>-159</v>
      </c>
      <c r="K13" s="87">
        <v>624</v>
      </c>
      <c r="L13" s="87">
        <v>200.01</v>
      </c>
      <c r="M13" s="87">
        <v>1125</v>
      </c>
      <c r="N13" s="87">
        <f>C13+D13+E13-H13-I13-J13-K13-L13-M13</f>
        <v>2041.2099999999991</v>
      </c>
      <c r="O13" s="100">
        <v>43901</v>
      </c>
      <c r="P13" s="103" t="s">
        <v>37</v>
      </c>
      <c r="Q13" s="132" t="s">
        <v>113</v>
      </c>
    </row>
    <row r="14" spans="1:17" x14ac:dyDescent="0.2">
      <c r="A14" s="80" t="s">
        <v>26</v>
      </c>
      <c r="B14" s="81" t="s">
        <v>70</v>
      </c>
      <c r="C14" s="88">
        <v>1023.5</v>
      </c>
      <c r="D14" s="88">
        <v>0</v>
      </c>
      <c r="E14" s="88">
        <v>50</v>
      </c>
      <c r="F14" s="88">
        <v>0</v>
      </c>
      <c r="G14" s="87">
        <f>C14+D14+F14+E14</f>
        <v>1073.5</v>
      </c>
      <c r="H14" s="88">
        <v>10.24</v>
      </c>
      <c r="I14" s="88">
        <v>0</v>
      </c>
      <c r="J14" s="88"/>
      <c r="K14" s="88"/>
      <c r="L14" s="88">
        <v>58.134999999999998</v>
      </c>
      <c r="M14" s="88"/>
      <c r="N14" s="87">
        <f t="shared" ref="N14:N15" si="3">C14+D14+E14-H14-I14-J14-K14-L14-M14</f>
        <v>1005.125</v>
      </c>
      <c r="O14" s="98">
        <v>43901</v>
      </c>
      <c r="P14" s="104" t="s">
        <v>37</v>
      </c>
      <c r="Q14" s="132" t="s">
        <v>113</v>
      </c>
    </row>
    <row r="15" spans="1:17" x14ac:dyDescent="0.2">
      <c r="A15" s="80" t="s">
        <v>3</v>
      </c>
      <c r="B15" s="81" t="s">
        <v>71</v>
      </c>
      <c r="C15" s="88">
        <v>1343.5</v>
      </c>
      <c r="D15" s="88"/>
      <c r="E15" s="88">
        <v>50</v>
      </c>
      <c r="F15" s="88"/>
      <c r="G15" s="87">
        <f>C15+D15+F15+E15</f>
        <v>1393.5</v>
      </c>
      <c r="H15" s="88">
        <v>13.44</v>
      </c>
      <c r="I15" s="88"/>
      <c r="J15" s="88"/>
      <c r="K15" s="88"/>
      <c r="L15" s="88">
        <v>76.295000000000002</v>
      </c>
      <c r="M15" s="88"/>
      <c r="N15" s="87">
        <f t="shared" si="3"/>
        <v>1303.7649999999999</v>
      </c>
      <c r="O15" s="99">
        <v>43901</v>
      </c>
      <c r="P15" s="104" t="s">
        <v>37</v>
      </c>
      <c r="Q15" s="132" t="s">
        <v>113</v>
      </c>
    </row>
    <row r="16" spans="1:17" x14ac:dyDescent="0.2">
      <c r="A16" s="80" t="s">
        <v>31</v>
      </c>
      <c r="B16" s="81" t="s">
        <v>72</v>
      </c>
      <c r="C16" s="88">
        <v>1300</v>
      </c>
      <c r="D16" s="88"/>
      <c r="E16" s="88">
        <v>50</v>
      </c>
      <c r="F16" s="88"/>
      <c r="G16" s="87">
        <f>C16+D16+F16+E16</f>
        <v>1350</v>
      </c>
      <c r="H16" s="88">
        <v>13</v>
      </c>
      <c r="I16" s="88"/>
      <c r="J16" s="88"/>
      <c r="K16" s="88"/>
      <c r="L16" s="88">
        <v>67.78</v>
      </c>
      <c r="M16" s="88"/>
      <c r="N16" s="87">
        <f>C16+D16+E16-H16-I16-J16-K16-L16-M16</f>
        <v>1269.22</v>
      </c>
      <c r="O16" s="98">
        <v>43901</v>
      </c>
      <c r="P16" s="183" t="s">
        <v>37</v>
      </c>
      <c r="Q16" s="132" t="s">
        <v>113</v>
      </c>
    </row>
    <row r="17" spans="1:17" x14ac:dyDescent="0.2">
      <c r="A17" s="80" t="s">
        <v>69</v>
      </c>
      <c r="B17" s="81" t="s">
        <v>73</v>
      </c>
      <c r="C17" s="88">
        <v>1000</v>
      </c>
      <c r="D17" s="88"/>
      <c r="E17" s="88"/>
      <c r="F17" s="88"/>
      <c r="G17" s="87">
        <f t="shared" ref="G17:G19" si="4">C17+D17+F17</f>
        <v>1000</v>
      </c>
      <c r="H17" s="88">
        <v>10</v>
      </c>
      <c r="I17" s="88"/>
      <c r="J17" s="88"/>
      <c r="K17" s="88"/>
      <c r="L17" s="88"/>
      <c r="M17" s="88"/>
      <c r="N17" s="87">
        <f t="shared" ref="N17:N19" si="5">C17+D17+E17-H17-I17-J17-K17-L17-M17</f>
        <v>990</v>
      </c>
      <c r="O17" s="99">
        <v>43901</v>
      </c>
      <c r="P17" s="104" t="s">
        <v>37</v>
      </c>
      <c r="Q17" s="132" t="s">
        <v>113</v>
      </c>
    </row>
    <row r="18" spans="1:17" x14ac:dyDescent="0.2">
      <c r="A18" s="80" t="s">
        <v>79</v>
      </c>
      <c r="B18" s="81" t="s">
        <v>91</v>
      </c>
      <c r="C18" s="88">
        <v>1250</v>
      </c>
      <c r="D18" s="88"/>
      <c r="E18" s="88"/>
      <c r="F18" s="88"/>
      <c r="G18" s="87">
        <f t="shared" si="4"/>
        <v>1250</v>
      </c>
      <c r="H18" s="88">
        <v>12.5</v>
      </c>
      <c r="I18" s="88"/>
      <c r="J18" s="88"/>
      <c r="K18" s="88"/>
      <c r="L18" s="88"/>
      <c r="M18" s="88">
        <v>100</v>
      </c>
      <c r="N18" s="87">
        <f t="shared" si="5"/>
        <v>1137.5</v>
      </c>
      <c r="O18" s="98">
        <v>43901</v>
      </c>
      <c r="P18" s="104" t="s">
        <v>37</v>
      </c>
      <c r="Q18" s="132" t="s">
        <v>113</v>
      </c>
    </row>
    <row r="19" spans="1:17" ht="13.5" thickBot="1" x14ac:dyDescent="0.25">
      <c r="A19" s="80" t="s">
        <v>100</v>
      </c>
      <c r="B19" s="81" t="s">
        <v>101</v>
      </c>
      <c r="C19" s="88">
        <v>1250</v>
      </c>
      <c r="D19" s="88"/>
      <c r="E19" s="88"/>
      <c r="F19" s="88"/>
      <c r="G19" s="87">
        <f t="shared" si="4"/>
        <v>1250</v>
      </c>
      <c r="H19" s="88">
        <v>12.5</v>
      </c>
      <c r="I19" s="88"/>
      <c r="J19" s="88"/>
      <c r="K19" s="88"/>
      <c r="L19" s="88"/>
      <c r="M19" s="88"/>
      <c r="N19" s="95">
        <f t="shared" si="5"/>
        <v>1237.5</v>
      </c>
      <c r="O19" s="97">
        <v>43901</v>
      </c>
      <c r="P19" s="105" t="s">
        <v>37</v>
      </c>
      <c r="Q19" s="132" t="s">
        <v>113</v>
      </c>
    </row>
    <row r="20" spans="1:17" s="93" customFormat="1" ht="13.5" thickBot="1" x14ac:dyDescent="0.25">
      <c r="A20" s="413" t="s">
        <v>0</v>
      </c>
      <c r="B20" s="414"/>
      <c r="C20" s="106">
        <f t="shared" ref="C20:M20" si="6">SUM(C13:C19)</f>
        <v>11133.4</v>
      </c>
      <c r="D20" s="107">
        <f t="shared" si="6"/>
        <v>0</v>
      </c>
      <c r="E20" s="107">
        <f t="shared" si="6"/>
        <v>640</v>
      </c>
      <c r="F20" s="107">
        <f t="shared" si="6"/>
        <v>624</v>
      </c>
      <c r="G20" s="107">
        <f t="shared" si="6"/>
        <v>12397.4</v>
      </c>
      <c r="H20" s="107">
        <f t="shared" si="6"/>
        <v>108.86</v>
      </c>
      <c r="I20" s="107">
        <f t="shared" si="6"/>
        <v>588</v>
      </c>
      <c r="J20" s="107">
        <f t="shared" si="6"/>
        <v>-159</v>
      </c>
      <c r="K20" s="107">
        <f t="shared" si="6"/>
        <v>624</v>
      </c>
      <c r="L20" s="107">
        <f t="shared" si="6"/>
        <v>402.22</v>
      </c>
      <c r="M20" s="107">
        <f t="shared" si="6"/>
        <v>1225</v>
      </c>
      <c r="N20" s="108">
        <f>C20+D20+E20-H20-I20-J20-K20-L20-M20</f>
        <v>8984.32</v>
      </c>
      <c r="O20" s="418" t="s">
        <v>0</v>
      </c>
      <c r="P20" s="419"/>
      <c r="Q20" s="132"/>
    </row>
    <row r="21" spans="1:17" x14ac:dyDescent="0.2">
      <c r="A21" s="82" t="s">
        <v>25</v>
      </c>
      <c r="B21" s="83" t="s">
        <v>63</v>
      </c>
      <c r="C21" s="87">
        <v>3966.4</v>
      </c>
      <c r="D21" s="87">
        <v>0</v>
      </c>
      <c r="E21" s="87">
        <v>490</v>
      </c>
      <c r="F21" s="87">
        <v>624</v>
      </c>
      <c r="G21" s="87">
        <f>C21+D21+F21+E21</f>
        <v>5080.3999999999996</v>
      </c>
      <c r="H21" s="87">
        <v>37.18</v>
      </c>
      <c r="I21" s="87">
        <v>588</v>
      </c>
      <c r="J21" s="87">
        <v>-159</v>
      </c>
      <c r="K21" s="87">
        <v>624</v>
      </c>
      <c r="L21" s="87">
        <v>200.01</v>
      </c>
      <c r="M21" s="87">
        <v>1125</v>
      </c>
      <c r="N21" s="87">
        <f>C21+D21+E21-H21-I21-J21-K21-L21-M21</f>
        <v>2041.2099999999991</v>
      </c>
      <c r="O21" s="97">
        <v>43908</v>
      </c>
      <c r="P21" s="109" t="s">
        <v>18</v>
      </c>
      <c r="Q21" s="132" t="s">
        <v>113</v>
      </c>
    </row>
    <row r="22" spans="1:17" x14ac:dyDescent="0.2">
      <c r="A22" s="80" t="s">
        <v>26</v>
      </c>
      <c r="B22" s="81" t="s">
        <v>70</v>
      </c>
      <c r="C22" s="88">
        <v>1023.5</v>
      </c>
      <c r="D22" s="88">
        <v>0</v>
      </c>
      <c r="E22" s="88">
        <v>50</v>
      </c>
      <c r="F22" s="88">
        <v>0</v>
      </c>
      <c r="G22" s="87">
        <f>C22+D22+F22+E22</f>
        <v>1073.5</v>
      </c>
      <c r="H22" s="88">
        <v>10.24</v>
      </c>
      <c r="I22" s="88">
        <v>0</v>
      </c>
      <c r="J22" s="88"/>
      <c r="K22" s="88"/>
      <c r="L22" s="88">
        <v>58.134999999999998</v>
      </c>
      <c r="M22" s="88"/>
      <c r="N22" s="87">
        <f t="shared" ref="N22:N23" si="7">C22+D22+E22-H22-I22-J22-K22-L22-M22</f>
        <v>1005.125</v>
      </c>
      <c r="O22" s="97">
        <v>43908</v>
      </c>
      <c r="P22" s="109" t="s">
        <v>18</v>
      </c>
      <c r="Q22" s="132" t="s">
        <v>113</v>
      </c>
    </row>
    <row r="23" spans="1:17" x14ac:dyDescent="0.2">
      <c r="A23" s="80" t="s">
        <v>3</v>
      </c>
      <c r="B23" s="81" t="s">
        <v>71</v>
      </c>
      <c r="C23" s="88">
        <v>1343.5</v>
      </c>
      <c r="D23" s="88"/>
      <c r="E23" s="88">
        <v>50</v>
      </c>
      <c r="F23" s="88"/>
      <c r="G23" s="87">
        <f>C23+D23+F23+E23</f>
        <v>1393.5</v>
      </c>
      <c r="H23" s="88">
        <v>13.44</v>
      </c>
      <c r="I23" s="88"/>
      <c r="J23" s="88"/>
      <c r="K23" s="88"/>
      <c r="L23" s="88">
        <v>76.295000000000002</v>
      </c>
      <c r="M23" s="88"/>
      <c r="N23" s="87">
        <f t="shared" si="7"/>
        <v>1303.7649999999999</v>
      </c>
      <c r="O23" s="97">
        <v>43908</v>
      </c>
      <c r="P23" s="109" t="s">
        <v>18</v>
      </c>
      <c r="Q23" s="132" t="s">
        <v>113</v>
      </c>
    </row>
    <row r="24" spans="1:17" x14ac:dyDescent="0.2">
      <c r="A24" s="80" t="s">
        <v>31</v>
      </c>
      <c r="B24" s="81" t="s">
        <v>72</v>
      </c>
      <c r="C24" s="88">
        <v>1300</v>
      </c>
      <c r="D24" s="88"/>
      <c r="E24" s="88">
        <v>50</v>
      </c>
      <c r="F24" s="88"/>
      <c r="G24" s="87">
        <f>C24+D24+F24+E24</f>
        <v>1350</v>
      </c>
      <c r="H24" s="88">
        <v>13</v>
      </c>
      <c r="I24" s="88"/>
      <c r="J24" s="88"/>
      <c r="K24" s="88"/>
      <c r="L24" s="88">
        <v>67.78</v>
      </c>
      <c r="M24" s="88"/>
      <c r="N24" s="87">
        <f>C24+D24+E24-H24-I24-J24-K24-L24-M24</f>
        <v>1269.22</v>
      </c>
      <c r="O24" s="97">
        <v>43908</v>
      </c>
      <c r="P24" s="184" t="s">
        <v>18</v>
      </c>
      <c r="Q24" s="132" t="s">
        <v>113</v>
      </c>
    </row>
    <row r="25" spans="1:17" x14ac:dyDescent="0.2">
      <c r="A25" s="80" t="s">
        <v>69</v>
      </c>
      <c r="B25" s="81" t="s">
        <v>73</v>
      </c>
      <c r="C25" s="88">
        <v>1000</v>
      </c>
      <c r="D25" s="88"/>
      <c r="E25" s="88"/>
      <c r="F25" s="88"/>
      <c r="G25" s="87">
        <f t="shared" ref="G25:G27" si="8">C25+D25+F25</f>
        <v>1000</v>
      </c>
      <c r="H25" s="88">
        <v>10</v>
      </c>
      <c r="I25" s="88"/>
      <c r="J25" s="88"/>
      <c r="K25" s="88"/>
      <c r="L25" s="88"/>
      <c r="M25" s="88"/>
      <c r="N25" s="87">
        <f t="shared" ref="N25:N27" si="9">C25+D25+E25-H25-I25-J25-K25-L25-M25</f>
        <v>990</v>
      </c>
      <c r="O25" s="97">
        <v>43908</v>
      </c>
      <c r="P25" s="109" t="s">
        <v>18</v>
      </c>
      <c r="Q25" s="132" t="s">
        <v>113</v>
      </c>
    </row>
    <row r="26" spans="1:17" x14ac:dyDescent="0.2">
      <c r="A26" s="80" t="s">
        <v>79</v>
      </c>
      <c r="B26" s="81" t="s">
        <v>91</v>
      </c>
      <c r="C26" s="88">
        <v>1250</v>
      </c>
      <c r="D26" s="88"/>
      <c r="E26" s="88"/>
      <c r="F26" s="88"/>
      <c r="G26" s="87">
        <f t="shared" si="8"/>
        <v>1250</v>
      </c>
      <c r="H26" s="88">
        <v>12.5</v>
      </c>
      <c r="I26" s="88"/>
      <c r="J26" s="88"/>
      <c r="K26" s="88"/>
      <c r="L26" s="88"/>
      <c r="M26" s="88">
        <v>100</v>
      </c>
      <c r="N26" s="87">
        <f t="shared" si="9"/>
        <v>1137.5</v>
      </c>
      <c r="O26" s="97">
        <v>43908</v>
      </c>
      <c r="P26" s="109" t="s">
        <v>18</v>
      </c>
      <c r="Q26" s="132" t="s">
        <v>113</v>
      </c>
    </row>
    <row r="27" spans="1:17" ht="13.5" thickBot="1" x14ac:dyDescent="0.25">
      <c r="A27" s="80" t="s">
        <v>100</v>
      </c>
      <c r="B27" s="81" t="s">
        <v>101</v>
      </c>
      <c r="C27" s="88">
        <v>1250</v>
      </c>
      <c r="D27" s="88"/>
      <c r="E27" s="88"/>
      <c r="F27" s="88"/>
      <c r="G27" s="87">
        <f t="shared" si="8"/>
        <v>1250</v>
      </c>
      <c r="H27" s="88">
        <v>12.5</v>
      </c>
      <c r="I27" s="88"/>
      <c r="J27" s="88"/>
      <c r="K27" s="88"/>
      <c r="L27" s="88"/>
      <c r="M27" s="88"/>
      <c r="N27" s="95">
        <f t="shared" si="9"/>
        <v>1237.5</v>
      </c>
      <c r="O27" s="97">
        <v>43908</v>
      </c>
      <c r="P27" s="109" t="s">
        <v>18</v>
      </c>
      <c r="Q27" s="132" t="s">
        <v>113</v>
      </c>
    </row>
    <row r="28" spans="1:17" s="93" customFormat="1" ht="13.5" thickBot="1" x14ac:dyDescent="0.25">
      <c r="A28" s="440" t="s">
        <v>0</v>
      </c>
      <c r="B28" s="441"/>
      <c r="C28" s="110">
        <f t="shared" ref="C28:N28" si="10">SUM(C21:C27)</f>
        <v>11133.4</v>
      </c>
      <c r="D28" s="111">
        <f t="shared" si="10"/>
        <v>0</v>
      </c>
      <c r="E28" s="111">
        <f t="shared" si="10"/>
        <v>640</v>
      </c>
      <c r="F28" s="111">
        <f t="shared" si="10"/>
        <v>624</v>
      </c>
      <c r="G28" s="111">
        <f t="shared" si="10"/>
        <v>12397.4</v>
      </c>
      <c r="H28" s="111">
        <f t="shared" si="10"/>
        <v>108.86</v>
      </c>
      <c r="I28" s="111">
        <f t="shared" si="10"/>
        <v>588</v>
      </c>
      <c r="J28" s="111">
        <f t="shared" si="10"/>
        <v>-159</v>
      </c>
      <c r="K28" s="111">
        <f t="shared" si="10"/>
        <v>624</v>
      </c>
      <c r="L28" s="111">
        <f t="shared" si="10"/>
        <v>402.22</v>
      </c>
      <c r="M28" s="111">
        <f t="shared" si="10"/>
        <v>1225</v>
      </c>
      <c r="N28" s="111">
        <f t="shared" si="10"/>
        <v>8984.32</v>
      </c>
      <c r="O28" s="442" t="s">
        <v>0</v>
      </c>
      <c r="P28" s="443"/>
      <c r="Q28" s="132"/>
    </row>
    <row r="29" spans="1:17" x14ac:dyDescent="0.2">
      <c r="A29" s="82" t="s">
        <v>25</v>
      </c>
      <c r="B29" s="83" t="s">
        <v>63</v>
      </c>
      <c r="C29" s="88">
        <v>3966.4</v>
      </c>
      <c r="D29" s="88">
        <v>0</v>
      </c>
      <c r="E29" s="88">
        <v>490</v>
      </c>
      <c r="F29" s="88">
        <v>624</v>
      </c>
      <c r="G29" s="87">
        <f t="shared" ref="G29" si="11">C29+D29+F29</f>
        <v>4590.3999999999996</v>
      </c>
      <c r="H29" s="88">
        <v>37.18</v>
      </c>
      <c r="I29" s="88">
        <v>588</v>
      </c>
      <c r="J29" s="88">
        <v>-159.5</v>
      </c>
      <c r="K29" s="88">
        <v>624</v>
      </c>
      <c r="L29" s="88">
        <v>200.01</v>
      </c>
      <c r="M29" s="88">
        <v>1125</v>
      </c>
      <c r="N29" s="87">
        <f t="shared" si="0"/>
        <v>2041.7099999999991</v>
      </c>
      <c r="O29" s="100">
        <v>43915</v>
      </c>
      <c r="P29" s="112" t="s">
        <v>38</v>
      </c>
      <c r="Q29" s="132" t="s">
        <v>113</v>
      </c>
    </row>
    <row r="30" spans="1:17" x14ac:dyDescent="0.2">
      <c r="A30" s="80" t="s">
        <v>26</v>
      </c>
      <c r="B30" s="81" t="s">
        <v>70</v>
      </c>
      <c r="C30" s="88">
        <v>1023.5</v>
      </c>
      <c r="D30" s="88"/>
      <c r="E30" s="88">
        <v>50</v>
      </c>
      <c r="F30" s="88"/>
      <c r="G30" s="87">
        <f>C30+D30+F30</f>
        <v>1023.5</v>
      </c>
      <c r="H30" s="88">
        <v>10.234999999999999</v>
      </c>
      <c r="I30" s="88"/>
      <c r="J30" s="88"/>
      <c r="K30" s="88"/>
      <c r="L30" s="88">
        <v>58.14</v>
      </c>
      <c r="M30" s="88"/>
      <c r="N30" s="87">
        <f>C30+D30+E30-H30-I30-J30-K30-L30-M30</f>
        <v>1005.1250000000001</v>
      </c>
      <c r="O30" s="98">
        <v>43915</v>
      </c>
      <c r="P30" s="113" t="s">
        <v>38</v>
      </c>
      <c r="Q30" s="132" t="s">
        <v>113</v>
      </c>
    </row>
    <row r="31" spans="1:17" x14ac:dyDescent="0.2">
      <c r="A31" s="80" t="s">
        <v>3</v>
      </c>
      <c r="B31" s="81" t="s">
        <v>71</v>
      </c>
      <c r="C31" s="88">
        <v>1343.5</v>
      </c>
      <c r="D31" s="88"/>
      <c r="E31" s="88">
        <v>50</v>
      </c>
      <c r="F31" s="88"/>
      <c r="G31" s="87">
        <f>C31+D31+F31+E31</f>
        <v>1393.5</v>
      </c>
      <c r="H31" s="88">
        <v>13.44</v>
      </c>
      <c r="I31" s="88"/>
      <c r="J31" s="88"/>
      <c r="K31" s="88"/>
      <c r="L31" s="88">
        <v>76.295000000000002</v>
      </c>
      <c r="M31" s="88"/>
      <c r="N31" s="87">
        <f>C31+D31+E31-H31-I31-J31-K31-L31-M31</f>
        <v>1303.7649999999999</v>
      </c>
      <c r="O31" s="98">
        <v>43915</v>
      </c>
      <c r="P31" s="185" t="s">
        <v>38</v>
      </c>
      <c r="Q31" s="132" t="s">
        <v>113</v>
      </c>
    </row>
    <row r="32" spans="1:17" x14ac:dyDescent="0.2">
      <c r="A32" s="80" t="s">
        <v>31</v>
      </c>
      <c r="B32" s="81" t="s">
        <v>72</v>
      </c>
      <c r="C32" s="88">
        <v>1300</v>
      </c>
      <c r="D32" s="88"/>
      <c r="E32" s="88">
        <v>50</v>
      </c>
      <c r="F32" s="88"/>
      <c r="G32" s="87">
        <f>C32+D32+F32+E32</f>
        <v>1350</v>
      </c>
      <c r="H32" s="88">
        <v>13</v>
      </c>
      <c r="I32" s="88"/>
      <c r="J32" s="88"/>
      <c r="K32" s="88"/>
      <c r="L32" s="88">
        <v>67.78</v>
      </c>
      <c r="M32" s="88"/>
      <c r="N32" s="87">
        <f t="shared" si="0"/>
        <v>1269.22</v>
      </c>
      <c r="O32" s="98">
        <v>43915</v>
      </c>
      <c r="P32" s="113" t="s">
        <v>38</v>
      </c>
      <c r="Q32" s="132" t="s">
        <v>113</v>
      </c>
    </row>
    <row r="33" spans="1:17" x14ac:dyDescent="0.2">
      <c r="A33" s="80" t="s">
        <v>69</v>
      </c>
      <c r="B33" s="81" t="s">
        <v>73</v>
      </c>
      <c r="C33" s="88">
        <v>1000</v>
      </c>
      <c r="D33" s="88"/>
      <c r="E33" s="88"/>
      <c r="F33" s="88"/>
      <c r="G33" s="87">
        <f t="shared" ref="G33:G35" si="12">C33+D33+F33</f>
        <v>1000</v>
      </c>
      <c r="H33" s="88">
        <v>10</v>
      </c>
      <c r="I33" s="88"/>
      <c r="J33" s="88"/>
      <c r="K33" s="88"/>
      <c r="L33" s="88"/>
      <c r="M33" s="88"/>
      <c r="N33" s="87">
        <f>C33+D33+E33-H33-I33-J33-K33-L33-M33</f>
        <v>990</v>
      </c>
      <c r="O33" s="98">
        <v>43915</v>
      </c>
      <c r="P33" s="113" t="s">
        <v>38</v>
      </c>
      <c r="Q33" s="132" t="s">
        <v>113</v>
      </c>
    </row>
    <row r="34" spans="1:17" x14ac:dyDescent="0.2">
      <c r="A34" s="80" t="s">
        <v>79</v>
      </c>
      <c r="B34" s="81" t="s">
        <v>91</v>
      </c>
      <c r="C34" s="88">
        <v>1250</v>
      </c>
      <c r="D34" s="88"/>
      <c r="E34" s="88"/>
      <c r="F34" s="88"/>
      <c r="G34" s="87">
        <f t="shared" si="12"/>
        <v>1250</v>
      </c>
      <c r="H34" s="88">
        <v>12.5</v>
      </c>
      <c r="I34" s="88"/>
      <c r="J34" s="88"/>
      <c r="K34" s="88"/>
      <c r="L34" s="88"/>
      <c r="M34" s="88">
        <v>100</v>
      </c>
      <c r="N34" s="87">
        <f t="shared" si="0"/>
        <v>1137.5</v>
      </c>
      <c r="O34" s="98">
        <v>43915</v>
      </c>
      <c r="P34" s="113" t="s">
        <v>38</v>
      </c>
      <c r="Q34" s="132" t="s">
        <v>113</v>
      </c>
    </row>
    <row r="35" spans="1:17" ht="13.5" thickBot="1" x14ac:dyDescent="0.25">
      <c r="A35" s="80" t="s">
        <v>100</v>
      </c>
      <c r="B35" s="81" t="s">
        <v>101</v>
      </c>
      <c r="C35" s="88">
        <v>1250</v>
      </c>
      <c r="D35" s="88"/>
      <c r="E35" s="88"/>
      <c r="F35" s="88"/>
      <c r="G35" s="87">
        <f t="shared" si="12"/>
        <v>1250</v>
      </c>
      <c r="H35" s="88">
        <v>12.5</v>
      </c>
      <c r="I35" s="88"/>
      <c r="J35" s="88"/>
      <c r="K35" s="88"/>
      <c r="L35" s="88"/>
      <c r="M35" s="88"/>
      <c r="N35" s="87">
        <f t="shared" si="0"/>
        <v>1237.5</v>
      </c>
      <c r="O35" s="98">
        <v>43915</v>
      </c>
      <c r="P35" s="113" t="s">
        <v>38</v>
      </c>
      <c r="Q35" s="132" t="s">
        <v>113</v>
      </c>
    </row>
    <row r="36" spans="1:17" s="93" customFormat="1" ht="13.5" thickBot="1" x14ac:dyDescent="0.25">
      <c r="A36" s="403" t="s">
        <v>0</v>
      </c>
      <c r="B36" s="404"/>
      <c r="C36" s="114">
        <f t="shared" ref="C36:N36" si="13">SUM(C29:C35)</f>
        <v>11133.4</v>
      </c>
      <c r="D36" s="115">
        <f t="shared" si="13"/>
        <v>0</v>
      </c>
      <c r="E36" s="115">
        <f t="shared" si="13"/>
        <v>640</v>
      </c>
      <c r="F36" s="115">
        <f t="shared" si="13"/>
        <v>624</v>
      </c>
      <c r="G36" s="115">
        <f t="shared" si="13"/>
        <v>11857.4</v>
      </c>
      <c r="H36" s="115">
        <f t="shared" si="13"/>
        <v>108.85499999999999</v>
      </c>
      <c r="I36" s="115">
        <f t="shared" si="13"/>
        <v>588</v>
      </c>
      <c r="J36" s="115">
        <f t="shared" si="13"/>
        <v>-159.5</v>
      </c>
      <c r="K36" s="115">
        <f t="shared" si="13"/>
        <v>624</v>
      </c>
      <c r="L36" s="115">
        <f t="shared" si="13"/>
        <v>402.22500000000002</v>
      </c>
      <c r="M36" s="115">
        <f t="shared" si="13"/>
        <v>1225</v>
      </c>
      <c r="N36" s="187">
        <f t="shared" si="13"/>
        <v>8984.82</v>
      </c>
      <c r="O36" s="444" t="s">
        <v>0</v>
      </c>
      <c r="P36" s="406"/>
      <c r="Q36" s="133"/>
    </row>
    <row r="37" spans="1:17" s="140" customFormat="1" ht="13.5" thickBot="1" x14ac:dyDescent="0.25">
      <c r="A37" s="401" t="s">
        <v>88</v>
      </c>
      <c r="B37" s="402"/>
      <c r="C37" s="155">
        <f t="shared" ref="C37:N37" si="14">C36+C28+C20+C12</f>
        <v>44533.599999999999</v>
      </c>
      <c r="D37" s="156">
        <f t="shared" si="14"/>
        <v>0</v>
      </c>
      <c r="E37" s="156">
        <f t="shared" si="14"/>
        <v>2560</v>
      </c>
      <c r="F37" s="156">
        <f t="shared" si="14"/>
        <v>2496</v>
      </c>
      <c r="G37" s="156">
        <f t="shared" si="14"/>
        <v>49049.599999999999</v>
      </c>
      <c r="H37" s="156">
        <f t="shared" si="14"/>
        <v>435.435</v>
      </c>
      <c r="I37" s="156">
        <f t="shared" si="14"/>
        <v>2352</v>
      </c>
      <c r="J37" s="156">
        <f t="shared" si="14"/>
        <v>-636.5</v>
      </c>
      <c r="K37" s="156">
        <f t="shared" si="14"/>
        <v>2496</v>
      </c>
      <c r="L37" s="156">
        <f t="shared" si="14"/>
        <v>1608.885</v>
      </c>
      <c r="M37" s="156">
        <f t="shared" si="14"/>
        <v>5000</v>
      </c>
      <c r="N37" s="157">
        <f t="shared" si="14"/>
        <v>35837.78</v>
      </c>
      <c r="O37" s="186"/>
      <c r="P37" s="186"/>
      <c r="Q37" s="139"/>
    </row>
    <row r="38" spans="1:17" s="162" customFormat="1" x14ac:dyDescent="0.2">
      <c r="A38" s="159" t="s">
        <v>8</v>
      </c>
      <c r="B38" s="165" t="s">
        <v>96</v>
      </c>
      <c r="C38" s="160">
        <v>13502</v>
      </c>
      <c r="D38" s="160"/>
      <c r="E38" s="160"/>
      <c r="F38" s="160">
        <v>5624</v>
      </c>
      <c r="G38" s="87">
        <f t="shared" ref="G38:G40" si="15">C38+D38+F38</f>
        <v>19126</v>
      </c>
      <c r="H38" s="160"/>
      <c r="I38" s="160">
        <v>2355</v>
      </c>
      <c r="J38" s="160">
        <v>-853</v>
      </c>
      <c r="K38" s="160"/>
      <c r="L38" s="160"/>
      <c r="M38" s="160"/>
      <c r="N38" s="87">
        <f t="shared" si="0"/>
        <v>12000</v>
      </c>
      <c r="O38" s="169"/>
      <c r="P38" s="170"/>
      <c r="Q38" s="161"/>
    </row>
    <row r="39" spans="1:17" s="162" customFormat="1" x14ac:dyDescent="0.2">
      <c r="A39" s="159" t="s">
        <v>27</v>
      </c>
      <c r="B39" s="165" t="s">
        <v>97</v>
      </c>
      <c r="C39" s="163">
        <v>13717</v>
      </c>
      <c r="D39" s="163"/>
      <c r="E39" s="163"/>
      <c r="F39" s="163">
        <v>5409</v>
      </c>
      <c r="G39" s="87">
        <f t="shared" si="15"/>
        <v>19126</v>
      </c>
      <c r="H39" s="163"/>
      <c r="I39" s="163">
        <v>2355</v>
      </c>
      <c r="J39" s="163">
        <v>-638</v>
      </c>
      <c r="K39" s="163"/>
      <c r="L39" s="163"/>
      <c r="M39" s="163"/>
      <c r="N39" s="87">
        <f t="shared" si="0"/>
        <v>12000</v>
      </c>
      <c r="O39" s="169"/>
      <c r="P39" s="170"/>
      <c r="Q39" s="161"/>
    </row>
    <row r="40" spans="1:17" s="162" customFormat="1" ht="13.5" thickBot="1" x14ac:dyDescent="0.25">
      <c r="A40" s="159" t="s">
        <v>6</v>
      </c>
      <c r="B40" s="165" t="s">
        <v>98</v>
      </c>
      <c r="C40" s="164">
        <v>12643.72</v>
      </c>
      <c r="D40" s="164"/>
      <c r="E40" s="164"/>
      <c r="F40" s="164">
        <v>2812</v>
      </c>
      <c r="G40" s="87">
        <f t="shared" si="15"/>
        <v>15455.72</v>
      </c>
      <c r="H40" s="164">
        <v>148.72</v>
      </c>
      <c r="I40" s="164">
        <v>1536</v>
      </c>
      <c r="J40" s="164">
        <v>-853</v>
      </c>
      <c r="K40" s="164">
        <v>2812</v>
      </c>
      <c r="L40" s="164"/>
      <c r="M40" s="164"/>
      <c r="N40" s="87">
        <f t="shared" si="0"/>
        <v>9000</v>
      </c>
      <c r="O40" s="169"/>
      <c r="P40" s="170"/>
      <c r="Q40" s="161"/>
    </row>
    <row r="41" spans="1:17" s="131" customFormat="1" ht="13.5" thickBot="1" x14ac:dyDescent="0.25">
      <c r="A41" s="415" t="s">
        <v>89</v>
      </c>
      <c r="B41" s="416"/>
      <c r="C41" s="158">
        <f t="shared" ref="C41:N41" si="16">SUM(C38:C40)</f>
        <v>39862.720000000001</v>
      </c>
      <c r="D41" s="158">
        <f t="shared" si="16"/>
        <v>0</v>
      </c>
      <c r="E41" s="158">
        <f t="shared" si="16"/>
        <v>0</v>
      </c>
      <c r="F41" s="158">
        <f t="shared" si="16"/>
        <v>13845</v>
      </c>
      <c r="G41" s="158">
        <f t="shared" si="16"/>
        <v>53707.72</v>
      </c>
      <c r="H41" s="158">
        <f t="shared" si="16"/>
        <v>148.72</v>
      </c>
      <c r="I41" s="158">
        <f t="shared" si="16"/>
        <v>6246</v>
      </c>
      <c r="J41" s="158">
        <f t="shared" si="16"/>
        <v>-2344</v>
      </c>
      <c r="K41" s="158">
        <f t="shared" si="16"/>
        <v>2812</v>
      </c>
      <c r="L41" s="158">
        <f t="shared" si="16"/>
        <v>0</v>
      </c>
      <c r="M41" s="158">
        <f t="shared" si="16"/>
        <v>0</v>
      </c>
      <c r="N41" s="158">
        <f t="shared" si="16"/>
        <v>33000</v>
      </c>
      <c r="O41" s="130"/>
      <c r="P41" s="130"/>
      <c r="Q41" s="134"/>
    </row>
    <row r="42" spans="1:17" s="131" customFormat="1" ht="13.5" thickBot="1" x14ac:dyDescent="0.25">
      <c r="A42" s="417" t="s">
        <v>90</v>
      </c>
      <c r="B42" s="417"/>
      <c r="C42" s="141"/>
      <c r="D42" s="141"/>
      <c r="E42" s="141"/>
      <c r="F42" s="141"/>
      <c r="G42" s="141"/>
      <c r="H42" s="147">
        <f>(H37+H41)*2</f>
        <v>1168.31</v>
      </c>
      <c r="I42" s="145">
        <f>I37+I41</f>
        <v>8598</v>
      </c>
      <c r="J42" s="148">
        <f>J37+J41</f>
        <v>-2980.5</v>
      </c>
      <c r="K42" s="141"/>
      <c r="L42" s="141"/>
      <c r="M42" s="141"/>
      <c r="N42" s="141">
        <f>9000+11000+12000</f>
        <v>32000</v>
      </c>
      <c r="O42" s="130"/>
      <c r="P42" s="130"/>
      <c r="Q42" s="143"/>
    </row>
    <row r="43" spans="1:17" s="131" customFormat="1" ht="13.5" thickBot="1" x14ac:dyDescent="0.25">
      <c r="A43" s="146"/>
      <c r="B43" s="146"/>
      <c r="C43" s="141"/>
      <c r="D43" s="141"/>
      <c r="E43" s="141"/>
      <c r="F43" s="141"/>
      <c r="G43" s="141"/>
      <c r="H43" s="141"/>
      <c r="I43" s="425">
        <f>I42+J42</f>
        <v>5617.5</v>
      </c>
      <c r="J43" s="426"/>
      <c r="K43" s="141"/>
      <c r="L43" s="141"/>
      <c r="M43" s="141"/>
      <c r="N43" s="141"/>
      <c r="O43" s="130"/>
      <c r="P43" s="130"/>
      <c r="Q43" s="143"/>
    </row>
    <row r="44" spans="1:17" s="131" customFormat="1" ht="13.5" thickBot="1" x14ac:dyDescent="0.25">
      <c r="A44" s="146"/>
      <c r="B44" s="146"/>
      <c r="C44" s="141"/>
      <c r="D44" s="141"/>
      <c r="E44" s="141"/>
      <c r="F44" s="141"/>
      <c r="G44" s="141"/>
      <c r="H44" s="427">
        <f>SUM(H42:J42)</f>
        <v>6785.8099999999995</v>
      </c>
      <c r="I44" s="428"/>
      <c r="J44" s="429"/>
      <c r="K44" s="141"/>
      <c r="L44" s="141"/>
      <c r="M44" s="141"/>
      <c r="N44" s="141"/>
      <c r="O44" s="130"/>
      <c r="P44" s="130"/>
      <c r="Q44" s="143"/>
    </row>
    <row r="45" spans="1:17" s="142" customFormat="1" ht="13.5" thickBot="1" x14ac:dyDescent="0.25">
      <c r="A45" s="129"/>
      <c r="B45" s="129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30"/>
      <c r="P45" s="130"/>
      <c r="Q45" s="129"/>
    </row>
    <row r="46" spans="1:17" s="78" customFormat="1" ht="13.5" thickBot="1" x14ac:dyDescent="0.25">
      <c r="A46" s="398" t="s">
        <v>118</v>
      </c>
      <c r="B46" s="436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7"/>
    </row>
    <row r="47" spans="1:17" s="78" customFormat="1" ht="13.5" thickBot="1" x14ac:dyDescent="0.25">
      <c r="A47" s="84" t="s">
        <v>64</v>
      </c>
      <c r="B47" s="85" t="s">
        <v>1</v>
      </c>
      <c r="C47" s="86" t="s">
        <v>56</v>
      </c>
      <c r="D47" s="86" t="s">
        <v>57</v>
      </c>
      <c r="E47" s="86" t="s">
        <v>67</v>
      </c>
      <c r="F47" s="86" t="s">
        <v>62</v>
      </c>
      <c r="G47" s="86" t="s">
        <v>74</v>
      </c>
      <c r="H47" s="86" t="s">
        <v>59</v>
      </c>
      <c r="I47" s="86" t="s">
        <v>60</v>
      </c>
      <c r="J47" s="86" t="s">
        <v>66</v>
      </c>
      <c r="K47" s="86" t="s">
        <v>62</v>
      </c>
      <c r="L47" s="86" t="s">
        <v>58</v>
      </c>
      <c r="M47" s="86" t="s">
        <v>61</v>
      </c>
      <c r="N47" s="86" t="s">
        <v>2</v>
      </c>
      <c r="O47" s="91" t="s">
        <v>65</v>
      </c>
      <c r="P47" s="92" t="s">
        <v>68</v>
      </c>
      <c r="Q47" s="135" t="s">
        <v>87</v>
      </c>
    </row>
    <row r="48" spans="1:17" x14ac:dyDescent="0.2">
      <c r="A48" s="82" t="s">
        <v>25</v>
      </c>
      <c r="B48" s="83" t="s">
        <v>63</v>
      </c>
      <c r="C48" s="88">
        <v>3966.4</v>
      </c>
      <c r="D48" s="88">
        <v>0</v>
      </c>
      <c r="E48" s="88">
        <v>490</v>
      </c>
      <c r="F48" s="88">
        <v>624</v>
      </c>
      <c r="G48" s="87">
        <f t="shared" ref="G48" si="17">C48+D48+F48</f>
        <v>4590.3999999999996</v>
      </c>
      <c r="H48" s="88">
        <v>37.18</v>
      </c>
      <c r="I48" s="88">
        <v>588</v>
      </c>
      <c r="J48" s="88">
        <v>-159.5</v>
      </c>
      <c r="K48" s="88">
        <v>624</v>
      </c>
      <c r="L48" s="88">
        <v>200.01</v>
      </c>
      <c r="M48" s="88">
        <v>1125</v>
      </c>
      <c r="N48" s="94">
        <f t="shared" si="0"/>
        <v>2041.7099999999991</v>
      </c>
      <c r="O48" s="100">
        <v>43922</v>
      </c>
      <c r="P48" s="136" t="s">
        <v>40</v>
      </c>
      <c r="Q48" s="132" t="s">
        <v>118</v>
      </c>
    </row>
    <row r="49" spans="1:17" x14ac:dyDescent="0.2">
      <c r="A49" s="80" t="s">
        <v>26</v>
      </c>
      <c r="B49" s="81" t="s">
        <v>70</v>
      </c>
      <c r="C49" s="88">
        <v>1023.5</v>
      </c>
      <c r="D49" s="88"/>
      <c r="E49" s="88">
        <v>50</v>
      </c>
      <c r="F49" s="88"/>
      <c r="G49" s="87">
        <f>C49+D49+F49</f>
        <v>1023.5</v>
      </c>
      <c r="H49" s="88">
        <v>10.234999999999999</v>
      </c>
      <c r="I49" s="88"/>
      <c r="J49" s="88"/>
      <c r="K49" s="88"/>
      <c r="L49" s="88">
        <v>58.14</v>
      </c>
      <c r="M49" s="88"/>
      <c r="N49" s="87">
        <f t="shared" si="0"/>
        <v>1005.1250000000001</v>
      </c>
      <c r="O49" s="98">
        <v>43922</v>
      </c>
      <c r="P49" s="137" t="s">
        <v>40</v>
      </c>
      <c r="Q49" s="132" t="s">
        <v>118</v>
      </c>
    </row>
    <row r="50" spans="1:17" x14ac:dyDescent="0.2">
      <c r="A50" s="80" t="s">
        <v>3</v>
      </c>
      <c r="B50" s="81" t="s">
        <v>71</v>
      </c>
      <c r="C50" s="88">
        <v>1343.5</v>
      </c>
      <c r="D50" s="88"/>
      <c r="E50" s="88">
        <v>50</v>
      </c>
      <c r="F50" s="88"/>
      <c r="G50" s="87">
        <f>C50+D50+F50+E50</f>
        <v>1393.5</v>
      </c>
      <c r="H50" s="88">
        <v>13.44</v>
      </c>
      <c r="I50" s="88"/>
      <c r="J50" s="88"/>
      <c r="K50" s="88"/>
      <c r="L50" s="88">
        <v>76.295000000000002</v>
      </c>
      <c r="M50" s="88"/>
      <c r="N50" s="87">
        <f t="shared" si="0"/>
        <v>1303.7649999999999</v>
      </c>
      <c r="O50" s="99">
        <v>43922</v>
      </c>
      <c r="P50" s="137" t="s">
        <v>40</v>
      </c>
      <c r="Q50" s="132" t="s">
        <v>118</v>
      </c>
    </row>
    <row r="51" spans="1:17" x14ac:dyDescent="0.2">
      <c r="A51" s="80" t="s">
        <v>31</v>
      </c>
      <c r="B51" s="81" t="s">
        <v>72</v>
      </c>
      <c r="C51" s="88">
        <v>1300</v>
      </c>
      <c r="D51" s="88"/>
      <c r="E51" s="88">
        <v>50</v>
      </c>
      <c r="F51" s="88"/>
      <c r="G51" s="87">
        <f>C51+D51+F51+E51</f>
        <v>1350</v>
      </c>
      <c r="H51" s="88">
        <v>13</v>
      </c>
      <c r="I51" s="88"/>
      <c r="J51" s="88"/>
      <c r="K51" s="88"/>
      <c r="L51" s="88">
        <v>67.78</v>
      </c>
      <c r="M51" s="88"/>
      <c r="N51" s="87">
        <f>C51+D51+E51-H51-I51-J51-K51-L51-M51</f>
        <v>1269.22</v>
      </c>
      <c r="O51" s="98">
        <v>43922</v>
      </c>
      <c r="P51" s="137" t="s">
        <v>40</v>
      </c>
      <c r="Q51" s="132" t="s">
        <v>118</v>
      </c>
    </row>
    <row r="52" spans="1:17" x14ac:dyDescent="0.2">
      <c r="A52" s="80" t="s">
        <v>69</v>
      </c>
      <c r="B52" s="81" t="s">
        <v>73</v>
      </c>
      <c r="C52" s="88">
        <v>1000</v>
      </c>
      <c r="D52" s="88"/>
      <c r="E52" s="88"/>
      <c r="F52" s="88"/>
      <c r="G52" s="87">
        <f t="shared" ref="G52:G54" si="18">C52+D52+F52</f>
        <v>1000</v>
      </c>
      <c r="H52" s="88">
        <v>10</v>
      </c>
      <c r="I52" s="88"/>
      <c r="J52" s="88"/>
      <c r="K52" s="88"/>
      <c r="L52" s="88"/>
      <c r="M52" s="88"/>
      <c r="N52" s="87">
        <f t="shared" ref="N52" si="19">C52+D52+E52-H52-I52-J52-K52-L52-M52</f>
        <v>990</v>
      </c>
      <c r="O52" s="98">
        <v>43922</v>
      </c>
      <c r="P52" s="137" t="s">
        <v>40</v>
      </c>
      <c r="Q52" s="132" t="s">
        <v>118</v>
      </c>
    </row>
    <row r="53" spans="1:17" x14ac:dyDescent="0.2">
      <c r="A53" s="80" t="s">
        <v>79</v>
      </c>
      <c r="B53" s="81" t="s">
        <v>91</v>
      </c>
      <c r="C53" s="88">
        <v>1250</v>
      </c>
      <c r="D53" s="88"/>
      <c r="E53" s="88"/>
      <c r="F53" s="88"/>
      <c r="G53" s="87">
        <f t="shared" si="18"/>
        <v>1250</v>
      </c>
      <c r="H53" s="88">
        <v>12.5</v>
      </c>
      <c r="I53" s="88"/>
      <c r="J53" s="88"/>
      <c r="K53" s="88"/>
      <c r="L53" s="88"/>
      <c r="M53" s="88">
        <v>100</v>
      </c>
      <c r="N53" s="88">
        <f t="shared" si="0"/>
        <v>1137.5</v>
      </c>
      <c r="O53" s="99">
        <v>43922</v>
      </c>
      <c r="P53" s="194" t="s">
        <v>40</v>
      </c>
      <c r="Q53" s="132" t="s">
        <v>118</v>
      </c>
    </row>
    <row r="54" spans="1:17" ht="13.5" thickBot="1" x14ac:dyDescent="0.25">
      <c r="A54" s="80" t="s">
        <v>100</v>
      </c>
      <c r="B54" s="81" t="s">
        <v>101</v>
      </c>
      <c r="C54" s="88">
        <v>1250</v>
      </c>
      <c r="D54" s="88"/>
      <c r="E54" s="88"/>
      <c r="F54" s="88"/>
      <c r="G54" s="87">
        <f t="shared" si="18"/>
        <v>1250</v>
      </c>
      <c r="H54" s="88">
        <v>12.5</v>
      </c>
      <c r="I54" s="88"/>
      <c r="J54" s="88"/>
      <c r="K54" s="88"/>
      <c r="L54" s="88"/>
      <c r="M54" s="88"/>
      <c r="N54" s="87">
        <f t="shared" ref="N54" si="20">C54+D54+E54-H54-I54-J54-K54-L54-M54</f>
        <v>1237.5</v>
      </c>
      <c r="O54" s="99">
        <v>43922</v>
      </c>
      <c r="P54" s="194" t="s">
        <v>40</v>
      </c>
      <c r="Q54" s="132" t="s">
        <v>118</v>
      </c>
    </row>
    <row r="55" spans="1:17" s="93" customFormat="1" ht="13.5" thickBot="1" x14ac:dyDescent="0.25">
      <c r="A55" s="403" t="s">
        <v>0</v>
      </c>
      <c r="B55" s="404"/>
      <c r="C55" s="114">
        <f t="shared" ref="C55:N55" si="21">SUM(C48:C54)</f>
        <v>11133.4</v>
      </c>
      <c r="D55" s="115">
        <f t="shared" si="21"/>
        <v>0</v>
      </c>
      <c r="E55" s="115">
        <f t="shared" si="21"/>
        <v>640</v>
      </c>
      <c r="F55" s="115">
        <f t="shared" si="21"/>
        <v>624</v>
      </c>
      <c r="G55" s="115">
        <f t="shared" si="21"/>
        <v>11857.4</v>
      </c>
      <c r="H55" s="115">
        <f t="shared" si="21"/>
        <v>108.85499999999999</v>
      </c>
      <c r="I55" s="115">
        <f t="shared" si="21"/>
        <v>588</v>
      </c>
      <c r="J55" s="115">
        <f t="shared" si="21"/>
        <v>-159.5</v>
      </c>
      <c r="K55" s="115">
        <f t="shared" si="21"/>
        <v>624</v>
      </c>
      <c r="L55" s="115">
        <f t="shared" si="21"/>
        <v>402.22500000000002</v>
      </c>
      <c r="M55" s="115">
        <f t="shared" si="21"/>
        <v>1225</v>
      </c>
      <c r="N55" s="187">
        <f t="shared" si="21"/>
        <v>8984.82</v>
      </c>
      <c r="O55" s="444" t="s">
        <v>0</v>
      </c>
      <c r="P55" s="406"/>
      <c r="Q55" s="133"/>
    </row>
    <row r="56" spans="1:17" x14ac:dyDescent="0.2">
      <c r="A56" s="82" t="s">
        <v>25</v>
      </c>
      <c r="B56" s="83" t="s">
        <v>63</v>
      </c>
      <c r="C56" s="88">
        <v>3966.4</v>
      </c>
      <c r="D56" s="88">
        <v>0</v>
      </c>
      <c r="E56" s="88">
        <v>490</v>
      </c>
      <c r="F56" s="88">
        <v>624</v>
      </c>
      <c r="G56" s="87">
        <f t="shared" ref="G56" si="22">C56+D56+F56</f>
        <v>4590.3999999999996</v>
      </c>
      <c r="H56" s="88">
        <v>37.18</v>
      </c>
      <c r="I56" s="88">
        <v>588</v>
      </c>
      <c r="J56" s="88">
        <v>-159.5</v>
      </c>
      <c r="K56" s="88">
        <v>624</v>
      </c>
      <c r="L56" s="88">
        <v>200.01</v>
      </c>
      <c r="M56" s="88">
        <v>1125</v>
      </c>
      <c r="N56" s="87">
        <f t="shared" ref="N56" si="23">C56+D56+E56-H56-I56-J56-K56-L56-M56</f>
        <v>2041.7099999999991</v>
      </c>
      <c r="O56" s="100">
        <v>43929</v>
      </c>
      <c r="P56" s="103" t="s">
        <v>41</v>
      </c>
      <c r="Q56" s="132" t="s">
        <v>118</v>
      </c>
    </row>
    <row r="57" spans="1:17" x14ac:dyDescent="0.2">
      <c r="A57" s="80" t="s">
        <v>26</v>
      </c>
      <c r="B57" s="81" t="s">
        <v>70</v>
      </c>
      <c r="C57" s="88">
        <v>1023.5</v>
      </c>
      <c r="D57" s="88"/>
      <c r="E57" s="88">
        <v>50</v>
      </c>
      <c r="F57" s="88"/>
      <c r="G57" s="87">
        <f>C57+D57+F57</f>
        <v>1023.5</v>
      </c>
      <c r="H57" s="88">
        <v>10.234999999999999</v>
      </c>
      <c r="I57" s="88"/>
      <c r="J57" s="88"/>
      <c r="K57" s="88"/>
      <c r="L57" s="88">
        <v>58.14</v>
      </c>
      <c r="M57" s="88"/>
      <c r="N57" s="87">
        <f t="shared" si="0"/>
        <v>1005.1250000000001</v>
      </c>
      <c r="O57" s="98">
        <v>43929</v>
      </c>
      <c r="P57" s="116" t="s">
        <v>41</v>
      </c>
      <c r="Q57" s="132" t="s">
        <v>118</v>
      </c>
    </row>
    <row r="58" spans="1:17" x14ac:dyDescent="0.2">
      <c r="A58" s="80" t="s">
        <v>3</v>
      </c>
      <c r="B58" s="81" t="s">
        <v>71</v>
      </c>
      <c r="C58" s="88">
        <v>1343.5</v>
      </c>
      <c r="D58" s="88"/>
      <c r="E58" s="88">
        <v>50</v>
      </c>
      <c r="F58" s="88"/>
      <c r="G58" s="87">
        <f>C58+D58+F58+E58</f>
        <v>1393.5</v>
      </c>
      <c r="H58" s="88">
        <v>13.44</v>
      </c>
      <c r="I58" s="88"/>
      <c r="J58" s="88"/>
      <c r="K58" s="88"/>
      <c r="L58" s="88">
        <v>76.295000000000002</v>
      </c>
      <c r="M58" s="88"/>
      <c r="N58" s="87">
        <f t="shared" si="0"/>
        <v>1303.7649999999999</v>
      </c>
      <c r="O58" s="98">
        <v>43929</v>
      </c>
      <c r="P58" s="104" t="s">
        <v>41</v>
      </c>
      <c r="Q58" s="132" t="s">
        <v>118</v>
      </c>
    </row>
    <row r="59" spans="1:17" x14ac:dyDescent="0.2">
      <c r="A59" s="80" t="s">
        <v>31</v>
      </c>
      <c r="B59" s="81" t="s">
        <v>72</v>
      </c>
      <c r="C59" s="88">
        <v>1300</v>
      </c>
      <c r="D59" s="88"/>
      <c r="E59" s="88">
        <v>50</v>
      </c>
      <c r="F59" s="88"/>
      <c r="G59" s="87">
        <f>C59+D59+F59+E59</f>
        <v>1350</v>
      </c>
      <c r="H59" s="88">
        <v>13</v>
      </c>
      <c r="I59" s="88"/>
      <c r="J59" s="88"/>
      <c r="K59" s="88"/>
      <c r="L59" s="88">
        <v>67.78</v>
      </c>
      <c r="M59" s="88"/>
      <c r="N59" s="87">
        <f>C59+D59+E59-H59-I59-J59-K59-L59-M59</f>
        <v>1269.22</v>
      </c>
      <c r="O59" s="98">
        <v>43929</v>
      </c>
      <c r="P59" s="116" t="s">
        <v>41</v>
      </c>
      <c r="Q59" s="132" t="s">
        <v>118</v>
      </c>
    </row>
    <row r="60" spans="1:17" x14ac:dyDescent="0.2">
      <c r="A60" s="80" t="s">
        <v>69</v>
      </c>
      <c r="B60" s="81" t="s">
        <v>73</v>
      </c>
      <c r="C60" s="88">
        <v>1000</v>
      </c>
      <c r="D60" s="88"/>
      <c r="E60" s="88"/>
      <c r="F60" s="88"/>
      <c r="G60" s="87">
        <f t="shared" ref="G60:G62" si="24">C60+D60+F60</f>
        <v>1000</v>
      </c>
      <c r="H60" s="88">
        <v>10</v>
      </c>
      <c r="I60" s="88"/>
      <c r="J60" s="88"/>
      <c r="K60" s="88"/>
      <c r="L60" s="88"/>
      <c r="M60" s="88"/>
      <c r="N60" s="87">
        <f t="shared" si="0"/>
        <v>990</v>
      </c>
      <c r="O60" s="98">
        <v>43929</v>
      </c>
      <c r="P60" s="104" t="s">
        <v>41</v>
      </c>
      <c r="Q60" s="132" t="s">
        <v>118</v>
      </c>
    </row>
    <row r="61" spans="1:17" x14ac:dyDescent="0.2">
      <c r="A61" s="80" t="s">
        <v>79</v>
      </c>
      <c r="B61" s="81" t="s">
        <v>91</v>
      </c>
      <c r="C61" s="88">
        <v>1250</v>
      </c>
      <c r="D61" s="88"/>
      <c r="E61" s="88"/>
      <c r="F61" s="88"/>
      <c r="G61" s="87">
        <f t="shared" si="24"/>
        <v>1250</v>
      </c>
      <c r="H61" s="88">
        <v>12.5</v>
      </c>
      <c r="I61" s="88"/>
      <c r="J61" s="88"/>
      <c r="K61" s="88"/>
      <c r="L61" s="88"/>
      <c r="M61" s="88">
        <v>100</v>
      </c>
      <c r="N61" s="88">
        <f t="shared" si="0"/>
        <v>1137.5</v>
      </c>
      <c r="O61" s="98">
        <v>43929</v>
      </c>
      <c r="P61" s="117" t="s">
        <v>41</v>
      </c>
      <c r="Q61" s="132" t="s">
        <v>118</v>
      </c>
    </row>
    <row r="62" spans="1:17" ht="13.5" thickBot="1" x14ac:dyDescent="0.25">
      <c r="A62" s="80" t="s">
        <v>100</v>
      </c>
      <c r="B62" s="81" t="s">
        <v>101</v>
      </c>
      <c r="C62" s="88">
        <v>1250</v>
      </c>
      <c r="D62" s="88"/>
      <c r="E62" s="88"/>
      <c r="F62" s="88"/>
      <c r="G62" s="87">
        <f t="shared" si="24"/>
        <v>1250</v>
      </c>
      <c r="H62" s="88">
        <v>12.5</v>
      </c>
      <c r="I62" s="88"/>
      <c r="J62" s="88"/>
      <c r="K62" s="88"/>
      <c r="L62" s="88"/>
      <c r="M62" s="88"/>
      <c r="N62" s="138">
        <f t="shared" ref="N62" si="25">C62+D62+E62-H62-I62-J62-K62-L62-M62</f>
        <v>1237.5</v>
      </c>
      <c r="O62" s="98">
        <v>43929</v>
      </c>
      <c r="P62" s="117" t="s">
        <v>41</v>
      </c>
      <c r="Q62" s="132" t="s">
        <v>118</v>
      </c>
    </row>
    <row r="63" spans="1:17" s="93" customFormat="1" ht="13.5" thickBot="1" x14ac:dyDescent="0.25">
      <c r="A63" s="403" t="s">
        <v>0</v>
      </c>
      <c r="B63" s="404"/>
      <c r="C63" s="114">
        <f t="shared" ref="C63:N63" si="26">SUM(C56:C62)</f>
        <v>11133.4</v>
      </c>
      <c r="D63" s="115">
        <f t="shared" si="26"/>
        <v>0</v>
      </c>
      <c r="E63" s="115">
        <f t="shared" si="26"/>
        <v>640</v>
      </c>
      <c r="F63" s="115">
        <f t="shared" si="26"/>
        <v>624</v>
      </c>
      <c r="G63" s="115">
        <f t="shared" si="26"/>
        <v>11857.4</v>
      </c>
      <c r="H63" s="115">
        <f t="shared" si="26"/>
        <v>108.85499999999999</v>
      </c>
      <c r="I63" s="115">
        <f t="shared" si="26"/>
        <v>588</v>
      </c>
      <c r="J63" s="115">
        <f t="shared" si="26"/>
        <v>-159.5</v>
      </c>
      <c r="K63" s="115">
        <f t="shared" si="26"/>
        <v>624</v>
      </c>
      <c r="L63" s="115">
        <f t="shared" si="26"/>
        <v>402.22500000000002</v>
      </c>
      <c r="M63" s="115">
        <f t="shared" si="26"/>
        <v>1225</v>
      </c>
      <c r="N63" s="187">
        <f t="shared" si="26"/>
        <v>8984.82</v>
      </c>
      <c r="O63" s="444" t="s">
        <v>0</v>
      </c>
      <c r="P63" s="406"/>
      <c r="Q63" s="133"/>
    </row>
    <row r="64" spans="1:17" x14ac:dyDescent="0.2">
      <c r="A64" s="82" t="s">
        <v>25</v>
      </c>
      <c r="B64" s="83" t="s">
        <v>63</v>
      </c>
      <c r="C64" s="88">
        <v>3966.4</v>
      </c>
      <c r="D64" s="88">
        <v>0</v>
      </c>
      <c r="E64" s="88">
        <v>490</v>
      </c>
      <c r="F64" s="88">
        <v>624</v>
      </c>
      <c r="G64" s="87">
        <f t="shared" ref="G64" si="27">C64+D64+F64</f>
        <v>4590.3999999999996</v>
      </c>
      <c r="H64" s="88">
        <v>37.18</v>
      </c>
      <c r="I64" s="88">
        <v>588</v>
      </c>
      <c r="J64" s="88">
        <v>-159.5</v>
      </c>
      <c r="K64" s="88">
        <v>624</v>
      </c>
      <c r="L64" s="88">
        <v>200.01</v>
      </c>
      <c r="M64" s="88">
        <v>1125</v>
      </c>
      <c r="N64" s="87">
        <f t="shared" ref="N64" si="28">C64+D64+E64-H64-I64-J64-K64-L64-M64</f>
        <v>2041.7099999999991</v>
      </c>
      <c r="O64" s="97">
        <v>43936</v>
      </c>
      <c r="P64" s="109" t="s">
        <v>42</v>
      </c>
      <c r="Q64" s="132" t="s">
        <v>118</v>
      </c>
    </row>
    <row r="65" spans="1:17" x14ac:dyDescent="0.2">
      <c r="A65" s="80" t="s">
        <v>26</v>
      </c>
      <c r="B65" s="81" t="s">
        <v>70</v>
      </c>
      <c r="C65" s="88">
        <v>1023.5</v>
      </c>
      <c r="D65" s="88"/>
      <c r="E65" s="88">
        <v>50</v>
      </c>
      <c r="F65" s="88"/>
      <c r="G65" s="87">
        <f>C65+D65+F65</f>
        <v>1023.5</v>
      </c>
      <c r="H65" s="88">
        <v>10.234999999999999</v>
      </c>
      <c r="I65" s="88"/>
      <c r="J65" s="88"/>
      <c r="K65" s="88"/>
      <c r="L65" s="88">
        <v>58.14</v>
      </c>
      <c r="M65" s="88"/>
      <c r="N65" s="87">
        <f t="shared" si="0"/>
        <v>1005.1250000000001</v>
      </c>
      <c r="O65" s="97">
        <v>43936</v>
      </c>
      <c r="P65" s="109" t="s">
        <v>42</v>
      </c>
      <c r="Q65" s="132" t="s">
        <v>118</v>
      </c>
    </row>
    <row r="66" spans="1:17" x14ac:dyDescent="0.2">
      <c r="A66" s="80" t="s">
        <v>3</v>
      </c>
      <c r="B66" s="81" t="s">
        <v>71</v>
      </c>
      <c r="C66" s="88">
        <v>1343.5</v>
      </c>
      <c r="D66" s="88"/>
      <c r="E66" s="88">
        <v>50</v>
      </c>
      <c r="F66" s="88"/>
      <c r="G66" s="87">
        <f>C66+D66+F66+E66</f>
        <v>1393.5</v>
      </c>
      <c r="H66" s="88">
        <v>13.44</v>
      </c>
      <c r="I66" s="88"/>
      <c r="J66" s="88"/>
      <c r="K66" s="88"/>
      <c r="L66" s="88">
        <v>76.295000000000002</v>
      </c>
      <c r="M66" s="88"/>
      <c r="N66" s="87">
        <f t="shared" si="0"/>
        <v>1303.7649999999999</v>
      </c>
      <c r="O66" s="97">
        <v>43936</v>
      </c>
      <c r="P66" s="109" t="s">
        <v>42</v>
      </c>
      <c r="Q66" s="132" t="s">
        <v>118</v>
      </c>
    </row>
    <row r="67" spans="1:17" x14ac:dyDescent="0.2">
      <c r="A67" s="80" t="s">
        <v>31</v>
      </c>
      <c r="B67" s="81" t="s">
        <v>72</v>
      </c>
      <c r="C67" s="88">
        <v>1300</v>
      </c>
      <c r="D67" s="88"/>
      <c r="E67" s="88">
        <v>50</v>
      </c>
      <c r="F67" s="88"/>
      <c r="G67" s="87">
        <f>C67+D67+F67+E67</f>
        <v>1350</v>
      </c>
      <c r="H67" s="88">
        <v>13</v>
      </c>
      <c r="I67" s="88"/>
      <c r="J67" s="88"/>
      <c r="K67" s="88"/>
      <c r="L67" s="88">
        <v>67.78</v>
      </c>
      <c r="M67" s="88"/>
      <c r="N67" s="87">
        <f t="shared" si="0"/>
        <v>1269.22</v>
      </c>
      <c r="O67" s="97">
        <v>43936</v>
      </c>
      <c r="P67" s="109" t="s">
        <v>42</v>
      </c>
      <c r="Q67" s="132" t="s">
        <v>118</v>
      </c>
    </row>
    <row r="68" spans="1:17" x14ac:dyDescent="0.2">
      <c r="A68" s="80" t="s">
        <v>69</v>
      </c>
      <c r="B68" s="81" t="s">
        <v>73</v>
      </c>
      <c r="C68" s="88">
        <v>1000</v>
      </c>
      <c r="D68" s="88"/>
      <c r="E68" s="88"/>
      <c r="F68" s="88"/>
      <c r="G68" s="87">
        <f t="shared" ref="G68:G70" si="29">C68+D68+F68</f>
        <v>1000</v>
      </c>
      <c r="H68" s="88">
        <v>10</v>
      </c>
      <c r="I68" s="88"/>
      <c r="J68" s="88"/>
      <c r="K68" s="88"/>
      <c r="L68" s="88"/>
      <c r="M68" s="88"/>
      <c r="N68" s="87">
        <f t="shared" si="0"/>
        <v>990</v>
      </c>
      <c r="O68" s="97">
        <v>43936</v>
      </c>
      <c r="P68" s="109" t="s">
        <v>42</v>
      </c>
      <c r="Q68" s="132" t="s">
        <v>118</v>
      </c>
    </row>
    <row r="69" spans="1:17" x14ac:dyDescent="0.2">
      <c r="A69" s="80" t="s">
        <v>79</v>
      </c>
      <c r="B69" s="81" t="s">
        <v>91</v>
      </c>
      <c r="C69" s="88">
        <v>1250</v>
      </c>
      <c r="D69" s="88"/>
      <c r="E69" s="88"/>
      <c r="F69" s="88"/>
      <c r="G69" s="87">
        <f t="shared" si="29"/>
        <v>1250</v>
      </c>
      <c r="H69" s="88">
        <v>12.5</v>
      </c>
      <c r="I69" s="88"/>
      <c r="J69" s="88"/>
      <c r="K69" s="88"/>
      <c r="L69" s="88"/>
      <c r="M69" s="88"/>
      <c r="N69" s="87">
        <f t="shared" si="0"/>
        <v>1237.5</v>
      </c>
      <c r="O69" s="97">
        <v>43936</v>
      </c>
      <c r="P69" s="109" t="s">
        <v>42</v>
      </c>
      <c r="Q69" s="132" t="s">
        <v>118</v>
      </c>
    </row>
    <row r="70" spans="1:17" ht="13.5" thickBot="1" x14ac:dyDescent="0.25">
      <c r="A70" s="80" t="s">
        <v>100</v>
      </c>
      <c r="B70" s="81" t="s">
        <v>101</v>
      </c>
      <c r="C70" s="88">
        <v>1250</v>
      </c>
      <c r="D70" s="88"/>
      <c r="E70" s="88"/>
      <c r="F70" s="88"/>
      <c r="G70" s="87">
        <f t="shared" si="29"/>
        <v>1250</v>
      </c>
      <c r="H70" s="88">
        <v>12.5</v>
      </c>
      <c r="I70" s="88"/>
      <c r="J70" s="88"/>
      <c r="K70" s="88"/>
      <c r="L70" s="88"/>
      <c r="M70" s="88"/>
      <c r="N70" s="87">
        <f t="shared" ref="N70" si="30">C70+D70+E70-H70-I70-J70-K70-L70-M70</f>
        <v>1237.5</v>
      </c>
      <c r="O70" s="97">
        <v>43936</v>
      </c>
      <c r="P70" s="109" t="s">
        <v>42</v>
      </c>
      <c r="Q70" s="132" t="s">
        <v>118</v>
      </c>
    </row>
    <row r="71" spans="1:17" s="93" customFormat="1" ht="13.5" thickBot="1" x14ac:dyDescent="0.25">
      <c r="A71" s="403" t="s">
        <v>0</v>
      </c>
      <c r="B71" s="404"/>
      <c r="C71" s="114">
        <f t="shared" ref="C71:N71" si="31">SUM(C64:C70)</f>
        <v>11133.4</v>
      </c>
      <c r="D71" s="115">
        <f t="shared" si="31"/>
        <v>0</v>
      </c>
      <c r="E71" s="115">
        <f t="shared" si="31"/>
        <v>640</v>
      </c>
      <c r="F71" s="115">
        <f t="shared" si="31"/>
        <v>624</v>
      </c>
      <c r="G71" s="115">
        <f t="shared" si="31"/>
        <v>11857.4</v>
      </c>
      <c r="H71" s="115">
        <f t="shared" si="31"/>
        <v>108.85499999999999</v>
      </c>
      <c r="I71" s="115">
        <f t="shared" si="31"/>
        <v>588</v>
      </c>
      <c r="J71" s="115">
        <f t="shared" si="31"/>
        <v>-159.5</v>
      </c>
      <c r="K71" s="115">
        <f t="shared" si="31"/>
        <v>624</v>
      </c>
      <c r="L71" s="115">
        <f t="shared" si="31"/>
        <v>402.22500000000002</v>
      </c>
      <c r="M71" s="115">
        <f t="shared" si="31"/>
        <v>1125</v>
      </c>
      <c r="N71" s="187">
        <f t="shared" si="31"/>
        <v>9084.82</v>
      </c>
      <c r="O71" s="444" t="s">
        <v>0</v>
      </c>
      <c r="P71" s="406"/>
      <c r="Q71" s="133"/>
    </row>
    <row r="72" spans="1:17" x14ac:dyDescent="0.2">
      <c r="A72" s="82" t="s">
        <v>25</v>
      </c>
      <c r="B72" s="83" t="s">
        <v>63</v>
      </c>
      <c r="C72" s="88">
        <v>3966.4</v>
      </c>
      <c r="D72" s="88">
        <v>0</v>
      </c>
      <c r="E72" s="88">
        <v>490</v>
      </c>
      <c r="F72" s="88">
        <v>624</v>
      </c>
      <c r="G72" s="87">
        <f t="shared" ref="G72" si="32">C72+D72+F72</f>
        <v>4590.3999999999996</v>
      </c>
      <c r="H72" s="88">
        <v>37.18</v>
      </c>
      <c r="I72" s="88">
        <v>588</v>
      </c>
      <c r="J72" s="88">
        <v>-159.5</v>
      </c>
      <c r="K72" s="88">
        <v>624</v>
      </c>
      <c r="L72" s="88">
        <v>200.01</v>
      </c>
      <c r="M72" s="88">
        <v>1125</v>
      </c>
      <c r="N72" s="87">
        <f t="shared" ref="N72:N78" si="33">C72+D72+E72-H72-I72-J72-K72-L72-M72</f>
        <v>2041.7099999999991</v>
      </c>
      <c r="O72" s="97">
        <v>43943</v>
      </c>
      <c r="P72" s="109" t="s">
        <v>43</v>
      </c>
      <c r="Q72" s="132" t="s">
        <v>118</v>
      </c>
    </row>
    <row r="73" spans="1:17" x14ac:dyDescent="0.2">
      <c r="A73" s="80" t="s">
        <v>26</v>
      </c>
      <c r="B73" s="81" t="s">
        <v>70</v>
      </c>
      <c r="C73" s="88">
        <v>1023.5</v>
      </c>
      <c r="D73" s="88"/>
      <c r="E73" s="88">
        <v>50</v>
      </c>
      <c r="F73" s="88"/>
      <c r="G73" s="87">
        <f>C73+D73+F73</f>
        <v>1023.5</v>
      </c>
      <c r="H73" s="88">
        <v>10.234999999999999</v>
      </c>
      <c r="I73" s="88"/>
      <c r="J73" s="88"/>
      <c r="K73" s="88"/>
      <c r="L73" s="88">
        <v>58.14</v>
      </c>
      <c r="M73" s="88"/>
      <c r="N73" s="87">
        <f t="shared" si="33"/>
        <v>1005.1250000000001</v>
      </c>
      <c r="O73" s="97">
        <v>43943</v>
      </c>
      <c r="P73" s="109" t="s">
        <v>43</v>
      </c>
      <c r="Q73" s="132" t="s">
        <v>118</v>
      </c>
    </row>
    <row r="74" spans="1:17" x14ac:dyDescent="0.2">
      <c r="A74" s="80" t="s">
        <v>3</v>
      </c>
      <c r="B74" s="81" t="s">
        <v>71</v>
      </c>
      <c r="C74" s="88">
        <v>1343.5</v>
      </c>
      <c r="D74" s="88"/>
      <c r="E74" s="88">
        <v>50</v>
      </c>
      <c r="F74" s="88"/>
      <c r="G74" s="87">
        <f>C74+D74+F74+E74</f>
        <v>1393.5</v>
      </c>
      <c r="H74" s="88">
        <v>13.44</v>
      </c>
      <c r="I74" s="88"/>
      <c r="J74" s="88"/>
      <c r="K74" s="88"/>
      <c r="L74" s="88">
        <v>76.295000000000002</v>
      </c>
      <c r="M74" s="88"/>
      <c r="N74" s="87">
        <f t="shared" si="33"/>
        <v>1303.7649999999999</v>
      </c>
      <c r="O74" s="97">
        <v>43943</v>
      </c>
      <c r="P74" s="109" t="s">
        <v>43</v>
      </c>
      <c r="Q74" s="132" t="s">
        <v>118</v>
      </c>
    </row>
    <row r="75" spans="1:17" x14ac:dyDescent="0.2">
      <c r="A75" s="80" t="s">
        <v>31</v>
      </c>
      <c r="B75" s="81" t="s">
        <v>72</v>
      </c>
      <c r="C75" s="88">
        <v>1300</v>
      </c>
      <c r="D75" s="88"/>
      <c r="E75" s="88">
        <v>50</v>
      </c>
      <c r="F75" s="88"/>
      <c r="G75" s="87">
        <f>C75+D75+F75+E75</f>
        <v>1350</v>
      </c>
      <c r="H75" s="88">
        <v>13</v>
      </c>
      <c r="I75" s="88"/>
      <c r="J75" s="88"/>
      <c r="K75" s="88"/>
      <c r="L75" s="88">
        <v>67.78</v>
      </c>
      <c r="M75" s="88"/>
      <c r="N75" s="87">
        <f t="shared" si="33"/>
        <v>1269.22</v>
      </c>
      <c r="O75" s="97">
        <v>43943</v>
      </c>
      <c r="P75" s="109" t="s">
        <v>43</v>
      </c>
      <c r="Q75" s="132" t="s">
        <v>118</v>
      </c>
    </row>
    <row r="76" spans="1:17" x14ac:dyDescent="0.2">
      <c r="A76" s="80" t="s">
        <v>69</v>
      </c>
      <c r="B76" s="81" t="s">
        <v>73</v>
      </c>
      <c r="C76" s="88">
        <v>1000</v>
      </c>
      <c r="D76" s="88"/>
      <c r="E76" s="88"/>
      <c r="F76" s="88"/>
      <c r="G76" s="87">
        <f t="shared" ref="G76:G78" si="34">C76+D76+F76</f>
        <v>1000</v>
      </c>
      <c r="H76" s="88">
        <v>10</v>
      </c>
      <c r="I76" s="88"/>
      <c r="J76" s="88"/>
      <c r="K76" s="88"/>
      <c r="L76" s="88"/>
      <c r="M76" s="88"/>
      <c r="N76" s="87">
        <f t="shared" si="33"/>
        <v>990</v>
      </c>
      <c r="O76" s="97">
        <v>43943</v>
      </c>
      <c r="P76" s="109" t="s">
        <v>43</v>
      </c>
      <c r="Q76" s="132" t="s">
        <v>118</v>
      </c>
    </row>
    <row r="77" spans="1:17" x14ac:dyDescent="0.2">
      <c r="A77" s="80" t="s">
        <v>79</v>
      </c>
      <c r="B77" s="81" t="s">
        <v>91</v>
      </c>
      <c r="C77" s="88">
        <v>1250</v>
      </c>
      <c r="D77" s="88"/>
      <c r="E77" s="88"/>
      <c r="F77" s="88"/>
      <c r="G77" s="87">
        <f t="shared" si="34"/>
        <v>1250</v>
      </c>
      <c r="H77" s="88">
        <v>12.5</v>
      </c>
      <c r="I77" s="88"/>
      <c r="J77" s="88"/>
      <c r="K77" s="88"/>
      <c r="L77" s="88"/>
      <c r="M77" s="88"/>
      <c r="N77" s="87">
        <f t="shared" si="33"/>
        <v>1237.5</v>
      </c>
      <c r="O77" s="97">
        <v>43943</v>
      </c>
      <c r="P77" s="109" t="s">
        <v>43</v>
      </c>
      <c r="Q77" s="132" t="s">
        <v>118</v>
      </c>
    </row>
    <row r="78" spans="1:17" ht="13.5" thickBot="1" x14ac:dyDescent="0.25">
      <c r="A78" s="80" t="s">
        <v>100</v>
      </c>
      <c r="B78" s="81" t="s">
        <v>101</v>
      </c>
      <c r="C78" s="88">
        <v>1250</v>
      </c>
      <c r="D78" s="88"/>
      <c r="E78" s="88"/>
      <c r="F78" s="88"/>
      <c r="G78" s="87">
        <f t="shared" si="34"/>
        <v>1250</v>
      </c>
      <c r="H78" s="88">
        <v>12.5</v>
      </c>
      <c r="I78" s="88"/>
      <c r="J78" s="88"/>
      <c r="K78" s="88"/>
      <c r="L78" s="88"/>
      <c r="M78" s="88"/>
      <c r="N78" s="87">
        <f t="shared" si="33"/>
        <v>1237.5</v>
      </c>
      <c r="O78" s="97">
        <v>43943</v>
      </c>
      <c r="P78" s="109" t="s">
        <v>43</v>
      </c>
      <c r="Q78" s="132" t="s">
        <v>118</v>
      </c>
    </row>
    <row r="79" spans="1:17" s="93" customFormat="1" ht="13.5" thickBot="1" x14ac:dyDescent="0.25">
      <c r="A79" s="403" t="s">
        <v>0</v>
      </c>
      <c r="B79" s="404"/>
      <c r="C79" s="114">
        <f t="shared" ref="C79:N79" si="35">SUM(C72:C78)</f>
        <v>11133.4</v>
      </c>
      <c r="D79" s="115">
        <f t="shared" si="35"/>
        <v>0</v>
      </c>
      <c r="E79" s="115">
        <f t="shared" si="35"/>
        <v>640</v>
      </c>
      <c r="F79" s="115">
        <f t="shared" si="35"/>
        <v>624</v>
      </c>
      <c r="G79" s="115">
        <f t="shared" si="35"/>
        <v>11857.4</v>
      </c>
      <c r="H79" s="115">
        <f t="shared" si="35"/>
        <v>108.85499999999999</v>
      </c>
      <c r="I79" s="115">
        <f t="shared" si="35"/>
        <v>588</v>
      </c>
      <c r="J79" s="115">
        <f t="shared" si="35"/>
        <v>-159.5</v>
      </c>
      <c r="K79" s="115">
        <f t="shared" si="35"/>
        <v>624</v>
      </c>
      <c r="L79" s="115">
        <f t="shared" si="35"/>
        <v>402.22500000000002</v>
      </c>
      <c r="M79" s="115">
        <f t="shared" si="35"/>
        <v>1125</v>
      </c>
      <c r="N79" s="187">
        <f t="shared" si="35"/>
        <v>9084.82</v>
      </c>
      <c r="O79" s="444" t="s">
        <v>0</v>
      </c>
      <c r="P79" s="406"/>
      <c r="Q79" s="133"/>
    </row>
    <row r="80" spans="1:17" x14ac:dyDescent="0.2">
      <c r="A80" s="82" t="s">
        <v>25</v>
      </c>
      <c r="B80" s="83" t="s">
        <v>63</v>
      </c>
      <c r="C80" s="87">
        <v>3966.4</v>
      </c>
      <c r="D80" s="87"/>
      <c r="E80" s="87"/>
      <c r="F80" s="87"/>
      <c r="G80" s="87">
        <f>C80+D80+F80+E80</f>
        <v>3966.4</v>
      </c>
      <c r="H80" s="87">
        <v>37.18</v>
      </c>
      <c r="I80" s="87">
        <v>426</v>
      </c>
      <c r="J80" s="87"/>
      <c r="K80" s="87"/>
      <c r="L80" s="87">
        <v>200.01</v>
      </c>
      <c r="M80" s="87"/>
      <c r="N80" s="87">
        <f t="shared" ref="N80" si="36">C80+D80+E80-H80-I80-J80-K80-L80-M80</f>
        <v>3303.21</v>
      </c>
      <c r="O80" s="98">
        <v>43950</v>
      </c>
      <c r="P80" s="120" t="s">
        <v>44</v>
      </c>
      <c r="Q80" s="132" t="s">
        <v>118</v>
      </c>
    </row>
    <row r="81" spans="1:17" x14ac:dyDescent="0.2">
      <c r="A81" s="80" t="s">
        <v>26</v>
      </c>
      <c r="B81" s="81" t="s">
        <v>70</v>
      </c>
      <c r="C81" s="88">
        <v>1023.5</v>
      </c>
      <c r="D81" s="88"/>
      <c r="E81" s="88">
        <v>50</v>
      </c>
      <c r="F81" s="88"/>
      <c r="G81" s="87">
        <f>C81+D81+F81</f>
        <v>1023.5</v>
      </c>
      <c r="H81" s="88">
        <v>10.234999999999999</v>
      </c>
      <c r="I81" s="88"/>
      <c r="J81" s="88"/>
      <c r="K81" s="88"/>
      <c r="L81" s="88">
        <v>58.14</v>
      </c>
      <c r="M81" s="88"/>
      <c r="N81" s="87">
        <f t="shared" si="0"/>
        <v>1005.1250000000001</v>
      </c>
      <c r="O81" s="98">
        <v>43950</v>
      </c>
      <c r="P81" s="120" t="s">
        <v>44</v>
      </c>
      <c r="Q81" s="132" t="s">
        <v>118</v>
      </c>
    </row>
    <row r="82" spans="1:17" x14ac:dyDescent="0.2">
      <c r="A82" s="80" t="s">
        <v>3</v>
      </c>
      <c r="B82" s="81" t="s">
        <v>71</v>
      </c>
      <c r="C82" s="88">
        <v>1343.5</v>
      </c>
      <c r="D82" s="88"/>
      <c r="E82" s="88">
        <v>50</v>
      </c>
      <c r="F82" s="88"/>
      <c r="G82" s="87">
        <f>C82+D82+F82+E82</f>
        <v>1393.5</v>
      </c>
      <c r="H82" s="88">
        <v>13.44</v>
      </c>
      <c r="I82" s="88"/>
      <c r="J82" s="88"/>
      <c r="K82" s="88"/>
      <c r="L82" s="88">
        <v>76.295000000000002</v>
      </c>
      <c r="M82" s="88"/>
      <c r="N82" s="87">
        <f t="shared" si="0"/>
        <v>1303.7649999999999</v>
      </c>
      <c r="O82" s="98">
        <v>43950</v>
      </c>
      <c r="P82" s="120" t="s">
        <v>44</v>
      </c>
      <c r="Q82" s="132" t="s">
        <v>118</v>
      </c>
    </row>
    <row r="83" spans="1:17" x14ac:dyDescent="0.2">
      <c r="A83" s="80" t="s">
        <v>31</v>
      </c>
      <c r="B83" s="81" t="s">
        <v>72</v>
      </c>
      <c r="C83" s="88">
        <v>1300</v>
      </c>
      <c r="D83" s="88"/>
      <c r="E83" s="88">
        <v>50</v>
      </c>
      <c r="F83" s="88"/>
      <c r="G83" s="87">
        <f>C83+D83+F83+E83</f>
        <v>1350</v>
      </c>
      <c r="H83" s="88">
        <v>13</v>
      </c>
      <c r="I83" s="88"/>
      <c r="J83" s="88"/>
      <c r="K83" s="88"/>
      <c r="L83" s="88">
        <v>67.78</v>
      </c>
      <c r="M83" s="88"/>
      <c r="N83" s="87">
        <f t="shared" si="0"/>
        <v>1269.22</v>
      </c>
      <c r="O83" s="98">
        <v>43950</v>
      </c>
      <c r="P83" s="120" t="s">
        <v>44</v>
      </c>
      <c r="Q83" s="132" t="s">
        <v>118</v>
      </c>
    </row>
    <row r="84" spans="1:17" x14ac:dyDescent="0.2">
      <c r="A84" s="80" t="s">
        <v>69</v>
      </c>
      <c r="B84" s="81" t="s">
        <v>73</v>
      </c>
      <c r="C84" s="88">
        <v>1000</v>
      </c>
      <c r="D84" s="88"/>
      <c r="E84" s="88"/>
      <c r="F84" s="88"/>
      <c r="G84" s="87">
        <f t="shared" ref="G84:G86" si="37">C84+D84+F84</f>
        <v>1000</v>
      </c>
      <c r="H84" s="88">
        <v>10</v>
      </c>
      <c r="I84" s="88"/>
      <c r="J84" s="88"/>
      <c r="K84" s="88"/>
      <c r="L84" s="88"/>
      <c r="M84" s="88"/>
      <c r="N84" s="87">
        <f t="shared" si="0"/>
        <v>990</v>
      </c>
      <c r="O84" s="98">
        <v>43950</v>
      </c>
      <c r="P84" s="120" t="s">
        <v>44</v>
      </c>
      <c r="Q84" s="132" t="s">
        <v>118</v>
      </c>
    </row>
    <row r="85" spans="1:17" x14ac:dyDescent="0.2">
      <c r="A85" s="80" t="s">
        <v>79</v>
      </c>
      <c r="B85" s="81" t="s">
        <v>91</v>
      </c>
      <c r="C85" s="88">
        <v>1250</v>
      </c>
      <c r="D85" s="88"/>
      <c r="E85" s="88"/>
      <c r="F85" s="88"/>
      <c r="G85" s="87">
        <f t="shared" si="37"/>
        <v>1250</v>
      </c>
      <c r="H85" s="88">
        <v>12.5</v>
      </c>
      <c r="I85" s="88"/>
      <c r="J85" s="88"/>
      <c r="K85" s="88"/>
      <c r="L85" s="88"/>
      <c r="M85" s="88"/>
      <c r="N85" s="87">
        <f t="shared" si="0"/>
        <v>1237.5</v>
      </c>
      <c r="O85" s="98">
        <v>43950</v>
      </c>
      <c r="P85" s="120" t="s">
        <v>44</v>
      </c>
      <c r="Q85" s="132" t="s">
        <v>118</v>
      </c>
    </row>
    <row r="86" spans="1:17" ht="13.5" thickBot="1" x14ac:dyDescent="0.25">
      <c r="A86" s="80" t="s">
        <v>100</v>
      </c>
      <c r="B86" s="81" t="s">
        <v>101</v>
      </c>
      <c r="C86" s="88">
        <v>1250</v>
      </c>
      <c r="D86" s="88"/>
      <c r="E86" s="88"/>
      <c r="F86" s="88"/>
      <c r="G86" s="87">
        <f t="shared" si="37"/>
        <v>1250</v>
      </c>
      <c r="H86" s="88">
        <v>12.5</v>
      </c>
      <c r="I86" s="88"/>
      <c r="J86" s="88"/>
      <c r="K86" s="88"/>
      <c r="L86" s="88"/>
      <c r="M86" s="88"/>
      <c r="N86" s="87">
        <f t="shared" si="0"/>
        <v>1237.5</v>
      </c>
      <c r="O86" s="98">
        <v>43950</v>
      </c>
      <c r="P86" s="120" t="s">
        <v>44</v>
      </c>
      <c r="Q86" s="132" t="s">
        <v>118</v>
      </c>
    </row>
    <row r="87" spans="1:17" s="93" customFormat="1" ht="13.5" thickBot="1" x14ac:dyDescent="0.25">
      <c r="A87" s="403" t="s">
        <v>0</v>
      </c>
      <c r="B87" s="404"/>
      <c r="C87" s="114">
        <f t="shared" ref="C87:N87" si="38">SUM(C80:C86)</f>
        <v>11133.4</v>
      </c>
      <c r="D87" s="115">
        <f t="shared" si="38"/>
        <v>0</v>
      </c>
      <c r="E87" s="115">
        <f t="shared" si="38"/>
        <v>150</v>
      </c>
      <c r="F87" s="115">
        <f t="shared" si="38"/>
        <v>0</v>
      </c>
      <c r="G87" s="115">
        <f t="shared" si="38"/>
        <v>11233.4</v>
      </c>
      <c r="H87" s="115">
        <f t="shared" si="38"/>
        <v>108.85499999999999</v>
      </c>
      <c r="I87" s="115">
        <f t="shared" si="38"/>
        <v>426</v>
      </c>
      <c r="J87" s="115">
        <f t="shared" si="38"/>
        <v>0</v>
      </c>
      <c r="K87" s="115">
        <f t="shared" si="38"/>
        <v>0</v>
      </c>
      <c r="L87" s="115">
        <f t="shared" si="38"/>
        <v>402.22500000000002</v>
      </c>
      <c r="M87" s="115">
        <f t="shared" si="38"/>
        <v>0</v>
      </c>
      <c r="N87" s="187">
        <f t="shared" si="38"/>
        <v>10346.32</v>
      </c>
      <c r="O87" s="444" t="s">
        <v>0</v>
      </c>
      <c r="P87" s="406"/>
      <c r="Q87" s="133"/>
    </row>
    <row r="88" spans="1:17" s="140" customFormat="1" ht="13.5" thickBot="1" x14ac:dyDescent="0.25">
      <c r="A88" s="401" t="s">
        <v>88</v>
      </c>
      <c r="B88" s="402"/>
      <c r="C88" s="157">
        <f t="shared" ref="C88:N88" si="39">C55+C63+C71+C79+C87</f>
        <v>55667</v>
      </c>
      <c r="D88" s="157">
        <f t="shared" si="39"/>
        <v>0</v>
      </c>
      <c r="E88" s="157">
        <f t="shared" si="39"/>
        <v>2710</v>
      </c>
      <c r="F88" s="157">
        <f t="shared" si="39"/>
        <v>2496</v>
      </c>
      <c r="G88" s="157">
        <f t="shared" si="39"/>
        <v>58663</v>
      </c>
      <c r="H88" s="157">
        <f t="shared" si="39"/>
        <v>544.27499999999998</v>
      </c>
      <c r="I88" s="157">
        <f t="shared" si="39"/>
        <v>2778</v>
      </c>
      <c r="J88" s="157">
        <f t="shared" si="39"/>
        <v>-638</v>
      </c>
      <c r="K88" s="157">
        <f t="shared" si="39"/>
        <v>2496</v>
      </c>
      <c r="L88" s="157">
        <f t="shared" si="39"/>
        <v>2011.125</v>
      </c>
      <c r="M88" s="157">
        <f t="shared" si="39"/>
        <v>4700</v>
      </c>
      <c r="N88" s="157">
        <f t="shared" si="39"/>
        <v>46485.599999999999</v>
      </c>
      <c r="O88" s="144"/>
      <c r="P88" s="144"/>
      <c r="Q88" s="139"/>
    </row>
    <row r="89" spans="1:17" s="162" customFormat="1" x14ac:dyDescent="0.2">
      <c r="A89" s="159" t="s">
        <v>8</v>
      </c>
      <c r="B89" s="165" t="s">
        <v>96</v>
      </c>
      <c r="C89" s="160">
        <v>13502</v>
      </c>
      <c r="D89" s="160"/>
      <c r="E89" s="160"/>
      <c r="F89" s="160">
        <v>5624</v>
      </c>
      <c r="G89" s="87">
        <f t="shared" ref="G89:G91" si="40">C89+D89+F89</f>
        <v>19126</v>
      </c>
      <c r="H89" s="160"/>
      <c r="I89" s="160">
        <v>2355</v>
      </c>
      <c r="J89" s="160">
        <v>-853</v>
      </c>
      <c r="K89" s="160"/>
      <c r="L89" s="160"/>
      <c r="M89" s="160"/>
      <c r="N89" s="87">
        <f t="shared" si="0"/>
        <v>12000</v>
      </c>
      <c r="O89" s="193"/>
      <c r="P89" s="170"/>
      <c r="Q89" s="161"/>
    </row>
    <row r="90" spans="1:17" s="162" customFormat="1" x14ac:dyDescent="0.2">
      <c r="A90" s="159" t="s">
        <v>27</v>
      </c>
      <c r="B90" s="165" t="s">
        <v>97</v>
      </c>
      <c r="C90" s="163">
        <v>13717</v>
      </c>
      <c r="D90" s="163"/>
      <c r="E90" s="163"/>
      <c r="F90" s="163">
        <v>5409</v>
      </c>
      <c r="G90" s="87">
        <f t="shared" si="40"/>
        <v>19126</v>
      </c>
      <c r="H90" s="163"/>
      <c r="I90" s="163">
        <v>2355</v>
      </c>
      <c r="J90" s="163">
        <v>-638</v>
      </c>
      <c r="K90" s="163"/>
      <c r="L90" s="163"/>
      <c r="M90" s="163"/>
      <c r="N90" s="87">
        <f t="shared" si="0"/>
        <v>12000</v>
      </c>
      <c r="O90" s="169"/>
      <c r="P90" s="170"/>
      <c r="Q90" s="161"/>
    </row>
    <row r="91" spans="1:17" s="162" customFormat="1" ht="13.5" thickBot="1" x14ac:dyDescent="0.25">
      <c r="A91" s="159" t="s">
        <v>6</v>
      </c>
      <c r="B91" s="165" t="s">
        <v>98</v>
      </c>
      <c r="C91" s="164">
        <v>12643.72</v>
      </c>
      <c r="D91" s="164"/>
      <c r="E91" s="164"/>
      <c r="F91" s="164">
        <v>2812</v>
      </c>
      <c r="G91" s="87">
        <f t="shared" si="40"/>
        <v>15455.72</v>
      </c>
      <c r="H91" s="164">
        <v>148.72</v>
      </c>
      <c r="I91" s="164">
        <v>1536</v>
      </c>
      <c r="J91" s="164">
        <v>-853</v>
      </c>
      <c r="K91" s="164">
        <v>2812</v>
      </c>
      <c r="L91" s="164"/>
      <c r="M91" s="164"/>
      <c r="N91" s="87">
        <f t="shared" si="0"/>
        <v>9000</v>
      </c>
      <c r="O91" s="169"/>
      <c r="P91" s="170"/>
      <c r="Q91" s="161"/>
    </row>
    <row r="92" spans="1:17" s="131" customFormat="1" ht="13.5" thickBot="1" x14ac:dyDescent="0.25">
      <c r="A92" s="415" t="s">
        <v>89</v>
      </c>
      <c r="B92" s="416"/>
      <c r="C92" s="158">
        <f>SUM(C89:C91)</f>
        <v>39862.720000000001</v>
      </c>
      <c r="D92" s="158">
        <f t="shared" ref="D92:N92" si="41">SUM(D89:D91)</f>
        <v>0</v>
      </c>
      <c r="E92" s="158">
        <f t="shared" si="41"/>
        <v>0</v>
      </c>
      <c r="F92" s="158">
        <f t="shared" si="41"/>
        <v>13845</v>
      </c>
      <c r="G92" s="158">
        <f t="shared" si="41"/>
        <v>53707.72</v>
      </c>
      <c r="H92" s="158">
        <f t="shared" si="41"/>
        <v>148.72</v>
      </c>
      <c r="I92" s="158">
        <f t="shared" si="41"/>
        <v>6246</v>
      </c>
      <c r="J92" s="158">
        <f t="shared" si="41"/>
        <v>-2344</v>
      </c>
      <c r="K92" s="158">
        <f t="shared" si="41"/>
        <v>2812</v>
      </c>
      <c r="L92" s="158">
        <f t="shared" si="41"/>
        <v>0</v>
      </c>
      <c r="M92" s="158">
        <f t="shared" si="41"/>
        <v>0</v>
      </c>
      <c r="N92" s="158">
        <f t="shared" si="41"/>
        <v>33000</v>
      </c>
      <c r="O92" s="175"/>
      <c r="P92" s="130"/>
      <c r="Q92" s="134"/>
    </row>
    <row r="93" spans="1:17" s="131" customFormat="1" ht="13.5" thickBot="1" x14ac:dyDescent="0.25">
      <c r="A93" s="417" t="s">
        <v>90</v>
      </c>
      <c r="B93" s="417"/>
      <c r="C93" s="141"/>
      <c r="D93" s="141"/>
      <c r="E93" s="141"/>
      <c r="F93" s="141"/>
      <c r="G93" s="141"/>
      <c r="H93" s="147">
        <f>(H88+H92)*2</f>
        <v>1385.99</v>
      </c>
      <c r="I93" s="145">
        <f>I88+I92</f>
        <v>9024</v>
      </c>
      <c r="J93" s="148">
        <f>J88+J92</f>
        <v>-2982</v>
      </c>
      <c r="K93" s="141"/>
      <c r="L93" s="141"/>
      <c r="M93" s="141"/>
      <c r="N93" s="141">
        <f>9000+11000+12000</f>
        <v>32000</v>
      </c>
      <c r="O93" s="130"/>
      <c r="P93" s="130"/>
      <c r="Q93" s="143"/>
    </row>
    <row r="94" spans="1:17" s="131" customFormat="1" ht="13.5" thickBot="1" x14ac:dyDescent="0.25">
      <c r="A94" s="153"/>
      <c r="B94" s="153"/>
      <c r="C94" s="141"/>
      <c r="D94" s="141"/>
      <c r="E94" s="141"/>
      <c r="F94" s="141"/>
      <c r="G94" s="141"/>
      <c r="H94" s="141"/>
      <c r="I94" s="425">
        <f>I93+J93</f>
        <v>6042</v>
      </c>
      <c r="J94" s="426"/>
      <c r="K94" s="141"/>
      <c r="L94" s="141"/>
      <c r="M94" s="141"/>
      <c r="N94" s="141"/>
      <c r="O94" s="130"/>
      <c r="P94" s="130"/>
      <c r="Q94" s="143"/>
    </row>
    <row r="95" spans="1:17" s="131" customFormat="1" ht="13.5" thickBot="1" x14ac:dyDescent="0.25">
      <c r="A95" s="153"/>
      <c r="B95" s="153"/>
      <c r="C95" s="141"/>
      <c r="D95" s="141"/>
      <c r="E95" s="141"/>
      <c r="F95" s="141"/>
      <c r="G95" s="141"/>
      <c r="H95" s="427">
        <f>SUM(H93:J93)</f>
        <v>7427.99</v>
      </c>
      <c r="I95" s="428"/>
      <c r="J95" s="429"/>
      <c r="K95" s="141"/>
      <c r="L95" s="141"/>
      <c r="M95" s="141"/>
      <c r="N95" s="141"/>
      <c r="O95" s="130"/>
      <c r="P95" s="130"/>
      <c r="Q95" s="143"/>
    </row>
    <row r="96" spans="1:17" s="142" customFormat="1" ht="13.5" thickBot="1" x14ac:dyDescent="0.25">
      <c r="A96" s="129"/>
      <c r="B96" s="129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30"/>
      <c r="P96" s="130"/>
      <c r="Q96" s="129"/>
    </row>
    <row r="97" spans="1:17" s="78" customFormat="1" ht="13.5" thickBot="1" x14ac:dyDescent="0.25">
      <c r="A97" s="398" t="s">
        <v>119</v>
      </c>
      <c r="B97" s="399"/>
      <c r="C97" s="399"/>
      <c r="D97" s="399"/>
      <c r="E97" s="399"/>
      <c r="F97" s="399"/>
      <c r="G97" s="399"/>
      <c r="H97" s="399"/>
      <c r="I97" s="399"/>
      <c r="J97" s="399"/>
      <c r="K97" s="399"/>
      <c r="L97" s="399"/>
      <c r="M97" s="399"/>
      <c r="N97" s="399"/>
      <c r="O97" s="399"/>
      <c r="P97" s="399"/>
      <c r="Q97" s="400"/>
    </row>
    <row r="98" spans="1:17" s="78" customFormat="1" ht="13.5" thickBot="1" x14ac:dyDescent="0.25">
      <c r="A98" s="84" t="s">
        <v>64</v>
      </c>
      <c r="B98" s="85" t="s">
        <v>1</v>
      </c>
      <c r="C98" s="86" t="s">
        <v>56</v>
      </c>
      <c r="D98" s="86" t="s">
        <v>57</v>
      </c>
      <c r="E98" s="86" t="s">
        <v>67</v>
      </c>
      <c r="F98" s="86" t="s">
        <v>62</v>
      </c>
      <c r="G98" s="86" t="s">
        <v>74</v>
      </c>
      <c r="H98" s="86" t="s">
        <v>59</v>
      </c>
      <c r="I98" s="86" t="s">
        <v>60</v>
      </c>
      <c r="J98" s="86" t="s">
        <v>66</v>
      </c>
      <c r="K98" s="86" t="s">
        <v>62</v>
      </c>
      <c r="L98" s="86" t="s">
        <v>58</v>
      </c>
      <c r="M98" s="86" t="s">
        <v>61</v>
      </c>
      <c r="N98" s="86" t="s">
        <v>2</v>
      </c>
      <c r="O98" s="91" t="s">
        <v>65</v>
      </c>
      <c r="P98" s="92" t="s">
        <v>68</v>
      </c>
      <c r="Q98" s="135" t="s">
        <v>87</v>
      </c>
    </row>
    <row r="99" spans="1:17" x14ac:dyDescent="0.2">
      <c r="A99" s="82" t="s">
        <v>25</v>
      </c>
      <c r="B99" s="83" t="s">
        <v>63</v>
      </c>
      <c r="C99" s="88">
        <v>3966.4</v>
      </c>
      <c r="D99" s="88">
        <v>0</v>
      </c>
      <c r="E99" s="88">
        <v>490</v>
      </c>
      <c r="F99" s="88">
        <v>624</v>
      </c>
      <c r="G99" s="87">
        <f t="shared" si="1"/>
        <v>4590.3999999999996</v>
      </c>
      <c r="H99" s="88">
        <v>37.18</v>
      </c>
      <c r="I99" s="88">
        <v>588</v>
      </c>
      <c r="J99" s="88">
        <v>-159.5</v>
      </c>
      <c r="K99" s="88">
        <v>624</v>
      </c>
      <c r="L99" s="88">
        <v>200.01</v>
      </c>
      <c r="M99" s="88">
        <v>1125</v>
      </c>
      <c r="N99" s="87">
        <f t="shared" si="0"/>
        <v>2041.7099999999991</v>
      </c>
      <c r="O99" s="98">
        <v>43957</v>
      </c>
      <c r="P99" s="123" t="s">
        <v>45</v>
      </c>
      <c r="Q99" s="132" t="s">
        <v>119</v>
      </c>
    </row>
    <row r="100" spans="1:17" x14ac:dyDescent="0.2">
      <c r="A100" s="80" t="s">
        <v>26</v>
      </c>
      <c r="B100" s="81" t="s">
        <v>70</v>
      </c>
      <c r="C100" s="88">
        <v>1023.5</v>
      </c>
      <c r="D100" s="88"/>
      <c r="E100" s="88">
        <v>50</v>
      </c>
      <c r="F100" s="88"/>
      <c r="G100" s="87">
        <f>C100+D100+F100</f>
        <v>1023.5</v>
      </c>
      <c r="H100" s="88">
        <v>10.234999999999999</v>
      </c>
      <c r="I100" s="88"/>
      <c r="J100" s="88"/>
      <c r="K100" s="88"/>
      <c r="L100" s="88">
        <v>58.14</v>
      </c>
      <c r="M100" s="88"/>
      <c r="N100" s="87">
        <f t="shared" ref="N100:N130" si="42">C100+D100+E100-H100-I100-J100-K100-L100-M100</f>
        <v>1005.1250000000001</v>
      </c>
      <c r="O100" s="98">
        <v>43957</v>
      </c>
      <c r="P100" s="123" t="s">
        <v>45</v>
      </c>
      <c r="Q100" s="132" t="s">
        <v>119</v>
      </c>
    </row>
    <row r="101" spans="1:17" x14ac:dyDescent="0.2">
      <c r="A101" s="80" t="s">
        <v>3</v>
      </c>
      <c r="B101" s="81" t="s">
        <v>71</v>
      </c>
      <c r="C101" s="88">
        <v>1343.5</v>
      </c>
      <c r="D101" s="88"/>
      <c r="E101" s="88">
        <v>50</v>
      </c>
      <c r="F101" s="88"/>
      <c r="G101" s="87">
        <f>C101+D101+F101+E101</f>
        <v>1393.5</v>
      </c>
      <c r="H101" s="88">
        <v>13.44</v>
      </c>
      <c r="I101" s="88"/>
      <c r="J101" s="88"/>
      <c r="K101" s="88"/>
      <c r="L101" s="88">
        <v>76.295000000000002</v>
      </c>
      <c r="M101" s="88"/>
      <c r="N101" s="87">
        <f t="shared" si="42"/>
        <v>1303.7649999999999</v>
      </c>
      <c r="O101" s="98">
        <v>43957</v>
      </c>
      <c r="P101" s="123" t="s">
        <v>45</v>
      </c>
      <c r="Q101" s="132" t="s">
        <v>119</v>
      </c>
    </row>
    <row r="102" spans="1:17" x14ac:dyDescent="0.2">
      <c r="A102" s="80" t="s">
        <v>31</v>
      </c>
      <c r="B102" s="81" t="s">
        <v>72</v>
      </c>
      <c r="C102" s="88">
        <v>1300</v>
      </c>
      <c r="D102" s="88"/>
      <c r="E102" s="88">
        <v>50</v>
      </c>
      <c r="F102" s="88"/>
      <c r="G102" s="87">
        <f>C102+D102+F102+E102</f>
        <v>1350</v>
      </c>
      <c r="H102" s="88">
        <v>13</v>
      </c>
      <c r="I102" s="88"/>
      <c r="J102" s="88"/>
      <c r="K102" s="88"/>
      <c r="L102" s="88">
        <v>67.78</v>
      </c>
      <c r="M102" s="88"/>
      <c r="N102" s="87">
        <f t="shared" si="42"/>
        <v>1269.22</v>
      </c>
      <c r="O102" s="98">
        <v>43957</v>
      </c>
      <c r="P102" s="123" t="s">
        <v>45</v>
      </c>
      <c r="Q102" s="132" t="s">
        <v>119</v>
      </c>
    </row>
    <row r="103" spans="1:17" x14ac:dyDescent="0.2">
      <c r="A103" s="80" t="s">
        <v>69</v>
      </c>
      <c r="B103" s="81" t="s">
        <v>73</v>
      </c>
      <c r="C103" s="88">
        <v>1000</v>
      </c>
      <c r="D103" s="88"/>
      <c r="E103" s="88"/>
      <c r="F103" s="88"/>
      <c r="G103" s="87">
        <f t="shared" ref="G103:G104" si="43">C103+D103+F103</f>
        <v>1000</v>
      </c>
      <c r="H103" s="88">
        <v>10</v>
      </c>
      <c r="I103" s="88"/>
      <c r="J103" s="88"/>
      <c r="K103" s="88"/>
      <c r="L103" s="88"/>
      <c r="M103" s="88"/>
      <c r="N103" s="87">
        <f t="shared" si="42"/>
        <v>990</v>
      </c>
      <c r="O103" s="98">
        <v>43957</v>
      </c>
      <c r="P103" s="123" t="s">
        <v>45</v>
      </c>
      <c r="Q103" s="132" t="s">
        <v>119</v>
      </c>
    </row>
    <row r="104" spans="1:17" ht="13.5" thickBot="1" x14ac:dyDescent="0.25">
      <c r="A104" s="80" t="s">
        <v>79</v>
      </c>
      <c r="B104" s="81" t="s">
        <v>91</v>
      </c>
      <c r="C104" s="88">
        <v>1250</v>
      </c>
      <c r="D104" s="88"/>
      <c r="E104" s="88"/>
      <c r="F104" s="88"/>
      <c r="G104" s="87">
        <f t="shared" si="43"/>
        <v>1250</v>
      </c>
      <c r="H104" s="88">
        <v>12.5</v>
      </c>
      <c r="I104" s="88"/>
      <c r="J104" s="88"/>
      <c r="K104" s="88"/>
      <c r="L104" s="88"/>
      <c r="M104" s="88"/>
      <c r="N104" s="87">
        <f t="shared" si="42"/>
        <v>1237.5</v>
      </c>
      <c r="O104" s="98">
        <v>43957</v>
      </c>
      <c r="P104" s="123" t="s">
        <v>45</v>
      </c>
      <c r="Q104" s="132" t="s">
        <v>119</v>
      </c>
    </row>
    <row r="105" spans="1:17" s="93" customFormat="1" ht="13.5" thickBot="1" x14ac:dyDescent="0.25">
      <c r="A105" s="413" t="s">
        <v>0</v>
      </c>
      <c r="B105" s="414"/>
      <c r="C105" s="106">
        <f t="shared" ref="C105:N105" si="44">SUM(C99:C104)</f>
        <v>9883.4</v>
      </c>
      <c r="D105" s="106">
        <f t="shared" si="44"/>
        <v>0</v>
      </c>
      <c r="E105" s="106">
        <f t="shared" si="44"/>
        <v>640</v>
      </c>
      <c r="F105" s="106">
        <f t="shared" si="44"/>
        <v>624</v>
      </c>
      <c r="G105" s="106">
        <f t="shared" si="44"/>
        <v>10607.4</v>
      </c>
      <c r="H105" s="106">
        <f t="shared" si="44"/>
        <v>96.35499999999999</v>
      </c>
      <c r="I105" s="106">
        <f t="shared" si="44"/>
        <v>588</v>
      </c>
      <c r="J105" s="106">
        <f t="shared" si="44"/>
        <v>-159.5</v>
      </c>
      <c r="K105" s="106">
        <f t="shared" si="44"/>
        <v>624</v>
      </c>
      <c r="L105" s="106">
        <f>SUM(L99:L104)</f>
        <v>402.22500000000002</v>
      </c>
      <c r="M105" s="106">
        <f t="shared" si="44"/>
        <v>1125</v>
      </c>
      <c r="N105" s="106">
        <f t="shared" si="44"/>
        <v>7847.3199999999988</v>
      </c>
      <c r="O105" s="418" t="s">
        <v>0</v>
      </c>
      <c r="P105" s="419"/>
      <c r="Q105" s="132"/>
    </row>
    <row r="106" spans="1:17" x14ac:dyDescent="0.2">
      <c r="A106" s="82" t="s">
        <v>25</v>
      </c>
      <c r="B106" s="83" t="s">
        <v>63</v>
      </c>
      <c r="C106" s="88">
        <v>3966.4</v>
      </c>
      <c r="D106" s="88">
        <v>0</v>
      </c>
      <c r="E106" s="88">
        <v>490</v>
      </c>
      <c r="F106" s="88">
        <v>624</v>
      </c>
      <c r="G106" s="87">
        <f t="shared" ref="G106" si="45">C106+D106+F106</f>
        <v>4590.3999999999996</v>
      </c>
      <c r="H106" s="88">
        <v>37.18</v>
      </c>
      <c r="I106" s="88">
        <v>588</v>
      </c>
      <c r="J106" s="88">
        <v>-159.5</v>
      </c>
      <c r="K106" s="88">
        <v>624</v>
      </c>
      <c r="L106" s="88">
        <v>200.01</v>
      </c>
      <c r="M106" s="88">
        <v>1125</v>
      </c>
      <c r="N106" s="87">
        <f t="shared" si="42"/>
        <v>2041.7099999999991</v>
      </c>
      <c r="O106" s="98">
        <v>43964</v>
      </c>
      <c r="P106" s="125" t="s">
        <v>46</v>
      </c>
      <c r="Q106" s="132" t="s">
        <v>119</v>
      </c>
    </row>
    <row r="107" spans="1:17" x14ac:dyDescent="0.2">
      <c r="A107" s="80" t="s">
        <v>26</v>
      </c>
      <c r="B107" s="81" t="s">
        <v>70</v>
      </c>
      <c r="C107" s="88">
        <v>1023.5</v>
      </c>
      <c r="D107" s="88"/>
      <c r="E107" s="88">
        <v>50</v>
      </c>
      <c r="F107" s="88"/>
      <c r="G107" s="87">
        <f>C107+D107+F107</f>
        <v>1023.5</v>
      </c>
      <c r="H107" s="88">
        <v>10.234999999999999</v>
      </c>
      <c r="I107" s="88"/>
      <c r="J107" s="88"/>
      <c r="K107" s="88"/>
      <c r="L107" s="88">
        <v>58.14</v>
      </c>
      <c r="M107" s="88"/>
      <c r="N107" s="87">
        <f t="shared" si="42"/>
        <v>1005.1250000000001</v>
      </c>
      <c r="O107" s="98">
        <v>43964</v>
      </c>
      <c r="P107" s="125" t="s">
        <v>46</v>
      </c>
      <c r="Q107" s="132" t="s">
        <v>119</v>
      </c>
    </row>
    <row r="108" spans="1:17" x14ac:dyDescent="0.2">
      <c r="A108" s="80" t="s">
        <v>3</v>
      </c>
      <c r="B108" s="81" t="s">
        <v>71</v>
      </c>
      <c r="C108" s="88">
        <v>1343.5</v>
      </c>
      <c r="D108" s="88"/>
      <c r="E108" s="88">
        <v>50</v>
      </c>
      <c r="F108" s="88"/>
      <c r="G108" s="87">
        <f>C108+D108+F108+E108</f>
        <v>1393.5</v>
      </c>
      <c r="H108" s="88">
        <v>13.44</v>
      </c>
      <c r="I108" s="88"/>
      <c r="J108" s="88"/>
      <c r="K108" s="88"/>
      <c r="L108" s="88">
        <v>76.295000000000002</v>
      </c>
      <c r="M108" s="88"/>
      <c r="N108" s="87">
        <f t="shared" si="42"/>
        <v>1303.7649999999999</v>
      </c>
      <c r="O108" s="98">
        <v>43964</v>
      </c>
      <c r="P108" s="125" t="s">
        <v>46</v>
      </c>
      <c r="Q108" s="132" t="s">
        <v>119</v>
      </c>
    </row>
    <row r="109" spans="1:17" x14ac:dyDescent="0.2">
      <c r="A109" s="80" t="s">
        <v>31</v>
      </c>
      <c r="B109" s="81" t="s">
        <v>72</v>
      </c>
      <c r="C109" s="88">
        <v>1300</v>
      </c>
      <c r="D109" s="88"/>
      <c r="E109" s="88">
        <v>50</v>
      </c>
      <c r="F109" s="88"/>
      <c r="G109" s="87">
        <f>C109+D109+F109+E109</f>
        <v>1350</v>
      </c>
      <c r="H109" s="88">
        <v>13</v>
      </c>
      <c r="I109" s="88"/>
      <c r="J109" s="88"/>
      <c r="K109" s="88"/>
      <c r="L109" s="88">
        <v>67.78</v>
      </c>
      <c r="M109" s="88"/>
      <c r="N109" s="87">
        <f t="shared" si="42"/>
        <v>1269.22</v>
      </c>
      <c r="O109" s="98">
        <v>43964</v>
      </c>
      <c r="P109" s="125" t="s">
        <v>46</v>
      </c>
      <c r="Q109" s="132" t="s">
        <v>119</v>
      </c>
    </row>
    <row r="110" spans="1:17" x14ac:dyDescent="0.2">
      <c r="A110" s="80" t="s">
        <v>69</v>
      </c>
      <c r="B110" s="81" t="s">
        <v>73</v>
      </c>
      <c r="C110" s="88">
        <v>1000</v>
      </c>
      <c r="D110" s="88"/>
      <c r="E110" s="88"/>
      <c r="F110" s="88"/>
      <c r="G110" s="87">
        <f t="shared" ref="G110:G111" si="46">C110+D110+F110</f>
        <v>1000</v>
      </c>
      <c r="H110" s="88">
        <v>10</v>
      </c>
      <c r="I110" s="88"/>
      <c r="J110" s="88"/>
      <c r="K110" s="88"/>
      <c r="L110" s="88"/>
      <c r="M110" s="88"/>
      <c r="N110" s="87">
        <f t="shared" ref="N110" si="47">C110+D110+E110-H110-I110-J110-K110-L110-M110</f>
        <v>990</v>
      </c>
      <c r="O110" s="98">
        <v>43964</v>
      </c>
      <c r="P110" s="125" t="s">
        <v>46</v>
      </c>
      <c r="Q110" s="132" t="s">
        <v>119</v>
      </c>
    </row>
    <row r="111" spans="1:17" ht="13.5" thickBot="1" x14ac:dyDescent="0.25">
      <c r="A111" s="80" t="s">
        <v>79</v>
      </c>
      <c r="B111" s="81" t="s">
        <v>91</v>
      </c>
      <c r="C111" s="88">
        <v>1250</v>
      </c>
      <c r="D111" s="88"/>
      <c r="E111" s="88"/>
      <c r="F111" s="88"/>
      <c r="G111" s="87">
        <f t="shared" si="46"/>
        <v>1250</v>
      </c>
      <c r="H111" s="88">
        <v>12.5</v>
      </c>
      <c r="I111" s="88"/>
      <c r="J111" s="88"/>
      <c r="K111" s="88"/>
      <c r="L111" s="88"/>
      <c r="M111" s="88"/>
      <c r="N111" s="87">
        <f t="shared" si="42"/>
        <v>1237.5</v>
      </c>
      <c r="O111" s="98">
        <v>43964</v>
      </c>
      <c r="P111" s="125" t="s">
        <v>46</v>
      </c>
      <c r="Q111" s="132" t="s">
        <v>119</v>
      </c>
    </row>
    <row r="112" spans="1:17" s="93" customFormat="1" ht="13.5" thickBot="1" x14ac:dyDescent="0.25">
      <c r="A112" s="430" t="s">
        <v>0</v>
      </c>
      <c r="B112" s="431"/>
      <c r="C112" s="102">
        <f t="shared" ref="C112:N112" si="48">SUM(C106:C111)</f>
        <v>9883.4</v>
      </c>
      <c r="D112" s="102">
        <f t="shared" si="48"/>
        <v>0</v>
      </c>
      <c r="E112" s="102">
        <f t="shared" si="48"/>
        <v>640</v>
      </c>
      <c r="F112" s="102">
        <f t="shared" si="48"/>
        <v>624</v>
      </c>
      <c r="G112" s="102">
        <f t="shared" si="48"/>
        <v>10607.4</v>
      </c>
      <c r="H112" s="102">
        <f t="shared" si="48"/>
        <v>96.35499999999999</v>
      </c>
      <c r="I112" s="102">
        <f t="shared" si="48"/>
        <v>588</v>
      </c>
      <c r="J112" s="102">
        <f t="shared" si="48"/>
        <v>-159.5</v>
      </c>
      <c r="K112" s="102">
        <f t="shared" si="48"/>
        <v>624</v>
      </c>
      <c r="L112" s="102">
        <f t="shared" si="48"/>
        <v>402.22500000000002</v>
      </c>
      <c r="M112" s="102">
        <f t="shared" si="48"/>
        <v>1125</v>
      </c>
      <c r="N112" s="102">
        <f t="shared" si="48"/>
        <v>7847.3199999999988</v>
      </c>
      <c r="O112" s="423" t="s">
        <v>0</v>
      </c>
      <c r="P112" s="424"/>
      <c r="Q112" s="132"/>
    </row>
    <row r="113" spans="1:17" x14ac:dyDescent="0.2">
      <c r="A113" s="82" t="s">
        <v>25</v>
      </c>
      <c r="B113" s="83" t="s">
        <v>63</v>
      </c>
      <c r="C113" s="88">
        <v>3966.4</v>
      </c>
      <c r="D113" s="88">
        <v>0</v>
      </c>
      <c r="E113" s="88">
        <v>490</v>
      </c>
      <c r="F113" s="88">
        <v>624</v>
      </c>
      <c r="G113" s="87">
        <f t="shared" ref="G113" si="49">C113+D113+F113</f>
        <v>4590.3999999999996</v>
      </c>
      <c r="H113" s="88">
        <v>37.18</v>
      </c>
      <c r="I113" s="88">
        <v>588</v>
      </c>
      <c r="J113" s="88">
        <v>-159.5</v>
      </c>
      <c r="K113" s="88">
        <v>624</v>
      </c>
      <c r="L113" s="88">
        <v>200.01</v>
      </c>
      <c r="M113" s="88">
        <v>1125</v>
      </c>
      <c r="N113" s="87">
        <f t="shared" ref="N113:N118" si="50">C113+D113+E113-H113-I113-J113-K113-L113-M113</f>
        <v>2041.7099999999991</v>
      </c>
      <c r="O113" s="98">
        <v>43971</v>
      </c>
      <c r="P113" s="124" t="s">
        <v>47</v>
      </c>
      <c r="Q113" s="132" t="s">
        <v>119</v>
      </c>
    </row>
    <row r="114" spans="1:17" x14ac:dyDescent="0.2">
      <c r="A114" s="80" t="s">
        <v>26</v>
      </c>
      <c r="B114" s="81" t="s">
        <v>70</v>
      </c>
      <c r="C114" s="88">
        <v>1023.5</v>
      </c>
      <c r="D114" s="88"/>
      <c r="E114" s="88">
        <v>50</v>
      </c>
      <c r="F114" s="88"/>
      <c r="G114" s="87">
        <f>C114+D114+F114</f>
        <v>1023.5</v>
      </c>
      <c r="H114" s="88">
        <v>10.234999999999999</v>
      </c>
      <c r="I114" s="88"/>
      <c r="J114" s="88"/>
      <c r="K114" s="88"/>
      <c r="L114" s="88">
        <v>58.14</v>
      </c>
      <c r="M114" s="88"/>
      <c r="N114" s="87">
        <f t="shared" si="50"/>
        <v>1005.1250000000001</v>
      </c>
      <c r="O114" s="98">
        <v>43971</v>
      </c>
      <c r="P114" s="124" t="s">
        <v>47</v>
      </c>
      <c r="Q114" s="132" t="s">
        <v>119</v>
      </c>
    </row>
    <row r="115" spans="1:17" x14ac:dyDescent="0.2">
      <c r="A115" s="80" t="s">
        <v>3</v>
      </c>
      <c r="B115" s="81" t="s">
        <v>71</v>
      </c>
      <c r="C115" s="88">
        <v>1343.5</v>
      </c>
      <c r="D115" s="88"/>
      <c r="E115" s="88">
        <v>50</v>
      </c>
      <c r="F115" s="88"/>
      <c r="G115" s="87">
        <f>C115+D115+F115+E115</f>
        <v>1393.5</v>
      </c>
      <c r="H115" s="88">
        <v>13.44</v>
      </c>
      <c r="I115" s="88"/>
      <c r="J115" s="88"/>
      <c r="K115" s="88"/>
      <c r="L115" s="88">
        <v>76.295000000000002</v>
      </c>
      <c r="M115" s="88"/>
      <c r="N115" s="87">
        <f t="shared" si="50"/>
        <v>1303.7649999999999</v>
      </c>
      <c r="O115" s="98">
        <v>43971</v>
      </c>
      <c r="P115" s="124" t="s">
        <v>47</v>
      </c>
      <c r="Q115" s="132" t="s">
        <v>119</v>
      </c>
    </row>
    <row r="116" spans="1:17" x14ac:dyDescent="0.2">
      <c r="A116" s="80" t="s">
        <v>31</v>
      </c>
      <c r="B116" s="81" t="s">
        <v>72</v>
      </c>
      <c r="C116" s="88">
        <v>1300</v>
      </c>
      <c r="D116" s="88"/>
      <c r="E116" s="88">
        <v>50</v>
      </c>
      <c r="F116" s="88"/>
      <c r="G116" s="87">
        <f>C116+D116+F116+E116</f>
        <v>1350</v>
      </c>
      <c r="H116" s="88">
        <v>13</v>
      </c>
      <c r="I116" s="88"/>
      <c r="J116" s="88"/>
      <c r="K116" s="88"/>
      <c r="L116" s="88">
        <v>67.78</v>
      </c>
      <c r="M116" s="88"/>
      <c r="N116" s="87">
        <f t="shared" si="50"/>
        <v>1269.22</v>
      </c>
      <c r="O116" s="98">
        <v>43971</v>
      </c>
      <c r="P116" s="124" t="s">
        <v>47</v>
      </c>
      <c r="Q116" s="132" t="s">
        <v>119</v>
      </c>
    </row>
    <row r="117" spans="1:17" x14ac:dyDescent="0.2">
      <c r="A117" s="80" t="s">
        <v>69</v>
      </c>
      <c r="B117" s="81" t="s">
        <v>73</v>
      </c>
      <c r="C117" s="88">
        <v>1000</v>
      </c>
      <c r="D117" s="88"/>
      <c r="E117" s="88"/>
      <c r="F117" s="88"/>
      <c r="G117" s="87">
        <f t="shared" ref="G117:G118" si="51">C117+D117+F117</f>
        <v>1000</v>
      </c>
      <c r="H117" s="88">
        <v>10</v>
      </c>
      <c r="I117" s="88"/>
      <c r="J117" s="88"/>
      <c r="K117" s="88"/>
      <c r="L117" s="88"/>
      <c r="M117" s="88"/>
      <c r="N117" s="87">
        <f t="shared" si="50"/>
        <v>990</v>
      </c>
      <c r="O117" s="98">
        <v>43971</v>
      </c>
      <c r="P117" s="124" t="s">
        <v>47</v>
      </c>
      <c r="Q117" s="132" t="s">
        <v>119</v>
      </c>
    </row>
    <row r="118" spans="1:17" ht="13.5" thickBot="1" x14ac:dyDescent="0.25">
      <c r="A118" s="80" t="s">
        <v>79</v>
      </c>
      <c r="B118" s="81" t="s">
        <v>91</v>
      </c>
      <c r="C118" s="88">
        <v>1250</v>
      </c>
      <c r="D118" s="88"/>
      <c r="E118" s="88"/>
      <c r="F118" s="88"/>
      <c r="G118" s="87">
        <f t="shared" si="51"/>
        <v>1250</v>
      </c>
      <c r="H118" s="88">
        <v>12.5</v>
      </c>
      <c r="I118" s="88"/>
      <c r="J118" s="88"/>
      <c r="K118" s="88"/>
      <c r="L118" s="88"/>
      <c r="M118" s="88"/>
      <c r="N118" s="87">
        <f t="shared" si="50"/>
        <v>1237.5</v>
      </c>
      <c r="O118" s="98">
        <v>43971</v>
      </c>
      <c r="P118" s="124" t="s">
        <v>47</v>
      </c>
      <c r="Q118" s="132" t="s">
        <v>119</v>
      </c>
    </row>
    <row r="119" spans="1:17" s="93" customFormat="1" ht="13.5" thickBot="1" x14ac:dyDescent="0.25">
      <c r="A119" s="445" t="s">
        <v>0</v>
      </c>
      <c r="B119" s="446"/>
      <c r="C119" s="118">
        <f t="shared" ref="C119:N119" si="52">SUM(C113:C118)</f>
        <v>9883.4</v>
      </c>
      <c r="D119" s="118">
        <f t="shared" si="52"/>
        <v>0</v>
      </c>
      <c r="E119" s="118">
        <f t="shared" si="52"/>
        <v>640</v>
      </c>
      <c r="F119" s="118">
        <f t="shared" si="52"/>
        <v>624</v>
      </c>
      <c r="G119" s="118">
        <f t="shared" si="52"/>
        <v>10607.4</v>
      </c>
      <c r="H119" s="118">
        <f t="shared" si="52"/>
        <v>96.35499999999999</v>
      </c>
      <c r="I119" s="118">
        <f t="shared" si="52"/>
        <v>588</v>
      </c>
      <c r="J119" s="118">
        <f t="shared" si="52"/>
        <v>-159.5</v>
      </c>
      <c r="K119" s="118">
        <f t="shared" si="52"/>
        <v>624</v>
      </c>
      <c r="L119" s="118">
        <f t="shared" si="52"/>
        <v>402.22500000000002</v>
      </c>
      <c r="M119" s="118">
        <f t="shared" si="52"/>
        <v>1125</v>
      </c>
      <c r="N119" s="118">
        <f t="shared" si="52"/>
        <v>7847.3199999999988</v>
      </c>
      <c r="O119" s="447" t="s">
        <v>0</v>
      </c>
      <c r="P119" s="448"/>
      <c r="Q119" s="132"/>
    </row>
    <row r="120" spans="1:17" x14ac:dyDescent="0.2">
      <c r="A120" s="82" t="s">
        <v>25</v>
      </c>
      <c r="B120" s="83" t="s">
        <v>63</v>
      </c>
      <c r="C120" s="88">
        <v>3966.4</v>
      </c>
      <c r="D120" s="88">
        <v>0</v>
      </c>
      <c r="E120" s="88">
        <v>490</v>
      </c>
      <c r="F120" s="88">
        <v>624</v>
      </c>
      <c r="G120" s="87">
        <f t="shared" ref="G120" si="53">C120+D120+F120</f>
        <v>4590.3999999999996</v>
      </c>
      <c r="H120" s="88">
        <v>37.18</v>
      </c>
      <c r="I120" s="88">
        <v>588</v>
      </c>
      <c r="J120" s="88">
        <v>-159.5</v>
      </c>
      <c r="K120" s="88">
        <v>624</v>
      </c>
      <c r="L120" s="88">
        <v>200.01</v>
      </c>
      <c r="M120" s="88">
        <v>1125</v>
      </c>
      <c r="N120" s="87">
        <f t="shared" ref="N120:N125" si="54">C120+D120+E120-H120-I120-J120-K120-L120-M120</f>
        <v>2041.7099999999991</v>
      </c>
      <c r="O120" s="98">
        <v>43978</v>
      </c>
      <c r="P120" s="119" t="s">
        <v>48</v>
      </c>
      <c r="Q120" s="132" t="s">
        <v>119</v>
      </c>
    </row>
    <row r="121" spans="1:17" x14ac:dyDescent="0.2">
      <c r="A121" s="80" t="s">
        <v>26</v>
      </c>
      <c r="B121" s="81" t="s">
        <v>70</v>
      </c>
      <c r="C121" s="88">
        <v>1023.5</v>
      </c>
      <c r="D121" s="88"/>
      <c r="E121" s="88">
        <v>50</v>
      </c>
      <c r="F121" s="88"/>
      <c r="G121" s="87">
        <f>C121+D121+F121</f>
        <v>1023.5</v>
      </c>
      <c r="H121" s="88">
        <v>10.234999999999999</v>
      </c>
      <c r="I121" s="88"/>
      <c r="J121" s="88"/>
      <c r="K121" s="88"/>
      <c r="L121" s="88">
        <v>58.14</v>
      </c>
      <c r="M121" s="88"/>
      <c r="N121" s="87">
        <f t="shared" si="54"/>
        <v>1005.1250000000001</v>
      </c>
      <c r="O121" s="98">
        <v>43978</v>
      </c>
      <c r="P121" s="119" t="s">
        <v>48</v>
      </c>
      <c r="Q121" s="132" t="s">
        <v>119</v>
      </c>
    </row>
    <row r="122" spans="1:17" x14ac:dyDescent="0.2">
      <c r="A122" s="80" t="s">
        <v>3</v>
      </c>
      <c r="B122" s="81" t="s">
        <v>71</v>
      </c>
      <c r="C122" s="88">
        <v>1343.5</v>
      </c>
      <c r="D122" s="88"/>
      <c r="E122" s="88">
        <v>50</v>
      </c>
      <c r="F122" s="88"/>
      <c r="G122" s="87">
        <f>C122+D122+F122+E122</f>
        <v>1393.5</v>
      </c>
      <c r="H122" s="88">
        <v>13.44</v>
      </c>
      <c r="I122" s="88"/>
      <c r="J122" s="88"/>
      <c r="K122" s="88"/>
      <c r="L122" s="88">
        <v>76.295000000000002</v>
      </c>
      <c r="M122" s="88"/>
      <c r="N122" s="87">
        <f t="shared" si="54"/>
        <v>1303.7649999999999</v>
      </c>
      <c r="O122" s="98">
        <v>43978</v>
      </c>
      <c r="P122" s="119" t="s">
        <v>48</v>
      </c>
      <c r="Q122" s="132" t="s">
        <v>119</v>
      </c>
    </row>
    <row r="123" spans="1:17" x14ac:dyDescent="0.2">
      <c r="A123" s="80" t="s">
        <v>31</v>
      </c>
      <c r="B123" s="81" t="s">
        <v>72</v>
      </c>
      <c r="C123" s="88">
        <v>1300</v>
      </c>
      <c r="D123" s="88"/>
      <c r="E123" s="88">
        <v>50</v>
      </c>
      <c r="F123" s="88"/>
      <c r="G123" s="87">
        <f>C123+D123+F123+E123</f>
        <v>1350</v>
      </c>
      <c r="H123" s="88">
        <v>13</v>
      </c>
      <c r="I123" s="88"/>
      <c r="J123" s="88"/>
      <c r="K123" s="88"/>
      <c r="L123" s="88">
        <v>67.78</v>
      </c>
      <c r="M123" s="88"/>
      <c r="N123" s="87">
        <f t="shared" si="54"/>
        <v>1269.22</v>
      </c>
      <c r="O123" s="98">
        <v>43978</v>
      </c>
      <c r="P123" s="119" t="s">
        <v>48</v>
      </c>
      <c r="Q123" s="132" t="s">
        <v>119</v>
      </c>
    </row>
    <row r="124" spans="1:17" x14ac:dyDescent="0.2">
      <c r="A124" s="80" t="s">
        <v>69</v>
      </c>
      <c r="B124" s="81" t="s">
        <v>73</v>
      </c>
      <c r="C124" s="88">
        <v>1000</v>
      </c>
      <c r="D124" s="88"/>
      <c r="E124" s="88"/>
      <c r="F124" s="88"/>
      <c r="G124" s="87">
        <f t="shared" ref="G124:G125" si="55">C124+D124+F124</f>
        <v>1000</v>
      </c>
      <c r="H124" s="88">
        <v>10</v>
      </c>
      <c r="I124" s="88"/>
      <c r="J124" s="88"/>
      <c r="K124" s="88"/>
      <c r="L124" s="88"/>
      <c r="M124" s="88"/>
      <c r="N124" s="87">
        <f t="shared" si="54"/>
        <v>990</v>
      </c>
      <c r="O124" s="98">
        <v>43978</v>
      </c>
      <c r="P124" s="119" t="s">
        <v>48</v>
      </c>
      <c r="Q124" s="132" t="s">
        <v>119</v>
      </c>
    </row>
    <row r="125" spans="1:17" ht="13.5" thickBot="1" x14ac:dyDescent="0.25">
      <c r="A125" s="80" t="s">
        <v>79</v>
      </c>
      <c r="B125" s="81" t="s">
        <v>91</v>
      </c>
      <c r="C125" s="88">
        <v>1250</v>
      </c>
      <c r="D125" s="88"/>
      <c r="E125" s="88"/>
      <c r="F125" s="88"/>
      <c r="G125" s="87">
        <f t="shared" si="55"/>
        <v>1250</v>
      </c>
      <c r="H125" s="88">
        <v>12.5</v>
      </c>
      <c r="I125" s="88"/>
      <c r="J125" s="88"/>
      <c r="K125" s="88"/>
      <c r="L125" s="88"/>
      <c r="M125" s="88"/>
      <c r="N125" s="87">
        <f t="shared" si="54"/>
        <v>1237.5</v>
      </c>
      <c r="O125" s="98">
        <v>43978</v>
      </c>
      <c r="P125" s="119" t="s">
        <v>48</v>
      </c>
      <c r="Q125" s="132" t="s">
        <v>119</v>
      </c>
    </row>
    <row r="126" spans="1:17" s="93" customFormat="1" ht="13.5" thickBot="1" x14ac:dyDescent="0.25">
      <c r="A126" s="440" t="s">
        <v>0</v>
      </c>
      <c r="B126" s="441"/>
      <c r="C126" s="110">
        <f t="shared" ref="C126:N126" si="56">SUM(C120:C125)</f>
        <v>9883.4</v>
      </c>
      <c r="D126" s="110">
        <f t="shared" si="56"/>
        <v>0</v>
      </c>
      <c r="E126" s="110">
        <f t="shared" si="56"/>
        <v>640</v>
      </c>
      <c r="F126" s="110">
        <f t="shared" si="56"/>
        <v>624</v>
      </c>
      <c r="G126" s="110">
        <f t="shared" si="56"/>
        <v>10607.4</v>
      </c>
      <c r="H126" s="110">
        <f t="shared" si="56"/>
        <v>96.35499999999999</v>
      </c>
      <c r="I126" s="110">
        <f t="shared" si="56"/>
        <v>588</v>
      </c>
      <c r="J126" s="110">
        <f t="shared" si="56"/>
        <v>-159.5</v>
      </c>
      <c r="K126" s="110">
        <f t="shared" si="56"/>
        <v>624</v>
      </c>
      <c r="L126" s="110">
        <f t="shared" si="56"/>
        <v>402.22500000000002</v>
      </c>
      <c r="M126" s="110">
        <f t="shared" si="56"/>
        <v>1125</v>
      </c>
      <c r="N126" s="110">
        <f t="shared" si="56"/>
        <v>7847.3199999999988</v>
      </c>
      <c r="O126" s="442" t="s">
        <v>0</v>
      </c>
      <c r="P126" s="443"/>
      <c r="Q126" s="132"/>
    </row>
    <row r="127" spans="1:17" s="140" customFormat="1" ht="13.5" thickBot="1" x14ac:dyDescent="0.25">
      <c r="A127" s="401" t="s">
        <v>88</v>
      </c>
      <c r="B127" s="402"/>
      <c r="C127" s="157">
        <f t="shared" ref="C127:N127" si="57">C126+C119+C112+C105</f>
        <v>39533.599999999999</v>
      </c>
      <c r="D127" s="157">
        <f t="shared" si="57"/>
        <v>0</v>
      </c>
      <c r="E127" s="157">
        <f t="shared" si="57"/>
        <v>2560</v>
      </c>
      <c r="F127" s="157">
        <f t="shared" si="57"/>
        <v>2496</v>
      </c>
      <c r="G127" s="157">
        <f t="shared" si="57"/>
        <v>42429.599999999999</v>
      </c>
      <c r="H127" s="157">
        <f t="shared" si="57"/>
        <v>385.41999999999996</v>
      </c>
      <c r="I127" s="157">
        <f t="shared" si="57"/>
        <v>2352</v>
      </c>
      <c r="J127" s="157">
        <f t="shared" si="57"/>
        <v>-638</v>
      </c>
      <c r="K127" s="157">
        <f t="shared" si="57"/>
        <v>2496</v>
      </c>
      <c r="L127" s="157">
        <f t="shared" si="57"/>
        <v>1608.9</v>
      </c>
      <c r="M127" s="157">
        <f t="shared" si="57"/>
        <v>4500</v>
      </c>
      <c r="N127" s="157">
        <f t="shared" si="57"/>
        <v>31389.279999999995</v>
      </c>
      <c r="O127" s="144"/>
      <c r="P127" s="144"/>
      <c r="Q127" s="139"/>
    </row>
    <row r="128" spans="1:17" s="162" customFormat="1" x14ac:dyDescent="0.2">
      <c r="A128" s="159" t="s">
        <v>8</v>
      </c>
      <c r="B128" s="165" t="s">
        <v>96</v>
      </c>
      <c r="C128" s="160">
        <v>13502</v>
      </c>
      <c r="D128" s="160"/>
      <c r="E128" s="160"/>
      <c r="F128" s="160">
        <v>5624</v>
      </c>
      <c r="G128" s="87">
        <f t="shared" ref="G128:G130" si="58">C128+D128+F128</f>
        <v>19126</v>
      </c>
      <c r="H128" s="160"/>
      <c r="I128" s="160">
        <v>2355</v>
      </c>
      <c r="J128" s="160">
        <v>-853</v>
      </c>
      <c r="K128" s="160"/>
      <c r="L128" s="160"/>
      <c r="M128" s="160"/>
      <c r="N128" s="168">
        <f t="shared" si="42"/>
        <v>12000</v>
      </c>
      <c r="O128" s="169"/>
      <c r="P128" s="170"/>
      <c r="Q128" s="161"/>
    </row>
    <row r="129" spans="1:17" s="162" customFormat="1" x14ac:dyDescent="0.2">
      <c r="A129" s="159" t="s">
        <v>27</v>
      </c>
      <c r="B129" s="165" t="s">
        <v>97</v>
      </c>
      <c r="C129" s="163">
        <v>13717</v>
      </c>
      <c r="D129" s="163"/>
      <c r="E129" s="163"/>
      <c r="F129" s="163">
        <v>5409</v>
      </c>
      <c r="G129" s="87">
        <f t="shared" si="58"/>
        <v>19126</v>
      </c>
      <c r="H129" s="163"/>
      <c r="I129" s="163">
        <v>2355</v>
      </c>
      <c r="J129" s="163">
        <v>-638</v>
      </c>
      <c r="K129" s="163"/>
      <c r="L129" s="163"/>
      <c r="M129" s="163"/>
      <c r="N129" s="168">
        <f t="shared" si="42"/>
        <v>12000</v>
      </c>
      <c r="O129" s="169"/>
      <c r="P129" s="170"/>
      <c r="Q129" s="161"/>
    </row>
    <row r="130" spans="1:17" s="162" customFormat="1" ht="13.5" thickBot="1" x14ac:dyDescent="0.25">
      <c r="A130" s="159" t="s">
        <v>6</v>
      </c>
      <c r="B130" s="165" t="s">
        <v>98</v>
      </c>
      <c r="C130" s="164">
        <v>12643.72</v>
      </c>
      <c r="D130" s="164"/>
      <c r="E130" s="164"/>
      <c r="F130" s="164">
        <v>2812</v>
      </c>
      <c r="G130" s="87">
        <f t="shared" si="58"/>
        <v>15455.72</v>
      </c>
      <c r="H130" s="164">
        <v>148.72</v>
      </c>
      <c r="I130" s="164">
        <v>1536</v>
      </c>
      <c r="J130" s="164">
        <v>-853</v>
      </c>
      <c r="K130" s="164">
        <v>2812</v>
      </c>
      <c r="L130" s="164"/>
      <c r="M130" s="164"/>
      <c r="N130" s="168">
        <f t="shared" si="42"/>
        <v>9000</v>
      </c>
      <c r="O130" s="169"/>
      <c r="P130" s="170"/>
      <c r="Q130" s="161"/>
    </row>
    <row r="131" spans="1:17" s="131" customFormat="1" ht="13.5" thickBot="1" x14ac:dyDescent="0.25">
      <c r="A131" s="415" t="s">
        <v>89</v>
      </c>
      <c r="B131" s="416"/>
      <c r="C131" s="158">
        <f>SUM(C128:C130)</f>
        <v>39862.720000000001</v>
      </c>
      <c r="D131" s="158">
        <f t="shared" ref="D131:N131" si="59">SUM(D128:D130)</f>
        <v>0</v>
      </c>
      <c r="E131" s="158">
        <f t="shared" si="59"/>
        <v>0</v>
      </c>
      <c r="F131" s="158">
        <f t="shared" si="59"/>
        <v>13845</v>
      </c>
      <c r="G131" s="158">
        <f t="shared" si="59"/>
        <v>53707.72</v>
      </c>
      <c r="H131" s="158">
        <f t="shared" si="59"/>
        <v>148.72</v>
      </c>
      <c r="I131" s="158">
        <f>SUM(I128:I130)</f>
        <v>6246</v>
      </c>
      <c r="J131" s="158">
        <f t="shared" si="59"/>
        <v>-2344</v>
      </c>
      <c r="K131" s="158">
        <f t="shared" si="59"/>
        <v>2812</v>
      </c>
      <c r="L131" s="158">
        <f t="shared" si="59"/>
        <v>0</v>
      </c>
      <c r="M131" s="158">
        <f t="shared" si="59"/>
        <v>0</v>
      </c>
      <c r="N131" s="158">
        <f t="shared" si="59"/>
        <v>33000</v>
      </c>
      <c r="O131" s="130"/>
      <c r="P131" s="130"/>
      <c r="Q131" s="134"/>
    </row>
    <row r="132" spans="1:17" s="131" customFormat="1" ht="13.5" thickBot="1" x14ac:dyDescent="0.25">
      <c r="A132" s="417" t="s">
        <v>90</v>
      </c>
      <c r="B132" s="417"/>
      <c r="C132" s="141"/>
      <c r="D132" s="141"/>
      <c r="E132" s="141"/>
      <c r="F132" s="141"/>
      <c r="G132" s="141"/>
      <c r="H132" s="147">
        <f>(H127+H131)*2</f>
        <v>1068.28</v>
      </c>
      <c r="I132" s="145">
        <f>I127+I131</f>
        <v>8598</v>
      </c>
      <c r="J132" s="148">
        <f>J127+J131</f>
        <v>-2982</v>
      </c>
      <c r="K132" s="141"/>
      <c r="L132" s="141"/>
      <c r="M132" s="141"/>
      <c r="N132" s="141">
        <f>9000+11000+12000</f>
        <v>32000</v>
      </c>
      <c r="O132" s="130"/>
      <c r="P132" s="130"/>
      <c r="Q132" s="143"/>
    </row>
    <row r="133" spans="1:17" s="131" customFormat="1" ht="13.5" thickBot="1" x14ac:dyDescent="0.25">
      <c r="A133" s="153"/>
      <c r="B133" s="153"/>
      <c r="C133" s="141"/>
      <c r="D133" s="141"/>
      <c r="E133" s="141"/>
      <c r="F133" s="141"/>
      <c r="G133" s="141"/>
      <c r="H133" s="141"/>
      <c r="I133" s="425">
        <f>I132+J132</f>
        <v>5616</v>
      </c>
      <c r="J133" s="426"/>
      <c r="K133" s="141"/>
      <c r="L133" s="141"/>
      <c r="M133" s="141"/>
      <c r="N133" s="141"/>
      <c r="O133" s="130"/>
      <c r="P133" s="130"/>
      <c r="Q133" s="143"/>
    </row>
    <row r="134" spans="1:17" s="131" customFormat="1" ht="13.5" thickBot="1" x14ac:dyDescent="0.25">
      <c r="A134" s="153"/>
      <c r="B134" s="153"/>
      <c r="C134" s="141"/>
      <c r="D134" s="141"/>
      <c r="E134" s="141"/>
      <c r="F134" s="141"/>
      <c r="G134" s="141"/>
      <c r="H134" s="427">
        <f>SUM(H132:J132)</f>
        <v>6684.2800000000007</v>
      </c>
      <c r="I134" s="428"/>
      <c r="J134" s="429"/>
      <c r="K134" s="141"/>
      <c r="L134" s="141"/>
      <c r="M134" s="141"/>
      <c r="N134" s="141"/>
      <c r="O134" s="130"/>
      <c r="P134" s="130"/>
      <c r="Q134" s="143"/>
    </row>
    <row r="135" spans="1:17" s="142" customFormat="1" ht="13.5" thickBot="1" x14ac:dyDescent="0.25">
      <c r="A135" s="129"/>
      <c r="B135" s="129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30"/>
      <c r="P135" s="130"/>
      <c r="Q135" s="129"/>
    </row>
    <row r="136" spans="1:17" s="78" customFormat="1" ht="13.5" thickBot="1" x14ac:dyDescent="0.25">
      <c r="A136" s="398" t="s">
        <v>136</v>
      </c>
      <c r="B136" s="399"/>
      <c r="C136" s="399"/>
      <c r="D136" s="399"/>
      <c r="E136" s="399"/>
      <c r="F136" s="399"/>
      <c r="G136" s="399"/>
      <c r="H136" s="399"/>
      <c r="I136" s="399"/>
      <c r="J136" s="399"/>
      <c r="K136" s="399"/>
      <c r="L136" s="399"/>
      <c r="M136" s="399"/>
      <c r="N136" s="399"/>
      <c r="O136" s="399"/>
      <c r="P136" s="399"/>
      <c r="Q136" s="400"/>
    </row>
    <row r="137" spans="1:17" s="78" customFormat="1" ht="13.5" thickBot="1" x14ac:dyDescent="0.25">
      <c r="A137" s="84" t="s">
        <v>64</v>
      </c>
      <c r="B137" s="85" t="s">
        <v>1</v>
      </c>
      <c r="C137" s="86" t="s">
        <v>56</v>
      </c>
      <c r="D137" s="86" t="s">
        <v>57</v>
      </c>
      <c r="E137" s="86" t="s">
        <v>67</v>
      </c>
      <c r="F137" s="86" t="s">
        <v>62</v>
      </c>
      <c r="G137" s="86" t="s">
        <v>74</v>
      </c>
      <c r="H137" s="86" t="s">
        <v>59</v>
      </c>
      <c r="I137" s="86" t="s">
        <v>60</v>
      </c>
      <c r="J137" s="86" t="s">
        <v>66</v>
      </c>
      <c r="K137" s="86" t="s">
        <v>62</v>
      </c>
      <c r="L137" s="86" t="s">
        <v>58</v>
      </c>
      <c r="M137" s="86" t="s">
        <v>61</v>
      </c>
      <c r="N137" s="86" t="s">
        <v>2</v>
      </c>
      <c r="O137" s="91" t="s">
        <v>65</v>
      </c>
      <c r="P137" s="92" t="s">
        <v>68</v>
      </c>
      <c r="Q137" s="135" t="s">
        <v>87</v>
      </c>
    </row>
    <row r="138" spans="1:17" x14ac:dyDescent="0.2">
      <c r="A138" s="82" t="s">
        <v>25</v>
      </c>
      <c r="B138" s="83" t="s">
        <v>63</v>
      </c>
      <c r="C138" s="88">
        <v>3966.4</v>
      </c>
      <c r="D138" s="88">
        <v>0</v>
      </c>
      <c r="E138" s="88">
        <v>490</v>
      </c>
      <c r="F138" s="88">
        <v>624</v>
      </c>
      <c r="G138" s="87">
        <f t="shared" ref="G138" si="60">C138+D138+F138</f>
        <v>4590.3999999999996</v>
      </c>
      <c r="H138" s="88">
        <v>37.18</v>
      </c>
      <c r="I138" s="88">
        <v>588</v>
      </c>
      <c r="J138" s="88">
        <v>-159.5</v>
      </c>
      <c r="K138" s="88">
        <v>624</v>
      </c>
      <c r="L138" s="88">
        <v>200.01</v>
      </c>
      <c r="M138" s="88">
        <v>1125</v>
      </c>
      <c r="N138" s="87">
        <f t="shared" ref="N138:N143" si="61">C138+D138+E138-H138-I138-J138-K138-L138-M138</f>
        <v>2041.7099999999991</v>
      </c>
      <c r="O138" s="98">
        <v>43985</v>
      </c>
      <c r="P138" s="120" t="s">
        <v>49</v>
      </c>
      <c r="Q138" s="132" t="s">
        <v>136</v>
      </c>
    </row>
    <row r="139" spans="1:17" x14ac:dyDescent="0.2">
      <c r="A139" s="80" t="s">
        <v>26</v>
      </c>
      <c r="B139" s="81" t="s">
        <v>70</v>
      </c>
      <c r="C139" s="88">
        <v>1023.5</v>
      </c>
      <c r="D139" s="88"/>
      <c r="E139" s="88">
        <v>50</v>
      </c>
      <c r="F139" s="88"/>
      <c r="G139" s="87">
        <f>C139+D139+F139</f>
        <v>1023.5</v>
      </c>
      <c r="H139" s="88">
        <v>10.234999999999999</v>
      </c>
      <c r="I139" s="88"/>
      <c r="J139" s="88"/>
      <c r="K139" s="88"/>
      <c r="L139" s="88">
        <v>58.14</v>
      </c>
      <c r="M139" s="88"/>
      <c r="N139" s="87">
        <f t="shared" si="61"/>
        <v>1005.1250000000001</v>
      </c>
      <c r="O139" s="98">
        <v>43985</v>
      </c>
      <c r="P139" s="120" t="s">
        <v>49</v>
      </c>
      <c r="Q139" s="132" t="s">
        <v>136</v>
      </c>
    </row>
    <row r="140" spans="1:17" x14ac:dyDescent="0.2">
      <c r="A140" s="80" t="s">
        <v>3</v>
      </c>
      <c r="B140" s="81" t="s">
        <v>71</v>
      </c>
      <c r="C140" s="88">
        <v>1343.5</v>
      </c>
      <c r="D140" s="88"/>
      <c r="E140" s="88">
        <v>50</v>
      </c>
      <c r="F140" s="88"/>
      <c r="G140" s="87">
        <f>C140+D140+F140+E140</f>
        <v>1393.5</v>
      </c>
      <c r="H140" s="88">
        <v>13.44</v>
      </c>
      <c r="I140" s="88"/>
      <c r="J140" s="88"/>
      <c r="K140" s="88"/>
      <c r="L140" s="88">
        <v>76.295000000000002</v>
      </c>
      <c r="M140" s="88"/>
      <c r="N140" s="87">
        <f t="shared" si="61"/>
        <v>1303.7649999999999</v>
      </c>
      <c r="O140" s="98">
        <v>43985</v>
      </c>
      <c r="P140" s="120" t="s">
        <v>49</v>
      </c>
      <c r="Q140" s="132" t="s">
        <v>136</v>
      </c>
    </row>
    <row r="141" spans="1:17" x14ac:dyDescent="0.2">
      <c r="A141" s="80" t="s">
        <v>31</v>
      </c>
      <c r="B141" s="81" t="s">
        <v>72</v>
      </c>
      <c r="C141" s="88">
        <v>1300</v>
      </c>
      <c r="D141" s="88"/>
      <c r="E141" s="88">
        <v>50</v>
      </c>
      <c r="F141" s="88"/>
      <c r="G141" s="87">
        <f>C141+D141+F141+E141</f>
        <v>1350</v>
      </c>
      <c r="H141" s="88">
        <v>13</v>
      </c>
      <c r="I141" s="88"/>
      <c r="J141" s="88"/>
      <c r="K141" s="88"/>
      <c r="L141" s="88">
        <v>67.78</v>
      </c>
      <c r="M141" s="88"/>
      <c r="N141" s="87">
        <f t="shared" si="61"/>
        <v>1269.22</v>
      </c>
      <c r="O141" s="98">
        <v>43985</v>
      </c>
      <c r="P141" s="120" t="s">
        <v>49</v>
      </c>
      <c r="Q141" s="132" t="s">
        <v>136</v>
      </c>
    </row>
    <row r="142" spans="1:17" x14ac:dyDescent="0.2">
      <c r="A142" s="80" t="s">
        <v>69</v>
      </c>
      <c r="B142" s="81" t="s">
        <v>73</v>
      </c>
      <c r="C142" s="88">
        <v>1000</v>
      </c>
      <c r="D142" s="88"/>
      <c r="E142" s="88"/>
      <c r="F142" s="88"/>
      <c r="G142" s="87">
        <f t="shared" ref="G142:G143" si="62">C142+D142+F142</f>
        <v>1000</v>
      </c>
      <c r="H142" s="88">
        <v>10</v>
      </c>
      <c r="I142" s="88"/>
      <c r="J142" s="88"/>
      <c r="K142" s="88"/>
      <c r="L142" s="88"/>
      <c r="M142" s="88"/>
      <c r="N142" s="87">
        <f t="shared" si="61"/>
        <v>990</v>
      </c>
      <c r="O142" s="98">
        <v>43985</v>
      </c>
      <c r="P142" s="120" t="s">
        <v>49</v>
      </c>
      <c r="Q142" s="132" t="s">
        <v>136</v>
      </c>
    </row>
    <row r="143" spans="1:17" ht="13.5" thickBot="1" x14ac:dyDescent="0.25">
      <c r="A143" s="80" t="s">
        <v>79</v>
      </c>
      <c r="B143" s="81" t="s">
        <v>91</v>
      </c>
      <c r="C143" s="88">
        <v>1250</v>
      </c>
      <c r="D143" s="88"/>
      <c r="E143" s="88"/>
      <c r="F143" s="88"/>
      <c r="G143" s="87">
        <f t="shared" si="62"/>
        <v>1250</v>
      </c>
      <c r="H143" s="88">
        <v>12.5</v>
      </c>
      <c r="I143" s="88"/>
      <c r="J143" s="88"/>
      <c r="K143" s="88"/>
      <c r="L143" s="88"/>
      <c r="M143" s="88"/>
      <c r="N143" s="87">
        <f t="shared" si="61"/>
        <v>1237.5</v>
      </c>
      <c r="O143" s="98">
        <v>43985</v>
      </c>
      <c r="P143" s="120" t="s">
        <v>49</v>
      </c>
      <c r="Q143" s="132" t="s">
        <v>136</v>
      </c>
    </row>
    <row r="144" spans="1:17" s="93" customFormat="1" ht="13.5" thickBot="1" x14ac:dyDescent="0.25">
      <c r="A144" s="403" t="s">
        <v>0</v>
      </c>
      <c r="B144" s="404"/>
      <c r="C144" s="114">
        <f t="shared" ref="C144:N144" si="63">SUM(C138:C143)</f>
        <v>9883.4</v>
      </c>
      <c r="D144" s="114">
        <f t="shared" si="63"/>
        <v>0</v>
      </c>
      <c r="E144" s="114">
        <f t="shared" si="63"/>
        <v>640</v>
      </c>
      <c r="F144" s="114">
        <f t="shared" si="63"/>
        <v>624</v>
      </c>
      <c r="G144" s="114">
        <f t="shared" si="63"/>
        <v>10607.4</v>
      </c>
      <c r="H144" s="114">
        <f t="shared" si="63"/>
        <v>96.35499999999999</v>
      </c>
      <c r="I144" s="114">
        <f t="shared" si="63"/>
        <v>588</v>
      </c>
      <c r="J144" s="114">
        <f t="shared" si="63"/>
        <v>-159.5</v>
      </c>
      <c r="K144" s="114">
        <f t="shared" si="63"/>
        <v>624</v>
      </c>
      <c r="L144" s="114">
        <f t="shared" si="63"/>
        <v>402.22500000000002</v>
      </c>
      <c r="M144" s="114">
        <f t="shared" si="63"/>
        <v>1125</v>
      </c>
      <c r="N144" s="114">
        <f t="shared" si="63"/>
        <v>7847.3199999999988</v>
      </c>
      <c r="O144" s="405" t="s">
        <v>0</v>
      </c>
      <c r="P144" s="406"/>
      <c r="Q144" s="132"/>
    </row>
    <row r="145" spans="1:17" x14ac:dyDescent="0.2">
      <c r="A145" s="82" t="s">
        <v>25</v>
      </c>
      <c r="B145" s="83" t="s">
        <v>63</v>
      </c>
      <c r="C145" s="88">
        <v>3966.4</v>
      </c>
      <c r="D145" s="88">
        <v>0</v>
      </c>
      <c r="E145" s="88">
        <v>490</v>
      </c>
      <c r="F145" s="88">
        <v>624</v>
      </c>
      <c r="G145" s="87">
        <f t="shared" ref="G145" si="64">C145+D145+F145</f>
        <v>4590.3999999999996</v>
      </c>
      <c r="H145" s="88">
        <v>37.18</v>
      </c>
      <c r="I145" s="88">
        <v>588</v>
      </c>
      <c r="J145" s="88">
        <v>-159.5</v>
      </c>
      <c r="K145" s="88">
        <v>624</v>
      </c>
      <c r="L145" s="88">
        <v>200.01</v>
      </c>
      <c r="M145" s="88">
        <v>1125</v>
      </c>
      <c r="N145" s="87">
        <f t="shared" ref="N145:N150" si="65">C145+D145+E145-H145-I145-J145-K145-L145-M145</f>
        <v>2041.7099999999991</v>
      </c>
      <c r="O145" s="98">
        <v>43992</v>
      </c>
      <c r="P145" s="121" t="s">
        <v>50</v>
      </c>
      <c r="Q145" s="132" t="s">
        <v>136</v>
      </c>
    </row>
    <row r="146" spans="1:17" x14ac:dyDescent="0.2">
      <c r="A146" s="80" t="s">
        <v>26</v>
      </c>
      <c r="B146" s="81" t="s">
        <v>70</v>
      </c>
      <c r="C146" s="88">
        <v>1023.5</v>
      </c>
      <c r="D146" s="88"/>
      <c r="E146" s="88">
        <v>50</v>
      </c>
      <c r="F146" s="88"/>
      <c r="G146" s="87">
        <f>C146+D146+F146</f>
        <v>1023.5</v>
      </c>
      <c r="H146" s="88">
        <v>10.234999999999999</v>
      </c>
      <c r="I146" s="88"/>
      <c r="J146" s="88"/>
      <c r="K146" s="88"/>
      <c r="L146" s="88">
        <v>58.14</v>
      </c>
      <c r="M146" s="88"/>
      <c r="N146" s="87">
        <f t="shared" si="65"/>
        <v>1005.1250000000001</v>
      </c>
      <c r="O146" s="98">
        <v>43992</v>
      </c>
      <c r="P146" s="121" t="s">
        <v>50</v>
      </c>
      <c r="Q146" s="132" t="s">
        <v>136</v>
      </c>
    </row>
    <row r="147" spans="1:17" x14ac:dyDescent="0.2">
      <c r="A147" s="80" t="s">
        <v>3</v>
      </c>
      <c r="B147" s="81" t="s">
        <v>71</v>
      </c>
      <c r="C147" s="88">
        <v>1343.5</v>
      </c>
      <c r="D147" s="88"/>
      <c r="E147" s="88">
        <v>50</v>
      </c>
      <c r="F147" s="88"/>
      <c r="G147" s="87">
        <f>C147+D147+F147+E147</f>
        <v>1393.5</v>
      </c>
      <c r="H147" s="88">
        <v>13.44</v>
      </c>
      <c r="I147" s="88"/>
      <c r="J147" s="88"/>
      <c r="K147" s="88"/>
      <c r="L147" s="88">
        <v>76.295000000000002</v>
      </c>
      <c r="M147" s="88"/>
      <c r="N147" s="87">
        <f t="shared" si="65"/>
        <v>1303.7649999999999</v>
      </c>
      <c r="O147" s="98">
        <v>43992</v>
      </c>
      <c r="P147" s="121" t="s">
        <v>50</v>
      </c>
      <c r="Q147" s="132" t="s">
        <v>136</v>
      </c>
    </row>
    <row r="148" spans="1:17" x14ac:dyDescent="0.2">
      <c r="A148" s="80" t="s">
        <v>31</v>
      </c>
      <c r="B148" s="81" t="s">
        <v>72</v>
      </c>
      <c r="C148" s="88">
        <v>1300</v>
      </c>
      <c r="D148" s="88"/>
      <c r="E148" s="88">
        <v>50</v>
      </c>
      <c r="F148" s="88"/>
      <c r="G148" s="87">
        <f>C148+D148+F148+E148</f>
        <v>1350</v>
      </c>
      <c r="H148" s="88">
        <v>13</v>
      </c>
      <c r="I148" s="88"/>
      <c r="J148" s="88"/>
      <c r="K148" s="88"/>
      <c r="L148" s="88">
        <v>67.78</v>
      </c>
      <c r="M148" s="88"/>
      <c r="N148" s="87">
        <f t="shared" si="65"/>
        <v>1269.22</v>
      </c>
      <c r="O148" s="98">
        <v>43992</v>
      </c>
      <c r="P148" s="121" t="s">
        <v>50</v>
      </c>
      <c r="Q148" s="132" t="s">
        <v>136</v>
      </c>
    </row>
    <row r="149" spans="1:17" x14ac:dyDescent="0.2">
      <c r="A149" s="80" t="s">
        <v>69</v>
      </c>
      <c r="B149" s="81" t="s">
        <v>73</v>
      </c>
      <c r="C149" s="88">
        <v>1000</v>
      </c>
      <c r="D149" s="88"/>
      <c r="E149" s="88"/>
      <c r="F149" s="88"/>
      <c r="G149" s="87">
        <f t="shared" ref="G149:G150" si="66">C149+D149+F149</f>
        <v>1000</v>
      </c>
      <c r="H149" s="88">
        <v>10</v>
      </c>
      <c r="I149" s="88"/>
      <c r="J149" s="88"/>
      <c r="K149" s="88"/>
      <c r="L149" s="88"/>
      <c r="M149" s="88"/>
      <c r="N149" s="87">
        <f t="shared" si="65"/>
        <v>990</v>
      </c>
      <c r="O149" s="98">
        <v>43992</v>
      </c>
      <c r="P149" s="121" t="s">
        <v>50</v>
      </c>
      <c r="Q149" s="132" t="s">
        <v>136</v>
      </c>
    </row>
    <row r="150" spans="1:17" ht="13.5" thickBot="1" x14ac:dyDescent="0.25">
      <c r="A150" s="80" t="s">
        <v>79</v>
      </c>
      <c r="B150" s="81" t="s">
        <v>91</v>
      </c>
      <c r="C150" s="88">
        <v>1250</v>
      </c>
      <c r="D150" s="88"/>
      <c r="E150" s="88"/>
      <c r="F150" s="88"/>
      <c r="G150" s="87">
        <f t="shared" si="66"/>
        <v>1250</v>
      </c>
      <c r="H150" s="88">
        <v>12.5</v>
      </c>
      <c r="I150" s="88"/>
      <c r="J150" s="88"/>
      <c r="K150" s="88"/>
      <c r="L150" s="88"/>
      <c r="M150" s="88"/>
      <c r="N150" s="87">
        <f t="shared" si="65"/>
        <v>1237.5</v>
      </c>
      <c r="O150" s="98">
        <v>43992</v>
      </c>
      <c r="P150" s="121" t="s">
        <v>50</v>
      </c>
      <c r="Q150" s="132" t="s">
        <v>136</v>
      </c>
    </row>
    <row r="151" spans="1:17" s="93" customFormat="1" ht="13.5" thickBot="1" x14ac:dyDescent="0.25">
      <c r="A151" s="432" t="s">
        <v>0</v>
      </c>
      <c r="B151" s="433"/>
      <c r="C151" s="122">
        <f t="shared" ref="C151:N151" si="67">SUM(C145:C150)</f>
        <v>9883.4</v>
      </c>
      <c r="D151" s="122">
        <f t="shared" si="67"/>
        <v>0</v>
      </c>
      <c r="E151" s="122">
        <f t="shared" si="67"/>
        <v>640</v>
      </c>
      <c r="F151" s="122">
        <f t="shared" si="67"/>
        <v>624</v>
      </c>
      <c r="G151" s="122">
        <f t="shared" si="67"/>
        <v>10607.4</v>
      </c>
      <c r="H151" s="122">
        <f t="shared" si="67"/>
        <v>96.35499999999999</v>
      </c>
      <c r="I151" s="122">
        <f t="shared" si="67"/>
        <v>588</v>
      </c>
      <c r="J151" s="122">
        <f t="shared" si="67"/>
        <v>-159.5</v>
      </c>
      <c r="K151" s="122">
        <f t="shared" si="67"/>
        <v>624</v>
      </c>
      <c r="L151" s="122">
        <f t="shared" si="67"/>
        <v>402.22500000000002</v>
      </c>
      <c r="M151" s="122">
        <f t="shared" si="67"/>
        <v>1125</v>
      </c>
      <c r="N151" s="122">
        <f t="shared" si="67"/>
        <v>7847.3199999999988</v>
      </c>
      <c r="O151" s="434" t="s">
        <v>0</v>
      </c>
      <c r="P151" s="435"/>
      <c r="Q151" s="132"/>
    </row>
    <row r="152" spans="1:17" x14ac:dyDescent="0.2">
      <c r="A152" s="82" t="s">
        <v>25</v>
      </c>
      <c r="B152" s="83" t="s">
        <v>63</v>
      </c>
      <c r="C152" s="88">
        <v>3966.4</v>
      </c>
      <c r="D152" s="88">
        <v>0</v>
      </c>
      <c r="E152" s="88">
        <v>490</v>
      </c>
      <c r="F152" s="88">
        <v>624</v>
      </c>
      <c r="G152" s="87">
        <f t="shared" ref="G152" si="68">C152+D152+F152</f>
        <v>4590.3999999999996</v>
      </c>
      <c r="H152" s="88">
        <v>37.18</v>
      </c>
      <c r="I152" s="88">
        <v>588</v>
      </c>
      <c r="J152" s="88">
        <v>-159.5</v>
      </c>
      <c r="K152" s="88">
        <v>624</v>
      </c>
      <c r="L152" s="88">
        <v>200.01</v>
      </c>
      <c r="M152" s="88">
        <v>1125</v>
      </c>
      <c r="N152" s="87">
        <f t="shared" ref="N152:N157" si="69">C152+D152+E152-H152-I152-J152-K152-L152-M152</f>
        <v>2041.7099999999991</v>
      </c>
      <c r="O152" s="98">
        <v>43999</v>
      </c>
      <c r="P152" s="123" t="s">
        <v>51</v>
      </c>
      <c r="Q152" s="132" t="s">
        <v>136</v>
      </c>
    </row>
    <row r="153" spans="1:17" x14ac:dyDescent="0.2">
      <c r="A153" s="80" t="s">
        <v>26</v>
      </c>
      <c r="B153" s="81" t="s">
        <v>70</v>
      </c>
      <c r="C153" s="88">
        <v>1023.5</v>
      </c>
      <c r="D153" s="88"/>
      <c r="E153" s="88">
        <v>50</v>
      </c>
      <c r="F153" s="88"/>
      <c r="G153" s="87">
        <f>C153+D153+F153</f>
        <v>1023.5</v>
      </c>
      <c r="H153" s="88">
        <v>10.234999999999999</v>
      </c>
      <c r="I153" s="88"/>
      <c r="J153" s="88"/>
      <c r="K153" s="88"/>
      <c r="L153" s="88">
        <v>58.14</v>
      </c>
      <c r="M153" s="88"/>
      <c r="N153" s="87">
        <f t="shared" si="69"/>
        <v>1005.1250000000001</v>
      </c>
      <c r="O153" s="98">
        <v>43999</v>
      </c>
      <c r="P153" s="123" t="s">
        <v>51</v>
      </c>
      <c r="Q153" s="132" t="s">
        <v>136</v>
      </c>
    </row>
    <row r="154" spans="1:17" x14ac:dyDescent="0.2">
      <c r="A154" s="80" t="s">
        <v>3</v>
      </c>
      <c r="B154" s="81" t="s">
        <v>71</v>
      </c>
      <c r="C154" s="88">
        <v>1343.5</v>
      </c>
      <c r="D154" s="88"/>
      <c r="E154" s="88">
        <v>50</v>
      </c>
      <c r="F154" s="88"/>
      <c r="G154" s="87">
        <f>C154+D154+F154+E154</f>
        <v>1393.5</v>
      </c>
      <c r="H154" s="88">
        <v>13.44</v>
      </c>
      <c r="I154" s="88"/>
      <c r="J154" s="88"/>
      <c r="K154" s="88"/>
      <c r="L154" s="88">
        <v>76.295000000000002</v>
      </c>
      <c r="M154" s="88"/>
      <c r="N154" s="87">
        <f t="shared" si="69"/>
        <v>1303.7649999999999</v>
      </c>
      <c r="O154" s="98">
        <v>43999</v>
      </c>
      <c r="P154" s="123" t="s">
        <v>51</v>
      </c>
      <c r="Q154" s="132" t="s">
        <v>136</v>
      </c>
    </row>
    <row r="155" spans="1:17" x14ac:dyDescent="0.2">
      <c r="A155" s="80" t="s">
        <v>31</v>
      </c>
      <c r="B155" s="81" t="s">
        <v>72</v>
      </c>
      <c r="C155" s="88">
        <v>1300</v>
      </c>
      <c r="D155" s="88"/>
      <c r="E155" s="88">
        <v>50</v>
      </c>
      <c r="F155" s="88"/>
      <c r="G155" s="87">
        <f>C155+D155+F155+E155</f>
        <v>1350</v>
      </c>
      <c r="H155" s="88">
        <v>13</v>
      </c>
      <c r="I155" s="88"/>
      <c r="J155" s="88"/>
      <c r="K155" s="88"/>
      <c r="L155" s="88">
        <v>67.78</v>
      </c>
      <c r="M155" s="88"/>
      <c r="N155" s="87">
        <f t="shared" si="69"/>
        <v>1269.22</v>
      </c>
      <c r="O155" s="98">
        <v>43999</v>
      </c>
      <c r="P155" s="123" t="s">
        <v>51</v>
      </c>
      <c r="Q155" s="132" t="s">
        <v>136</v>
      </c>
    </row>
    <row r="156" spans="1:17" x14ac:dyDescent="0.2">
      <c r="A156" s="80" t="s">
        <v>69</v>
      </c>
      <c r="B156" s="81" t="s">
        <v>73</v>
      </c>
      <c r="C156" s="88">
        <v>1000</v>
      </c>
      <c r="D156" s="88"/>
      <c r="E156" s="88"/>
      <c r="F156" s="88"/>
      <c r="G156" s="87">
        <f t="shared" ref="G156:G157" si="70">C156+D156+F156</f>
        <v>1000</v>
      </c>
      <c r="H156" s="88">
        <v>10</v>
      </c>
      <c r="I156" s="88"/>
      <c r="J156" s="88"/>
      <c r="K156" s="88"/>
      <c r="L156" s="88"/>
      <c r="M156" s="88"/>
      <c r="N156" s="87">
        <f t="shared" si="69"/>
        <v>990</v>
      </c>
      <c r="O156" s="98">
        <v>43999</v>
      </c>
      <c r="P156" s="123" t="s">
        <v>51</v>
      </c>
      <c r="Q156" s="132" t="s">
        <v>136</v>
      </c>
    </row>
    <row r="157" spans="1:17" ht="13.5" thickBot="1" x14ac:dyDescent="0.25">
      <c r="A157" s="80" t="s">
        <v>79</v>
      </c>
      <c r="B157" s="81" t="s">
        <v>91</v>
      </c>
      <c r="C157" s="88">
        <v>1250</v>
      </c>
      <c r="D157" s="88"/>
      <c r="E157" s="88"/>
      <c r="F157" s="88"/>
      <c r="G157" s="87">
        <f t="shared" si="70"/>
        <v>1250</v>
      </c>
      <c r="H157" s="88">
        <v>12.5</v>
      </c>
      <c r="I157" s="88"/>
      <c r="J157" s="88"/>
      <c r="K157" s="88"/>
      <c r="L157" s="88"/>
      <c r="M157" s="88"/>
      <c r="N157" s="87">
        <f t="shared" si="69"/>
        <v>1237.5</v>
      </c>
      <c r="O157" s="98">
        <v>43999</v>
      </c>
      <c r="P157" s="123" t="s">
        <v>51</v>
      </c>
      <c r="Q157" s="132" t="s">
        <v>136</v>
      </c>
    </row>
    <row r="158" spans="1:17" s="93" customFormat="1" ht="13.5" thickBot="1" x14ac:dyDescent="0.25">
      <c r="A158" s="413" t="s">
        <v>0</v>
      </c>
      <c r="B158" s="414"/>
      <c r="C158" s="106">
        <f t="shared" ref="C158:N158" si="71">SUM(C152:C157)</f>
        <v>9883.4</v>
      </c>
      <c r="D158" s="106">
        <f t="shared" si="71"/>
        <v>0</v>
      </c>
      <c r="E158" s="106">
        <f t="shared" si="71"/>
        <v>640</v>
      </c>
      <c r="F158" s="106">
        <f t="shared" si="71"/>
        <v>624</v>
      </c>
      <c r="G158" s="106">
        <f t="shared" si="71"/>
        <v>10607.4</v>
      </c>
      <c r="H158" s="106">
        <f t="shared" si="71"/>
        <v>96.35499999999999</v>
      </c>
      <c r="I158" s="106">
        <f t="shared" si="71"/>
        <v>588</v>
      </c>
      <c r="J158" s="106">
        <f t="shared" si="71"/>
        <v>-159.5</v>
      </c>
      <c r="K158" s="106">
        <f t="shared" si="71"/>
        <v>624</v>
      </c>
      <c r="L158" s="106">
        <f t="shared" si="71"/>
        <v>402.22500000000002</v>
      </c>
      <c r="M158" s="106">
        <f t="shared" si="71"/>
        <v>1125</v>
      </c>
      <c r="N158" s="106">
        <f t="shared" si="71"/>
        <v>7847.3199999999988</v>
      </c>
      <c r="O158" s="418" t="s">
        <v>0</v>
      </c>
      <c r="P158" s="419"/>
      <c r="Q158" s="132"/>
    </row>
    <row r="159" spans="1:17" x14ac:dyDescent="0.2">
      <c r="A159" s="82" t="s">
        <v>25</v>
      </c>
      <c r="B159" s="83" t="s">
        <v>63</v>
      </c>
      <c r="C159" s="88">
        <v>3966.4</v>
      </c>
      <c r="D159" s="88">
        <v>0</v>
      </c>
      <c r="E159" s="88">
        <v>490</v>
      </c>
      <c r="F159" s="88">
        <v>624</v>
      </c>
      <c r="G159" s="87">
        <f t="shared" ref="G159" si="72">C159+D159+F159</f>
        <v>4590.3999999999996</v>
      </c>
      <c r="H159" s="88">
        <v>37.18</v>
      </c>
      <c r="I159" s="88">
        <v>588</v>
      </c>
      <c r="J159" s="88">
        <v>-159.5</v>
      </c>
      <c r="K159" s="88">
        <v>624</v>
      </c>
      <c r="L159" s="88">
        <v>200.01</v>
      </c>
      <c r="M159" s="88">
        <v>1125</v>
      </c>
      <c r="N159" s="87">
        <f t="shared" ref="N159:N164" si="73">C159+D159+E159-H159-I159-J159-K159-L159-M159</f>
        <v>2041.7099999999991</v>
      </c>
      <c r="O159" s="98">
        <v>44006</v>
      </c>
      <c r="P159" s="125" t="s">
        <v>52</v>
      </c>
      <c r="Q159" s="132" t="s">
        <v>136</v>
      </c>
    </row>
    <row r="160" spans="1:17" x14ac:dyDescent="0.2">
      <c r="A160" s="80" t="s">
        <v>26</v>
      </c>
      <c r="B160" s="81" t="s">
        <v>70</v>
      </c>
      <c r="C160" s="88">
        <v>1023.5</v>
      </c>
      <c r="D160" s="88"/>
      <c r="E160" s="88">
        <v>50</v>
      </c>
      <c r="F160" s="88"/>
      <c r="G160" s="87">
        <f>C160+D160+F160</f>
        <v>1023.5</v>
      </c>
      <c r="H160" s="88">
        <v>10.234999999999999</v>
      </c>
      <c r="I160" s="88"/>
      <c r="J160" s="88"/>
      <c r="K160" s="88"/>
      <c r="L160" s="88">
        <v>58.14</v>
      </c>
      <c r="M160" s="88"/>
      <c r="N160" s="87">
        <f t="shared" si="73"/>
        <v>1005.1250000000001</v>
      </c>
      <c r="O160" s="98">
        <v>44006</v>
      </c>
      <c r="P160" s="125" t="s">
        <v>52</v>
      </c>
      <c r="Q160" s="132" t="s">
        <v>136</v>
      </c>
    </row>
    <row r="161" spans="1:17" x14ac:dyDescent="0.2">
      <c r="A161" s="80" t="s">
        <v>3</v>
      </c>
      <c r="B161" s="81" t="s">
        <v>71</v>
      </c>
      <c r="C161" s="88">
        <v>1343.5</v>
      </c>
      <c r="D161" s="88"/>
      <c r="E161" s="88">
        <v>50</v>
      </c>
      <c r="F161" s="88"/>
      <c r="G161" s="87">
        <f>C161+D161+F161+E161</f>
        <v>1393.5</v>
      </c>
      <c r="H161" s="88">
        <v>13.44</v>
      </c>
      <c r="I161" s="88"/>
      <c r="J161" s="88"/>
      <c r="K161" s="88"/>
      <c r="L161" s="88">
        <v>76.295000000000002</v>
      </c>
      <c r="M161" s="88"/>
      <c r="N161" s="87">
        <f t="shared" si="73"/>
        <v>1303.7649999999999</v>
      </c>
      <c r="O161" s="98">
        <v>44006</v>
      </c>
      <c r="P161" s="125" t="s">
        <v>52</v>
      </c>
      <c r="Q161" s="132" t="s">
        <v>136</v>
      </c>
    </row>
    <row r="162" spans="1:17" x14ac:dyDescent="0.2">
      <c r="A162" s="80" t="s">
        <v>31</v>
      </c>
      <c r="B162" s="81" t="s">
        <v>72</v>
      </c>
      <c r="C162" s="88">
        <v>1300</v>
      </c>
      <c r="D162" s="88"/>
      <c r="E162" s="88">
        <v>50</v>
      </c>
      <c r="F162" s="88"/>
      <c r="G162" s="87">
        <f>C162+D162+F162+E162</f>
        <v>1350</v>
      </c>
      <c r="H162" s="88">
        <v>13</v>
      </c>
      <c r="I162" s="88"/>
      <c r="J162" s="88"/>
      <c r="K162" s="88"/>
      <c r="L162" s="88">
        <v>67.78</v>
      </c>
      <c r="M162" s="88"/>
      <c r="N162" s="87">
        <f t="shared" si="73"/>
        <v>1269.22</v>
      </c>
      <c r="O162" s="98">
        <v>44006</v>
      </c>
      <c r="P162" s="125" t="s">
        <v>52</v>
      </c>
      <c r="Q162" s="132" t="s">
        <v>136</v>
      </c>
    </row>
    <row r="163" spans="1:17" x14ac:dyDescent="0.2">
      <c r="A163" s="80" t="s">
        <v>69</v>
      </c>
      <c r="B163" s="81" t="s">
        <v>73</v>
      </c>
      <c r="C163" s="88">
        <v>1000</v>
      </c>
      <c r="D163" s="88"/>
      <c r="E163" s="88"/>
      <c r="F163" s="88"/>
      <c r="G163" s="87">
        <f t="shared" ref="G163:G164" si="74">C163+D163+F163</f>
        <v>1000</v>
      </c>
      <c r="H163" s="88">
        <v>10</v>
      </c>
      <c r="I163" s="88"/>
      <c r="J163" s="88"/>
      <c r="K163" s="88"/>
      <c r="L163" s="88"/>
      <c r="M163" s="88"/>
      <c r="N163" s="87">
        <f t="shared" si="73"/>
        <v>990</v>
      </c>
      <c r="O163" s="98">
        <v>44006</v>
      </c>
      <c r="P163" s="125" t="s">
        <v>52</v>
      </c>
      <c r="Q163" s="132" t="s">
        <v>136</v>
      </c>
    </row>
    <row r="164" spans="1:17" ht="13.5" thickBot="1" x14ac:dyDescent="0.25">
      <c r="A164" s="80" t="s">
        <v>79</v>
      </c>
      <c r="B164" s="81" t="s">
        <v>91</v>
      </c>
      <c r="C164" s="88">
        <v>1250</v>
      </c>
      <c r="D164" s="88"/>
      <c r="E164" s="88"/>
      <c r="F164" s="88"/>
      <c r="G164" s="87">
        <f t="shared" si="74"/>
        <v>1250</v>
      </c>
      <c r="H164" s="88">
        <v>12.5</v>
      </c>
      <c r="I164" s="88"/>
      <c r="J164" s="88"/>
      <c r="K164" s="88"/>
      <c r="L164" s="88"/>
      <c r="M164" s="88"/>
      <c r="N164" s="87">
        <f t="shared" si="73"/>
        <v>1237.5</v>
      </c>
      <c r="O164" s="98">
        <v>44006</v>
      </c>
      <c r="P164" s="125" t="s">
        <v>52</v>
      </c>
      <c r="Q164" s="132" t="s">
        <v>136</v>
      </c>
    </row>
    <row r="165" spans="1:17" s="93" customFormat="1" ht="13.5" thickBot="1" x14ac:dyDescent="0.25">
      <c r="A165" s="430" t="s">
        <v>0</v>
      </c>
      <c r="B165" s="431"/>
      <c r="C165" s="102">
        <f t="shared" ref="C165:N165" si="75">SUM(C159:C164)</f>
        <v>9883.4</v>
      </c>
      <c r="D165" s="102">
        <f t="shared" si="75"/>
        <v>0</v>
      </c>
      <c r="E165" s="102">
        <f t="shared" si="75"/>
        <v>640</v>
      </c>
      <c r="F165" s="102">
        <f t="shared" si="75"/>
        <v>624</v>
      </c>
      <c r="G165" s="102">
        <f t="shared" si="75"/>
        <v>10607.4</v>
      </c>
      <c r="H165" s="102">
        <f t="shared" si="75"/>
        <v>96.35499999999999</v>
      </c>
      <c r="I165" s="102">
        <f t="shared" si="75"/>
        <v>588</v>
      </c>
      <c r="J165" s="102">
        <f t="shared" si="75"/>
        <v>-159.5</v>
      </c>
      <c r="K165" s="102">
        <f t="shared" si="75"/>
        <v>624</v>
      </c>
      <c r="L165" s="102">
        <f t="shared" si="75"/>
        <v>402.22500000000002</v>
      </c>
      <c r="M165" s="102">
        <f t="shared" si="75"/>
        <v>1125</v>
      </c>
      <c r="N165" s="102">
        <f t="shared" si="75"/>
        <v>7847.3199999999988</v>
      </c>
      <c r="O165" s="423" t="s">
        <v>0</v>
      </c>
      <c r="P165" s="424"/>
      <c r="Q165" s="133"/>
    </row>
    <row r="166" spans="1:17" s="140" customFormat="1" ht="13.5" thickBot="1" x14ac:dyDescent="0.25">
      <c r="A166" s="401" t="s">
        <v>88</v>
      </c>
      <c r="B166" s="402"/>
      <c r="C166" s="155">
        <f t="shared" ref="C166:N166" si="76">C165+C158+C151+C144</f>
        <v>39533.599999999999</v>
      </c>
      <c r="D166" s="156">
        <f t="shared" si="76"/>
        <v>0</v>
      </c>
      <c r="E166" s="156">
        <f t="shared" si="76"/>
        <v>2560</v>
      </c>
      <c r="F166" s="156">
        <f t="shared" si="76"/>
        <v>2496</v>
      </c>
      <c r="G166" s="156">
        <f t="shared" si="76"/>
        <v>42429.599999999999</v>
      </c>
      <c r="H166" s="156">
        <f t="shared" si="76"/>
        <v>385.41999999999996</v>
      </c>
      <c r="I166" s="156">
        <f t="shared" si="76"/>
        <v>2352</v>
      </c>
      <c r="J166" s="156">
        <f t="shared" si="76"/>
        <v>-638</v>
      </c>
      <c r="K166" s="156">
        <f t="shared" si="76"/>
        <v>2496</v>
      </c>
      <c r="L166" s="156">
        <f t="shared" si="76"/>
        <v>1608.9</v>
      </c>
      <c r="M166" s="156">
        <f t="shared" si="76"/>
        <v>4500</v>
      </c>
      <c r="N166" s="157">
        <f t="shared" si="76"/>
        <v>31389.279999999995</v>
      </c>
      <c r="O166" s="144"/>
      <c r="P166" s="144"/>
      <c r="Q166" s="167"/>
    </row>
    <row r="167" spans="1:17" s="162" customFormat="1" x14ac:dyDescent="0.2">
      <c r="A167" s="159" t="s">
        <v>8</v>
      </c>
      <c r="B167" s="165" t="s">
        <v>96</v>
      </c>
      <c r="C167" s="160">
        <v>13502</v>
      </c>
      <c r="D167" s="160"/>
      <c r="E167" s="160"/>
      <c r="F167" s="160">
        <v>5624</v>
      </c>
      <c r="G167" s="87">
        <f t="shared" ref="G167:G169" si="77">C167+D167+F167</f>
        <v>19126</v>
      </c>
      <c r="H167" s="160"/>
      <c r="I167" s="160">
        <v>2355</v>
      </c>
      <c r="J167" s="160">
        <v>-853</v>
      </c>
      <c r="K167" s="160"/>
      <c r="L167" s="160"/>
      <c r="M167" s="160"/>
      <c r="N167" s="168">
        <f t="shared" ref="N167:N169" si="78">C167+D167+E167-H167-I167-J167-K167-L167-M167</f>
        <v>12000</v>
      </c>
      <c r="O167" s="169"/>
      <c r="P167" s="170"/>
      <c r="Q167" s="172"/>
    </row>
    <row r="168" spans="1:17" s="162" customFormat="1" x14ac:dyDescent="0.2">
      <c r="A168" s="159" t="s">
        <v>27</v>
      </c>
      <c r="B168" s="165" t="s">
        <v>97</v>
      </c>
      <c r="C168" s="163">
        <v>13717</v>
      </c>
      <c r="D168" s="163"/>
      <c r="E168" s="163"/>
      <c r="F168" s="163">
        <v>5409</v>
      </c>
      <c r="G168" s="87">
        <f t="shared" si="77"/>
        <v>19126</v>
      </c>
      <c r="H168" s="163"/>
      <c r="I168" s="163">
        <v>2355</v>
      </c>
      <c r="J168" s="163">
        <v>-638</v>
      </c>
      <c r="K168" s="163"/>
      <c r="L168" s="163"/>
      <c r="M168" s="163"/>
      <c r="N168" s="168">
        <f t="shared" si="78"/>
        <v>12000</v>
      </c>
      <c r="O168" s="169"/>
      <c r="P168" s="170"/>
      <c r="Q168" s="172"/>
    </row>
    <row r="169" spans="1:17" s="162" customFormat="1" ht="13.5" thickBot="1" x14ac:dyDescent="0.25">
      <c r="A169" s="159" t="s">
        <v>6</v>
      </c>
      <c r="B169" s="165" t="s">
        <v>98</v>
      </c>
      <c r="C169" s="164">
        <v>12643.72</v>
      </c>
      <c r="D169" s="164"/>
      <c r="E169" s="164"/>
      <c r="F169" s="164">
        <v>2812</v>
      </c>
      <c r="G169" s="87">
        <f t="shared" si="77"/>
        <v>15455.72</v>
      </c>
      <c r="H169" s="164">
        <v>148.72</v>
      </c>
      <c r="I169" s="164">
        <v>1536</v>
      </c>
      <c r="J169" s="164">
        <v>-853</v>
      </c>
      <c r="K169" s="164">
        <v>2812</v>
      </c>
      <c r="L169" s="164"/>
      <c r="M169" s="164"/>
      <c r="N169" s="168">
        <f t="shared" si="78"/>
        <v>9000</v>
      </c>
      <c r="O169" s="169"/>
      <c r="P169" s="170"/>
      <c r="Q169" s="172"/>
    </row>
    <row r="170" spans="1:17" s="131" customFormat="1" ht="13.5" thickBot="1" x14ac:dyDescent="0.25">
      <c r="A170" s="415" t="s">
        <v>89</v>
      </c>
      <c r="B170" s="416"/>
      <c r="C170" s="158">
        <f t="shared" ref="C170:N170" si="79">SUM(C167:C169)</f>
        <v>39862.720000000001</v>
      </c>
      <c r="D170" s="158">
        <f t="shared" si="79"/>
        <v>0</v>
      </c>
      <c r="E170" s="158">
        <f t="shared" si="79"/>
        <v>0</v>
      </c>
      <c r="F170" s="158">
        <f t="shared" si="79"/>
        <v>13845</v>
      </c>
      <c r="G170" s="158">
        <f t="shared" si="79"/>
        <v>53707.72</v>
      </c>
      <c r="H170" s="158">
        <f t="shared" si="79"/>
        <v>148.72</v>
      </c>
      <c r="I170" s="158">
        <f t="shared" si="79"/>
        <v>6246</v>
      </c>
      <c r="J170" s="158">
        <f t="shared" si="79"/>
        <v>-2344</v>
      </c>
      <c r="K170" s="158">
        <f t="shared" si="79"/>
        <v>2812</v>
      </c>
      <c r="L170" s="158">
        <f t="shared" si="79"/>
        <v>0</v>
      </c>
      <c r="M170" s="158">
        <f t="shared" si="79"/>
        <v>0</v>
      </c>
      <c r="N170" s="173">
        <f t="shared" si="79"/>
        <v>33000</v>
      </c>
      <c r="O170" s="130"/>
      <c r="P170" s="130"/>
      <c r="Q170" s="129"/>
    </row>
    <row r="171" spans="1:17" s="131" customFormat="1" ht="13.5" thickBot="1" x14ac:dyDescent="0.25">
      <c r="A171" s="417" t="s">
        <v>90</v>
      </c>
      <c r="B171" s="417"/>
      <c r="C171" s="141"/>
      <c r="D171" s="141"/>
      <c r="E171" s="141"/>
      <c r="F171" s="141"/>
      <c r="G171" s="141"/>
      <c r="H171" s="147">
        <f>(H166+H170)*2</f>
        <v>1068.28</v>
      </c>
      <c r="I171" s="145">
        <f>I166+I170</f>
        <v>8598</v>
      </c>
      <c r="J171" s="148">
        <f>J166+J170</f>
        <v>-2982</v>
      </c>
      <c r="K171" s="141"/>
      <c r="L171" s="141"/>
      <c r="M171" s="141"/>
      <c r="N171" s="141">
        <f>9000+11000+12000</f>
        <v>32000</v>
      </c>
      <c r="O171" s="130"/>
      <c r="P171" s="130"/>
      <c r="Q171" s="171"/>
    </row>
    <row r="172" spans="1:17" s="131" customFormat="1" ht="13.5" thickBot="1" x14ac:dyDescent="0.25">
      <c r="A172" s="153"/>
      <c r="B172" s="153"/>
      <c r="C172" s="141"/>
      <c r="D172" s="141"/>
      <c r="E172" s="141"/>
      <c r="F172" s="141"/>
      <c r="G172" s="141"/>
      <c r="H172" s="141"/>
      <c r="I172" s="425">
        <f>I171+J171</f>
        <v>5616</v>
      </c>
      <c r="J172" s="426"/>
      <c r="K172" s="141"/>
      <c r="L172" s="141"/>
      <c r="M172" s="141"/>
      <c r="N172" s="141"/>
      <c r="O172" s="130"/>
      <c r="P172" s="130"/>
      <c r="Q172" s="143"/>
    </row>
    <row r="173" spans="1:17" s="131" customFormat="1" ht="13.5" thickBot="1" x14ac:dyDescent="0.25">
      <c r="A173" s="153"/>
      <c r="B173" s="153"/>
      <c r="C173" s="141"/>
      <c r="D173" s="141"/>
      <c r="E173" s="141"/>
      <c r="F173" s="141"/>
      <c r="G173" s="141"/>
      <c r="H173" s="427">
        <f>SUM(H171:J171)</f>
        <v>6684.2800000000007</v>
      </c>
      <c r="I173" s="428"/>
      <c r="J173" s="429"/>
      <c r="K173" s="141"/>
      <c r="L173" s="141"/>
      <c r="M173" s="141"/>
      <c r="N173" s="141"/>
      <c r="O173" s="130"/>
      <c r="P173" s="130"/>
      <c r="Q173" s="143"/>
    </row>
    <row r="174" spans="1:17" s="142" customFormat="1" ht="13.5" thickBot="1" x14ac:dyDescent="0.25">
      <c r="A174" s="129"/>
      <c r="B174" s="129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30"/>
      <c r="P174" s="130"/>
      <c r="Q174" s="129"/>
    </row>
    <row r="175" spans="1:17" s="78" customFormat="1" ht="13.5" thickBot="1" x14ac:dyDescent="0.25">
      <c r="A175" s="398" t="s">
        <v>142</v>
      </c>
      <c r="B175" s="399"/>
      <c r="C175" s="399"/>
      <c r="D175" s="399"/>
      <c r="E175" s="399"/>
      <c r="F175" s="399"/>
      <c r="G175" s="399"/>
      <c r="H175" s="399"/>
      <c r="I175" s="399"/>
      <c r="J175" s="399"/>
      <c r="K175" s="399"/>
      <c r="L175" s="399"/>
      <c r="M175" s="399"/>
      <c r="N175" s="399"/>
      <c r="O175" s="399"/>
      <c r="P175" s="399"/>
      <c r="Q175" s="400"/>
    </row>
    <row r="176" spans="1:17" s="78" customFormat="1" ht="13.5" thickBot="1" x14ac:dyDescent="0.25">
      <c r="A176" s="84" t="s">
        <v>64</v>
      </c>
      <c r="B176" s="85" t="s">
        <v>1</v>
      </c>
      <c r="C176" s="86" t="s">
        <v>56</v>
      </c>
      <c r="D176" s="86" t="s">
        <v>57</v>
      </c>
      <c r="E176" s="86" t="s">
        <v>67</v>
      </c>
      <c r="F176" s="86" t="s">
        <v>62</v>
      </c>
      <c r="G176" s="86" t="s">
        <v>74</v>
      </c>
      <c r="H176" s="86" t="s">
        <v>59</v>
      </c>
      <c r="I176" s="86" t="s">
        <v>60</v>
      </c>
      <c r="J176" s="86" t="s">
        <v>66</v>
      </c>
      <c r="K176" s="86" t="s">
        <v>62</v>
      </c>
      <c r="L176" s="86" t="s">
        <v>58</v>
      </c>
      <c r="M176" s="86" t="s">
        <v>61</v>
      </c>
      <c r="N176" s="86" t="s">
        <v>2</v>
      </c>
      <c r="O176" s="91" t="s">
        <v>65</v>
      </c>
      <c r="P176" s="92" t="s">
        <v>68</v>
      </c>
      <c r="Q176" s="135" t="s">
        <v>87</v>
      </c>
    </row>
    <row r="177" spans="1:17" x14ac:dyDescent="0.2">
      <c r="A177" s="82" t="s">
        <v>25</v>
      </c>
      <c r="B177" s="83" t="s">
        <v>63</v>
      </c>
      <c r="C177" s="88">
        <v>3966.4</v>
      </c>
      <c r="D177" s="88">
        <v>0</v>
      </c>
      <c r="E177" s="88">
        <v>490</v>
      </c>
      <c r="F177" s="88">
        <v>624</v>
      </c>
      <c r="G177" s="87">
        <f t="shared" ref="G177" si="80">C177+D177+F177</f>
        <v>4590.3999999999996</v>
      </c>
      <c r="H177" s="88">
        <v>37.18</v>
      </c>
      <c r="I177" s="88">
        <v>588</v>
      </c>
      <c r="J177" s="88">
        <v>-159.5</v>
      </c>
      <c r="K177" s="88">
        <v>624</v>
      </c>
      <c r="L177" s="88">
        <v>200.01</v>
      </c>
      <c r="M177" s="88">
        <v>1125</v>
      </c>
      <c r="N177" s="87">
        <f t="shared" ref="N177:N182" si="81">C177+D177+E177-H177-I177-J177-K177-L177-M177</f>
        <v>2041.7099999999991</v>
      </c>
      <c r="O177" s="98">
        <v>44013</v>
      </c>
      <c r="P177" s="120" t="s">
        <v>53</v>
      </c>
      <c r="Q177" s="132" t="s">
        <v>142</v>
      </c>
    </row>
    <row r="178" spans="1:17" x14ac:dyDescent="0.2">
      <c r="A178" s="80" t="s">
        <v>26</v>
      </c>
      <c r="B178" s="81" t="s">
        <v>70</v>
      </c>
      <c r="C178" s="88">
        <v>1023.5</v>
      </c>
      <c r="D178" s="88"/>
      <c r="E178" s="88">
        <v>50</v>
      </c>
      <c r="F178" s="88"/>
      <c r="G178" s="87">
        <f>C178+D178+F178</f>
        <v>1023.5</v>
      </c>
      <c r="H178" s="88">
        <v>10.234999999999999</v>
      </c>
      <c r="I178" s="88"/>
      <c r="J178" s="88"/>
      <c r="K178" s="88"/>
      <c r="L178" s="88">
        <v>58.14</v>
      </c>
      <c r="M178" s="88"/>
      <c r="N178" s="87">
        <f t="shared" si="81"/>
        <v>1005.1250000000001</v>
      </c>
      <c r="O178" s="98">
        <v>44013</v>
      </c>
      <c r="P178" s="120" t="s">
        <v>53</v>
      </c>
      <c r="Q178" s="132" t="s">
        <v>142</v>
      </c>
    </row>
    <row r="179" spans="1:17" x14ac:dyDescent="0.2">
      <c r="A179" s="80" t="s">
        <v>3</v>
      </c>
      <c r="B179" s="81" t="s">
        <v>71</v>
      </c>
      <c r="C179" s="88">
        <v>1343.5</v>
      </c>
      <c r="D179" s="88"/>
      <c r="E179" s="88">
        <v>50</v>
      </c>
      <c r="F179" s="88"/>
      <c r="G179" s="87">
        <f>C179+D179+F179+E179</f>
        <v>1393.5</v>
      </c>
      <c r="H179" s="88">
        <v>13.44</v>
      </c>
      <c r="I179" s="88"/>
      <c r="J179" s="88"/>
      <c r="K179" s="88"/>
      <c r="L179" s="88">
        <v>76.295000000000002</v>
      </c>
      <c r="M179" s="88"/>
      <c r="N179" s="87">
        <f t="shared" si="81"/>
        <v>1303.7649999999999</v>
      </c>
      <c r="O179" s="98">
        <v>44013</v>
      </c>
      <c r="P179" s="120" t="s">
        <v>53</v>
      </c>
      <c r="Q179" s="132" t="s">
        <v>142</v>
      </c>
    </row>
    <row r="180" spans="1:17" x14ac:dyDescent="0.2">
      <c r="A180" s="80" t="s">
        <v>31</v>
      </c>
      <c r="B180" s="81" t="s">
        <v>72</v>
      </c>
      <c r="C180" s="88">
        <v>1300</v>
      </c>
      <c r="D180" s="88"/>
      <c r="E180" s="88">
        <v>50</v>
      </c>
      <c r="F180" s="88"/>
      <c r="G180" s="87">
        <f>C180+D180+F180+E180</f>
        <v>1350</v>
      </c>
      <c r="H180" s="88">
        <v>13</v>
      </c>
      <c r="I180" s="88"/>
      <c r="J180" s="88"/>
      <c r="K180" s="88"/>
      <c r="L180" s="88">
        <v>67.78</v>
      </c>
      <c r="M180" s="88"/>
      <c r="N180" s="87">
        <f t="shared" si="81"/>
        <v>1269.22</v>
      </c>
      <c r="O180" s="98">
        <v>44013</v>
      </c>
      <c r="P180" s="120" t="s">
        <v>53</v>
      </c>
      <c r="Q180" s="132" t="s">
        <v>142</v>
      </c>
    </row>
    <row r="181" spans="1:17" x14ac:dyDescent="0.2">
      <c r="A181" s="80" t="s">
        <v>69</v>
      </c>
      <c r="B181" s="81" t="s">
        <v>73</v>
      </c>
      <c r="C181" s="88">
        <v>1000</v>
      </c>
      <c r="D181" s="88"/>
      <c r="E181" s="88"/>
      <c r="F181" s="88"/>
      <c r="G181" s="87">
        <f t="shared" ref="G181:G182" si="82">C181+D181+F181</f>
        <v>1000</v>
      </c>
      <c r="H181" s="88">
        <v>10</v>
      </c>
      <c r="I181" s="88"/>
      <c r="J181" s="88"/>
      <c r="K181" s="88"/>
      <c r="L181" s="88"/>
      <c r="M181" s="88"/>
      <c r="N181" s="87">
        <f t="shared" si="81"/>
        <v>990</v>
      </c>
      <c r="O181" s="98">
        <v>44013</v>
      </c>
      <c r="P181" s="120" t="s">
        <v>53</v>
      </c>
      <c r="Q181" s="132" t="s">
        <v>142</v>
      </c>
    </row>
    <row r="182" spans="1:17" ht="13.5" thickBot="1" x14ac:dyDescent="0.25">
      <c r="A182" s="80" t="s">
        <v>79</v>
      </c>
      <c r="B182" s="81" t="s">
        <v>91</v>
      </c>
      <c r="C182" s="88">
        <v>1250</v>
      </c>
      <c r="D182" s="88"/>
      <c r="E182" s="88"/>
      <c r="F182" s="88"/>
      <c r="G182" s="87">
        <f t="shared" si="82"/>
        <v>1250</v>
      </c>
      <c r="H182" s="88">
        <v>12.5</v>
      </c>
      <c r="I182" s="88"/>
      <c r="J182" s="88"/>
      <c r="K182" s="88"/>
      <c r="L182" s="88"/>
      <c r="M182" s="88"/>
      <c r="N182" s="87">
        <f t="shared" si="81"/>
        <v>1237.5</v>
      </c>
      <c r="O182" s="98">
        <v>44013</v>
      </c>
      <c r="P182" s="120" t="s">
        <v>53</v>
      </c>
      <c r="Q182" s="132" t="s">
        <v>142</v>
      </c>
    </row>
    <row r="183" spans="1:17" s="93" customFormat="1" ht="13.5" thickBot="1" x14ac:dyDescent="0.25">
      <c r="A183" s="403" t="s">
        <v>0</v>
      </c>
      <c r="B183" s="404"/>
      <c r="C183" s="114">
        <f t="shared" ref="C183:N183" si="83">SUM(C177:C182)</f>
        <v>9883.4</v>
      </c>
      <c r="D183" s="114">
        <f t="shared" si="83"/>
        <v>0</v>
      </c>
      <c r="E183" s="114">
        <f t="shared" si="83"/>
        <v>640</v>
      </c>
      <c r="F183" s="114">
        <f t="shared" si="83"/>
        <v>624</v>
      </c>
      <c r="G183" s="114">
        <f t="shared" si="83"/>
        <v>10607.4</v>
      </c>
      <c r="H183" s="114">
        <f t="shared" si="83"/>
        <v>96.35499999999999</v>
      </c>
      <c r="I183" s="114">
        <f t="shared" si="83"/>
        <v>588</v>
      </c>
      <c r="J183" s="114">
        <f t="shared" si="83"/>
        <v>-159.5</v>
      </c>
      <c r="K183" s="114">
        <f t="shared" si="83"/>
        <v>624</v>
      </c>
      <c r="L183" s="114">
        <f t="shared" si="83"/>
        <v>402.22500000000002</v>
      </c>
      <c r="M183" s="114">
        <f t="shared" si="83"/>
        <v>1125</v>
      </c>
      <c r="N183" s="114">
        <f t="shared" si="83"/>
        <v>7847.3199999999988</v>
      </c>
      <c r="O183" s="405" t="s">
        <v>0</v>
      </c>
      <c r="P183" s="406"/>
      <c r="Q183" s="132"/>
    </row>
    <row r="184" spans="1:17" x14ac:dyDescent="0.2">
      <c r="A184" s="82" t="s">
        <v>25</v>
      </c>
      <c r="B184" s="83" t="s">
        <v>63</v>
      </c>
      <c r="C184" s="88">
        <v>3966.4</v>
      </c>
      <c r="D184" s="88">
        <v>0</v>
      </c>
      <c r="E184" s="88">
        <v>490</v>
      </c>
      <c r="F184" s="88">
        <v>624</v>
      </c>
      <c r="G184" s="87">
        <f t="shared" ref="G184" si="84">C184+D184+F184</f>
        <v>4590.3999999999996</v>
      </c>
      <c r="H184" s="88">
        <v>37.18</v>
      </c>
      <c r="I184" s="88">
        <v>588</v>
      </c>
      <c r="J184" s="88">
        <v>-159.5</v>
      </c>
      <c r="K184" s="88">
        <v>624</v>
      </c>
      <c r="L184" s="88">
        <v>200.01</v>
      </c>
      <c r="M184" s="88">
        <v>1125</v>
      </c>
      <c r="N184" s="87">
        <f t="shared" ref="N184:N189" si="85">C184+D184+E184-H184-I184-J184-K184-L184-M184</f>
        <v>2041.7099999999991</v>
      </c>
      <c r="O184" s="98">
        <v>44020</v>
      </c>
      <c r="P184" s="151" t="s">
        <v>54</v>
      </c>
      <c r="Q184" s="132" t="s">
        <v>142</v>
      </c>
    </row>
    <row r="185" spans="1:17" x14ac:dyDescent="0.2">
      <c r="A185" s="80" t="s">
        <v>26</v>
      </c>
      <c r="B185" s="81" t="s">
        <v>70</v>
      </c>
      <c r="C185" s="88">
        <v>1023.5</v>
      </c>
      <c r="D185" s="88"/>
      <c r="E185" s="88">
        <v>50</v>
      </c>
      <c r="F185" s="88"/>
      <c r="G185" s="87">
        <f>C185+D185+F185</f>
        <v>1023.5</v>
      </c>
      <c r="H185" s="88">
        <v>10.234999999999999</v>
      </c>
      <c r="I185" s="88"/>
      <c r="J185" s="88"/>
      <c r="K185" s="88"/>
      <c r="L185" s="88">
        <v>58.14</v>
      </c>
      <c r="M185" s="88"/>
      <c r="N185" s="87">
        <f t="shared" si="85"/>
        <v>1005.1250000000001</v>
      </c>
      <c r="O185" s="98">
        <v>44020</v>
      </c>
      <c r="P185" s="151" t="s">
        <v>54</v>
      </c>
      <c r="Q185" s="132" t="s">
        <v>142</v>
      </c>
    </row>
    <row r="186" spans="1:17" x14ac:dyDescent="0.2">
      <c r="A186" s="80" t="s">
        <v>3</v>
      </c>
      <c r="B186" s="81" t="s">
        <v>71</v>
      </c>
      <c r="C186" s="88">
        <v>1343.5</v>
      </c>
      <c r="D186" s="88"/>
      <c r="E186" s="88">
        <v>50</v>
      </c>
      <c r="F186" s="88"/>
      <c r="G186" s="87">
        <f>C186+D186+F186+E186</f>
        <v>1393.5</v>
      </c>
      <c r="H186" s="88">
        <v>13.44</v>
      </c>
      <c r="I186" s="88"/>
      <c r="J186" s="88"/>
      <c r="K186" s="88"/>
      <c r="L186" s="88">
        <v>76.295000000000002</v>
      </c>
      <c r="M186" s="88"/>
      <c r="N186" s="87">
        <f t="shared" si="85"/>
        <v>1303.7649999999999</v>
      </c>
      <c r="O186" s="98">
        <v>44020</v>
      </c>
      <c r="P186" s="151" t="s">
        <v>54</v>
      </c>
      <c r="Q186" s="132" t="s">
        <v>142</v>
      </c>
    </row>
    <row r="187" spans="1:17" x14ac:dyDescent="0.2">
      <c r="A187" s="80" t="s">
        <v>31</v>
      </c>
      <c r="B187" s="81" t="s">
        <v>72</v>
      </c>
      <c r="C187" s="88">
        <v>1300</v>
      </c>
      <c r="D187" s="88"/>
      <c r="E187" s="88">
        <v>50</v>
      </c>
      <c r="F187" s="88"/>
      <c r="G187" s="87">
        <f>C187+D187+F187+E187</f>
        <v>1350</v>
      </c>
      <c r="H187" s="88">
        <v>13</v>
      </c>
      <c r="I187" s="88"/>
      <c r="J187" s="88"/>
      <c r="K187" s="88"/>
      <c r="L187" s="88">
        <v>67.78</v>
      </c>
      <c r="M187" s="88"/>
      <c r="N187" s="87">
        <f t="shared" si="85"/>
        <v>1269.22</v>
      </c>
      <c r="O187" s="98">
        <v>44020</v>
      </c>
      <c r="P187" s="151" t="s">
        <v>54</v>
      </c>
      <c r="Q187" s="132" t="s">
        <v>142</v>
      </c>
    </row>
    <row r="188" spans="1:17" x14ac:dyDescent="0.2">
      <c r="A188" s="80" t="s">
        <v>69</v>
      </c>
      <c r="B188" s="81" t="s">
        <v>73</v>
      </c>
      <c r="C188" s="88">
        <v>1000</v>
      </c>
      <c r="D188" s="88"/>
      <c r="E188" s="88"/>
      <c r="F188" s="88"/>
      <c r="G188" s="87">
        <f t="shared" ref="G188:G189" si="86">C188+D188+F188</f>
        <v>1000</v>
      </c>
      <c r="H188" s="88">
        <v>10</v>
      </c>
      <c r="I188" s="88"/>
      <c r="J188" s="88"/>
      <c r="K188" s="88"/>
      <c r="L188" s="88"/>
      <c r="M188" s="88"/>
      <c r="N188" s="87">
        <f t="shared" si="85"/>
        <v>990</v>
      </c>
      <c r="O188" s="98">
        <v>44020</v>
      </c>
      <c r="P188" s="151" t="s">
        <v>54</v>
      </c>
      <c r="Q188" s="132" t="s">
        <v>142</v>
      </c>
    </row>
    <row r="189" spans="1:17" ht="13.5" thickBot="1" x14ac:dyDescent="0.25">
      <c r="A189" s="80" t="s">
        <v>79</v>
      </c>
      <c r="B189" s="81" t="s">
        <v>91</v>
      </c>
      <c r="C189" s="88">
        <v>1250</v>
      </c>
      <c r="D189" s="88"/>
      <c r="E189" s="88"/>
      <c r="F189" s="88"/>
      <c r="G189" s="87">
        <f t="shared" si="86"/>
        <v>1250</v>
      </c>
      <c r="H189" s="88">
        <v>12.5</v>
      </c>
      <c r="I189" s="88"/>
      <c r="J189" s="88"/>
      <c r="K189" s="88"/>
      <c r="L189" s="88"/>
      <c r="M189" s="88"/>
      <c r="N189" s="87">
        <f t="shared" si="85"/>
        <v>1237.5</v>
      </c>
      <c r="O189" s="98">
        <v>44020</v>
      </c>
      <c r="P189" s="151" t="s">
        <v>54</v>
      </c>
      <c r="Q189" s="132" t="s">
        <v>142</v>
      </c>
    </row>
    <row r="190" spans="1:17" s="93" customFormat="1" ht="13.5" thickBot="1" x14ac:dyDescent="0.25">
      <c r="A190" s="409" t="s">
        <v>0</v>
      </c>
      <c r="B190" s="410"/>
      <c r="C190" s="152">
        <f t="shared" ref="C190:N190" si="87">SUM(C184:C189)</f>
        <v>9883.4</v>
      </c>
      <c r="D190" s="152">
        <f t="shared" si="87"/>
        <v>0</v>
      </c>
      <c r="E190" s="152">
        <f t="shared" si="87"/>
        <v>640</v>
      </c>
      <c r="F190" s="152">
        <f t="shared" si="87"/>
        <v>624</v>
      </c>
      <c r="G190" s="152">
        <f t="shared" si="87"/>
        <v>10607.4</v>
      </c>
      <c r="H190" s="152">
        <f t="shared" si="87"/>
        <v>96.35499999999999</v>
      </c>
      <c r="I190" s="152">
        <f t="shared" si="87"/>
        <v>588</v>
      </c>
      <c r="J190" s="152">
        <f t="shared" si="87"/>
        <v>-159.5</v>
      </c>
      <c r="K190" s="152">
        <f t="shared" si="87"/>
        <v>624</v>
      </c>
      <c r="L190" s="152">
        <f t="shared" si="87"/>
        <v>402.22500000000002</v>
      </c>
      <c r="M190" s="152">
        <f t="shared" si="87"/>
        <v>1125</v>
      </c>
      <c r="N190" s="152">
        <f t="shared" si="87"/>
        <v>7847.3199999999988</v>
      </c>
      <c r="O190" s="411" t="s">
        <v>0</v>
      </c>
      <c r="P190" s="412"/>
      <c r="Q190" s="132"/>
    </row>
    <row r="191" spans="1:17" x14ac:dyDescent="0.2">
      <c r="A191" s="82" t="s">
        <v>25</v>
      </c>
      <c r="B191" s="83" t="s">
        <v>63</v>
      </c>
      <c r="C191" s="88">
        <v>3966.4</v>
      </c>
      <c r="D191" s="88">
        <v>0</v>
      </c>
      <c r="E191" s="88">
        <v>490</v>
      </c>
      <c r="F191" s="88">
        <v>624</v>
      </c>
      <c r="G191" s="87">
        <f t="shared" ref="G191" si="88">C191+D191+F191</f>
        <v>4590.3999999999996</v>
      </c>
      <c r="H191" s="88">
        <v>37.18</v>
      </c>
      <c r="I191" s="88">
        <v>588</v>
      </c>
      <c r="J191" s="88">
        <v>-159.5</v>
      </c>
      <c r="K191" s="88">
        <v>624</v>
      </c>
      <c r="L191" s="88">
        <v>200.01</v>
      </c>
      <c r="M191" s="88">
        <v>1125</v>
      </c>
      <c r="N191" s="87">
        <f t="shared" ref="N191:N196" si="89">C191+D191+E191-H191-I191-J191-K191-L191-M191</f>
        <v>2041.7099999999991</v>
      </c>
      <c r="O191" s="98">
        <v>44027</v>
      </c>
      <c r="P191" s="123" t="s">
        <v>55</v>
      </c>
      <c r="Q191" s="132" t="s">
        <v>142</v>
      </c>
    </row>
    <row r="192" spans="1:17" x14ac:dyDescent="0.2">
      <c r="A192" s="80" t="s">
        <v>26</v>
      </c>
      <c r="B192" s="81" t="s">
        <v>70</v>
      </c>
      <c r="C192" s="88">
        <v>1023.5</v>
      </c>
      <c r="D192" s="88"/>
      <c r="E192" s="88">
        <v>50</v>
      </c>
      <c r="F192" s="88"/>
      <c r="G192" s="87">
        <f>C192+D192+F192</f>
        <v>1023.5</v>
      </c>
      <c r="H192" s="88">
        <v>10.234999999999999</v>
      </c>
      <c r="I192" s="88"/>
      <c r="J192" s="88"/>
      <c r="K192" s="88"/>
      <c r="L192" s="88">
        <v>58.14</v>
      </c>
      <c r="M192" s="88"/>
      <c r="N192" s="87">
        <f t="shared" si="89"/>
        <v>1005.1250000000001</v>
      </c>
      <c r="O192" s="98">
        <v>44027</v>
      </c>
      <c r="P192" s="123" t="s">
        <v>55</v>
      </c>
      <c r="Q192" s="132" t="s">
        <v>142</v>
      </c>
    </row>
    <row r="193" spans="1:17" x14ac:dyDescent="0.2">
      <c r="A193" s="80" t="s">
        <v>3</v>
      </c>
      <c r="B193" s="81" t="s">
        <v>71</v>
      </c>
      <c r="C193" s="88">
        <v>1343.5</v>
      </c>
      <c r="D193" s="88"/>
      <c r="E193" s="88">
        <v>50</v>
      </c>
      <c r="F193" s="88"/>
      <c r="G193" s="87">
        <f>C193+D193+F193+E193</f>
        <v>1393.5</v>
      </c>
      <c r="H193" s="88">
        <v>13.44</v>
      </c>
      <c r="I193" s="88"/>
      <c r="J193" s="88"/>
      <c r="K193" s="88"/>
      <c r="L193" s="88">
        <v>76.295000000000002</v>
      </c>
      <c r="M193" s="88"/>
      <c r="N193" s="87">
        <f t="shared" si="89"/>
        <v>1303.7649999999999</v>
      </c>
      <c r="O193" s="98">
        <v>44027</v>
      </c>
      <c r="P193" s="123" t="s">
        <v>55</v>
      </c>
      <c r="Q193" s="132" t="s">
        <v>142</v>
      </c>
    </row>
    <row r="194" spans="1:17" x14ac:dyDescent="0.2">
      <c r="A194" s="80" t="s">
        <v>31</v>
      </c>
      <c r="B194" s="81" t="s">
        <v>72</v>
      </c>
      <c r="C194" s="88">
        <v>1300</v>
      </c>
      <c r="D194" s="88"/>
      <c r="E194" s="88">
        <v>50</v>
      </c>
      <c r="F194" s="88"/>
      <c r="G194" s="87">
        <f>C194+D194+F194+E194</f>
        <v>1350</v>
      </c>
      <c r="H194" s="88">
        <v>13</v>
      </c>
      <c r="I194" s="88"/>
      <c r="J194" s="88"/>
      <c r="K194" s="88"/>
      <c r="L194" s="88">
        <v>67.78</v>
      </c>
      <c r="M194" s="88"/>
      <c r="N194" s="87">
        <f t="shared" si="89"/>
        <v>1269.22</v>
      </c>
      <c r="O194" s="98">
        <v>44027</v>
      </c>
      <c r="P194" s="123" t="s">
        <v>55</v>
      </c>
      <c r="Q194" s="132" t="s">
        <v>142</v>
      </c>
    </row>
    <row r="195" spans="1:17" x14ac:dyDescent="0.2">
      <c r="A195" s="80" t="s">
        <v>69</v>
      </c>
      <c r="B195" s="81" t="s">
        <v>73</v>
      </c>
      <c r="C195" s="88">
        <v>1000</v>
      </c>
      <c r="D195" s="88"/>
      <c r="E195" s="88"/>
      <c r="F195" s="88"/>
      <c r="G195" s="87">
        <f t="shared" ref="G195:G196" si="90">C195+D195+F195</f>
        <v>1000</v>
      </c>
      <c r="H195" s="88">
        <v>10</v>
      </c>
      <c r="I195" s="88"/>
      <c r="J195" s="88"/>
      <c r="K195" s="88"/>
      <c r="L195" s="88"/>
      <c r="M195" s="88"/>
      <c r="N195" s="87">
        <f t="shared" si="89"/>
        <v>990</v>
      </c>
      <c r="O195" s="98">
        <v>44027</v>
      </c>
      <c r="P195" s="123" t="s">
        <v>55</v>
      </c>
      <c r="Q195" s="132" t="s">
        <v>142</v>
      </c>
    </row>
    <row r="196" spans="1:17" ht="13.5" thickBot="1" x14ac:dyDescent="0.25">
      <c r="A196" s="80" t="s">
        <v>79</v>
      </c>
      <c r="B196" s="81" t="s">
        <v>91</v>
      </c>
      <c r="C196" s="88">
        <v>1250</v>
      </c>
      <c r="D196" s="88"/>
      <c r="E196" s="88"/>
      <c r="F196" s="88"/>
      <c r="G196" s="87">
        <f t="shared" si="90"/>
        <v>1250</v>
      </c>
      <c r="H196" s="88">
        <v>12.5</v>
      </c>
      <c r="I196" s="88"/>
      <c r="J196" s="88"/>
      <c r="K196" s="88"/>
      <c r="L196" s="88"/>
      <c r="M196" s="88"/>
      <c r="N196" s="87">
        <f t="shared" si="89"/>
        <v>1237.5</v>
      </c>
      <c r="O196" s="98">
        <v>44027</v>
      </c>
      <c r="P196" s="123" t="s">
        <v>55</v>
      </c>
      <c r="Q196" s="132" t="s">
        <v>142</v>
      </c>
    </row>
    <row r="197" spans="1:17" s="93" customFormat="1" ht="13.5" thickBot="1" x14ac:dyDescent="0.25">
      <c r="A197" s="413" t="s">
        <v>0</v>
      </c>
      <c r="B197" s="414"/>
      <c r="C197" s="106">
        <f t="shared" ref="C197:N197" si="91">SUM(C191:C196)</f>
        <v>9883.4</v>
      </c>
      <c r="D197" s="106">
        <f t="shared" si="91"/>
        <v>0</v>
      </c>
      <c r="E197" s="106">
        <f t="shared" si="91"/>
        <v>640</v>
      </c>
      <c r="F197" s="106">
        <f t="shared" si="91"/>
        <v>624</v>
      </c>
      <c r="G197" s="106">
        <f t="shared" si="91"/>
        <v>10607.4</v>
      </c>
      <c r="H197" s="106">
        <f t="shared" si="91"/>
        <v>96.35499999999999</v>
      </c>
      <c r="I197" s="106">
        <f t="shared" si="91"/>
        <v>588</v>
      </c>
      <c r="J197" s="106">
        <f t="shared" si="91"/>
        <v>-159.5</v>
      </c>
      <c r="K197" s="106">
        <f t="shared" si="91"/>
        <v>624</v>
      </c>
      <c r="L197" s="106">
        <f t="shared" si="91"/>
        <v>402.22500000000002</v>
      </c>
      <c r="M197" s="106">
        <f t="shared" si="91"/>
        <v>1125</v>
      </c>
      <c r="N197" s="106">
        <f t="shared" si="91"/>
        <v>7847.3199999999988</v>
      </c>
      <c r="O197" s="418" t="s">
        <v>0</v>
      </c>
      <c r="P197" s="419"/>
      <c r="Q197" s="132"/>
    </row>
    <row r="198" spans="1:17" x14ac:dyDescent="0.2">
      <c r="A198" s="82" t="s">
        <v>25</v>
      </c>
      <c r="B198" s="83" t="s">
        <v>63</v>
      </c>
      <c r="C198" s="88">
        <v>3966.4</v>
      </c>
      <c r="D198" s="88">
        <v>0</v>
      </c>
      <c r="E198" s="88">
        <v>490</v>
      </c>
      <c r="F198" s="88">
        <v>624</v>
      </c>
      <c r="G198" s="87">
        <f t="shared" ref="G198" si="92">C198+D198+F198</f>
        <v>4590.3999999999996</v>
      </c>
      <c r="H198" s="88">
        <v>37.18</v>
      </c>
      <c r="I198" s="88">
        <v>588</v>
      </c>
      <c r="J198" s="88">
        <v>-159.5</v>
      </c>
      <c r="K198" s="88">
        <v>624</v>
      </c>
      <c r="L198" s="88">
        <v>200.01</v>
      </c>
      <c r="M198" s="88">
        <v>1125</v>
      </c>
      <c r="N198" s="87">
        <f t="shared" ref="N198:N203" si="93">C198+D198+E198-H198-I198-J198-K198-L198-M198</f>
        <v>2041.7099999999991</v>
      </c>
      <c r="O198" s="98">
        <v>44034</v>
      </c>
      <c r="P198" s="149" t="s">
        <v>75</v>
      </c>
      <c r="Q198" s="132" t="s">
        <v>142</v>
      </c>
    </row>
    <row r="199" spans="1:17" x14ac:dyDescent="0.2">
      <c r="A199" s="80" t="s">
        <v>26</v>
      </c>
      <c r="B199" s="81" t="s">
        <v>70</v>
      </c>
      <c r="C199" s="88">
        <v>1023.5</v>
      </c>
      <c r="D199" s="88"/>
      <c r="E199" s="88">
        <v>50</v>
      </c>
      <c r="F199" s="88"/>
      <c r="G199" s="87">
        <f>C199+D199+F199</f>
        <v>1023.5</v>
      </c>
      <c r="H199" s="88">
        <v>10.234999999999999</v>
      </c>
      <c r="I199" s="88"/>
      <c r="J199" s="88"/>
      <c r="K199" s="88"/>
      <c r="L199" s="88">
        <v>58.14</v>
      </c>
      <c r="M199" s="88"/>
      <c r="N199" s="87">
        <f t="shared" si="93"/>
        <v>1005.1250000000001</v>
      </c>
      <c r="O199" s="98">
        <v>44034</v>
      </c>
      <c r="P199" s="149" t="s">
        <v>75</v>
      </c>
      <c r="Q199" s="132" t="s">
        <v>142</v>
      </c>
    </row>
    <row r="200" spans="1:17" x14ac:dyDescent="0.2">
      <c r="A200" s="80" t="s">
        <v>3</v>
      </c>
      <c r="B200" s="81" t="s">
        <v>71</v>
      </c>
      <c r="C200" s="88">
        <v>1343.5</v>
      </c>
      <c r="D200" s="88"/>
      <c r="E200" s="88">
        <v>50</v>
      </c>
      <c r="F200" s="88"/>
      <c r="G200" s="87">
        <f>C200+D200+F200+E200</f>
        <v>1393.5</v>
      </c>
      <c r="H200" s="88">
        <v>13.44</v>
      </c>
      <c r="I200" s="88"/>
      <c r="J200" s="88"/>
      <c r="K200" s="88"/>
      <c r="L200" s="88">
        <v>76.295000000000002</v>
      </c>
      <c r="M200" s="88"/>
      <c r="N200" s="87">
        <f t="shared" si="93"/>
        <v>1303.7649999999999</v>
      </c>
      <c r="O200" s="98">
        <v>44034</v>
      </c>
      <c r="P200" s="149" t="s">
        <v>75</v>
      </c>
      <c r="Q200" s="132" t="s">
        <v>142</v>
      </c>
    </row>
    <row r="201" spans="1:17" x14ac:dyDescent="0.2">
      <c r="A201" s="80" t="s">
        <v>31</v>
      </c>
      <c r="B201" s="81" t="s">
        <v>72</v>
      </c>
      <c r="C201" s="88">
        <v>1300</v>
      </c>
      <c r="D201" s="88"/>
      <c r="E201" s="88">
        <v>50</v>
      </c>
      <c r="F201" s="88"/>
      <c r="G201" s="87">
        <f>C201+D201+F201+E201</f>
        <v>1350</v>
      </c>
      <c r="H201" s="88">
        <v>13</v>
      </c>
      <c r="I201" s="88"/>
      <c r="J201" s="88"/>
      <c r="K201" s="88"/>
      <c r="L201" s="88">
        <v>67.78</v>
      </c>
      <c r="M201" s="88"/>
      <c r="N201" s="87">
        <f t="shared" si="93"/>
        <v>1269.22</v>
      </c>
      <c r="O201" s="98">
        <v>44034</v>
      </c>
      <c r="P201" s="149" t="s">
        <v>75</v>
      </c>
      <c r="Q201" s="132" t="s">
        <v>142</v>
      </c>
    </row>
    <row r="202" spans="1:17" x14ac:dyDescent="0.2">
      <c r="A202" s="80" t="s">
        <v>69</v>
      </c>
      <c r="B202" s="81" t="s">
        <v>73</v>
      </c>
      <c r="C202" s="88">
        <v>1000</v>
      </c>
      <c r="D202" s="88"/>
      <c r="E202" s="88"/>
      <c r="F202" s="88"/>
      <c r="G202" s="87">
        <f t="shared" ref="G202:G203" si="94">C202+D202+F202</f>
        <v>1000</v>
      </c>
      <c r="H202" s="88">
        <v>10</v>
      </c>
      <c r="I202" s="88"/>
      <c r="J202" s="88"/>
      <c r="K202" s="88"/>
      <c r="L202" s="88"/>
      <c r="M202" s="88"/>
      <c r="N202" s="87">
        <f t="shared" si="93"/>
        <v>990</v>
      </c>
      <c r="O202" s="98">
        <v>44034</v>
      </c>
      <c r="P202" s="149" t="s">
        <v>75</v>
      </c>
      <c r="Q202" s="132" t="s">
        <v>142</v>
      </c>
    </row>
    <row r="203" spans="1:17" ht="13.5" thickBot="1" x14ac:dyDescent="0.25">
      <c r="A203" s="80" t="s">
        <v>79</v>
      </c>
      <c r="B203" s="81" t="s">
        <v>91</v>
      </c>
      <c r="C203" s="88">
        <v>1250</v>
      </c>
      <c r="D203" s="88"/>
      <c r="E203" s="88"/>
      <c r="F203" s="88"/>
      <c r="G203" s="87">
        <f t="shared" si="94"/>
        <v>1250</v>
      </c>
      <c r="H203" s="88">
        <v>12.5</v>
      </c>
      <c r="I203" s="88"/>
      <c r="J203" s="88"/>
      <c r="K203" s="88"/>
      <c r="L203" s="88"/>
      <c r="M203" s="88"/>
      <c r="N203" s="87">
        <f t="shared" si="93"/>
        <v>1237.5</v>
      </c>
      <c r="O203" s="98">
        <v>44034</v>
      </c>
      <c r="P203" s="149" t="s">
        <v>75</v>
      </c>
      <c r="Q203" s="132" t="s">
        <v>142</v>
      </c>
    </row>
    <row r="204" spans="1:17" s="93" customFormat="1" ht="13.5" thickBot="1" x14ac:dyDescent="0.25">
      <c r="A204" s="420" t="s">
        <v>0</v>
      </c>
      <c r="B204" s="422"/>
      <c r="C204" s="150">
        <f t="shared" ref="C204:N204" si="95">SUM(C198:C203)</f>
        <v>9883.4</v>
      </c>
      <c r="D204" s="150">
        <f t="shared" si="95"/>
        <v>0</v>
      </c>
      <c r="E204" s="150">
        <f t="shared" si="95"/>
        <v>640</v>
      </c>
      <c r="F204" s="150">
        <f t="shared" si="95"/>
        <v>624</v>
      </c>
      <c r="G204" s="150">
        <f t="shared" si="95"/>
        <v>10607.4</v>
      </c>
      <c r="H204" s="150">
        <f t="shared" si="95"/>
        <v>96.35499999999999</v>
      </c>
      <c r="I204" s="150">
        <f t="shared" si="95"/>
        <v>588</v>
      </c>
      <c r="J204" s="150">
        <f t="shared" si="95"/>
        <v>-159.5</v>
      </c>
      <c r="K204" s="150">
        <f t="shared" si="95"/>
        <v>624</v>
      </c>
      <c r="L204" s="150">
        <f t="shared" si="95"/>
        <v>402.22500000000002</v>
      </c>
      <c r="M204" s="150">
        <f t="shared" si="95"/>
        <v>1125</v>
      </c>
      <c r="N204" s="150">
        <f t="shared" si="95"/>
        <v>7847.3199999999988</v>
      </c>
      <c r="O204" s="407" t="s">
        <v>0</v>
      </c>
      <c r="P204" s="408"/>
      <c r="Q204" s="133"/>
    </row>
    <row r="205" spans="1:17" x14ac:dyDescent="0.2">
      <c r="A205" s="82" t="s">
        <v>25</v>
      </c>
      <c r="B205" s="83" t="s">
        <v>63</v>
      </c>
      <c r="C205" s="88">
        <v>3966.4</v>
      </c>
      <c r="D205" s="88"/>
      <c r="E205" s="88"/>
      <c r="F205" s="88"/>
      <c r="G205" s="87">
        <f t="shared" ref="G205" si="96">C205+D205+F205</f>
        <v>3966.4</v>
      </c>
      <c r="H205" s="88">
        <v>37.18</v>
      </c>
      <c r="I205" s="88">
        <v>426</v>
      </c>
      <c r="J205" s="88"/>
      <c r="K205" s="88"/>
      <c r="L205" s="88">
        <v>200.01</v>
      </c>
      <c r="M205" s="88"/>
      <c r="N205" s="87">
        <f t="shared" ref="N205:N210" si="97">C205+D205+E205-H205-I205-J205-K205-L205-M205</f>
        <v>3303.21</v>
      </c>
      <c r="O205" s="98">
        <v>44041</v>
      </c>
      <c r="P205" s="149" t="s">
        <v>76</v>
      </c>
      <c r="Q205" s="132" t="s">
        <v>142</v>
      </c>
    </row>
    <row r="206" spans="1:17" x14ac:dyDescent="0.2">
      <c r="A206" s="80" t="s">
        <v>26</v>
      </c>
      <c r="B206" s="81" t="s">
        <v>70</v>
      </c>
      <c r="C206" s="88">
        <v>1023.5</v>
      </c>
      <c r="D206" s="88"/>
      <c r="E206" s="88">
        <v>50</v>
      </c>
      <c r="F206" s="88"/>
      <c r="G206" s="87">
        <f>C206+D206+F206</f>
        <v>1023.5</v>
      </c>
      <c r="H206" s="88">
        <v>10.234999999999999</v>
      </c>
      <c r="I206" s="88"/>
      <c r="J206" s="88"/>
      <c r="K206" s="88"/>
      <c r="L206" s="88">
        <v>58.14</v>
      </c>
      <c r="M206" s="88"/>
      <c r="N206" s="87">
        <f t="shared" si="97"/>
        <v>1005.1250000000001</v>
      </c>
      <c r="O206" s="98">
        <v>44041</v>
      </c>
      <c r="P206" s="149" t="s">
        <v>76</v>
      </c>
      <c r="Q206" s="132" t="s">
        <v>142</v>
      </c>
    </row>
    <row r="207" spans="1:17" x14ac:dyDescent="0.2">
      <c r="A207" s="80" t="s">
        <v>3</v>
      </c>
      <c r="B207" s="81" t="s">
        <v>71</v>
      </c>
      <c r="C207" s="88">
        <v>1343.5</v>
      </c>
      <c r="D207" s="88"/>
      <c r="E207" s="88">
        <v>50</v>
      </c>
      <c r="F207" s="88"/>
      <c r="G207" s="87">
        <f>C207+D207+F207+E207</f>
        <v>1393.5</v>
      </c>
      <c r="H207" s="88">
        <v>13.44</v>
      </c>
      <c r="I207" s="88"/>
      <c r="J207" s="88"/>
      <c r="K207" s="88"/>
      <c r="L207" s="88">
        <v>76.295000000000002</v>
      </c>
      <c r="M207" s="88"/>
      <c r="N207" s="87">
        <f t="shared" si="97"/>
        <v>1303.7649999999999</v>
      </c>
      <c r="O207" s="98">
        <v>44041</v>
      </c>
      <c r="P207" s="149" t="s">
        <v>76</v>
      </c>
      <c r="Q207" s="132" t="s">
        <v>142</v>
      </c>
    </row>
    <row r="208" spans="1:17" x14ac:dyDescent="0.2">
      <c r="A208" s="80" t="s">
        <v>31</v>
      </c>
      <c r="B208" s="81" t="s">
        <v>72</v>
      </c>
      <c r="C208" s="88">
        <v>1300</v>
      </c>
      <c r="D208" s="88"/>
      <c r="E208" s="88">
        <v>50</v>
      </c>
      <c r="F208" s="88"/>
      <c r="G208" s="87">
        <f>C208+D208+F208+E208</f>
        <v>1350</v>
      </c>
      <c r="H208" s="88">
        <v>13</v>
      </c>
      <c r="I208" s="88"/>
      <c r="J208" s="88"/>
      <c r="K208" s="88"/>
      <c r="L208" s="88">
        <v>67.78</v>
      </c>
      <c r="M208" s="88"/>
      <c r="N208" s="87">
        <f t="shared" si="97"/>
        <v>1269.22</v>
      </c>
      <c r="O208" s="98">
        <v>44041</v>
      </c>
      <c r="P208" s="149" t="s">
        <v>76</v>
      </c>
      <c r="Q208" s="132" t="s">
        <v>142</v>
      </c>
    </row>
    <row r="209" spans="1:17" x14ac:dyDescent="0.2">
      <c r="A209" s="80" t="s">
        <v>69</v>
      </c>
      <c r="B209" s="81" t="s">
        <v>73</v>
      </c>
      <c r="C209" s="88">
        <v>1000</v>
      </c>
      <c r="D209" s="88"/>
      <c r="E209" s="88"/>
      <c r="F209" s="88"/>
      <c r="G209" s="87">
        <f t="shared" ref="G209:G210" si="98">C209+D209+F209</f>
        <v>1000</v>
      </c>
      <c r="H209" s="88">
        <v>10</v>
      </c>
      <c r="I209" s="88"/>
      <c r="J209" s="88"/>
      <c r="K209" s="88"/>
      <c r="L209" s="88"/>
      <c r="M209" s="88"/>
      <c r="N209" s="87">
        <f t="shared" si="97"/>
        <v>990</v>
      </c>
      <c r="O209" s="98">
        <v>44041</v>
      </c>
      <c r="P209" s="149" t="s">
        <v>76</v>
      </c>
      <c r="Q209" s="132" t="s">
        <v>142</v>
      </c>
    </row>
    <row r="210" spans="1:17" ht="13.5" thickBot="1" x14ac:dyDescent="0.25">
      <c r="A210" s="80" t="s">
        <v>79</v>
      </c>
      <c r="B210" s="81" t="s">
        <v>91</v>
      </c>
      <c r="C210" s="88">
        <v>1250</v>
      </c>
      <c r="D210" s="88"/>
      <c r="E210" s="88"/>
      <c r="F210" s="88"/>
      <c r="G210" s="87">
        <f t="shared" si="98"/>
        <v>1250</v>
      </c>
      <c r="H210" s="88">
        <v>12.5</v>
      </c>
      <c r="I210" s="88"/>
      <c r="J210" s="88"/>
      <c r="K210" s="88"/>
      <c r="L210" s="88"/>
      <c r="M210" s="88"/>
      <c r="N210" s="87">
        <f t="shared" si="97"/>
        <v>1237.5</v>
      </c>
      <c r="O210" s="98">
        <v>44041</v>
      </c>
      <c r="P210" s="149" t="s">
        <v>76</v>
      </c>
      <c r="Q210" s="132" t="s">
        <v>142</v>
      </c>
    </row>
    <row r="211" spans="1:17" s="93" customFormat="1" ht="13.5" thickBot="1" x14ac:dyDescent="0.25">
      <c r="A211" s="420" t="s">
        <v>0</v>
      </c>
      <c r="B211" s="422"/>
      <c r="C211" s="150">
        <f t="shared" ref="C211:N211" si="99">SUM(C205:C210)</f>
        <v>9883.4</v>
      </c>
      <c r="D211" s="150">
        <f t="shared" si="99"/>
        <v>0</v>
      </c>
      <c r="E211" s="150">
        <f t="shared" si="99"/>
        <v>150</v>
      </c>
      <c r="F211" s="150">
        <f t="shared" si="99"/>
        <v>0</v>
      </c>
      <c r="G211" s="150">
        <f t="shared" si="99"/>
        <v>9983.4</v>
      </c>
      <c r="H211" s="150">
        <f t="shared" si="99"/>
        <v>96.35499999999999</v>
      </c>
      <c r="I211" s="150">
        <f t="shared" si="99"/>
        <v>426</v>
      </c>
      <c r="J211" s="150">
        <f t="shared" si="99"/>
        <v>0</v>
      </c>
      <c r="K211" s="150">
        <f t="shared" si="99"/>
        <v>0</v>
      </c>
      <c r="L211" s="150">
        <f t="shared" si="99"/>
        <v>402.22500000000002</v>
      </c>
      <c r="M211" s="150">
        <f t="shared" si="99"/>
        <v>0</v>
      </c>
      <c r="N211" s="150">
        <f t="shared" si="99"/>
        <v>9108.82</v>
      </c>
      <c r="O211" s="407" t="s">
        <v>0</v>
      </c>
      <c r="P211" s="408"/>
      <c r="Q211" s="133"/>
    </row>
    <row r="212" spans="1:17" s="140" customFormat="1" ht="13.5" thickBot="1" x14ac:dyDescent="0.25">
      <c r="A212" s="401" t="s">
        <v>88</v>
      </c>
      <c r="B212" s="402"/>
      <c r="C212" s="156">
        <f t="shared" ref="C212:N212" si="100">C211+C197+C190+C183+C204</f>
        <v>49417</v>
      </c>
      <c r="D212" s="156">
        <f t="shared" si="100"/>
        <v>0</v>
      </c>
      <c r="E212" s="156">
        <f t="shared" si="100"/>
        <v>2710</v>
      </c>
      <c r="F212" s="156">
        <f t="shared" si="100"/>
        <v>2496</v>
      </c>
      <c r="G212" s="156">
        <f t="shared" si="100"/>
        <v>52413</v>
      </c>
      <c r="H212" s="156">
        <f t="shared" si="100"/>
        <v>481.77499999999998</v>
      </c>
      <c r="I212" s="156">
        <f t="shared" si="100"/>
        <v>2778</v>
      </c>
      <c r="J212" s="156">
        <f t="shared" si="100"/>
        <v>-638</v>
      </c>
      <c r="K212" s="156">
        <f t="shared" si="100"/>
        <v>2496</v>
      </c>
      <c r="L212" s="156">
        <f t="shared" si="100"/>
        <v>2011.125</v>
      </c>
      <c r="M212" s="156">
        <f t="shared" si="100"/>
        <v>4500</v>
      </c>
      <c r="N212" s="156">
        <f t="shared" si="100"/>
        <v>40498.1</v>
      </c>
      <c r="O212" s="144"/>
      <c r="P212" s="144"/>
      <c r="Q212" s="139"/>
    </row>
    <row r="213" spans="1:17" s="162" customFormat="1" x14ac:dyDescent="0.2">
      <c r="A213" s="159" t="s">
        <v>8</v>
      </c>
      <c r="B213" s="165" t="s">
        <v>96</v>
      </c>
      <c r="C213" s="160">
        <v>13502</v>
      </c>
      <c r="D213" s="160"/>
      <c r="E213" s="160"/>
      <c r="F213" s="160">
        <v>5624</v>
      </c>
      <c r="G213" s="87">
        <f t="shared" ref="G213:G215" si="101">C213+D213+F213</f>
        <v>19126</v>
      </c>
      <c r="H213" s="160"/>
      <c r="I213" s="160">
        <v>2355</v>
      </c>
      <c r="J213" s="160">
        <v>-853</v>
      </c>
      <c r="K213" s="160"/>
      <c r="L213" s="160"/>
      <c r="M213" s="160"/>
      <c r="N213" s="87">
        <f t="shared" ref="N213:N215" si="102">C213+D213+E213-H213-I213-J213-K213-L213-M213</f>
        <v>12000</v>
      </c>
      <c r="O213" s="169"/>
      <c r="P213" s="170"/>
      <c r="Q213" s="161"/>
    </row>
    <row r="214" spans="1:17" s="162" customFormat="1" x14ac:dyDescent="0.2">
      <c r="A214" s="159" t="s">
        <v>27</v>
      </c>
      <c r="B214" s="165" t="s">
        <v>97</v>
      </c>
      <c r="C214" s="163">
        <v>13717</v>
      </c>
      <c r="D214" s="163"/>
      <c r="E214" s="163"/>
      <c r="F214" s="163">
        <v>5409</v>
      </c>
      <c r="G214" s="87">
        <f t="shared" si="101"/>
        <v>19126</v>
      </c>
      <c r="H214" s="163"/>
      <c r="I214" s="163">
        <v>2355</v>
      </c>
      <c r="J214" s="163">
        <v>-638</v>
      </c>
      <c r="K214" s="163"/>
      <c r="L214" s="163"/>
      <c r="M214" s="163"/>
      <c r="N214" s="87">
        <f t="shared" si="102"/>
        <v>12000</v>
      </c>
      <c r="O214" s="169"/>
      <c r="P214" s="170"/>
      <c r="Q214" s="161"/>
    </row>
    <row r="215" spans="1:17" s="162" customFormat="1" ht="13.5" thickBot="1" x14ac:dyDescent="0.25">
      <c r="A215" s="159" t="s">
        <v>6</v>
      </c>
      <c r="B215" s="165" t="s">
        <v>98</v>
      </c>
      <c r="C215" s="164">
        <v>12643.72</v>
      </c>
      <c r="D215" s="164"/>
      <c r="E215" s="164"/>
      <c r="F215" s="164">
        <v>2812</v>
      </c>
      <c r="G215" s="87">
        <f t="shared" si="101"/>
        <v>15455.72</v>
      </c>
      <c r="H215" s="164">
        <v>148.72</v>
      </c>
      <c r="I215" s="164">
        <v>1536</v>
      </c>
      <c r="J215" s="164">
        <v>-853</v>
      </c>
      <c r="K215" s="164">
        <v>2812</v>
      </c>
      <c r="L215" s="164"/>
      <c r="M215" s="164"/>
      <c r="N215" s="87">
        <f t="shared" si="102"/>
        <v>9000</v>
      </c>
      <c r="O215" s="169"/>
      <c r="P215" s="170"/>
      <c r="Q215" s="161"/>
    </row>
    <row r="216" spans="1:17" s="131" customFormat="1" ht="13.5" thickBot="1" x14ac:dyDescent="0.25">
      <c r="A216" s="415" t="s">
        <v>89</v>
      </c>
      <c r="B216" s="416"/>
      <c r="C216" s="158">
        <f>SUM(C213:C215)</f>
        <v>39862.720000000001</v>
      </c>
      <c r="D216" s="158">
        <f t="shared" ref="D216" si="103">SUM(D213:D215)</f>
        <v>0</v>
      </c>
      <c r="E216" s="158">
        <f t="shared" ref="E216" si="104">SUM(E213:E215)</f>
        <v>0</v>
      </c>
      <c r="F216" s="158">
        <f t="shared" ref="F216" si="105">SUM(F213:F215)</f>
        <v>13845</v>
      </c>
      <c r="G216" s="158">
        <f t="shared" ref="G216" si="106">SUM(G213:G215)</f>
        <v>53707.72</v>
      </c>
      <c r="H216" s="158">
        <f>SUM(H213:H215)</f>
        <v>148.72</v>
      </c>
      <c r="I216" s="158">
        <f>SUM(I213:I215)</f>
        <v>6246</v>
      </c>
      <c r="J216" s="158">
        <f>SUM(J213:J215)</f>
        <v>-2344</v>
      </c>
      <c r="K216" s="158">
        <f>SUM(K213:K215)</f>
        <v>2812</v>
      </c>
      <c r="L216" s="158">
        <f>SUM(L213:L215)</f>
        <v>0</v>
      </c>
      <c r="M216" s="158">
        <f t="shared" ref="M216" si="107">SUM(M213:M215)</f>
        <v>0</v>
      </c>
      <c r="N216" s="158">
        <f t="shared" ref="N216" si="108">SUM(N213:N215)</f>
        <v>33000</v>
      </c>
      <c r="O216" s="130"/>
      <c r="P216" s="130"/>
      <c r="Q216" s="134"/>
    </row>
    <row r="217" spans="1:17" s="131" customFormat="1" ht="13.5" thickBot="1" x14ac:dyDescent="0.25">
      <c r="A217" s="417" t="s">
        <v>90</v>
      </c>
      <c r="B217" s="417"/>
      <c r="C217" s="141"/>
      <c r="D217" s="141"/>
      <c r="E217" s="141"/>
      <c r="F217" s="141"/>
      <c r="G217" s="141"/>
      <c r="H217" s="147">
        <f>(H212+H216)*2</f>
        <v>1260.99</v>
      </c>
      <c r="I217" s="145">
        <f>I212+I216</f>
        <v>9024</v>
      </c>
      <c r="J217" s="148">
        <f>J212+J216</f>
        <v>-2982</v>
      </c>
      <c r="K217" s="141"/>
      <c r="L217" s="141"/>
      <c r="M217" s="141"/>
      <c r="N217" s="141">
        <f>9000+11000+12000</f>
        <v>32000</v>
      </c>
      <c r="O217" s="130"/>
      <c r="P217" s="130"/>
      <c r="Q217" s="143"/>
    </row>
    <row r="218" spans="1:17" s="131" customFormat="1" ht="13.5" thickBot="1" x14ac:dyDescent="0.25">
      <c r="A218" s="154"/>
      <c r="B218" s="154"/>
      <c r="C218" s="141"/>
      <c r="D218" s="141"/>
      <c r="E218" s="141"/>
      <c r="F218" s="141"/>
      <c r="G218" s="141"/>
      <c r="H218" s="141"/>
      <c r="I218" s="425">
        <f>I217+J217</f>
        <v>6042</v>
      </c>
      <c r="J218" s="426"/>
      <c r="K218" s="141"/>
      <c r="L218" s="141"/>
      <c r="M218" s="141"/>
      <c r="N218" s="141"/>
      <c r="O218" s="130"/>
      <c r="P218" s="130"/>
      <c r="Q218" s="143"/>
    </row>
    <row r="219" spans="1:17" s="131" customFormat="1" ht="13.5" thickBot="1" x14ac:dyDescent="0.25">
      <c r="A219" s="154"/>
      <c r="B219" s="154"/>
      <c r="C219" s="141"/>
      <c r="D219" s="141"/>
      <c r="E219" s="141"/>
      <c r="F219" s="141"/>
      <c r="G219" s="141"/>
      <c r="H219" s="427">
        <f>SUM(H217:J217)</f>
        <v>7302.99</v>
      </c>
      <c r="I219" s="428"/>
      <c r="J219" s="429"/>
      <c r="K219" s="141"/>
      <c r="L219" s="141"/>
      <c r="M219" s="141"/>
      <c r="N219" s="141"/>
      <c r="O219" s="130"/>
      <c r="P219" s="130"/>
      <c r="Q219" s="143"/>
    </row>
    <row r="220" spans="1:17" ht="13.5" thickBot="1" x14ac:dyDescent="0.25"/>
    <row r="221" spans="1:17" s="78" customFormat="1" ht="13.5" thickBot="1" x14ac:dyDescent="0.25">
      <c r="A221" s="398" t="s">
        <v>150</v>
      </c>
      <c r="B221" s="399"/>
      <c r="C221" s="399"/>
      <c r="D221" s="399"/>
      <c r="E221" s="399"/>
      <c r="F221" s="399"/>
      <c r="G221" s="399"/>
      <c r="H221" s="399"/>
      <c r="I221" s="399"/>
      <c r="J221" s="399"/>
      <c r="K221" s="399"/>
      <c r="L221" s="399"/>
      <c r="M221" s="399"/>
      <c r="N221" s="399"/>
      <c r="O221" s="399"/>
      <c r="P221" s="399"/>
      <c r="Q221" s="400"/>
    </row>
    <row r="222" spans="1:17" s="78" customFormat="1" ht="13.5" thickBot="1" x14ac:dyDescent="0.25">
      <c r="A222" s="84" t="s">
        <v>64</v>
      </c>
      <c r="B222" s="85" t="s">
        <v>1</v>
      </c>
      <c r="C222" s="86" t="s">
        <v>56</v>
      </c>
      <c r="D222" s="86" t="s">
        <v>57</v>
      </c>
      <c r="E222" s="86" t="s">
        <v>67</v>
      </c>
      <c r="F222" s="86" t="s">
        <v>62</v>
      </c>
      <c r="G222" s="86" t="s">
        <v>74</v>
      </c>
      <c r="H222" s="86" t="s">
        <v>59</v>
      </c>
      <c r="I222" s="86" t="s">
        <v>60</v>
      </c>
      <c r="J222" s="86" t="s">
        <v>66</v>
      </c>
      <c r="K222" s="86" t="s">
        <v>62</v>
      </c>
      <c r="L222" s="86" t="s">
        <v>58</v>
      </c>
      <c r="M222" s="86" t="s">
        <v>61</v>
      </c>
      <c r="N222" s="86" t="s">
        <v>2</v>
      </c>
      <c r="O222" s="91" t="s">
        <v>65</v>
      </c>
      <c r="P222" s="92" t="s">
        <v>68</v>
      </c>
      <c r="Q222" s="135" t="s">
        <v>87</v>
      </c>
    </row>
    <row r="223" spans="1:17" x14ac:dyDescent="0.2">
      <c r="A223" s="82" t="s">
        <v>25</v>
      </c>
      <c r="B223" s="83" t="s">
        <v>63</v>
      </c>
      <c r="C223" s="88">
        <v>3966.4</v>
      </c>
      <c r="D223" s="88">
        <v>0</v>
      </c>
      <c r="E223" s="88">
        <v>490</v>
      </c>
      <c r="F223" s="88">
        <v>624</v>
      </c>
      <c r="G223" s="87">
        <f t="shared" ref="G223" si="109">C223+D223+F223</f>
        <v>4590.3999999999996</v>
      </c>
      <c r="H223" s="88">
        <v>37.18</v>
      </c>
      <c r="I223" s="88">
        <v>588</v>
      </c>
      <c r="J223" s="88">
        <v>-159.5</v>
      </c>
      <c r="K223" s="88">
        <v>624</v>
      </c>
      <c r="L223" s="88">
        <v>200.01</v>
      </c>
      <c r="M223" s="88">
        <v>1225</v>
      </c>
      <c r="N223" s="87">
        <f t="shared" ref="N223" si="110">C223+D223+E223-H223-I223-J223-K223-L223-M223</f>
        <v>1941.7099999999991</v>
      </c>
      <c r="O223" s="98">
        <v>44048</v>
      </c>
      <c r="P223" s="120" t="s">
        <v>77</v>
      </c>
      <c r="Q223" s="132" t="s">
        <v>150</v>
      </c>
    </row>
    <row r="224" spans="1:17" x14ac:dyDescent="0.2">
      <c r="A224" s="80" t="s">
        <v>26</v>
      </c>
      <c r="B224" s="81" t="s">
        <v>70</v>
      </c>
      <c r="C224" s="88">
        <v>1023.5</v>
      </c>
      <c r="D224" s="88"/>
      <c r="E224" s="88">
        <v>50</v>
      </c>
      <c r="F224" s="88"/>
      <c r="G224" s="87">
        <f>C224+D224+F224</f>
        <v>1023.5</v>
      </c>
      <c r="H224" s="88">
        <v>10.234999999999999</v>
      </c>
      <c r="I224" s="88"/>
      <c r="J224" s="88"/>
      <c r="K224" s="88"/>
      <c r="L224" s="88">
        <v>58.14</v>
      </c>
      <c r="M224" s="88"/>
      <c r="N224" s="87">
        <f t="shared" ref="N224:N228" si="111">C224+D224+E224-H224-I224-J224-K224-L224-M224</f>
        <v>1005.1250000000001</v>
      </c>
      <c r="O224" s="98">
        <v>44048</v>
      </c>
      <c r="P224" s="120" t="s">
        <v>77</v>
      </c>
      <c r="Q224" s="132" t="s">
        <v>150</v>
      </c>
    </row>
    <row r="225" spans="1:17" x14ac:dyDescent="0.2">
      <c r="A225" s="80" t="s">
        <v>3</v>
      </c>
      <c r="B225" s="81" t="s">
        <v>71</v>
      </c>
      <c r="C225" s="88">
        <v>1343.5</v>
      </c>
      <c r="D225" s="88"/>
      <c r="E225" s="88">
        <v>50</v>
      </c>
      <c r="F225" s="88"/>
      <c r="G225" s="87">
        <f>C225+D225+F225+E225</f>
        <v>1393.5</v>
      </c>
      <c r="H225" s="88">
        <v>13.44</v>
      </c>
      <c r="I225" s="88"/>
      <c r="J225" s="88"/>
      <c r="K225" s="88"/>
      <c r="L225" s="88">
        <v>76.295000000000002</v>
      </c>
      <c r="M225" s="88"/>
      <c r="N225" s="87">
        <f t="shared" si="111"/>
        <v>1303.7649999999999</v>
      </c>
      <c r="O225" s="98">
        <v>44048</v>
      </c>
      <c r="P225" s="120" t="s">
        <v>77</v>
      </c>
      <c r="Q225" s="132" t="s">
        <v>150</v>
      </c>
    </row>
    <row r="226" spans="1:17" x14ac:dyDescent="0.2">
      <c r="A226" s="80" t="s">
        <v>31</v>
      </c>
      <c r="B226" s="81" t="s">
        <v>72</v>
      </c>
      <c r="C226" s="88">
        <v>1300</v>
      </c>
      <c r="D226" s="88"/>
      <c r="E226" s="88">
        <v>50</v>
      </c>
      <c r="F226" s="88"/>
      <c r="G226" s="87">
        <f>C226+D226+F226+E226</f>
        <v>1350</v>
      </c>
      <c r="H226" s="88">
        <v>13</v>
      </c>
      <c r="I226" s="88"/>
      <c r="J226" s="88"/>
      <c r="K226" s="88"/>
      <c r="L226" s="88">
        <v>67.78</v>
      </c>
      <c r="M226" s="88"/>
      <c r="N226" s="87">
        <f t="shared" si="111"/>
        <v>1269.22</v>
      </c>
      <c r="O226" s="98">
        <v>44048</v>
      </c>
      <c r="P226" s="120" t="s">
        <v>77</v>
      </c>
      <c r="Q226" s="132" t="s">
        <v>150</v>
      </c>
    </row>
    <row r="227" spans="1:17" x14ac:dyDescent="0.2">
      <c r="A227" s="80" t="s">
        <v>69</v>
      </c>
      <c r="B227" s="81" t="s">
        <v>73</v>
      </c>
      <c r="C227" s="88">
        <v>1000</v>
      </c>
      <c r="D227" s="88"/>
      <c r="E227" s="88"/>
      <c r="F227" s="88"/>
      <c r="G227" s="87">
        <f t="shared" ref="G227" si="112">C227+D227+F227</f>
        <v>1000</v>
      </c>
      <c r="H227" s="88">
        <v>10</v>
      </c>
      <c r="I227" s="88"/>
      <c r="J227" s="88"/>
      <c r="K227" s="88"/>
      <c r="L227" s="88"/>
      <c r="M227" s="88"/>
      <c r="N227" s="87">
        <f t="shared" si="111"/>
        <v>990</v>
      </c>
      <c r="O227" s="98">
        <v>44048</v>
      </c>
      <c r="P227" s="120" t="s">
        <v>77</v>
      </c>
      <c r="Q227" s="132" t="s">
        <v>150</v>
      </c>
    </row>
    <row r="228" spans="1:17" ht="13.5" thickBot="1" x14ac:dyDescent="0.25">
      <c r="A228" s="80" t="s">
        <v>146</v>
      </c>
      <c r="B228" s="81" t="s">
        <v>151</v>
      </c>
      <c r="C228" s="88">
        <v>250</v>
      </c>
      <c r="D228" s="88"/>
      <c r="E228" s="88"/>
      <c r="F228" s="88"/>
      <c r="G228" s="87">
        <f>C228+D228+E228+F228</f>
        <v>250</v>
      </c>
      <c r="H228" s="88">
        <v>2.5</v>
      </c>
      <c r="I228" s="88"/>
      <c r="J228" s="88"/>
      <c r="K228" s="88"/>
      <c r="L228" s="88"/>
      <c r="M228" s="88"/>
      <c r="N228" s="87">
        <f t="shared" si="111"/>
        <v>247.5</v>
      </c>
      <c r="O228" s="98">
        <v>44048</v>
      </c>
      <c r="P228" s="120" t="s">
        <v>77</v>
      </c>
      <c r="Q228" s="132" t="s">
        <v>150</v>
      </c>
    </row>
    <row r="229" spans="1:17" s="93" customFormat="1" ht="13.5" thickBot="1" x14ac:dyDescent="0.25">
      <c r="A229" s="403" t="s">
        <v>0</v>
      </c>
      <c r="B229" s="404"/>
      <c r="C229" s="114">
        <f t="shared" ref="C229:N229" si="113">SUM(C223:C228)</f>
        <v>8883.4</v>
      </c>
      <c r="D229" s="114">
        <f t="shared" si="113"/>
        <v>0</v>
      </c>
      <c r="E229" s="114">
        <f t="shared" si="113"/>
        <v>640</v>
      </c>
      <c r="F229" s="114">
        <f t="shared" si="113"/>
        <v>624</v>
      </c>
      <c r="G229" s="114">
        <f t="shared" si="113"/>
        <v>9607.4</v>
      </c>
      <c r="H229" s="114">
        <f t="shared" si="113"/>
        <v>86.35499999999999</v>
      </c>
      <c r="I229" s="114">
        <f t="shared" si="113"/>
        <v>588</v>
      </c>
      <c r="J229" s="114">
        <f t="shared" si="113"/>
        <v>-159.5</v>
      </c>
      <c r="K229" s="114">
        <f t="shared" si="113"/>
        <v>624</v>
      </c>
      <c r="L229" s="114">
        <f t="shared" si="113"/>
        <v>402.22500000000002</v>
      </c>
      <c r="M229" s="114">
        <f t="shared" si="113"/>
        <v>1225</v>
      </c>
      <c r="N229" s="114">
        <f t="shared" si="113"/>
        <v>6757.3199999999988</v>
      </c>
      <c r="O229" s="405" t="s">
        <v>0</v>
      </c>
      <c r="P229" s="406"/>
      <c r="Q229" s="132"/>
    </row>
    <row r="230" spans="1:17" x14ac:dyDescent="0.2">
      <c r="A230" s="82" t="s">
        <v>25</v>
      </c>
      <c r="B230" s="83" t="s">
        <v>63</v>
      </c>
      <c r="C230" s="88">
        <v>3966.4</v>
      </c>
      <c r="D230" s="88">
        <v>0</v>
      </c>
      <c r="E230" s="88">
        <v>490</v>
      </c>
      <c r="F230" s="88">
        <v>624</v>
      </c>
      <c r="G230" s="87">
        <f t="shared" ref="G230" si="114">C230+D230+F230</f>
        <v>4590.3999999999996</v>
      </c>
      <c r="H230" s="88">
        <v>37.18</v>
      </c>
      <c r="I230" s="88">
        <v>588</v>
      </c>
      <c r="J230" s="88">
        <v>-159.5</v>
      </c>
      <c r="K230" s="88">
        <v>624</v>
      </c>
      <c r="L230" s="88">
        <v>200.01</v>
      </c>
      <c r="M230" s="88">
        <v>1225</v>
      </c>
      <c r="N230" s="87">
        <f t="shared" ref="N230" si="115">C230+D230+E230-H230-I230-J230-K230-L230-M230</f>
        <v>1941.7099999999991</v>
      </c>
      <c r="O230" s="98">
        <v>44055</v>
      </c>
      <c r="P230" s="151" t="s">
        <v>78</v>
      </c>
      <c r="Q230" s="132" t="s">
        <v>150</v>
      </c>
    </row>
    <row r="231" spans="1:17" x14ac:dyDescent="0.2">
      <c r="A231" s="80" t="s">
        <v>26</v>
      </c>
      <c r="B231" s="81" t="s">
        <v>70</v>
      </c>
      <c r="C231" s="88">
        <v>1023.5</v>
      </c>
      <c r="D231" s="88"/>
      <c r="E231" s="88">
        <v>50</v>
      </c>
      <c r="F231" s="88"/>
      <c r="G231" s="87">
        <f>C231+D231+F231</f>
        <v>1023.5</v>
      </c>
      <c r="H231" s="88">
        <v>10.234999999999999</v>
      </c>
      <c r="I231" s="88"/>
      <c r="J231" s="88"/>
      <c r="K231" s="88"/>
      <c r="L231" s="88">
        <v>58.14</v>
      </c>
      <c r="M231" s="88"/>
      <c r="N231" s="87">
        <f t="shared" ref="N231:N235" si="116">C231+D231+E231-H231-I231-J231-K231-L231-M231</f>
        <v>1005.1250000000001</v>
      </c>
      <c r="O231" s="98">
        <v>44055</v>
      </c>
      <c r="P231" s="151" t="s">
        <v>78</v>
      </c>
      <c r="Q231" s="132" t="s">
        <v>150</v>
      </c>
    </row>
    <row r="232" spans="1:17" x14ac:dyDescent="0.2">
      <c r="A232" s="80" t="s">
        <v>3</v>
      </c>
      <c r="B232" s="81" t="s">
        <v>71</v>
      </c>
      <c r="C232" s="88">
        <v>1343.5</v>
      </c>
      <c r="D232" s="88"/>
      <c r="E232" s="88">
        <v>50</v>
      </c>
      <c r="F232" s="88"/>
      <c r="G232" s="87">
        <f>C232+D232+F232+E232</f>
        <v>1393.5</v>
      </c>
      <c r="H232" s="88">
        <v>13.44</v>
      </c>
      <c r="I232" s="88"/>
      <c r="J232" s="88"/>
      <c r="K232" s="88"/>
      <c r="L232" s="88">
        <v>76.295000000000002</v>
      </c>
      <c r="M232" s="88"/>
      <c r="N232" s="87">
        <f t="shared" si="116"/>
        <v>1303.7649999999999</v>
      </c>
      <c r="O232" s="98">
        <v>44055</v>
      </c>
      <c r="P232" s="151" t="s">
        <v>78</v>
      </c>
      <c r="Q232" s="132" t="s">
        <v>150</v>
      </c>
    </row>
    <row r="233" spans="1:17" x14ac:dyDescent="0.2">
      <c r="A233" s="80" t="s">
        <v>31</v>
      </c>
      <c r="B233" s="81" t="s">
        <v>72</v>
      </c>
      <c r="C233" s="88">
        <v>1300</v>
      </c>
      <c r="D233" s="88"/>
      <c r="E233" s="88">
        <v>50</v>
      </c>
      <c r="F233" s="88"/>
      <c r="G233" s="87">
        <f>C233+D233+F233+E233</f>
        <v>1350</v>
      </c>
      <c r="H233" s="88">
        <v>13</v>
      </c>
      <c r="I233" s="88"/>
      <c r="J233" s="88"/>
      <c r="K233" s="88"/>
      <c r="L233" s="88">
        <v>67.78</v>
      </c>
      <c r="M233" s="88"/>
      <c r="N233" s="87">
        <f t="shared" si="116"/>
        <v>1269.22</v>
      </c>
      <c r="O233" s="98">
        <v>44055</v>
      </c>
      <c r="P233" s="151" t="s">
        <v>78</v>
      </c>
      <c r="Q233" s="132" t="s">
        <v>150</v>
      </c>
    </row>
    <row r="234" spans="1:17" x14ac:dyDescent="0.2">
      <c r="A234" s="80" t="s">
        <v>69</v>
      </c>
      <c r="B234" s="81" t="s">
        <v>73</v>
      </c>
      <c r="C234" s="88">
        <v>1000</v>
      </c>
      <c r="D234" s="88"/>
      <c r="E234" s="88"/>
      <c r="F234" s="88"/>
      <c r="G234" s="87">
        <f t="shared" ref="G234" si="117">C234+D234+F234</f>
        <v>1000</v>
      </c>
      <c r="H234" s="88">
        <v>10</v>
      </c>
      <c r="I234" s="88"/>
      <c r="J234" s="88"/>
      <c r="K234" s="88"/>
      <c r="L234" s="88"/>
      <c r="M234" s="88"/>
      <c r="N234" s="87">
        <f t="shared" si="116"/>
        <v>990</v>
      </c>
      <c r="O234" s="98">
        <v>44055</v>
      </c>
      <c r="P234" s="151" t="s">
        <v>78</v>
      </c>
      <c r="Q234" s="132" t="s">
        <v>150</v>
      </c>
    </row>
    <row r="235" spans="1:17" ht="13.5" thickBot="1" x14ac:dyDescent="0.25">
      <c r="A235" s="80" t="s">
        <v>146</v>
      </c>
      <c r="B235" s="81" t="s">
        <v>151</v>
      </c>
      <c r="C235" s="88">
        <v>1250</v>
      </c>
      <c r="D235" s="88">
        <f>375+250</f>
        <v>625</v>
      </c>
      <c r="E235" s="88"/>
      <c r="F235" s="88"/>
      <c r="G235" s="87">
        <f>C235+D235+E235+F235</f>
        <v>1875</v>
      </c>
      <c r="H235" s="88">
        <v>18.75</v>
      </c>
      <c r="I235" s="88">
        <v>49</v>
      </c>
      <c r="J235" s="88"/>
      <c r="K235" s="88"/>
      <c r="L235" s="88"/>
      <c r="M235" s="88"/>
      <c r="N235" s="87">
        <f t="shared" si="116"/>
        <v>1807.25</v>
      </c>
      <c r="O235" s="98">
        <v>44055</v>
      </c>
      <c r="P235" s="151" t="s">
        <v>78</v>
      </c>
      <c r="Q235" s="132"/>
    </row>
    <row r="236" spans="1:17" s="93" customFormat="1" ht="13.5" thickBot="1" x14ac:dyDescent="0.25">
      <c r="A236" s="409" t="s">
        <v>0</v>
      </c>
      <c r="B236" s="410"/>
      <c r="C236" s="152">
        <f t="shared" ref="C236:N236" si="118">SUM(C230:C235)</f>
        <v>9883.4</v>
      </c>
      <c r="D236" s="152">
        <f t="shared" si="118"/>
        <v>625</v>
      </c>
      <c r="E236" s="152">
        <f t="shared" si="118"/>
        <v>640</v>
      </c>
      <c r="F236" s="152">
        <f t="shared" si="118"/>
        <v>624</v>
      </c>
      <c r="G236" s="152">
        <f t="shared" si="118"/>
        <v>11232.4</v>
      </c>
      <c r="H236" s="152">
        <f t="shared" si="118"/>
        <v>102.60499999999999</v>
      </c>
      <c r="I236" s="152">
        <f t="shared" si="118"/>
        <v>637</v>
      </c>
      <c r="J236" s="152">
        <f t="shared" si="118"/>
        <v>-159.5</v>
      </c>
      <c r="K236" s="152">
        <f t="shared" si="118"/>
        <v>624</v>
      </c>
      <c r="L236" s="152">
        <f t="shared" si="118"/>
        <v>402.22500000000002</v>
      </c>
      <c r="M236" s="152">
        <f t="shared" si="118"/>
        <v>1225</v>
      </c>
      <c r="N236" s="152">
        <f t="shared" si="118"/>
        <v>8317.07</v>
      </c>
      <c r="O236" s="411" t="s">
        <v>0</v>
      </c>
      <c r="P236" s="412"/>
      <c r="Q236" s="132"/>
    </row>
    <row r="237" spans="1:17" x14ac:dyDescent="0.2">
      <c r="A237" s="82" t="s">
        <v>25</v>
      </c>
      <c r="B237" s="83" t="s">
        <v>63</v>
      </c>
      <c r="C237" s="88">
        <v>3966.4</v>
      </c>
      <c r="D237" s="88">
        <v>0</v>
      </c>
      <c r="E237" s="88">
        <v>490</v>
      </c>
      <c r="F237" s="88">
        <v>624</v>
      </c>
      <c r="G237" s="87">
        <f t="shared" ref="G237" si="119">C237+D237+F237</f>
        <v>4590.3999999999996</v>
      </c>
      <c r="H237" s="88">
        <v>37.18</v>
      </c>
      <c r="I237" s="88">
        <v>588</v>
      </c>
      <c r="J237" s="88">
        <v>-159.5</v>
      </c>
      <c r="K237" s="88">
        <v>624</v>
      </c>
      <c r="L237" s="88">
        <v>200.01</v>
      </c>
      <c r="M237" s="88">
        <v>1225</v>
      </c>
      <c r="N237" s="87">
        <f t="shared" ref="N237" si="120">C237+D237+E237-H237-I237-J237-K237-L237-M237</f>
        <v>1941.7099999999991</v>
      </c>
      <c r="O237" s="98">
        <v>44062</v>
      </c>
      <c r="P237" s="123" t="s">
        <v>99</v>
      </c>
      <c r="Q237" s="132" t="s">
        <v>150</v>
      </c>
    </row>
    <row r="238" spans="1:17" x14ac:dyDescent="0.2">
      <c r="A238" s="80" t="s">
        <v>26</v>
      </c>
      <c r="B238" s="81" t="s">
        <v>70</v>
      </c>
      <c r="C238" s="88">
        <v>1023.5</v>
      </c>
      <c r="D238" s="88"/>
      <c r="E238" s="88">
        <v>50</v>
      </c>
      <c r="F238" s="88"/>
      <c r="G238" s="87">
        <f>C238+D238+F238</f>
        <v>1023.5</v>
      </c>
      <c r="H238" s="88">
        <v>10.234999999999999</v>
      </c>
      <c r="I238" s="88"/>
      <c r="J238" s="88"/>
      <c r="K238" s="88"/>
      <c r="L238" s="88">
        <v>58.14</v>
      </c>
      <c r="M238" s="88"/>
      <c r="N238" s="87">
        <f t="shared" ref="N238:N242" si="121">C238+D238+E238-H238-I238-J238-K238-L238-M238</f>
        <v>1005.1250000000001</v>
      </c>
      <c r="O238" s="98">
        <v>44062</v>
      </c>
      <c r="P238" s="123" t="s">
        <v>99</v>
      </c>
      <c r="Q238" s="132" t="s">
        <v>150</v>
      </c>
    </row>
    <row r="239" spans="1:17" x14ac:dyDescent="0.2">
      <c r="A239" s="80" t="s">
        <v>3</v>
      </c>
      <c r="B239" s="81" t="s">
        <v>71</v>
      </c>
      <c r="C239" s="88">
        <v>1343.5</v>
      </c>
      <c r="D239" s="88"/>
      <c r="E239" s="88">
        <v>50</v>
      </c>
      <c r="F239" s="88"/>
      <c r="G239" s="87">
        <f>C239+D239+F239+E239</f>
        <v>1393.5</v>
      </c>
      <c r="H239" s="88">
        <v>13.44</v>
      </c>
      <c r="I239" s="88"/>
      <c r="J239" s="88"/>
      <c r="K239" s="88"/>
      <c r="L239" s="88">
        <v>76.295000000000002</v>
      </c>
      <c r="M239" s="88"/>
      <c r="N239" s="87">
        <f t="shared" si="121"/>
        <v>1303.7649999999999</v>
      </c>
      <c r="O239" s="98">
        <v>44062</v>
      </c>
      <c r="P239" s="123" t="s">
        <v>99</v>
      </c>
      <c r="Q239" s="132" t="s">
        <v>150</v>
      </c>
    </row>
    <row r="240" spans="1:17" x14ac:dyDescent="0.2">
      <c r="A240" s="80" t="s">
        <v>31</v>
      </c>
      <c r="B240" s="81" t="s">
        <v>72</v>
      </c>
      <c r="C240" s="88">
        <v>1300</v>
      </c>
      <c r="D240" s="88"/>
      <c r="E240" s="88">
        <v>50</v>
      </c>
      <c r="F240" s="88"/>
      <c r="G240" s="87">
        <f>C240+D240+F240+E240</f>
        <v>1350</v>
      </c>
      <c r="H240" s="88">
        <v>13</v>
      </c>
      <c r="I240" s="88"/>
      <c r="J240" s="88"/>
      <c r="K240" s="88"/>
      <c r="L240" s="88">
        <v>67.78</v>
      </c>
      <c r="M240" s="88"/>
      <c r="N240" s="87">
        <f t="shared" si="121"/>
        <v>1269.22</v>
      </c>
      <c r="O240" s="98">
        <v>44062</v>
      </c>
      <c r="P240" s="123" t="s">
        <v>99</v>
      </c>
      <c r="Q240" s="132" t="s">
        <v>150</v>
      </c>
    </row>
    <row r="241" spans="1:17" x14ac:dyDescent="0.2">
      <c r="A241" s="80" t="s">
        <v>69</v>
      </c>
      <c r="B241" s="81" t="s">
        <v>73</v>
      </c>
      <c r="C241" s="88">
        <v>1000</v>
      </c>
      <c r="D241" s="88"/>
      <c r="E241" s="88"/>
      <c r="F241" s="88"/>
      <c r="G241" s="87">
        <f t="shared" ref="G241" si="122">C241+D241+F241</f>
        <v>1000</v>
      </c>
      <c r="H241" s="88">
        <v>10</v>
      </c>
      <c r="I241" s="88"/>
      <c r="J241" s="88"/>
      <c r="K241" s="88"/>
      <c r="L241" s="88"/>
      <c r="M241" s="88"/>
      <c r="N241" s="87">
        <f t="shared" si="121"/>
        <v>990</v>
      </c>
      <c r="O241" s="98">
        <v>44062</v>
      </c>
      <c r="P241" s="123" t="s">
        <v>99</v>
      </c>
      <c r="Q241" s="132" t="s">
        <v>150</v>
      </c>
    </row>
    <row r="242" spans="1:17" ht="13.5" thickBot="1" x14ac:dyDescent="0.25">
      <c r="A242" s="80" t="s">
        <v>146</v>
      </c>
      <c r="B242" s="81" t="s">
        <v>151</v>
      </c>
      <c r="C242" s="88">
        <v>1250</v>
      </c>
      <c r="D242" s="88">
        <v>375</v>
      </c>
      <c r="E242" s="88"/>
      <c r="F242" s="88"/>
      <c r="G242" s="87">
        <f>C242+D242+E242+F242</f>
        <v>1625</v>
      </c>
      <c r="H242" s="88">
        <v>16.25</v>
      </c>
      <c r="I242" s="88">
        <v>5</v>
      </c>
      <c r="J242" s="88"/>
      <c r="K242" s="88"/>
      <c r="L242" s="88"/>
      <c r="M242" s="88"/>
      <c r="N242" s="87">
        <f t="shared" si="121"/>
        <v>1603.75</v>
      </c>
      <c r="O242" s="98">
        <v>44062</v>
      </c>
      <c r="P242" s="123" t="s">
        <v>99</v>
      </c>
      <c r="Q242" s="132"/>
    </row>
    <row r="243" spans="1:17" s="93" customFormat="1" ht="13.5" thickBot="1" x14ac:dyDescent="0.25">
      <c r="A243" s="413" t="s">
        <v>0</v>
      </c>
      <c r="B243" s="414"/>
      <c r="C243" s="106">
        <f t="shared" ref="C243:N243" si="123">SUM(C237:C242)</f>
        <v>9883.4</v>
      </c>
      <c r="D243" s="106">
        <f t="shared" si="123"/>
        <v>375</v>
      </c>
      <c r="E243" s="106">
        <f t="shared" si="123"/>
        <v>640</v>
      </c>
      <c r="F243" s="106">
        <f t="shared" si="123"/>
        <v>624</v>
      </c>
      <c r="G243" s="106">
        <f t="shared" si="123"/>
        <v>10982.4</v>
      </c>
      <c r="H243" s="106">
        <f t="shared" si="123"/>
        <v>100.10499999999999</v>
      </c>
      <c r="I243" s="106">
        <f t="shared" si="123"/>
        <v>593</v>
      </c>
      <c r="J243" s="106">
        <f t="shared" si="123"/>
        <v>-159.5</v>
      </c>
      <c r="K243" s="106">
        <f t="shared" si="123"/>
        <v>624</v>
      </c>
      <c r="L243" s="106">
        <f t="shared" si="123"/>
        <v>402.22500000000002</v>
      </c>
      <c r="M243" s="106">
        <f t="shared" si="123"/>
        <v>1225</v>
      </c>
      <c r="N243" s="106">
        <f t="shared" si="123"/>
        <v>8113.5699999999988</v>
      </c>
      <c r="O243" s="418" t="s">
        <v>0</v>
      </c>
      <c r="P243" s="419"/>
      <c r="Q243" s="132"/>
    </row>
    <row r="244" spans="1:17" x14ac:dyDescent="0.2">
      <c r="A244" s="82" t="s">
        <v>25</v>
      </c>
      <c r="B244" s="83" t="s">
        <v>63</v>
      </c>
      <c r="C244" s="88">
        <v>3966.4</v>
      </c>
      <c r="D244" s="88">
        <v>0</v>
      </c>
      <c r="E244" s="88">
        <v>490</v>
      </c>
      <c r="F244" s="88">
        <v>624</v>
      </c>
      <c r="G244" s="87">
        <f t="shared" ref="G244" si="124">C244+D244+F244</f>
        <v>4590.3999999999996</v>
      </c>
      <c r="H244" s="88">
        <v>37.18</v>
      </c>
      <c r="I244" s="88">
        <v>588</v>
      </c>
      <c r="J244" s="88">
        <v>-159.5</v>
      </c>
      <c r="K244" s="88">
        <v>624</v>
      </c>
      <c r="L244" s="88">
        <v>200.01</v>
      </c>
      <c r="M244" s="88">
        <v>1225</v>
      </c>
      <c r="N244" s="87">
        <f t="shared" ref="N244" si="125">C244+D244+E244-H244-I244-J244-K244-L244-M244</f>
        <v>1941.7099999999991</v>
      </c>
      <c r="O244" s="98">
        <v>44069</v>
      </c>
      <c r="P244" s="149" t="s">
        <v>81</v>
      </c>
      <c r="Q244" s="132" t="s">
        <v>150</v>
      </c>
    </row>
    <row r="245" spans="1:17" x14ac:dyDescent="0.2">
      <c r="A245" s="80" t="s">
        <v>26</v>
      </c>
      <c r="B245" s="81" t="s">
        <v>70</v>
      </c>
      <c r="C245" s="88">
        <v>1023.5</v>
      </c>
      <c r="D245" s="88"/>
      <c r="E245" s="88">
        <v>50</v>
      </c>
      <c r="F245" s="88"/>
      <c r="G245" s="87">
        <f>C245+D245+F245</f>
        <v>1023.5</v>
      </c>
      <c r="H245" s="88">
        <v>10.234999999999999</v>
      </c>
      <c r="I245" s="88"/>
      <c r="J245" s="88"/>
      <c r="K245" s="88"/>
      <c r="L245" s="88">
        <v>58.14</v>
      </c>
      <c r="M245" s="88"/>
      <c r="N245" s="87">
        <f t="shared" ref="N245:N249" si="126">C245+D245+E245-H245-I245-J245-K245-L245-M245</f>
        <v>1005.1250000000001</v>
      </c>
      <c r="O245" s="98">
        <v>44069</v>
      </c>
      <c r="P245" s="149" t="s">
        <v>81</v>
      </c>
      <c r="Q245" s="132" t="s">
        <v>150</v>
      </c>
    </row>
    <row r="246" spans="1:17" x14ac:dyDescent="0.2">
      <c r="A246" s="80" t="s">
        <v>3</v>
      </c>
      <c r="B246" s="81" t="s">
        <v>71</v>
      </c>
      <c r="C246" s="88">
        <v>1343.5</v>
      </c>
      <c r="D246" s="88"/>
      <c r="E246" s="88">
        <v>50</v>
      </c>
      <c r="F246" s="88"/>
      <c r="G246" s="87">
        <f>C246+D246+F246+E246</f>
        <v>1393.5</v>
      </c>
      <c r="H246" s="88">
        <v>13.44</v>
      </c>
      <c r="I246" s="88"/>
      <c r="J246" s="88"/>
      <c r="K246" s="88"/>
      <c r="L246" s="88">
        <v>76.295000000000002</v>
      </c>
      <c r="M246" s="88"/>
      <c r="N246" s="87">
        <f t="shared" si="126"/>
        <v>1303.7649999999999</v>
      </c>
      <c r="O246" s="98">
        <v>44069</v>
      </c>
      <c r="P246" s="149" t="s">
        <v>81</v>
      </c>
      <c r="Q246" s="132" t="s">
        <v>150</v>
      </c>
    </row>
    <row r="247" spans="1:17" x14ac:dyDescent="0.2">
      <c r="A247" s="80" t="s">
        <v>31</v>
      </c>
      <c r="B247" s="81" t="s">
        <v>72</v>
      </c>
      <c r="C247" s="88">
        <v>1300</v>
      </c>
      <c r="D247" s="88"/>
      <c r="E247" s="88">
        <v>50</v>
      </c>
      <c r="F247" s="88"/>
      <c r="G247" s="87">
        <f>C247+D247+F247+E247</f>
        <v>1350</v>
      </c>
      <c r="H247" s="88">
        <v>13</v>
      </c>
      <c r="I247" s="88"/>
      <c r="J247" s="88"/>
      <c r="K247" s="88"/>
      <c r="L247" s="88">
        <v>67.78</v>
      </c>
      <c r="M247" s="88"/>
      <c r="N247" s="87">
        <f t="shared" si="126"/>
        <v>1269.22</v>
      </c>
      <c r="O247" s="98">
        <v>44069</v>
      </c>
      <c r="P247" s="149" t="s">
        <v>81</v>
      </c>
      <c r="Q247" s="132" t="s">
        <v>150</v>
      </c>
    </row>
    <row r="248" spans="1:17" x14ac:dyDescent="0.2">
      <c r="A248" s="80" t="s">
        <v>69</v>
      </c>
      <c r="B248" s="81" t="s">
        <v>73</v>
      </c>
      <c r="C248" s="88">
        <v>1000</v>
      </c>
      <c r="D248" s="88"/>
      <c r="E248" s="88"/>
      <c r="F248" s="88"/>
      <c r="G248" s="87">
        <f t="shared" ref="G248" si="127">C248+D248+F248</f>
        <v>1000</v>
      </c>
      <c r="H248" s="88">
        <v>10</v>
      </c>
      <c r="I248" s="88"/>
      <c r="J248" s="88"/>
      <c r="K248" s="88"/>
      <c r="L248" s="88"/>
      <c r="M248" s="88"/>
      <c r="N248" s="87">
        <f t="shared" si="126"/>
        <v>990</v>
      </c>
      <c r="O248" s="98">
        <v>44069</v>
      </c>
      <c r="P248" s="149" t="s">
        <v>81</v>
      </c>
      <c r="Q248" s="132" t="s">
        <v>150</v>
      </c>
    </row>
    <row r="249" spans="1:17" ht="13.5" thickBot="1" x14ac:dyDescent="0.25">
      <c r="A249" s="80" t="s">
        <v>146</v>
      </c>
      <c r="B249" s="81" t="s">
        <v>151</v>
      </c>
      <c r="C249" s="88">
        <v>1250</v>
      </c>
      <c r="D249" s="88">
        <v>750</v>
      </c>
      <c r="E249" s="88"/>
      <c r="F249" s="88"/>
      <c r="G249" s="87">
        <f>C249+D249+E249+F249</f>
        <v>2000</v>
      </c>
      <c r="H249" s="88">
        <v>20</v>
      </c>
      <c r="I249" s="88">
        <v>72</v>
      </c>
      <c r="J249" s="88"/>
      <c r="K249" s="88"/>
      <c r="L249" s="88"/>
      <c r="M249" s="88"/>
      <c r="N249" s="87">
        <f t="shared" si="126"/>
        <v>1908</v>
      </c>
      <c r="O249" s="98">
        <v>44069</v>
      </c>
      <c r="P249" s="149" t="s">
        <v>81</v>
      </c>
      <c r="Q249" s="132"/>
    </row>
    <row r="250" spans="1:17" s="93" customFormat="1" ht="13.5" thickBot="1" x14ac:dyDescent="0.25">
      <c r="A250" s="420" t="s">
        <v>0</v>
      </c>
      <c r="B250" s="422"/>
      <c r="C250" s="150">
        <f t="shared" ref="C250:N250" si="128">SUM(C244:C249)</f>
        <v>9883.4</v>
      </c>
      <c r="D250" s="150">
        <f t="shared" si="128"/>
        <v>750</v>
      </c>
      <c r="E250" s="150">
        <f t="shared" si="128"/>
        <v>640</v>
      </c>
      <c r="F250" s="150">
        <f t="shared" si="128"/>
        <v>624</v>
      </c>
      <c r="G250" s="150">
        <f t="shared" si="128"/>
        <v>11357.4</v>
      </c>
      <c r="H250" s="150">
        <f t="shared" si="128"/>
        <v>103.85499999999999</v>
      </c>
      <c r="I250" s="150">
        <f t="shared" si="128"/>
        <v>660</v>
      </c>
      <c r="J250" s="150">
        <f t="shared" si="128"/>
        <v>-159.5</v>
      </c>
      <c r="K250" s="150">
        <f t="shared" si="128"/>
        <v>624</v>
      </c>
      <c r="L250" s="150">
        <f t="shared" si="128"/>
        <v>402.22500000000002</v>
      </c>
      <c r="M250" s="150">
        <f t="shared" si="128"/>
        <v>1225</v>
      </c>
      <c r="N250" s="150">
        <f t="shared" si="128"/>
        <v>8417.82</v>
      </c>
      <c r="O250" s="407" t="s">
        <v>0</v>
      </c>
      <c r="P250" s="408"/>
      <c r="Q250" s="133"/>
    </row>
    <row r="251" spans="1:17" s="140" customFormat="1" ht="13.5" thickBot="1" x14ac:dyDescent="0.25">
      <c r="A251" s="401" t="s">
        <v>88</v>
      </c>
      <c r="B251" s="402"/>
      <c r="C251" s="155">
        <f t="shared" ref="C251:N251" si="129">C229+C236+C243+C250</f>
        <v>38533.599999999999</v>
      </c>
      <c r="D251" s="155">
        <f t="shared" si="129"/>
        <v>1750</v>
      </c>
      <c r="E251" s="155">
        <f t="shared" si="129"/>
        <v>2560</v>
      </c>
      <c r="F251" s="155">
        <f t="shared" si="129"/>
        <v>2496</v>
      </c>
      <c r="G251" s="155">
        <f t="shared" si="129"/>
        <v>43179.6</v>
      </c>
      <c r="H251" s="155">
        <f>H229+H236+H243+H250</f>
        <v>392.91999999999996</v>
      </c>
      <c r="I251" s="155">
        <f>I229+I236+I243+I250</f>
        <v>2478</v>
      </c>
      <c r="J251" s="155">
        <f t="shared" si="129"/>
        <v>-638</v>
      </c>
      <c r="K251" s="155">
        <f t="shared" si="129"/>
        <v>2496</v>
      </c>
      <c r="L251" s="155">
        <f t="shared" si="129"/>
        <v>1608.9</v>
      </c>
      <c r="M251" s="155">
        <f t="shared" si="129"/>
        <v>4900</v>
      </c>
      <c r="N251" s="155">
        <f t="shared" si="129"/>
        <v>31605.78</v>
      </c>
      <c r="O251" s="174"/>
      <c r="P251" s="144"/>
      <c r="Q251" s="139"/>
    </row>
    <row r="252" spans="1:17" s="162" customFormat="1" x14ac:dyDescent="0.2">
      <c r="A252" s="159" t="s">
        <v>8</v>
      </c>
      <c r="B252" s="165" t="s">
        <v>96</v>
      </c>
      <c r="C252" s="160">
        <v>13502</v>
      </c>
      <c r="D252" s="160"/>
      <c r="E252" s="160"/>
      <c r="F252" s="160">
        <v>5624</v>
      </c>
      <c r="G252" s="87">
        <f t="shared" ref="G252:G254" si="130">C252+D252+F252</f>
        <v>19126</v>
      </c>
      <c r="H252" s="160"/>
      <c r="I252" s="160">
        <v>2355</v>
      </c>
      <c r="J252" s="160">
        <v>-853</v>
      </c>
      <c r="K252" s="160"/>
      <c r="L252" s="160"/>
      <c r="M252" s="160"/>
      <c r="N252" s="87">
        <f t="shared" ref="N252:N254" si="131">C252+D252+E252-H252-I252-J252-K252-L252-M252</f>
        <v>12000</v>
      </c>
      <c r="O252" s="169"/>
      <c r="P252" s="170"/>
      <c r="Q252" s="161"/>
    </row>
    <row r="253" spans="1:17" s="162" customFormat="1" x14ac:dyDescent="0.2">
      <c r="A253" s="159" t="s">
        <v>27</v>
      </c>
      <c r="B253" s="165" t="s">
        <v>97</v>
      </c>
      <c r="C253" s="163">
        <v>13717</v>
      </c>
      <c r="D253" s="163"/>
      <c r="E253" s="163"/>
      <c r="F253" s="163">
        <v>5409</v>
      </c>
      <c r="G253" s="87">
        <f t="shared" si="130"/>
        <v>19126</v>
      </c>
      <c r="H253" s="163"/>
      <c r="I253" s="163">
        <v>2355</v>
      </c>
      <c r="J253" s="163">
        <v>-638</v>
      </c>
      <c r="K253" s="163"/>
      <c r="L253" s="163"/>
      <c r="M253" s="163"/>
      <c r="N253" s="87">
        <f t="shared" si="131"/>
        <v>12000</v>
      </c>
      <c r="O253" s="169"/>
      <c r="P253" s="170"/>
      <c r="Q253" s="161"/>
    </row>
    <row r="254" spans="1:17" s="162" customFormat="1" ht="13.5" thickBot="1" x14ac:dyDescent="0.25">
      <c r="A254" s="159" t="s">
        <v>6</v>
      </c>
      <c r="B254" s="165" t="s">
        <v>98</v>
      </c>
      <c r="C254" s="164">
        <v>12643.72</v>
      </c>
      <c r="D254" s="164"/>
      <c r="E254" s="164"/>
      <c r="F254" s="164">
        <v>2812</v>
      </c>
      <c r="G254" s="87">
        <f t="shared" si="130"/>
        <v>15455.72</v>
      </c>
      <c r="H254" s="164">
        <v>148.72</v>
      </c>
      <c r="I254" s="164">
        <v>1536</v>
      </c>
      <c r="J254" s="164">
        <v>-853</v>
      </c>
      <c r="K254" s="164">
        <v>2812</v>
      </c>
      <c r="L254" s="164"/>
      <c r="M254" s="164"/>
      <c r="N254" s="87">
        <f t="shared" si="131"/>
        <v>9000</v>
      </c>
      <c r="O254" s="169"/>
      <c r="P254" s="170"/>
      <c r="Q254" s="161"/>
    </row>
    <row r="255" spans="1:17" s="131" customFormat="1" ht="13.5" thickBot="1" x14ac:dyDescent="0.25">
      <c r="A255" s="415" t="s">
        <v>89</v>
      </c>
      <c r="B255" s="416"/>
      <c r="C255" s="158">
        <f>SUM(C252:C254)</f>
        <v>39862.720000000001</v>
      </c>
      <c r="D255" s="158">
        <f t="shared" ref="D255" si="132">SUM(D252:D254)</f>
        <v>0</v>
      </c>
      <c r="E255" s="158">
        <f t="shared" ref="E255" si="133">SUM(E252:E254)</f>
        <v>0</v>
      </c>
      <c r="F255" s="158">
        <f>SUM(F252:F254)</f>
        <v>13845</v>
      </c>
      <c r="G255" s="158">
        <f>SUM(G252:G254)</f>
        <v>53707.72</v>
      </c>
      <c r="H255" s="158">
        <f t="shared" ref="H255" si="134">SUM(H252:H254)</f>
        <v>148.72</v>
      </c>
      <c r="I255" s="158">
        <f t="shared" ref="I255" si="135">SUM(I252:I254)</f>
        <v>6246</v>
      </c>
      <c r="J255" s="158">
        <f t="shared" ref="J255" si="136">SUM(J252:J254)</f>
        <v>-2344</v>
      </c>
      <c r="K255" s="158">
        <f t="shared" ref="K255" si="137">SUM(K252:K254)</f>
        <v>2812</v>
      </c>
      <c r="L255" s="158">
        <f t="shared" ref="L255" si="138">SUM(L252:L254)</f>
        <v>0</v>
      </c>
      <c r="M255" s="158">
        <f t="shared" ref="M255" si="139">SUM(M252:M254)</f>
        <v>0</v>
      </c>
      <c r="N255" s="158">
        <f t="shared" ref="N255" si="140">SUM(N252:N254)</f>
        <v>33000</v>
      </c>
      <c r="O255" s="175"/>
      <c r="P255" s="130"/>
      <c r="Q255" s="134"/>
    </row>
    <row r="256" spans="1:17" s="131" customFormat="1" ht="13.5" thickBot="1" x14ac:dyDescent="0.25">
      <c r="A256" s="417" t="s">
        <v>90</v>
      </c>
      <c r="B256" s="417"/>
      <c r="C256" s="141"/>
      <c r="D256" s="141"/>
      <c r="E256" s="141"/>
      <c r="F256" s="141"/>
      <c r="G256" s="141"/>
      <c r="H256" s="147">
        <f>(H251+H255)*2</f>
        <v>1083.28</v>
      </c>
      <c r="I256" s="145">
        <f>I251+I255</f>
        <v>8724</v>
      </c>
      <c r="J256" s="148">
        <f>J251+J255</f>
        <v>-2982</v>
      </c>
      <c r="K256" s="141">
        <f>SUM(H256:I256)</f>
        <v>9807.2800000000007</v>
      </c>
      <c r="L256" s="141"/>
      <c r="M256" s="141"/>
      <c r="N256" s="141">
        <f>9000+11000+12000</f>
        <v>32000</v>
      </c>
      <c r="O256" s="130"/>
      <c r="P256" s="130"/>
      <c r="Q256" s="143"/>
    </row>
    <row r="257" spans="1:17" ht="13.5" thickBot="1" x14ac:dyDescent="0.25"/>
    <row r="258" spans="1:17" s="78" customFormat="1" ht="13.5" thickBot="1" x14ac:dyDescent="0.25">
      <c r="A258" s="398" t="s">
        <v>165</v>
      </c>
      <c r="B258" s="399"/>
      <c r="C258" s="399"/>
      <c r="D258" s="399"/>
      <c r="E258" s="399"/>
      <c r="F258" s="399"/>
      <c r="G258" s="399"/>
      <c r="H258" s="399"/>
      <c r="I258" s="399"/>
      <c r="J258" s="399"/>
      <c r="K258" s="399"/>
      <c r="L258" s="399"/>
      <c r="M258" s="399"/>
      <c r="N258" s="399"/>
      <c r="O258" s="399"/>
      <c r="P258" s="399"/>
      <c r="Q258" s="400"/>
    </row>
    <row r="259" spans="1:17" s="78" customFormat="1" ht="13.5" thickBot="1" x14ac:dyDescent="0.25">
      <c r="A259" s="84" t="s">
        <v>64</v>
      </c>
      <c r="B259" s="85" t="s">
        <v>1</v>
      </c>
      <c r="C259" s="86" t="s">
        <v>56</v>
      </c>
      <c r="D259" s="86" t="s">
        <v>57</v>
      </c>
      <c r="E259" s="86" t="s">
        <v>67</v>
      </c>
      <c r="F259" s="86" t="s">
        <v>62</v>
      </c>
      <c r="G259" s="86" t="s">
        <v>74</v>
      </c>
      <c r="H259" s="86" t="s">
        <v>59</v>
      </c>
      <c r="I259" s="86" t="s">
        <v>60</v>
      </c>
      <c r="J259" s="86" t="s">
        <v>66</v>
      </c>
      <c r="K259" s="86" t="s">
        <v>62</v>
      </c>
      <c r="L259" s="86" t="s">
        <v>58</v>
      </c>
      <c r="M259" s="86" t="s">
        <v>61</v>
      </c>
      <c r="N259" s="86" t="s">
        <v>2</v>
      </c>
      <c r="O259" s="91" t="s">
        <v>65</v>
      </c>
      <c r="P259" s="92" t="s">
        <v>68</v>
      </c>
      <c r="Q259" s="135" t="s">
        <v>87</v>
      </c>
    </row>
    <row r="260" spans="1:17" x14ac:dyDescent="0.2">
      <c r="A260" s="82" t="s">
        <v>25</v>
      </c>
      <c r="B260" s="83" t="s">
        <v>63</v>
      </c>
      <c r="C260" s="88">
        <v>3966.4</v>
      </c>
      <c r="D260" s="88">
        <v>0</v>
      </c>
      <c r="E260" s="88">
        <v>490</v>
      </c>
      <c r="F260" s="88">
        <v>624</v>
      </c>
      <c r="G260" s="87">
        <f t="shared" ref="G260" si="141">C260+D260+F260</f>
        <v>4590.3999999999996</v>
      </c>
      <c r="H260" s="88">
        <v>37.18</v>
      </c>
      <c r="I260" s="88">
        <v>588</v>
      </c>
      <c r="J260" s="88">
        <v>-159.5</v>
      </c>
      <c r="K260" s="88">
        <v>624</v>
      </c>
      <c r="L260" s="88">
        <v>200.01</v>
      </c>
      <c r="M260" s="88">
        <v>1225</v>
      </c>
      <c r="N260" s="87">
        <f t="shared" ref="N260:N266" si="142">C260+D260+E260-H260-I260-J260-K260-L260-M260</f>
        <v>1941.7099999999991</v>
      </c>
      <c r="O260" s="98">
        <v>44076</v>
      </c>
      <c r="P260" s="120" t="s">
        <v>82</v>
      </c>
      <c r="Q260" s="132" t="s">
        <v>165</v>
      </c>
    </row>
    <row r="261" spans="1:17" x14ac:dyDescent="0.2">
      <c r="A261" s="80" t="s">
        <v>26</v>
      </c>
      <c r="B261" s="81" t="s">
        <v>70</v>
      </c>
      <c r="C261" s="88">
        <v>1023.5</v>
      </c>
      <c r="D261" s="88"/>
      <c r="E261" s="88">
        <v>50</v>
      </c>
      <c r="F261" s="88"/>
      <c r="G261" s="87">
        <f>C261+D261+F261</f>
        <v>1023.5</v>
      </c>
      <c r="H261" s="88">
        <v>10.234999999999999</v>
      </c>
      <c r="I261" s="88"/>
      <c r="J261" s="88"/>
      <c r="K261" s="88"/>
      <c r="L261" s="88">
        <v>58.14</v>
      </c>
      <c r="M261" s="88">
        <v>100</v>
      </c>
      <c r="N261" s="87">
        <f t="shared" si="142"/>
        <v>905.12500000000011</v>
      </c>
      <c r="O261" s="98">
        <v>44076</v>
      </c>
      <c r="P261" s="120" t="s">
        <v>82</v>
      </c>
      <c r="Q261" s="132" t="s">
        <v>165</v>
      </c>
    </row>
    <row r="262" spans="1:17" x14ac:dyDescent="0.2">
      <c r="A262" s="80" t="s">
        <v>3</v>
      </c>
      <c r="B262" s="81" t="s">
        <v>71</v>
      </c>
      <c r="C262" s="88">
        <v>1343.5</v>
      </c>
      <c r="D262" s="88"/>
      <c r="E262" s="88">
        <v>50</v>
      </c>
      <c r="F262" s="88"/>
      <c r="G262" s="87">
        <f>C262+D262+F262+E262</f>
        <v>1393.5</v>
      </c>
      <c r="H262" s="88">
        <v>13.44</v>
      </c>
      <c r="I262" s="88"/>
      <c r="J262" s="88"/>
      <c r="K262" s="88"/>
      <c r="L262" s="88">
        <v>76.295000000000002</v>
      </c>
      <c r="M262" s="88"/>
      <c r="N262" s="87">
        <f t="shared" si="142"/>
        <v>1303.7649999999999</v>
      </c>
      <c r="O262" s="98">
        <v>44076</v>
      </c>
      <c r="P262" s="120" t="s">
        <v>82</v>
      </c>
      <c r="Q262" s="132" t="s">
        <v>165</v>
      </c>
    </row>
    <row r="263" spans="1:17" x14ac:dyDescent="0.2">
      <c r="A263" s="80" t="s">
        <v>31</v>
      </c>
      <c r="B263" s="81" t="s">
        <v>72</v>
      </c>
      <c r="C263" s="88">
        <v>1300</v>
      </c>
      <c r="D263" s="88"/>
      <c r="E263" s="88">
        <v>50</v>
      </c>
      <c r="F263" s="88"/>
      <c r="G263" s="87">
        <f>C263+D263+F263+E263</f>
        <v>1350</v>
      </c>
      <c r="H263" s="88">
        <v>13</v>
      </c>
      <c r="I263" s="88"/>
      <c r="J263" s="88"/>
      <c r="K263" s="88"/>
      <c r="L263" s="88">
        <v>67.78</v>
      </c>
      <c r="M263" s="88"/>
      <c r="N263" s="87">
        <f t="shared" si="142"/>
        <v>1269.22</v>
      </c>
      <c r="O263" s="98">
        <v>44076</v>
      </c>
      <c r="P263" s="120" t="s">
        <v>82</v>
      </c>
      <c r="Q263" s="132" t="s">
        <v>165</v>
      </c>
    </row>
    <row r="264" spans="1:17" x14ac:dyDescent="0.2">
      <c r="A264" s="80" t="s">
        <v>69</v>
      </c>
      <c r="B264" s="81" t="s">
        <v>73</v>
      </c>
      <c r="C264" s="88">
        <v>1000</v>
      </c>
      <c r="D264" s="88"/>
      <c r="E264" s="88"/>
      <c r="F264" s="88"/>
      <c r="G264" s="87">
        <f t="shared" ref="G264" si="143">C264+D264+F264</f>
        <v>1000</v>
      </c>
      <c r="H264" s="88">
        <v>10</v>
      </c>
      <c r="I264" s="88"/>
      <c r="J264" s="88"/>
      <c r="K264" s="88"/>
      <c r="L264" s="88"/>
      <c r="M264" s="88"/>
      <c r="N264" s="87">
        <f t="shared" si="142"/>
        <v>990</v>
      </c>
      <c r="O264" s="98">
        <v>44076</v>
      </c>
      <c r="P264" s="120" t="s">
        <v>82</v>
      </c>
      <c r="Q264" s="132" t="s">
        <v>165</v>
      </c>
    </row>
    <row r="265" spans="1:17" x14ac:dyDescent="0.2">
      <c r="A265" s="80" t="s">
        <v>146</v>
      </c>
      <c r="B265" s="81" t="s">
        <v>151</v>
      </c>
      <c r="C265" s="88">
        <v>1250</v>
      </c>
      <c r="D265" s="88">
        <v>539.05999999999995</v>
      </c>
      <c r="E265" s="88"/>
      <c r="F265" s="88"/>
      <c r="G265" s="87">
        <f>C265+D265+E265+F265</f>
        <v>1789.06</v>
      </c>
      <c r="H265" s="88">
        <v>17.89</v>
      </c>
      <c r="I265" s="88">
        <v>34</v>
      </c>
      <c r="J265" s="88"/>
      <c r="K265" s="88"/>
      <c r="L265" s="88"/>
      <c r="M265" s="88"/>
      <c r="N265" s="87">
        <f t="shared" si="142"/>
        <v>1737.1699999999998</v>
      </c>
      <c r="O265" s="98">
        <v>44069</v>
      </c>
      <c r="P265" s="240" t="s">
        <v>82</v>
      </c>
      <c r="Q265" s="132" t="s">
        <v>165</v>
      </c>
    </row>
    <row r="266" spans="1:17" ht="13.5" thickBot="1" x14ac:dyDescent="0.25">
      <c r="A266" s="79" t="s">
        <v>154</v>
      </c>
      <c r="B266" s="81" t="s">
        <v>101</v>
      </c>
      <c r="C266" s="88">
        <v>500</v>
      </c>
      <c r="D266" s="88"/>
      <c r="E266" s="88"/>
      <c r="F266" s="88"/>
      <c r="G266" s="87">
        <f>C266+D266+E266+F266</f>
        <v>500</v>
      </c>
      <c r="H266" s="88">
        <v>5</v>
      </c>
      <c r="I266" s="88"/>
      <c r="J266" s="88"/>
      <c r="K266" s="88"/>
      <c r="L266" s="88"/>
      <c r="M266" s="88"/>
      <c r="N266" s="87">
        <f t="shared" si="142"/>
        <v>495</v>
      </c>
      <c r="O266" s="98">
        <v>44076</v>
      </c>
      <c r="P266" s="120" t="s">
        <v>82</v>
      </c>
      <c r="Q266" s="132" t="s">
        <v>165</v>
      </c>
    </row>
    <row r="267" spans="1:17" s="93" customFormat="1" ht="13.5" thickBot="1" x14ac:dyDescent="0.25">
      <c r="A267" s="403" t="s">
        <v>0</v>
      </c>
      <c r="B267" s="404"/>
      <c r="C267" s="114">
        <f t="shared" ref="C267:N267" si="144">SUM(C260:C266)</f>
        <v>10383.4</v>
      </c>
      <c r="D267" s="114">
        <f t="shared" si="144"/>
        <v>539.05999999999995</v>
      </c>
      <c r="E267" s="114">
        <f t="shared" si="144"/>
        <v>640</v>
      </c>
      <c r="F267" s="114">
        <f t="shared" si="144"/>
        <v>624</v>
      </c>
      <c r="G267" s="114">
        <f t="shared" si="144"/>
        <v>11646.46</v>
      </c>
      <c r="H267" s="114">
        <f t="shared" si="144"/>
        <v>106.74499999999999</v>
      </c>
      <c r="I267" s="114">
        <f t="shared" si="144"/>
        <v>622</v>
      </c>
      <c r="J267" s="114">
        <f t="shared" si="144"/>
        <v>-159.5</v>
      </c>
      <c r="K267" s="114">
        <f t="shared" si="144"/>
        <v>624</v>
      </c>
      <c r="L267" s="114">
        <f t="shared" si="144"/>
        <v>402.22500000000002</v>
      </c>
      <c r="M267" s="114">
        <f t="shared" si="144"/>
        <v>1325</v>
      </c>
      <c r="N267" s="114">
        <f t="shared" si="144"/>
        <v>8641.989999999998</v>
      </c>
      <c r="O267" s="405" t="s">
        <v>0</v>
      </c>
      <c r="P267" s="406"/>
      <c r="Q267" s="132"/>
    </row>
    <row r="268" spans="1:17" x14ac:dyDescent="0.2">
      <c r="A268" s="82" t="s">
        <v>25</v>
      </c>
      <c r="B268" s="83" t="s">
        <v>63</v>
      </c>
      <c r="C268" s="88">
        <v>3966.4</v>
      </c>
      <c r="D268" s="88">
        <v>1189.92</v>
      </c>
      <c r="E268" s="88">
        <v>490</v>
      </c>
      <c r="F268" s="88">
        <v>624</v>
      </c>
      <c r="G268" s="87">
        <f t="shared" ref="G268" si="145">C268+D268+F268</f>
        <v>5780.32</v>
      </c>
      <c r="H268" s="88">
        <v>37.18</v>
      </c>
      <c r="I268" s="88">
        <v>901</v>
      </c>
      <c r="J268" s="88">
        <v>-159.5</v>
      </c>
      <c r="K268" s="88">
        <v>624</v>
      </c>
      <c r="L268" s="88">
        <v>200.01</v>
      </c>
      <c r="M268" s="88">
        <v>1225</v>
      </c>
      <c r="N268" s="87">
        <f t="shared" ref="N268:N273" si="146">C268+D268+E268-H268-I268-J268-K268-L268-M268</f>
        <v>2818.6299999999992</v>
      </c>
      <c r="O268" s="98">
        <v>44083</v>
      </c>
      <c r="P268" s="151" t="s">
        <v>83</v>
      </c>
      <c r="Q268" s="132" t="s">
        <v>165</v>
      </c>
    </row>
    <row r="269" spans="1:17" x14ac:dyDescent="0.2">
      <c r="A269" s="80" t="s">
        <v>26</v>
      </c>
      <c r="B269" s="81" t="s">
        <v>70</v>
      </c>
      <c r="C269" s="88">
        <v>1023.5</v>
      </c>
      <c r="D269" s="88"/>
      <c r="E269" s="88">
        <v>50</v>
      </c>
      <c r="F269" s="88"/>
      <c r="G269" s="87">
        <f>C269+D269+F269</f>
        <v>1023.5</v>
      </c>
      <c r="H269" s="88">
        <v>10.234999999999999</v>
      </c>
      <c r="I269" s="88"/>
      <c r="J269" s="88"/>
      <c r="K269" s="88"/>
      <c r="L269" s="88">
        <v>58.14</v>
      </c>
      <c r="M269" s="88"/>
      <c r="N269" s="87">
        <f t="shared" si="146"/>
        <v>1005.1250000000001</v>
      </c>
      <c r="O269" s="98">
        <v>44083</v>
      </c>
      <c r="P269" s="151" t="s">
        <v>83</v>
      </c>
      <c r="Q269" s="132" t="s">
        <v>165</v>
      </c>
    </row>
    <row r="270" spans="1:17" x14ac:dyDescent="0.2">
      <c r="A270" s="80" t="s">
        <v>3</v>
      </c>
      <c r="B270" s="81" t="s">
        <v>71</v>
      </c>
      <c r="C270" s="88">
        <v>1343.5</v>
      </c>
      <c r="D270" s="88"/>
      <c r="E270" s="88">
        <v>50</v>
      </c>
      <c r="F270" s="88"/>
      <c r="G270" s="87">
        <f>C270+D270+F270+E270</f>
        <v>1393.5</v>
      </c>
      <c r="H270" s="88">
        <v>13.44</v>
      </c>
      <c r="I270" s="88"/>
      <c r="J270" s="88"/>
      <c r="K270" s="88"/>
      <c r="L270" s="88">
        <v>76.295000000000002</v>
      </c>
      <c r="M270" s="88"/>
      <c r="N270" s="87">
        <f t="shared" si="146"/>
        <v>1303.7649999999999</v>
      </c>
      <c r="O270" s="98">
        <v>44083</v>
      </c>
      <c r="P270" s="151" t="s">
        <v>83</v>
      </c>
      <c r="Q270" s="132" t="s">
        <v>165</v>
      </c>
    </row>
    <row r="271" spans="1:17" x14ac:dyDescent="0.2">
      <c r="A271" s="80" t="s">
        <v>31</v>
      </c>
      <c r="B271" s="81" t="s">
        <v>72</v>
      </c>
      <c r="C271" s="88">
        <v>1300</v>
      </c>
      <c r="D271" s="88"/>
      <c r="E271" s="88">
        <v>50</v>
      </c>
      <c r="F271" s="88"/>
      <c r="G271" s="87">
        <f>C271+D271+F271+E271</f>
        <v>1350</v>
      </c>
      <c r="H271" s="88">
        <v>13</v>
      </c>
      <c r="I271" s="88"/>
      <c r="J271" s="88"/>
      <c r="K271" s="88"/>
      <c r="L271" s="88">
        <v>67.78</v>
      </c>
      <c r="M271" s="88"/>
      <c r="N271" s="87">
        <f t="shared" si="146"/>
        <v>1269.22</v>
      </c>
      <c r="O271" s="98">
        <v>44083</v>
      </c>
      <c r="P271" s="151" t="s">
        <v>83</v>
      </c>
      <c r="Q271" s="132" t="s">
        <v>165</v>
      </c>
    </row>
    <row r="272" spans="1:17" x14ac:dyDescent="0.2">
      <c r="A272" s="80" t="s">
        <v>69</v>
      </c>
      <c r="B272" s="81" t="s">
        <v>73</v>
      </c>
      <c r="C272" s="88">
        <v>1000</v>
      </c>
      <c r="D272" s="88"/>
      <c r="E272" s="88"/>
      <c r="F272" s="88"/>
      <c r="G272" s="87">
        <f t="shared" ref="G272" si="147">C272+D272+F272</f>
        <v>1000</v>
      </c>
      <c r="H272" s="88">
        <v>10</v>
      </c>
      <c r="I272" s="88"/>
      <c r="J272" s="88"/>
      <c r="K272" s="88"/>
      <c r="L272" s="88"/>
      <c r="M272" s="88"/>
      <c r="N272" s="87">
        <f t="shared" si="146"/>
        <v>990</v>
      </c>
      <c r="O272" s="98">
        <v>44083</v>
      </c>
      <c r="P272" s="151" t="s">
        <v>83</v>
      </c>
      <c r="Q272" s="132" t="s">
        <v>165</v>
      </c>
    </row>
    <row r="273" spans="1:17" x14ac:dyDescent="0.2">
      <c r="A273" s="80" t="s">
        <v>146</v>
      </c>
      <c r="B273" s="81" t="s">
        <v>151</v>
      </c>
      <c r="C273" s="88">
        <v>1250</v>
      </c>
      <c r="D273" s="88">
        <v>609.38</v>
      </c>
      <c r="E273" s="88"/>
      <c r="F273" s="88"/>
      <c r="G273" s="87">
        <f>C273+D273+E273+F273</f>
        <v>1859.38</v>
      </c>
      <c r="H273" s="88">
        <v>18.593800000000002</v>
      </c>
      <c r="I273" s="88">
        <v>47</v>
      </c>
      <c r="J273" s="88"/>
      <c r="K273" s="88"/>
      <c r="L273" s="88"/>
      <c r="M273" s="88"/>
      <c r="N273" s="87">
        <f t="shared" si="146"/>
        <v>1793.7862</v>
      </c>
      <c r="O273" s="98">
        <v>44083</v>
      </c>
      <c r="P273" s="151" t="s">
        <v>83</v>
      </c>
      <c r="Q273" s="132" t="s">
        <v>165</v>
      </c>
    </row>
    <row r="274" spans="1:17" ht="13.5" thickBot="1" x14ac:dyDescent="0.25">
      <c r="A274" s="79" t="s">
        <v>154</v>
      </c>
      <c r="B274" s="81" t="s">
        <v>101</v>
      </c>
      <c r="C274" s="88">
        <v>1250</v>
      </c>
      <c r="D274" s="88">
        <v>375</v>
      </c>
      <c r="E274" s="88"/>
      <c r="F274" s="88"/>
      <c r="G274" s="87">
        <f>C274+D274+E274+F274</f>
        <v>1625</v>
      </c>
      <c r="H274" s="88">
        <v>16.25</v>
      </c>
      <c r="I274" s="88">
        <v>5</v>
      </c>
      <c r="J274" s="88"/>
      <c r="K274" s="88"/>
      <c r="L274" s="88"/>
      <c r="M274" s="88"/>
      <c r="N274" s="87">
        <f t="shared" ref="N274" si="148">C274+D274+E274-H274-I274-J274-K274-L274-M274</f>
        <v>1603.75</v>
      </c>
      <c r="O274" s="98">
        <v>44083</v>
      </c>
      <c r="P274" s="151" t="s">
        <v>83</v>
      </c>
      <c r="Q274" s="132" t="s">
        <v>165</v>
      </c>
    </row>
    <row r="275" spans="1:17" s="93" customFormat="1" ht="13.5" thickBot="1" x14ac:dyDescent="0.25">
      <c r="A275" s="409" t="s">
        <v>0</v>
      </c>
      <c r="B275" s="410"/>
      <c r="C275" s="152">
        <f t="shared" ref="C275:N275" si="149">SUM(C268:C274)</f>
        <v>11133.4</v>
      </c>
      <c r="D275" s="152">
        <f t="shared" si="149"/>
        <v>2174.3000000000002</v>
      </c>
      <c r="E275" s="152">
        <f t="shared" si="149"/>
        <v>640</v>
      </c>
      <c r="F275" s="152">
        <f t="shared" si="149"/>
        <v>624</v>
      </c>
      <c r="G275" s="152">
        <f t="shared" si="149"/>
        <v>14031.7</v>
      </c>
      <c r="H275" s="152">
        <f t="shared" si="149"/>
        <v>118.69879999999999</v>
      </c>
      <c r="I275" s="152">
        <f t="shared" si="149"/>
        <v>953</v>
      </c>
      <c r="J275" s="152">
        <f t="shared" si="149"/>
        <v>-159.5</v>
      </c>
      <c r="K275" s="152">
        <f t="shared" si="149"/>
        <v>624</v>
      </c>
      <c r="L275" s="152">
        <f t="shared" si="149"/>
        <v>402.22500000000002</v>
      </c>
      <c r="M275" s="152">
        <f t="shared" si="149"/>
        <v>1225</v>
      </c>
      <c r="N275" s="152">
        <f t="shared" si="149"/>
        <v>10784.276199999998</v>
      </c>
      <c r="O275" s="411" t="s">
        <v>0</v>
      </c>
      <c r="P275" s="412"/>
      <c r="Q275" s="132"/>
    </row>
    <row r="276" spans="1:17" x14ac:dyDescent="0.2">
      <c r="A276" s="82" t="s">
        <v>25</v>
      </c>
      <c r="B276" s="83" t="s">
        <v>63</v>
      </c>
      <c r="C276" s="88">
        <v>3966.4</v>
      </c>
      <c r="D276" s="88">
        <v>1784.88</v>
      </c>
      <c r="E276" s="88">
        <v>490</v>
      </c>
      <c r="F276" s="88">
        <v>624</v>
      </c>
      <c r="G276" s="87">
        <f t="shared" ref="G276" si="150">C276+D276+F276</f>
        <v>6375.2800000000007</v>
      </c>
      <c r="H276" s="88">
        <v>37.18</v>
      </c>
      <c r="I276" s="88">
        <v>1063</v>
      </c>
      <c r="J276" s="88">
        <v>-159.5</v>
      </c>
      <c r="K276" s="88">
        <v>624</v>
      </c>
      <c r="L276" s="88">
        <v>200.01</v>
      </c>
      <c r="M276" s="88">
        <v>1225</v>
      </c>
      <c r="N276" s="87">
        <f t="shared" ref="N276:N280" si="151">C276+D276+E276-H276-I276-J276-K276-L276-M276</f>
        <v>3251.59</v>
      </c>
      <c r="O276" s="98">
        <v>44090</v>
      </c>
      <c r="P276" s="123" t="s">
        <v>84</v>
      </c>
      <c r="Q276" s="132" t="s">
        <v>165</v>
      </c>
    </row>
    <row r="277" spans="1:17" x14ac:dyDescent="0.2">
      <c r="A277" s="80" t="s">
        <v>26</v>
      </c>
      <c r="B277" s="81" t="s">
        <v>70</v>
      </c>
      <c r="C277" s="88">
        <v>1023.5</v>
      </c>
      <c r="D277" s="88"/>
      <c r="E277" s="88">
        <v>50</v>
      </c>
      <c r="F277" s="88"/>
      <c r="G277" s="87">
        <f>C277+D277+F277</f>
        <v>1023.5</v>
      </c>
      <c r="H277" s="88">
        <v>10.234999999999999</v>
      </c>
      <c r="I277" s="88"/>
      <c r="J277" s="88"/>
      <c r="K277" s="88"/>
      <c r="L277" s="88">
        <v>58.14</v>
      </c>
      <c r="M277" s="88">
        <v>100</v>
      </c>
      <c r="N277" s="87">
        <f t="shared" si="151"/>
        <v>905.12500000000011</v>
      </c>
      <c r="O277" s="98">
        <v>44090</v>
      </c>
      <c r="P277" s="123" t="s">
        <v>84</v>
      </c>
      <c r="Q277" s="132" t="s">
        <v>165</v>
      </c>
    </row>
    <row r="278" spans="1:17" x14ac:dyDescent="0.2">
      <c r="A278" s="80" t="s">
        <v>3</v>
      </c>
      <c r="B278" s="81" t="s">
        <v>71</v>
      </c>
      <c r="C278" s="88">
        <v>1343.5</v>
      </c>
      <c r="D278" s="88"/>
      <c r="E278" s="88">
        <v>50</v>
      </c>
      <c r="F278" s="88"/>
      <c r="G278" s="87">
        <f>C278+D278+F278+E278</f>
        <v>1393.5</v>
      </c>
      <c r="H278" s="88">
        <v>13.44</v>
      </c>
      <c r="I278" s="88"/>
      <c r="J278" s="88"/>
      <c r="K278" s="88"/>
      <c r="L278" s="88">
        <v>76.295000000000002</v>
      </c>
      <c r="M278" s="88"/>
      <c r="N278" s="87">
        <f t="shared" si="151"/>
        <v>1303.7649999999999</v>
      </c>
      <c r="O278" s="98">
        <v>44090</v>
      </c>
      <c r="P278" s="123" t="s">
        <v>84</v>
      </c>
      <c r="Q278" s="132" t="s">
        <v>165</v>
      </c>
    </row>
    <row r="279" spans="1:17" x14ac:dyDescent="0.2">
      <c r="A279" s="80" t="s">
        <v>31</v>
      </c>
      <c r="B279" s="81" t="s">
        <v>72</v>
      </c>
      <c r="C279" s="88">
        <v>1300</v>
      </c>
      <c r="D279" s="88">
        <v>146.25</v>
      </c>
      <c r="E279" s="88">
        <v>50</v>
      </c>
      <c r="F279" s="88"/>
      <c r="G279" s="87">
        <f>C279+D279+F279+E279</f>
        <v>1496.25</v>
      </c>
      <c r="H279" s="88">
        <v>13</v>
      </c>
      <c r="I279" s="88"/>
      <c r="J279" s="88"/>
      <c r="K279" s="88"/>
      <c r="L279" s="88">
        <v>67.78</v>
      </c>
      <c r="M279" s="88"/>
      <c r="N279" s="87">
        <f t="shared" si="151"/>
        <v>1415.47</v>
      </c>
      <c r="O279" s="98">
        <v>44090</v>
      </c>
      <c r="P279" s="123" t="s">
        <v>84</v>
      </c>
      <c r="Q279" s="132" t="s">
        <v>165</v>
      </c>
    </row>
    <row r="280" spans="1:17" x14ac:dyDescent="0.2">
      <c r="A280" s="80" t="s">
        <v>69</v>
      </c>
      <c r="B280" s="81" t="s">
        <v>73</v>
      </c>
      <c r="C280" s="88">
        <v>1000</v>
      </c>
      <c r="D280" s="88">
        <v>28.13</v>
      </c>
      <c r="E280" s="88"/>
      <c r="F280" s="88"/>
      <c r="G280" s="87">
        <f t="shared" ref="G280:G281" si="152">C280+D280+F280</f>
        <v>1028.1300000000001</v>
      </c>
      <c r="H280" s="88">
        <v>10</v>
      </c>
      <c r="I280" s="88"/>
      <c r="J280" s="88"/>
      <c r="K280" s="88"/>
      <c r="L280" s="88"/>
      <c r="M280" s="88"/>
      <c r="N280" s="87">
        <f t="shared" si="151"/>
        <v>1018.1300000000001</v>
      </c>
      <c r="O280" s="98">
        <v>44090</v>
      </c>
      <c r="P280" s="123" t="s">
        <v>84</v>
      </c>
      <c r="Q280" s="132" t="s">
        <v>165</v>
      </c>
    </row>
    <row r="281" spans="1:17" x14ac:dyDescent="0.2">
      <c r="A281" s="80" t="s">
        <v>95</v>
      </c>
      <c r="B281" s="81" t="s">
        <v>94</v>
      </c>
      <c r="C281" s="88">
        <v>320</v>
      </c>
      <c r="D281" s="88"/>
      <c r="E281" s="88"/>
      <c r="F281" s="88"/>
      <c r="G281" s="87">
        <f t="shared" si="152"/>
        <v>320</v>
      </c>
      <c r="H281" s="88">
        <v>3.2</v>
      </c>
      <c r="I281" s="88"/>
      <c r="J281" s="88"/>
      <c r="K281" s="88"/>
      <c r="L281" s="88"/>
      <c r="M281" s="88"/>
      <c r="N281" s="87">
        <f t="shared" ref="N281:N283" si="153">C281+D281+E281-H281-I281-J281-K281-L281-M281</f>
        <v>316.8</v>
      </c>
      <c r="O281" s="98">
        <v>44090</v>
      </c>
      <c r="P281" s="123" t="s">
        <v>84</v>
      </c>
      <c r="Q281" s="132" t="s">
        <v>165</v>
      </c>
    </row>
    <row r="282" spans="1:17" x14ac:dyDescent="0.2">
      <c r="A282" s="80" t="s">
        <v>146</v>
      </c>
      <c r="B282" s="81" t="s">
        <v>151</v>
      </c>
      <c r="C282" s="88">
        <v>1250</v>
      </c>
      <c r="D282" s="88">
        <v>515.63</v>
      </c>
      <c r="E282" s="88"/>
      <c r="F282" s="88"/>
      <c r="G282" s="87">
        <f>C282+D282+E282+F282</f>
        <v>1765.63</v>
      </c>
      <c r="H282" s="88">
        <v>17.656300000000002</v>
      </c>
      <c r="I282" s="88">
        <v>30</v>
      </c>
      <c r="J282" s="88"/>
      <c r="K282" s="88"/>
      <c r="L282" s="88"/>
      <c r="M282" s="88"/>
      <c r="N282" s="87">
        <f t="shared" si="153"/>
        <v>1717.9737</v>
      </c>
      <c r="O282" s="98">
        <v>44090</v>
      </c>
      <c r="P282" s="123" t="s">
        <v>84</v>
      </c>
      <c r="Q282" s="132" t="s">
        <v>165</v>
      </c>
    </row>
    <row r="283" spans="1:17" ht="13.5" thickBot="1" x14ac:dyDescent="0.25">
      <c r="A283" s="79" t="s">
        <v>154</v>
      </c>
      <c r="B283" s="81" t="s">
        <v>101</v>
      </c>
      <c r="C283" s="88">
        <v>1250</v>
      </c>
      <c r="D283" s="88">
        <v>515.63</v>
      </c>
      <c r="E283" s="88"/>
      <c r="F283" s="88"/>
      <c r="G283" s="87">
        <f>C283+D283+E283+F283</f>
        <v>1765.63</v>
      </c>
      <c r="H283" s="88">
        <v>17.656300000000002</v>
      </c>
      <c r="I283" s="88">
        <v>30</v>
      </c>
      <c r="J283" s="88"/>
      <c r="K283" s="88"/>
      <c r="L283" s="88"/>
      <c r="M283" s="88"/>
      <c r="N283" s="87">
        <f t="shared" si="153"/>
        <v>1717.9737</v>
      </c>
      <c r="O283" s="98">
        <v>44090</v>
      </c>
      <c r="P283" s="123" t="s">
        <v>84</v>
      </c>
      <c r="Q283" s="132" t="s">
        <v>165</v>
      </c>
    </row>
    <row r="284" spans="1:17" s="93" customFormat="1" ht="13.5" thickBot="1" x14ac:dyDescent="0.25">
      <c r="A284" s="413" t="s">
        <v>0</v>
      </c>
      <c r="B284" s="414"/>
      <c r="C284" s="106">
        <f t="shared" ref="C284:N284" si="154">SUM(C276:C283)</f>
        <v>11453.4</v>
      </c>
      <c r="D284" s="106">
        <f t="shared" si="154"/>
        <v>2990.5200000000004</v>
      </c>
      <c r="E284" s="106">
        <f t="shared" si="154"/>
        <v>640</v>
      </c>
      <c r="F284" s="106">
        <f t="shared" si="154"/>
        <v>624</v>
      </c>
      <c r="G284" s="106">
        <f t="shared" si="154"/>
        <v>15167.920000000002</v>
      </c>
      <c r="H284" s="106">
        <f t="shared" si="154"/>
        <v>122.3676</v>
      </c>
      <c r="I284" s="106">
        <f t="shared" si="154"/>
        <v>1123</v>
      </c>
      <c r="J284" s="106">
        <f t="shared" si="154"/>
        <v>-159.5</v>
      </c>
      <c r="K284" s="106">
        <f t="shared" si="154"/>
        <v>624</v>
      </c>
      <c r="L284" s="106">
        <f t="shared" si="154"/>
        <v>402.22500000000002</v>
      </c>
      <c r="M284" s="106">
        <f t="shared" si="154"/>
        <v>1325</v>
      </c>
      <c r="N284" s="106">
        <f t="shared" si="154"/>
        <v>11646.8274</v>
      </c>
      <c r="O284" s="418" t="s">
        <v>0</v>
      </c>
      <c r="P284" s="419"/>
      <c r="Q284" s="132"/>
    </row>
    <row r="285" spans="1:17" x14ac:dyDescent="0.2">
      <c r="A285" s="82" t="s">
        <v>25</v>
      </c>
      <c r="B285" s="83" t="s">
        <v>63</v>
      </c>
      <c r="C285" s="88">
        <v>3966.4</v>
      </c>
      <c r="D285" s="88">
        <v>2974.8</v>
      </c>
      <c r="E285" s="88">
        <v>490</v>
      </c>
      <c r="F285" s="88">
        <v>624</v>
      </c>
      <c r="G285" s="87">
        <f t="shared" ref="G285" si="155">C285+D285+F285</f>
        <v>7565.2000000000007</v>
      </c>
      <c r="H285" s="88">
        <v>37.18</v>
      </c>
      <c r="I285" s="88">
        <v>1434</v>
      </c>
      <c r="J285" s="88">
        <v>-159.5</v>
      </c>
      <c r="K285" s="88">
        <v>624</v>
      </c>
      <c r="L285" s="88">
        <v>200.01</v>
      </c>
      <c r="M285" s="88">
        <v>1225</v>
      </c>
      <c r="N285" s="87">
        <f t="shared" ref="N285:N289" si="156">C285+D285+E285-H285-I285-J285-K285-L285-M285</f>
        <v>4070.51</v>
      </c>
      <c r="O285" s="98">
        <v>44097</v>
      </c>
      <c r="P285" s="239" t="s">
        <v>85</v>
      </c>
      <c r="Q285" s="132" t="s">
        <v>165</v>
      </c>
    </row>
    <row r="286" spans="1:17" x14ac:dyDescent="0.2">
      <c r="A286" s="80" t="s">
        <v>26</v>
      </c>
      <c r="B286" s="81" t="s">
        <v>70</v>
      </c>
      <c r="C286" s="88">
        <v>1023.5</v>
      </c>
      <c r="D286" s="88"/>
      <c r="E286" s="88">
        <v>50</v>
      </c>
      <c r="F286" s="88"/>
      <c r="G286" s="87">
        <f>C286+D286+F286</f>
        <v>1023.5</v>
      </c>
      <c r="H286" s="88">
        <v>10.234999999999999</v>
      </c>
      <c r="I286" s="88"/>
      <c r="J286" s="88"/>
      <c r="K286" s="88"/>
      <c r="L286" s="88">
        <v>58.14</v>
      </c>
      <c r="M286" s="88">
        <v>100</v>
      </c>
      <c r="N286" s="87">
        <f t="shared" si="156"/>
        <v>905.12500000000011</v>
      </c>
      <c r="O286" s="98">
        <v>44097</v>
      </c>
      <c r="P286" s="239" t="s">
        <v>85</v>
      </c>
      <c r="Q286" s="132" t="s">
        <v>165</v>
      </c>
    </row>
    <row r="287" spans="1:17" x14ac:dyDescent="0.2">
      <c r="A287" s="80" t="s">
        <v>3</v>
      </c>
      <c r="B287" s="81" t="s">
        <v>71</v>
      </c>
      <c r="C287" s="88">
        <v>1343.5</v>
      </c>
      <c r="D287" s="88"/>
      <c r="E287" s="88">
        <v>50</v>
      </c>
      <c r="F287" s="88"/>
      <c r="G287" s="87">
        <f>C287+D287+F287+E287</f>
        <v>1393.5</v>
      </c>
      <c r="H287" s="88">
        <v>13.44</v>
      </c>
      <c r="I287" s="88"/>
      <c r="J287" s="88"/>
      <c r="K287" s="88"/>
      <c r="L287" s="88">
        <v>76.295000000000002</v>
      </c>
      <c r="M287" s="88"/>
      <c r="N287" s="87">
        <f t="shared" si="156"/>
        <v>1303.7649999999999</v>
      </c>
      <c r="O287" s="98">
        <v>44097</v>
      </c>
      <c r="P287" s="239" t="s">
        <v>85</v>
      </c>
      <c r="Q287" s="132" t="s">
        <v>165</v>
      </c>
    </row>
    <row r="288" spans="1:17" x14ac:dyDescent="0.2">
      <c r="A288" s="80" t="s">
        <v>31</v>
      </c>
      <c r="B288" s="81" t="s">
        <v>72</v>
      </c>
      <c r="C288" s="88">
        <v>1300</v>
      </c>
      <c r="D288" s="88">
        <v>585</v>
      </c>
      <c r="E288" s="88">
        <v>50</v>
      </c>
      <c r="F288" s="88"/>
      <c r="G288" s="87">
        <f>C288+D288+F288+E288</f>
        <v>1935</v>
      </c>
      <c r="H288" s="88">
        <v>13</v>
      </c>
      <c r="I288" s="88">
        <v>60</v>
      </c>
      <c r="J288" s="88"/>
      <c r="K288" s="88"/>
      <c r="L288" s="88">
        <v>67.78</v>
      </c>
      <c r="M288" s="88"/>
      <c r="N288" s="87">
        <f t="shared" si="156"/>
        <v>1794.22</v>
      </c>
      <c r="O288" s="98">
        <v>44097</v>
      </c>
      <c r="P288" s="239" t="s">
        <v>85</v>
      </c>
      <c r="Q288" s="132" t="s">
        <v>165</v>
      </c>
    </row>
    <row r="289" spans="1:17" x14ac:dyDescent="0.2">
      <c r="A289" s="80" t="s">
        <v>69</v>
      </c>
      <c r="B289" s="81" t="s">
        <v>73</v>
      </c>
      <c r="C289" s="88">
        <v>1000</v>
      </c>
      <c r="D289" s="88">
        <v>750</v>
      </c>
      <c r="E289" s="88"/>
      <c r="F289" s="88"/>
      <c r="G289" s="87">
        <f t="shared" ref="G289:G290" si="157">C289+D289+F289</f>
        <v>1750</v>
      </c>
      <c r="H289" s="88">
        <v>10</v>
      </c>
      <c r="I289" s="88">
        <v>28</v>
      </c>
      <c r="J289" s="88"/>
      <c r="K289" s="88"/>
      <c r="L289" s="88"/>
      <c r="M289" s="88"/>
      <c r="N289" s="87">
        <f t="shared" si="156"/>
        <v>1712</v>
      </c>
      <c r="O289" s="98">
        <v>44097</v>
      </c>
      <c r="P289" s="239" t="s">
        <v>85</v>
      </c>
      <c r="Q289" s="132" t="s">
        <v>165</v>
      </c>
    </row>
    <row r="290" spans="1:17" x14ac:dyDescent="0.2">
      <c r="A290" s="80" t="s">
        <v>95</v>
      </c>
      <c r="B290" s="81" t="s">
        <v>94</v>
      </c>
      <c r="C290" s="88">
        <v>800</v>
      </c>
      <c r="D290" s="88">
        <v>600</v>
      </c>
      <c r="E290" s="88"/>
      <c r="F290" s="88"/>
      <c r="G290" s="87">
        <f t="shared" si="157"/>
        <v>1400</v>
      </c>
      <c r="H290" s="88">
        <v>14</v>
      </c>
      <c r="I290" s="88"/>
      <c r="J290" s="88"/>
      <c r="K290" s="88"/>
      <c r="L290" s="88"/>
      <c r="M290" s="88"/>
      <c r="N290" s="87">
        <f t="shared" ref="N290:N291" si="158">C290+D290+E290-H290-I290-J290-K290-L290-M290</f>
        <v>1386</v>
      </c>
      <c r="O290" s="98">
        <v>44097</v>
      </c>
      <c r="P290" s="239" t="s">
        <v>85</v>
      </c>
      <c r="Q290" s="132" t="s">
        <v>165</v>
      </c>
    </row>
    <row r="291" spans="1:17" x14ac:dyDescent="0.2">
      <c r="A291" s="80" t="s">
        <v>146</v>
      </c>
      <c r="B291" s="81" t="s">
        <v>151</v>
      </c>
      <c r="C291" s="88">
        <v>1250</v>
      </c>
      <c r="D291" s="88">
        <v>937.5</v>
      </c>
      <c r="E291" s="88"/>
      <c r="F291" s="88"/>
      <c r="G291" s="87">
        <f>C291+D291+E291+F291</f>
        <v>2187.5</v>
      </c>
      <c r="H291" s="88">
        <v>21.875</v>
      </c>
      <c r="I291" s="88">
        <v>106</v>
      </c>
      <c r="J291" s="88"/>
      <c r="K291" s="88"/>
      <c r="L291" s="88"/>
      <c r="M291" s="88"/>
      <c r="N291" s="87">
        <f t="shared" si="158"/>
        <v>2059.625</v>
      </c>
      <c r="O291" s="98">
        <v>44097</v>
      </c>
      <c r="P291" s="239" t="s">
        <v>85</v>
      </c>
      <c r="Q291" s="132" t="s">
        <v>165</v>
      </c>
    </row>
    <row r="292" spans="1:17" ht="13.5" thickBot="1" x14ac:dyDescent="0.25">
      <c r="A292" s="79" t="s">
        <v>154</v>
      </c>
      <c r="B292" s="81" t="s">
        <v>101</v>
      </c>
      <c r="C292" s="88">
        <v>1250</v>
      </c>
      <c r="D292" s="88">
        <v>937.5</v>
      </c>
      <c r="E292" s="88"/>
      <c r="F292" s="88"/>
      <c r="G292" s="87">
        <f>C292+D292+E292+F292</f>
        <v>2187.5</v>
      </c>
      <c r="H292" s="88">
        <v>21.875</v>
      </c>
      <c r="I292" s="88">
        <v>106</v>
      </c>
      <c r="J292" s="88"/>
      <c r="K292" s="88"/>
      <c r="L292" s="88"/>
      <c r="M292" s="88"/>
      <c r="N292" s="87">
        <f t="shared" ref="N292" si="159">C292+D292+E292-H292-I292-J292-K292-L292-M292</f>
        <v>2059.625</v>
      </c>
      <c r="O292" s="98">
        <v>44097</v>
      </c>
      <c r="P292" s="239" t="s">
        <v>85</v>
      </c>
      <c r="Q292" s="132" t="s">
        <v>165</v>
      </c>
    </row>
    <row r="293" spans="1:17" s="93" customFormat="1" ht="13.5" thickBot="1" x14ac:dyDescent="0.25">
      <c r="A293" s="413" t="s">
        <v>0</v>
      </c>
      <c r="B293" s="414"/>
      <c r="C293" s="106">
        <f t="shared" ref="C293:N293" si="160">SUM(C285:C292)</f>
        <v>11933.4</v>
      </c>
      <c r="D293" s="106">
        <f t="shared" si="160"/>
        <v>6784.8</v>
      </c>
      <c r="E293" s="106">
        <f t="shared" si="160"/>
        <v>640</v>
      </c>
      <c r="F293" s="106">
        <f t="shared" si="160"/>
        <v>624</v>
      </c>
      <c r="G293" s="106">
        <f t="shared" si="160"/>
        <v>19442.2</v>
      </c>
      <c r="H293" s="106">
        <f t="shared" si="160"/>
        <v>141.60499999999999</v>
      </c>
      <c r="I293" s="106">
        <f t="shared" si="160"/>
        <v>1734</v>
      </c>
      <c r="J293" s="106">
        <f t="shared" si="160"/>
        <v>-159.5</v>
      </c>
      <c r="K293" s="106">
        <f t="shared" si="160"/>
        <v>624</v>
      </c>
      <c r="L293" s="106">
        <f t="shared" si="160"/>
        <v>402.22500000000002</v>
      </c>
      <c r="M293" s="106">
        <f t="shared" si="160"/>
        <v>1325</v>
      </c>
      <c r="N293" s="106">
        <f t="shared" si="160"/>
        <v>15290.869999999999</v>
      </c>
      <c r="O293" s="418" t="s">
        <v>0</v>
      </c>
      <c r="P293" s="419"/>
      <c r="Q293" s="132"/>
    </row>
    <row r="294" spans="1:17" x14ac:dyDescent="0.2">
      <c r="A294" s="82" t="s">
        <v>25</v>
      </c>
      <c r="B294" s="83" t="s">
        <v>63</v>
      </c>
      <c r="C294" s="88">
        <v>3966.4</v>
      </c>
      <c r="D294" s="88">
        <f>3346.65+793.28</f>
        <v>4139.93</v>
      </c>
      <c r="E294" s="88">
        <v>0</v>
      </c>
      <c r="F294" s="88">
        <v>0</v>
      </c>
      <c r="G294" s="87">
        <f t="shared" ref="G294" si="161">C294+D294+F294</f>
        <v>8106.33</v>
      </c>
      <c r="H294" s="88">
        <v>37.18</v>
      </c>
      <c r="I294" s="88">
        <v>1603</v>
      </c>
      <c r="J294" s="88">
        <v>0</v>
      </c>
      <c r="K294" s="88">
        <v>0</v>
      </c>
      <c r="L294" s="88">
        <v>200.01</v>
      </c>
      <c r="M294" s="88">
        <v>1000</v>
      </c>
      <c r="N294" s="87">
        <f t="shared" ref="N294:N298" si="162">C294+D294+E294-H294-I294-J294-K294-L294-M294</f>
        <v>5266.1399999999994</v>
      </c>
      <c r="O294" s="98">
        <v>44104</v>
      </c>
      <c r="P294" s="240" t="s">
        <v>86</v>
      </c>
      <c r="Q294" s="132" t="s">
        <v>165</v>
      </c>
    </row>
    <row r="295" spans="1:17" x14ac:dyDescent="0.2">
      <c r="A295" s="80" t="s">
        <v>26</v>
      </c>
      <c r="B295" s="81" t="s">
        <v>70</v>
      </c>
      <c r="C295" s="88">
        <v>1023.5</v>
      </c>
      <c r="D295" s="88"/>
      <c r="E295" s="88">
        <v>50</v>
      </c>
      <c r="F295" s="88"/>
      <c r="G295" s="87">
        <f>C295+D295+F295</f>
        <v>1023.5</v>
      </c>
      <c r="H295" s="88">
        <v>10.234999999999999</v>
      </c>
      <c r="I295" s="88"/>
      <c r="J295" s="88"/>
      <c r="K295" s="88"/>
      <c r="L295" s="88">
        <v>58.14</v>
      </c>
      <c r="M295" s="88">
        <v>100</v>
      </c>
      <c r="N295" s="87">
        <f t="shared" si="162"/>
        <v>905.12500000000011</v>
      </c>
      <c r="O295" s="98">
        <v>44104</v>
      </c>
      <c r="P295" s="240" t="s">
        <v>86</v>
      </c>
      <c r="Q295" s="132" t="s">
        <v>165</v>
      </c>
    </row>
    <row r="296" spans="1:17" x14ac:dyDescent="0.2">
      <c r="A296" s="80" t="s">
        <v>3</v>
      </c>
      <c r="B296" s="81" t="s">
        <v>71</v>
      </c>
      <c r="C296" s="88">
        <v>1343.5</v>
      </c>
      <c r="D296" s="88">
        <v>856.48</v>
      </c>
      <c r="E296" s="88">
        <v>50</v>
      </c>
      <c r="F296" s="88"/>
      <c r="G296" s="87">
        <f>C296+D296+F296+E296</f>
        <v>2249.98</v>
      </c>
      <c r="H296" s="88">
        <v>22</v>
      </c>
      <c r="I296" s="88">
        <v>108</v>
      </c>
      <c r="J296" s="88"/>
      <c r="K296" s="88"/>
      <c r="L296" s="88">
        <v>76.295000000000002</v>
      </c>
      <c r="M296" s="88"/>
      <c r="N296" s="87">
        <f t="shared" si="162"/>
        <v>2043.6849999999999</v>
      </c>
      <c r="O296" s="98">
        <v>44104</v>
      </c>
      <c r="P296" s="240" t="s">
        <v>86</v>
      </c>
      <c r="Q296" s="132" t="s">
        <v>165</v>
      </c>
    </row>
    <row r="297" spans="1:17" x14ac:dyDescent="0.2">
      <c r="A297" s="80" t="s">
        <v>31</v>
      </c>
      <c r="B297" s="81" t="s">
        <v>72</v>
      </c>
      <c r="C297" s="88">
        <v>1300</v>
      </c>
      <c r="D297" s="88">
        <v>585</v>
      </c>
      <c r="E297" s="88">
        <v>50</v>
      </c>
      <c r="F297" s="88"/>
      <c r="G297" s="87">
        <f>C297+D297+F297+E297</f>
        <v>1935</v>
      </c>
      <c r="H297" s="88">
        <v>13</v>
      </c>
      <c r="I297" s="88">
        <v>52</v>
      </c>
      <c r="J297" s="88"/>
      <c r="K297" s="88"/>
      <c r="L297" s="88">
        <v>67.78</v>
      </c>
      <c r="M297" s="88"/>
      <c r="N297" s="87">
        <f t="shared" si="162"/>
        <v>1802.22</v>
      </c>
      <c r="O297" s="98">
        <v>44104</v>
      </c>
      <c r="P297" s="240" t="s">
        <v>86</v>
      </c>
      <c r="Q297" s="132" t="s">
        <v>165</v>
      </c>
    </row>
    <row r="298" spans="1:17" x14ac:dyDescent="0.2">
      <c r="A298" s="80" t="s">
        <v>69</v>
      </c>
      <c r="B298" s="81" t="s">
        <v>73</v>
      </c>
      <c r="C298" s="88">
        <v>1000</v>
      </c>
      <c r="D298" s="88">
        <f>637.5+200</f>
        <v>837.5</v>
      </c>
      <c r="E298" s="88"/>
      <c r="F298" s="88"/>
      <c r="G298" s="87">
        <f t="shared" ref="G298:G301" si="163">C298+D298+F298</f>
        <v>1837.5</v>
      </c>
      <c r="H298" s="88">
        <v>12</v>
      </c>
      <c r="I298" s="88">
        <v>43</v>
      </c>
      <c r="J298" s="88"/>
      <c r="K298" s="88"/>
      <c r="L298" s="88"/>
      <c r="M298" s="88"/>
      <c r="N298" s="87">
        <f t="shared" si="162"/>
        <v>1782.5</v>
      </c>
      <c r="O298" s="98">
        <v>44104</v>
      </c>
      <c r="P298" s="240" t="s">
        <v>86</v>
      </c>
      <c r="Q298" s="132" t="s">
        <v>165</v>
      </c>
    </row>
    <row r="299" spans="1:17" x14ac:dyDescent="0.2">
      <c r="A299" s="80" t="s">
        <v>79</v>
      </c>
      <c r="B299" s="81" t="s">
        <v>91</v>
      </c>
      <c r="C299" s="88">
        <v>250</v>
      </c>
      <c r="D299" s="88">
        <v>140.63</v>
      </c>
      <c r="E299" s="88"/>
      <c r="F299" s="88"/>
      <c r="G299" s="87">
        <f t="shared" si="163"/>
        <v>390.63</v>
      </c>
      <c r="H299" s="88">
        <v>3.91</v>
      </c>
      <c r="I299" s="88"/>
      <c r="J299" s="88"/>
      <c r="K299" s="88"/>
      <c r="L299" s="88"/>
      <c r="M299" s="88"/>
      <c r="N299" s="87">
        <f t="shared" ref="N299:N300" si="164">C299+D299+E299-H299-I299-J299-K299-L299-M299</f>
        <v>386.71999999999997</v>
      </c>
      <c r="O299" s="98">
        <v>44104</v>
      </c>
      <c r="P299" s="240" t="s">
        <v>86</v>
      </c>
      <c r="Q299" s="132" t="s">
        <v>165</v>
      </c>
    </row>
    <row r="300" spans="1:17" x14ac:dyDescent="0.2">
      <c r="A300" s="80" t="s">
        <v>95</v>
      </c>
      <c r="B300" s="81" t="s">
        <v>94</v>
      </c>
      <c r="C300" s="88">
        <v>800</v>
      </c>
      <c r="D300" s="88">
        <f>510+160</f>
        <v>670</v>
      </c>
      <c r="E300" s="88"/>
      <c r="F300" s="88"/>
      <c r="G300" s="87">
        <f t="shared" si="163"/>
        <v>1470</v>
      </c>
      <c r="H300" s="88">
        <v>13.1</v>
      </c>
      <c r="I300" s="88"/>
      <c r="J300" s="88"/>
      <c r="K300" s="88"/>
      <c r="L300" s="88"/>
      <c r="M300" s="88"/>
      <c r="N300" s="87">
        <f t="shared" si="164"/>
        <v>1456.9</v>
      </c>
      <c r="O300" s="98">
        <v>44104</v>
      </c>
      <c r="P300" s="240" t="s">
        <v>86</v>
      </c>
      <c r="Q300" s="132" t="s">
        <v>165</v>
      </c>
    </row>
    <row r="301" spans="1:17" x14ac:dyDescent="0.2">
      <c r="A301" s="80" t="s">
        <v>102</v>
      </c>
      <c r="B301" s="81" t="s">
        <v>104</v>
      </c>
      <c r="C301" s="88">
        <v>250</v>
      </c>
      <c r="D301" s="88">
        <v>140.63</v>
      </c>
      <c r="E301" s="88"/>
      <c r="F301" s="88"/>
      <c r="G301" s="87">
        <f t="shared" si="163"/>
        <v>390.63</v>
      </c>
      <c r="H301" s="88">
        <v>3.91</v>
      </c>
      <c r="I301" s="88"/>
      <c r="J301" s="88"/>
      <c r="K301" s="88"/>
      <c r="L301" s="88"/>
      <c r="M301" s="88"/>
      <c r="N301" s="87">
        <f>C301+D301+E301-H301-I301-J301-K301-L301-M301</f>
        <v>386.71999999999997</v>
      </c>
      <c r="O301" s="98">
        <v>44104</v>
      </c>
      <c r="P301" s="240" t="s">
        <v>86</v>
      </c>
      <c r="Q301" s="132" t="s">
        <v>165</v>
      </c>
    </row>
    <row r="302" spans="1:17" x14ac:dyDescent="0.2">
      <c r="A302" s="80" t="s">
        <v>146</v>
      </c>
      <c r="B302" s="81" t="s">
        <v>151</v>
      </c>
      <c r="C302" s="88">
        <v>1250</v>
      </c>
      <c r="D302" s="88">
        <f>1054.69+250</f>
        <v>1304.69</v>
      </c>
      <c r="E302" s="88"/>
      <c r="F302" s="88"/>
      <c r="G302" s="87">
        <f>C302+D302+E302+F302</f>
        <v>2554.69</v>
      </c>
      <c r="H302" s="88">
        <v>25.546900000000001</v>
      </c>
      <c r="I302" s="88">
        <v>173</v>
      </c>
      <c r="J302" s="88"/>
      <c r="K302" s="88"/>
      <c r="L302" s="88"/>
      <c r="M302" s="88"/>
      <c r="N302" s="87">
        <f t="shared" ref="N302" si="165">C302+D302+E302-H302-I302-J302-K302-L302-M302</f>
        <v>2356.1431000000002</v>
      </c>
      <c r="O302" s="98">
        <v>44104</v>
      </c>
      <c r="P302" s="240" t="s">
        <v>86</v>
      </c>
      <c r="Q302" s="132" t="s">
        <v>165</v>
      </c>
    </row>
    <row r="303" spans="1:17" ht="13.5" thickBot="1" x14ac:dyDescent="0.25">
      <c r="A303" s="79" t="s">
        <v>154</v>
      </c>
      <c r="B303" s="81" t="s">
        <v>101</v>
      </c>
      <c r="C303" s="88">
        <v>1250</v>
      </c>
      <c r="D303" s="88">
        <f>375+250</f>
        <v>625</v>
      </c>
      <c r="E303" s="88"/>
      <c r="F303" s="88"/>
      <c r="G303" s="87">
        <f>C303+D303+E303+F303</f>
        <v>1875</v>
      </c>
      <c r="H303" s="88">
        <v>18.75</v>
      </c>
      <c r="I303" s="88">
        <v>49</v>
      </c>
      <c r="J303" s="88"/>
      <c r="K303" s="88"/>
      <c r="L303" s="88"/>
      <c r="M303" s="88"/>
      <c r="N303" s="87">
        <f t="shared" ref="N303" si="166">C303+D303+E303-H303-I303-J303-K303-L303-M303</f>
        <v>1807.25</v>
      </c>
      <c r="O303" s="98">
        <v>44104</v>
      </c>
      <c r="P303" s="240" t="s">
        <v>86</v>
      </c>
      <c r="Q303" s="132"/>
    </row>
    <row r="304" spans="1:17" s="93" customFormat="1" ht="13.5" thickBot="1" x14ac:dyDescent="0.25">
      <c r="A304" s="420" t="s">
        <v>0</v>
      </c>
      <c r="B304" s="422"/>
      <c r="C304" s="150">
        <f t="shared" ref="C304:N304" si="167">SUM(C294:C303)</f>
        <v>12433.4</v>
      </c>
      <c r="D304" s="150">
        <f t="shared" si="167"/>
        <v>9299.86</v>
      </c>
      <c r="E304" s="150">
        <f t="shared" si="167"/>
        <v>150</v>
      </c>
      <c r="F304" s="150">
        <f t="shared" si="167"/>
        <v>0</v>
      </c>
      <c r="G304" s="150">
        <f t="shared" si="167"/>
        <v>21833.26</v>
      </c>
      <c r="H304" s="150">
        <f t="shared" si="167"/>
        <v>159.63189999999997</v>
      </c>
      <c r="I304" s="150">
        <f t="shared" si="167"/>
        <v>2028</v>
      </c>
      <c r="J304" s="150">
        <f t="shared" si="167"/>
        <v>0</v>
      </c>
      <c r="K304" s="150">
        <f t="shared" si="167"/>
        <v>0</v>
      </c>
      <c r="L304" s="150">
        <f t="shared" si="167"/>
        <v>402.22500000000002</v>
      </c>
      <c r="M304" s="150">
        <f t="shared" si="167"/>
        <v>1100</v>
      </c>
      <c r="N304" s="150">
        <f t="shared" si="167"/>
        <v>18193.403099999996</v>
      </c>
      <c r="O304" s="407" t="s">
        <v>0</v>
      </c>
      <c r="P304" s="408"/>
      <c r="Q304" s="133"/>
    </row>
    <row r="305" spans="1:17" s="140" customFormat="1" ht="13.5" thickBot="1" x14ac:dyDescent="0.25">
      <c r="A305" s="401" t="s">
        <v>88</v>
      </c>
      <c r="B305" s="402"/>
      <c r="C305" s="155">
        <f t="shared" ref="C305:N305" si="168">C267+C275+C284+C293+C304</f>
        <v>57337</v>
      </c>
      <c r="D305" s="155">
        <f t="shared" si="168"/>
        <v>21788.54</v>
      </c>
      <c r="E305" s="155">
        <f t="shared" si="168"/>
        <v>2710</v>
      </c>
      <c r="F305" s="155">
        <f t="shared" si="168"/>
        <v>2496</v>
      </c>
      <c r="G305" s="155">
        <f t="shared" si="168"/>
        <v>82121.539999999994</v>
      </c>
      <c r="H305" s="155">
        <f t="shared" si="168"/>
        <v>649.04829999999993</v>
      </c>
      <c r="I305" s="155">
        <f t="shared" si="168"/>
        <v>6460</v>
      </c>
      <c r="J305" s="155">
        <f t="shared" si="168"/>
        <v>-638</v>
      </c>
      <c r="K305" s="155">
        <f t="shared" si="168"/>
        <v>2496</v>
      </c>
      <c r="L305" s="155">
        <f t="shared" si="168"/>
        <v>2011.125</v>
      </c>
      <c r="M305" s="155">
        <f t="shared" si="168"/>
        <v>6300</v>
      </c>
      <c r="N305" s="155">
        <f t="shared" si="168"/>
        <v>64557.366699999999</v>
      </c>
      <c r="O305" s="174"/>
      <c r="P305" s="144"/>
      <c r="Q305" s="139"/>
    </row>
    <row r="306" spans="1:17" s="162" customFormat="1" x14ac:dyDescent="0.2">
      <c r="A306" s="159" t="s">
        <v>8</v>
      </c>
      <c r="B306" s="165" t="s">
        <v>96</v>
      </c>
      <c r="C306" s="160">
        <v>13502</v>
      </c>
      <c r="D306" s="160"/>
      <c r="E306" s="160"/>
      <c r="F306" s="160">
        <v>5624</v>
      </c>
      <c r="G306" s="87">
        <f t="shared" ref="G306:G308" si="169">C306+D306+F306</f>
        <v>19126</v>
      </c>
      <c r="H306" s="160"/>
      <c r="I306" s="160">
        <v>2355</v>
      </c>
      <c r="J306" s="160">
        <v>-853</v>
      </c>
      <c r="K306" s="160"/>
      <c r="L306" s="160"/>
      <c r="M306" s="160"/>
      <c r="N306" s="87">
        <f t="shared" ref="N306:N308" si="170">C306+D306+E306-H306-I306-J306-K306-L306-M306</f>
        <v>12000</v>
      </c>
      <c r="O306" s="169"/>
      <c r="P306" s="170"/>
      <c r="Q306" s="161"/>
    </row>
    <row r="307" spans="1:17" s="162" customFormat="1" x14ac:dyDescent="0.2">
      <c r="A307" s="159" t="s">
        <v>27</v>
      </c>
      <c r="B307" s="165" t="s">
        <v>97</v>
      </c>
      <c r="C307" s="163">
        <v>13717</v>
      </c>
      <c r="D307" s="163"/>
      <c r="E307" s="163"/>
      <c r="F307" s="163">
        <v>5409</v>
      </c>
      <c r="G307" s="87">
        <f t="shared" si="169"/>
        <v>19126</v>
      </c>
      <c r="H307" s="163"/>
      <c r="I307" s="163">
        <v>2355</v>
      </c>
      <c r="J307" s="163">
        <v>-638</v>
      </c>
      <c r="K307" s="163"/>
      <c r="L307" s="163"/>
      <c r="M307" s="163"/>
      <c r="N307" s="87">
        <f t="shared" si="170"/>
        <v>12000</v>
      </c>
      <c r="O307" s="169"/>
      <c r="P307" s="170"/>
      <c r="Q307" s="161"/>
    </row>
    <row r="308" spans="1:17" s="162" customFormat="1" ht="13.5" thickBot="1" x14ac:dyDescent="0.25">
      <c r="A308" s="159" t="s">
        <v>6</v>
      </c>
      <c r="B308" s="165" t="s">
        <v>98</v>
      </c>
      <c r="C308" s="164">
        <v>12643.72</v>
      </c>
      <c r="D308" s="164"/>
      <c r="E308" s="164"/>
      <c r="F308" s="164">
        <v>2812</v>
      </c>
      <c r="G308" s="87">
        <f t="shared" si="169"/>
        <v>15455.72</v>
      </c>
      <c r="H308" s="164">
        <v>148.72</v>
      </c>
      <c r="I308" s="164">
        <v>1536</v>
      </c>
      <c r="J308" s="164">
        <v>-853</v>
      </c>
      <c r="K308" s="164">
        <v>2812</v>
      </c>
      <c r="L308" s="164"/>
      <c r="M308" s="164"/>
      <c r="N308" s="87">
        <f t="shared" si="170"/>
        <v>9000</v>
      </c>
      <c r="O308" s="169"/>
      <c r="P308" s="170"/>
      <c r="Q308" s="161"/>
    </row>
    <row r="309" spans="1:17" s="131" customFormat="1" ht="13.5" thickBot="1" x14ac:dyDescent="0.25">
      <c r="A309" s="415" t="s">
        <v>89</v>
      </c>
      <c r="B309" s="416"/>
      <c r="C309" s="158">
        <f>SUM(C306:C308)</f>
        <v>39862.720000000001</v>
      </c>
      <c r="D309" s="158">
        <f t="shared" ref="D309" si="171">SUM(D306:D308)</f>
        <v>0</v>
      </c>
      <c r="E309" s="158">
        <f t="shared" ref="E309" si="172">SUM(E306:E308)</f>
        <v>0</v>
      </c>
      <c r="F309" s="158">
        <f t="shared" ref="F309" si="173">SUM(F306:F308)</f>
        <v>13845</v>
      </c>
      <c r="G309" s="158">
        <f t="shared" ref="G309" si="174">SUM(G306:G308)</f>
        <v>53707.72</v>
      </c>
      <c r="H309" s="158">
        <f t="shared" ref="H309" si="175">SUM(H306:H308)</f>
        <v>148.72</v>
      </c>
      <c r="I309" s="158">
        <f t="shared" ref="I309" si="176">SUM(I306:I308)</f>
        <v>6246</v>
      </c>
      <c r="J309" s="158">
        <f t="shared" ref="J309" si="177">SUM(J306:J308)</f>
        <v>-2344</v>
      </c>
      <c r="K309" s="158">
        <f t="shared" ref="K309" si="178">SUM(K306:K308)</f>
        <v>2812</v>
      </c>
      <c r="L309" s="158">
        <f t="shared" ref="L309" si="179">SUM(L306:L308)</f>
        <v>0</v>
      </c>
      <c r="M309" s="158">
        <f t="shared" ref="M309" si="180">SUM(M306:M308)</f>
        <v>0</v>
      </c>
      <c r="N309" s="158">
        <f t="shared" ref="N309" si="181">SUM(N306:N308)</f>
        <v>33000</v>
      </c>
      <c r="O309" s="175"/>
      <c r="P309" s="130"/>
      <c r="Q309" s="134"/>
    </row>
    <row r="310" spans="1:17" s="131" customFormat="1" ht="13.5" thickBot="1" x14ac:dyDescent="0.25">
      <c r="A310" s="417" t="s">
        <v>90</v>
      </c>
      <c r="B310" s="417"/>
      <c r="C310" s="141"/>
      <c r="D310" s="141"/>
      <c r="E310" s="141"/>
      <c r="F310" s="141"/>
      <c r="G310" s="141"/>
      <c r="H310" s="147">
        <f>(H305+H309)*2</f>
        <v>1595.5365999999999</v>
      </c>
      <c r="I310" s="145">
        <f>I305+I309</f>
        <v>12706</v>
      </c>
      <c r="J310" s="148">
        <f>J305+J309</f>
        <v>-2982</v>
      </c>
      <c r="K310" s="141"/>
      <c r="L310" s="141"/>
      <c r="M310" s="141"/>
      <c r="N310" s="141">
        <f>9000+11000+12000</f>
        <v>32000</v>
      </c>
      <c r="O310" s="130"/>
      <c r="P310" s="130"/>
      <c r="Q310" s="143"/>
    </row>
    <row r="311" spans="1:17" ht="13.5" thickBot="1" x14ac:dyDescent="0.25"/>
    <row r="312" spans="1:17" s="78" customFormat="1" ht="13.5" thickBot="1" x14ac:dyDescent="0.25">
      <c r="A312" s="398" t="s">
        <v>169</v>
      </c>
      <c r="B312" s="399"/>
      <c r="C312" s="399"/>
      <c r="D312" s="399"/>
      <c r="E312" s="399"/>
      <c r="F312" s="399"/>
      <c r="G312" s="399"/>
      <c r="H312" s="399"/>
      <c r="I312" s="399"/>
      <c r="J312" s="399"/>
      <c r="K312" s="399"/>
      <c r="L312" s="399"/>
      <c r="M312" s="399"/>
      <c r="N312" s="399"/>
      <c r="O312" s="399"/>
      <c r="P312" s="399"/>
      <c r="Q312" s="400"/>
    </row>
    <row r="313" spans="1:17" s="78" customFormat="1" ht="13.5" thickBot="1" x14ac:dyDescent="0.25">
      <c r="A313" s="84" t="s">
        <v>64</v>
      </c>
      <c r="B313" s="85" t="s">
        <v>1</v>
      </c>
      <c r="C313" s="86" t="s">
        <v>56</v>
      </c>
      <c r="D313" s="86" t="s">
        <v>57</v>
      </c>
      <c r="E313" s="86" t="s">
        <v>67</v>
      </c>
      <c r="F313" s="86" t="s">
        <v>62</v>
      </c>
      <c r="G313" s="86" t="s">
        <v>74</v>
      </c>
      <c r="H313" s="86" t="s">
        <v>59</v>
      </c>
      <c r="I313" s="86" t="s">
        <v>60</v>
      </c>
      <c r="J313" s="86" t="s">
        <v>66</v>
      </c>
      <c r="K313" s="86" t="s">
        <v>62</v>
      </c>
      <c r="L313" s="86" t="s">
        <v>58</v>
      </c>
      <c r="M313" s="86" t="s">
        <v>61</v>
      </c>
      <c r="N313" s="86" t="s">
        <v>2</v>
      </c>
      <c r="O313" s="91" t="s">
        <v>65</v>
      </c>
      <c r="P313" s="92" t="s">
        <v>68</v>
      </c>
      <c r="Q313" s="135" t="s">
        <v>87</v>
      </c>
    </row>
    <row r="314" spans="1:17" x14ac:dyDescent="0.2">
      <c r="A314" s="82" t="s">
        <v>25</v>
      </c>
      <c r="B314" s="83" t="s">
        <v>63</v>
      </c>
      <c r="C314" s="88">
        <v>3966.4</v>
      </c>
      <c r="D314" s="88">
        <v>3049.17</v>
      </c>
      <c r="E314" s="88">
        <v>490</v>
      </c>
      <c r="F314" s="88">
        <v>624</v>
      </c>
      <c r="G314" s="87">
        <f t="shared" ref="G314" si="182">C314+D314+F314</f>
        <v>7639.57</v>
      </c>
      <c r="H314" s="88">
        <v>37.18</v>
      </c>
      <c r="I314" s="88">
        <v>1458</v>
      </c>
      <c r="J314" s="88">
        <v>-159.5</v>
      </c>
      <c r="K314" s="88">
        <v>624</v>
      </c>
      <c r="L314" s="88">
        <v>200.01</v>
      </c>
      <c r="M314" s="88">
        <f>1125+500</f>
        <v>1625</v>
      </c>
      <c r="N314" s="87">
        <f t="shared" ref="N314:N320" si="183">C314+D314+E314-H314-I314-J314-K314-L314-M314</f>
        <v>3720.8799999999992</v>
      </c>
      <c r="O314" s="98">
        <v>44111</v>
      </c>
      <c r="P314" s="241" t="s">
        <v>160</v>
      </c>
      <c r="Q314" s="132" t="s">
        <v>169</v>
      </c>
    </row>
    <row r="315" spans="1:17" x14ac:dyDescent="0.2">
      <c r="A315" s="80" t="s">
        <v>26</v>
      </c>
      <c r="B315" s="81" t="s">
        <v>70</v>
      </c>
      <c r="C315" s="88">
        <v>1023.5</v>
      </c>
      <c r="D315" s="88"/>
      <c r="E315" s="88">
        <v>50</v>
      </c>
      <c r="F315" s="88"/>
      <c r="G315" s="87">
        <f>C315+D315+F315</f>
        <v>1023.5</v>
      </c>
      <c r="H315" s="88">
        <v>10.234999999999999</v>
      </c>
      <c r="I315" s="88"/>
      <c r="J315" s="88"/>
      <c r="K315" s="88"/>
      <c r="L315" s="88">
        <v>58.14</v>
      </c>
      <c r="M315" s="88">
        <v>100</v>
      </c>
      <c r="N315" s="87">
        <f t="shared" si="183"/>
        <v>905.12500000000011</v>
      </c>
      <c r="O315" s="98">
        <v>44111</v>
      </c>
      <c r="P315" s="241" t="s">
        <v>160</v>
      </c>
      <c r="Q315" s="132" t="s">
        <v>169</v>
      </c>
    </row>
    <row r="316" spans="1:17" x14ac:dyDescent="0.2">
      <c r="A316" s="80" t="s">
        <v>3</v>
      </c>
      <c r="B316" s="81" t="s">
        <v>71</v>
      </c>
      <c r="C316" s="88">
        <v>1343.5</v>
      </c>
      <c r="D316" s="88">
        <v>554.19000000000005</v>
      </c>
      <c r="E316" s="88">
        <v>50</v>
      </c>
      <c r="F316" s="88"/>
      <c r="G316" s="87">
        <f>C316+D316+F316+E316</f>
        <v>1947.69</v>
      </c>
      <c r="H316" s="88">
        <v>18.98</v>
      </c>
      <c r="I316" s="88">
        <v>54</v>
      </c>
      <c r="J316" s="88"/>
      <c r="K316" s="88"/>
      <c r="L316" s="88">
        <v>76.295000000000002</v>
      </c>
      <c r="M316" s="88"/>
      <c r="N316" s="87">
        <f t="shared" si="183"/>
        <v>1798.415</v>
      </c>
      <c r="O316" s="98">
        <v>44111</v>
      </c>
      <c r="P316" s="241" t="s">
        <v>160</v>
      </c>
      <c r="Q316" s="132" t="s">
        <v>169</v>
      </c>
    </row>
    <row r="317" spans="1:17" x14ac:dyDescent="0.2">
      <c r="A317" s="80" t="s">
        <v>31</v>
      </c>
      <c r="B317" s="81" t="s">
        <v>72</v>
      </c>
      <c r="C317" s="88">
        <v>1300</v>
      </c>
      <c r="D317" s="88">
        <v>536.25</v>
      </c>
      <c r="E317" s="88">
        <v>50</v>
      </c>
      <c r="F317" s="88"/>
      <c r="G317" s="87">
        <f>C317+D317+F317+E317</f>
        <v>1886.25</v>
      </c>
      <c r="H317" s="88">
        <v>13</v>
      </c>
      <c r="I317" s="88">
        <v>43</v>
      </c>
      <c r="J317" s="88"/>
      <c r="K317" s="88"/>
      <c r="L317" s="88">
        <v>67.78</v>
      </c>
      <c r="M317" s="88"/>
      <c r="N317" s="87">
        <f t="shared" si="183"/>
        <v>1762.47</v>
      </c>
      <c r="O317" s="98">
        <v>44111</v>
      </c>
      <c r="P317" s="241" t="s">
        <v>160</v>
      </c>
      <c r="Q317" s="132" t="s">
        <v>169</v>
      </c>
    </row>
    <row r="318" spans="1:17" x14ac:dyDescent="0.2">
      <c r="A318" s="80" t="s">
        <v>69</v>
      </c>
      <c r="B318" s="81" t="s">
        <v>73</v>
      </c>
      <c r="C318" s="88">
        <v>1000</v>
      </c>
      <c r="D318" s="88">
        <v>412.5</v>
      </c>
      <c r="E318" s="88"/>
      <c r="F318" s="88"/>
      <c r="G318" s="87">
        <f t="shared" ref="G318:G321" si="184">C318+D318+F318</f>
        <v>1412.5</v>
      </c>
      <c r="H318" s="88">
        <v>14.13</v>
      </c>
      <c r="I318" s="88"/>
      <c r="J318" s="88"/>
      <c r="K318" s="88"/>
      <c r="L318" s="88"/>
      <c r="M318" s="88"/>
      <c r="N318" s="87">
        <f t="shared" si="183"/>
        <v>1398.37</v>
      </c>
      <c r="O318" s="98">
        <v>44111</v>
      </c>
      <c r="P318" s="241" t="s">
        <v>160</v>
      </c>
      <c r="Q318" s="132" t="s">
        <v>169</v>
      </c>
    </row>
    <row r="319" spans="1:17" x14ac:dyDescent="0.2">
      <c r="A319" s="80" t="s">
        <v>79</v>
      </c>
      <c r="B319" s="81" t="s">
        <v>91</v>
      </c>
      <c r="C319" s="88">
        <v>1250</v>
      </c>
      <c r="D319" s="88">
        <v>281.25</v>
      </c>
      <c r="E319" s="88"/>
      <c r="F319" s="88"/>
      <c r="G319" s="87">
        <f t="shared" si="184"/>
        <v>1531.25</v>
      </c>
      <c r="H319" s="88">
        <v>15.31</v>
      </c>
      <c r="I319" s="88"/>
      <c r="J319" s="88"/>
      <c r="K319" s="88"/>
      <c r="L319" s="88"/>
      <c r="M319" s="88"/>
      <c r="N319" s="87">
        <f t="shared" si="183"/>
        <v>1515.94</v>
      </c>
      <c r="O319" s="98">
        <v>44111</v>
      </c>
      <c r="P319" s="241" t="s">
        <v>160</v>
      </c>
      <c r="Q319" s="132" t="s">
        <v>169</v>
      </c>
    </row>
    <row r="320" spans="1:17" x14ac:dyDescent="0.2">
      <c r="A320" s="80" t="s">
        <v>95</v>
      </c>
      <c r="B320" s="81" t="s">
        <v>94</v>
      </c>
      <c r="C320" s="88">
        <v>800</v>
      </c>
      <c r="D320" s="88">
        <v>330</v>
      </c>
      <c r="E320" s="88"/>
      <c r="F320" s="88"/>
      <c r="G320" s="87">
        <f t="shared" si="184"/>
        <v>1130</v>
      </c>
      <c r="H320" s="88">
        <v>11.3</v>
      </c>
      <c r="I320" s="88"/>
      <c r="J320" s="88"/>
      <c r="K320" s="88"/>
      <c r="L320" s="88"/>
      <c r="M320" s="88"/>
      <c r="N320" s="87">
        <f t="shared" si="183"/>
        <v>1118.7</v>
      </c>
      <c r="O320" s="98">
        <v>44111</v>
      </c>
      <c r="P320" s="241" t="s">
        <v>160</v>
      </c>
      <c r="Q320" s="132" t="s">
        <v>169</v>
      </c>
    </row>
    <row r="321" spans="1:17" x14ac:dyDescent="0.2">
      <c r="A321" s="80" t="s">
        <v>102</v>
      </c>
      <c r="B321" s="81" t="s">
        <v>104</v>
      </c>
      <c r="C321" s="88">
        <v>1250</v>
      </c>
      <c r="D321" s="88">
        <v>515.63</v>
      </c>
      <c r="E321" s="88"/>
      <c r="F321" s="88"/>
      <c r="G321" s="87">
        <f t="shared" si="184"/>
        <v>1765.63</v>
      </c>
      <c r="H321" s="88">
        <v>17.66</v>
      </c>
      <c r="I321" s="88">
        <v>30</v>
      </c>
      <c r="J321" s="88"/>
      <c r="K321" s="88"/>
      <c r="L321" s="88"/>
      <c r="M321" s="88">
        <v>300</v>
      </c>
      <c r="N321" s="87">
        <f>C321+D321+E321-H321-I321-J321-K321-L321-M321</f>
        <v>1417.97</v>
      </c>
      <c r="O321" s="98">
        <v>44111</v>
      </c>
      <c r="P321" s="241" t="s">
        <v>160</v>
      </c>
      <c r="Q321" s="132" t="s">
        <v>169</v>
      </c>
    </row>
    <row r="322" spans="1:17" x14ac:dyDescent="0.2">
      <c r="A322" s="80" t="s">
        <v>146</v>
      </c>
      <c r="B322" s="81" t="s">
        <v>151</v>
      </c>
      <c r="C322" s="88">
        <v>1250</v>
      </c>
      <c r="D322" s="88">
        <v>960.94</v>
      </c>
      <c r="E322" s="88"/>
      <c r="F322" s="88"/>
      <c r="G322" s="87">
        <f>C322+D322+E322+F322</f>
        <v>2210.94</v>
      </c>
      <c r="H322" s="88">
        <v>22.109400000000001</v>
      </c>
      <c r="I322" s="88">
        <v>110</v>
      </c>
      <c r="J322" s="88"/>
      <c r="K322" s="88"/>
      <c r="L322" s="88"/>
      <c r="M322" s="88"/>
      <c r="N322" s="87">
        <f t="shared" ref="N322:N324" si="185">C322+D322+E322-H322-I322-J322-K322-L322-M322</f>
        <v>2078.8306000000002</v>
      </c>
      <c r="O322" s="98">
        <v>44111</v>
      </c>
      <c r="P322" s="241" t="s">
        <v>160</v>
      </c>
      <c r="Q322" s="132" t="s">
        <v>169</v>
      </c>
    </row>
    <row r="323" spans="1:17" x14ac:dyDescent="0.2">
      <c r="A323" s="79" t="s">
        <v>154</v>
      </c>
      <c r="B323" s="243" t="s">
        <v>101</v>
      </c>
      <c r="C323" s="244">
        <v>1250</v>
      </c>
      <c r="D323" s="244">
        <v>515.63</v>
      </c>
      <c r="E323" s="244"/>
      <c r="F323" s="244"/>
      <c r="G323" s="88">
        <f>C323+D323+E323+F323</f>
        <v>1765.63</v>
      </c>
      <c r="H323" s="244">
        <v>17.656300000000002</v>
      </c>
      <c r="I323" s="244">
        <v>30</v>
      </c>
      <c r="J323" s="244"/>
      <c r="K323" s="244"/>
      <c r="L323" s="244"/>
      <c r="M323" s="244"/>
      <c r="N323" s="88">
        <f t="shared" si="185"/>
        <v>1717.9737</v>
      </c>
      <c r="O323" s="246">
        <v>44111</v>
      </c>
      <c r="P323" s="241" t="s">
        <v>160</v>
      </c>
      <c r="Q323" s="132" t="s">
        <v>169</v>
      </c>
    </row>
    <row r="324" spans="1:17" ht="13.5" thickBot="1" x14ac:dyDescent="0.25">
      <c r="A324" s="247" t="s">
        <v>164</v>
      </c>
      <c r="B324" s="248" t="s">
        <v>170</v>
      </c>
      <c r="C324" s="95">
        <v>1250</v>
      </c>
      <c r="D324" s="95">
        <v>515.63</v>
      </c>
      <c r="E324" s="95"/>
      <c r="F324" s="95"/>
      <c r="G324" s="245">
        <f>C324+D324+E324+F324</f>
        <v>1765.63</v>
      </c>
      <c r="H324" s="244">
        <v>17.656300000000002</v>
      </c>
      <c r="I324" s="244">
        <v>30</v>
      </c>
      <c r="J324" s="95"/>
      <c r="K324" s="95"/>
      <c r="L324" s="95"/>
      <c r="M324" s="95"/>
      <c r="N324" s="245">
        <f t="shared" si="185"/>
        <v>1717.9737</v>
      </c>
      <c r="O324" s="246">
        <v>44111</v>
      </c>
      <c r="P324" s="241" t="s">
        <v>160</v>
      </c>
      <c r="Q324" s="132" t="s">
        <v>169</v>
      </c>
    </row>
    <row r="325" spans="1:17" s="93" customFormat="1" ht="13.5" thickBot="1" x14ac:dyDescent="0.25">
      <c r="A325" s="403" t="s">
        <v>0</v>
      </c>
      <c r="B325" s="404"/>
      <c r="C325" s="114">
        <f t="shared" ref="C325:N325" si="186">SUM(C314:C324)</f>
        <v>15683.4</v>
      </c>
      <c r="D325" s="114">
        <f t="shared" si="186"/>
        <v>7671.1900000000005</v>
      </c>
      <c r="E325" s="114">
        <f t="shared" si="186"/>
        <v>640</v>
      </c>
      <c r="F325" s="114">
        <f t="shared" si="186"/>
        <v>624</v>
      </c>
      <c r="G325" s="114">
        <f t="shared" si="186"/>
        <v>24078.590000000004</v>
      </c>
      <c r="H325" s="114">
        <f t="shared" si="186"/>
        <v>195.21699999999998</v>
      </c>
      <c r="I325" s="114">
        <f t="shared" si="186"/>
        <v>1755</v>
      </c>
      <c r="J325" s="114">
        <f t="shared" si="186"/>
        <v>-159.5</v>
      </c>
      <c r="K325" s="114">
        <f t="shared" si="186"/>
        <v>624</v>
      </c>
      <c r="L325" s="114">
        <f t="shared" si="186"/>
        <v>402.22500000000002</v>
      </c>
      <c r="M325" s="114">
        <f t="shared" si="186"/>
        <v>2025</v>
      </c>
      <c r="N325" s="114">
        <f t="shared" si="186"/>
        <v>19152.647999999997</v>
      </c>
      <c r="O325" s="405" t="s">
        <v>0</v>
      </c>
      <c r="P325" s="406"/>
      <c r="Q325" s="132"/>
    </row>
    <row r="326" spans="1:17" x14ac:dyDescent="0.2">
      <c r="A326" s="82" t="s">
        <v>25</v>
      </c>
      <c r="B326" s="83" t="s">
        <v>63</v>
      </c>
      <c r="C326" s="88">
        <v>3966.4</v>
      </c>
      <c r="D326" s="88">
        <v>3197.91</v>
      </c>
      <c r="E326" s="88">
        <v>490</v>
      </c>
      <c r="F326" s="88">
        <v>624</v>
      </c>
      <c r="G326" s="87">
        <f t="shared" ref="G326" si="187">C326+D326+F326</f>
        <v>7788.3099999999995</v>
      </c>
      <c r="H326" s="88">
        <v>37.18</v>
      </c>
      <c r="I326" s="88">
        <v>1498</v>
      </c>
      <c r="J326" s="88">
        <v>-159.5</v>
      </c>
      <c r="K326" s="88">
        <v>624</v>
      </c>
      <c r="L326" s="88">
        <v>200.01</v>
      </c>
      <c r="M326" s="88">
        <f>1125+500</f>
        <v>1625</v>
      </c>
      <c r="N326" s="87">
        <f t="shared" ref="N326:N331" si="188">C326+D326+E326-H326-I326-J326-K326-L326-M326</f>
        <v>3829.619999999999</v>
      </c>
      <c r="O326" s="98">
        <v>44118</v>
      </c>
      <c r="P326" s="242" t="s">
        <v>161</v>
      </c>
      <c r="Q326" s="132" t="s">
        <v>169</v>
      </c>
    </row>
    <row r="327" spans="1:17" x14ac:dyDescent="0.2">
      <c r="A327" s="80" t="s">
        <v>26</v>
      </c>
      <c r="B327" s="81" t="s">
        <v>70</v>
      </c>
      <c r="C327" s="88">
        <v>1023.5</v>
      </c>
      <c r="D327" s="88"/>
      <c r="E327" s="88">
        <v>50</v>
      </c>
      <c r="F327" s="88"/>
      <c r="G327" s="87">
        <f>C327+D327+F327</f>
        <v>1023.5</v>
      </c>
      <c r="H327" s="88">
        <v>10.234999999999999</v>
      </c>
      <c r="I327" s="88"/>
      <c r="J327" s="88"/>
      <c r="K327" s="88"/>
      <c r="L327" s="88">
        <v>58.14</v>
      </c>
      <c r="M327" s="88">
        <v>100</v>
      </c>
      <c r="N327" s="87">
        <f t="shared" si="188"/>
        <v>905.12500000000011</v>
      </c>
      <c r="O327" s="98">
        <v>44118</v>
      </c>
      <c r="P327" s="242" t="s">
        <v>161</v>
      </c>
      <c r="Q327" s="132" t="s">
        <v>169</v>
      </c>
    </row>
    <row r="328" spans="1:17" x14ac:dyDescent="0.2">
      <c r="A328" s="80" t="s">
        <v>3</v>
      </c>
      <c r="B328" s="81" t="s">
        <v>71</v>
      </c>
      <c r="C328" s="88">
        <v>1343.5</v>
      </c>
      <c r="D328" s="88">
        <v>856.48</v>
      </c>
      <c r="E328" s="88">
        <v>50</v>
      </c>
      <c r="F328" s="88"/>
      <c r="G328" s="87">
        <f>C328+D328+F328+E328</f>
        <v>2249.98</v>
      </c>
      <c r="H328" s="88">
        <v>22</v>
      </c>
      <c r="I328" s="88">
        <v>108</v>
      </c>
      <c r="J328" s="88"/>
      <c r="K328" s="88"/>
      <c r="L328" s="88">
        <v>76.295000000000002</v>
      </c>
      <c r="M328" s="88"/>
      <c r="N328" s="87">
        <f t="shared" si="188"/>
        <v>2043.6849999999999</v>
      </c>
      <c r="O328" s="98">
        <v>44118</v>
      </c>
      <c r="P328" s="242" t="s">
        <v>161</v>
      </c>
      <c r="Q328" s="132" t="s">
        <v>169</v>
      </c>
    </row>
    <row r="329" spans="1:17" x14ac:dyDescent="0.2">
      <c r="A329" s="80" t="s">
        <v>31</v>
      </c>
      <c r="B329" s="81" t="s">
        <v>72</v>
      </c>
      <c r="C329" s="88">
        <v>1300</v>
      </c>
      <c r="D329" s="88">
        <v>828.75</v>
      </c>
      <c r="E329" s="88">
        <v>50</v>
      </c>
      <c r="F329" s="88"/>
      <c r="G329" s="87">
        <f>C329+D329+F329+E329</f>
        <v>2178.75</v>
      </c>
      <c r="H329" s="88">
        <v>13</v>
      </c>
      <c r="I329" s="88">
        <v>96</v>
      </c>
      <c r="J329" s="88"/>
      <c r="K329" s="88"/>
      <c r="L329" s="88">
        <v>67.78</v>
      </c>
      <c r="M329" s="88"/>
      <c r="N329" s="87">
        <f t="shared" si="188"/>
        <v>2001.97</v>
      </c>
      <c r="O329" s="98">
        <v>44118</v>
      </c>
      <c r="P329" s="242" t="s">
        <v>161</v>
      </c>
      <c r="Q329" s="132" t="s">
        <v>169</v>
      </c>
    </row>
    <row r="330" spans="1:17" x14ac:dyDescent="0.2">
      <c r="A330" s="80" t="s">
        <v>69</v>
      </c>
      <c r="B330" s="81" t="s">
        <v>73</v>
      </c>
      <c r="C330" s="88">
        <v>1000</v>
      </c>
      <c r="D330" s="88">
        <v>637.5</v>
      </c>
      <c r="E330" s="88"/>
      <c r="F330" s="88"/>
      <c r="G330" s="87">
        <f t="shared" ref="G330:G331" si="189">C330+D330+F330</f>
        <v>1637.5</v>
      </c>
      <c r="H330" s="88">
        <v>16.38</v>
      </c>
      <c r="I330" s="88">
        <v>7</v>
      </c>
      <c r="J330" s="88"/>
      <c r="K330" s="88"/>
      <c r="L330" s="88"/>
      <c r="M330" s="88"/>
      <c r="N330" s="87">
        <f t="shared" si="188"/>
        <v>1614.12</v>
      </c>
      <c r="O330" s="98">
        <v>44118</v>
      </c>
      <c r="P330" s="242" t="s">
        <v>161</v>
      </c>
      <c r="Q330" s="132" t="s">
        <v>169</v>
      </c>
    </row>
    <row r="331" spans="1:17" x14ac:dyDescent="0.2">
      <c r="A331" s="80" t="s">
        <v>79</v>
      </c>
      <c r="B331" s="81" t="s">
        <v>91</v>
      </c>
      <c r="C331" s="88">
        <v>1250</v>
      </c>
      <c r="D331" s="88">
        <v>796.88</v>
      </c>
      <c r="E331" s="88"/>
      <c r="F331" s="88"/>
      <c r="G331" s="87">
        <f t="shared" si="189"/>
        <v>2046.88</v>
      </c>
      <c r="H331" s="88">
        <v>20.47</v>
      </c>
      <c r="I331" s="88">
        <v>81</v>
      </c>
      <c r="J331" s="88"/>
      <c r="K331" s="88"/>
      <c r="L331" s="88"/>
      <c r="M331" s="88"/>
      <c r="N331" s="87">
        <f t="shared" si="188"/>
        <v>1945.41</v>
      </c>
      <c r="O331" s="98">
        <v>44118</v>
      </c>
      <c r="P331" s="242" t="s">
        <v>161</v>
      </c>
      <c r="Q331" s="132" t="s">
        <v>169</v>
      </c>
    </row>
    <row r="332" spans="1:17" x14ac:dyDescent="0.2">
      <c r="A332" s="80" t="s">
        <v>92</v>
      </c>
      <c r="B332" s="81" t="s">
        <v>93</v>
      </c>
      <c r="C332" s="88">
        <v>500</v>
      </c>
      <c r="D332" s="88">
        <v>281.25</v>
      </c>
      <c r="E332" s="88"/>
      <c r="F332" s="88"/>
      <c r="G332" s="87">
        <f t="shared" ref="G332:G334" si="190">C332+D332+F332</f>
        <v>781.25</v>
      </c>
      <c r="H332" s="88">
        <v>7.81</v>
      </c>
      <c r="I332" s="88"/>
      <c r="J332" s="88"/>
      <c r="K332" s="88"/>
      <c r="L332" s="88"/>
      <c r="M332" s="88"/>
      <c r="N332" s="87">
        <f t="shared" ref="N332:N333" si="191">C332+D332+E332-H332-I332-J332-K332-L332-M332</f>
        <v>773.44</v>
      </c>
      <c r="O332" s="98">
        <v>44118</v>
      </c>
      <c r="P332" s="242" t="s">
        <v>161</v>
      </c>
      <c r="Q332" s="132" t="s">
        <v>169</v>
      </c>
    </row>
    <row r="333" spans="1:17" x14ac:dyDescent="0.2">
      <c r="A333" s="80" t="s">
        <v>95</v>
      </c>
      <c r="B333" s="81" t="s">
        <v>94</v>
      </c>
      <c r="C333" s="88">
        <v>800</v>
      </c>
      <c r="D333" s="88">
        <v>510</v>
      </c>
      <c r="E333" s="88"/>
      <c r="F333" s="88"/>
      <c r="G333" s="87">
        <f t="shared" si="190"/>
        <v>1310</v>
      </c>
      <c r="H333" s="88">
        <v>13.1</v>
      </c>
      <c r="I333" s="88"/>
      <c r="J333" s="88"/>
      <c r="K333" s="88"/>
      <c r="L333" s="88"/>
      <c r="M333" s="88"/>
      <c r="N333" s="87">
        <f t="shared" si="191"/>
        <v>1296.9000000000001</v>
      </c>
      <c r="O333" s="98">
        <v>44118</v>
      </c>
      <c r="P333" s="242" t="s">
        <v>161</v>
      </c>
      <c r="Q333" s="132" t="s">
        <v>169</v>
      </c>
    </row>
    <row r="334" spans="1:17" x14ac:dyDescent="0.2">
      <c r="A334" s="80" t="s">
        <v>102</v>
      </c>
      <c r="B334" s="81" t="s">
        <v>104</v>
      </c>
      <c r="C334" s="88">
        <v>1250</v>
      </c>
      <c r="D334" s="88">
        <v>796.88</v>
      </c>
      <c r="E334" s="88"/>
      <c r="F334" s="88"/>
      <c r="G334" s="87">
        <f t="shared" si="190"/>
        <v>2046.88</v>
      </c>
      <c r="H334" s="88">
        <v>20.468</v>
      </c>
      <c r="I334" s="88">
        <v>81</v>
      </c>
      <c r="J334" s="88"/>
      <c r="K334" s="88"/>
      <c r="L334" s="88"/>
      <c r="M334" s="88">
        <v>300</v>
      </c>
      <c r="N334" s="87">
        <f>C334+D334+E334-H334-I334-J334-K334-L334-M334</f>
        <v>1645.412</v>
      </c>
      <c r="O334" s="98">
        <v>44118</v>
      </c>
      <c r="P334" s="242" t="s">
        <v>161</v>
      </c>
      <c r="Q334" s="132" t="s">
        <v>169</v>
      </c>
    </row>
    <row r="335" spans="1:17" x14ac:dyDescent="0.2">
      <c r="A335" s="80" t="s">
        <v>146</v>
      </c>
      <c r="B335" s="81" t="s">
        <v>151</v>
      </c>
      <c r="C335" s="88">
        <v>1250</v>
      </c>
      <c r="D335" s="88">
        <v>796.88</v>
      </c>
      <c r="E335" s="88"/>
      <c r="F335" s="88"/>
      <c r="G335" s="87">
        <f>C335+D335+E335+F335</f>
        <v>2046.88</v>
      </c>
      <c r="H335" s="88">
        <v>20.468800000000002</v>
      </c>
      <c r="I335" s="88">
        <v>81</v>
      </c>
      <c r="J335" s="88"/>
      <c r="K335" s="88"/>
      <c r="L335" s="88"/>
      <c r="M335" s="88"/>
      <c r="N335" s="87">
        <f t="shared" ref="N335" si="192">C335+D335+E335-H335-I335-J335-K335-L335-M335</f>
        <v>1945.4112</v>
      </c>
      <c r="O335" s="98">
        <v>44118</v>
      </c>
      <c r="P335" s="242" t="s">
        <v>161</v>
      </c>
      <c r="Q335" s="132" t="s">
        <v>169</v>
      </c>
    </row>
    <row r="336" spans="1:17" x14ac:dyDescent="0.2">
      <c r="A336" s="79" t="s">
        <v>154</v>
      </c>
      <c r="B336" s="81" t="s">
        <v>101</v>
      </c>
      <c r="C336" s="88">
        <v>1250</v>
      </c>
      <c r="D336" s="88">
        <v>796.88</v>
      </c>
      <c r="E336" s="88"/>
      <c r="F336" s="88"/>
      <c r="G336" s="87">
        <f>C336+D336+E336+F336</f>
        <v>2046.88</v>
      </c>
      <c r="H336" s="88">
        <v>20.468800000000002</v>
      </c>
      <c r="I336" s="88">
        <v>81</v>
      </c>
      <c r="J336" s="88"/>
      <c r="K336" s="88"/>
      <c r="L336" s="88"/>
      <c r="M336" s="88"/>
      <c r="N336" s="87">
        <f t="shared" ref="N336:N337" si="193">C336+D336+E336-H336-I336-J336-K336-L336-M336</f>
        <v>1945.4112</v>
      </c>
      <c r="O336" s="98">
        <v>44118</v>
      </c>
      <c r="P336" s="242" t="s">
        <v>161</v>
      </c>
      <c r="Q336" s="132" t="s">
        <v>169</v>
      </c>
    </row>
    <row r="337" spans="1:17" ht="13.5" thickBot="1" x14ac:dyDescent="0.25">
      <c r="A337" s="247" t="s">
        <v>164</v>
      </c>
      <c r="B337" s="248" t="s">
        <v>170</v>
      </c>
      <c r="C337" s="95">
        <v>1250</v>
      </c>
      <c r="D337" s="88">
        <v>796.88</v>
      </c>
      <c r="E337" s="95"/>
      <c r="F337" s="95"/>
      <c r="G337" s="245">
        <f>C337+D337+E337+F337</f>
        <v>2046.88</v>
      </c>
      <c r="H337" s="88">
        <v>20.468800000000002</v>
      </c>
      <c r="I337" s="88">
        <v>81</v>
      </c>
      <c r="J337" s="95"/>
      <c r="K337" s="95"/>
      <c r="L337" s="95"/>
      <c r="M337" s="95"/>
      <c r="N337" s="245">
        <f t="shared" si="193"/>
        <v>1945.4112</v>
      </c>
      <c r="O337" s="98">
        <v>44118</v>
      </c>
      <c r="P337" s="242" t="s">
        <v>161</v>
      </c>
      <c r="Q337" s="132" t="s">
        <v>169</v>
      </c>
    </row>
    <row r="338" spans="1:17" s="93" customFormat="1" ht="13.5" thickBot="1" x14ac:dyDescent="0.25">
      <c r="A338" s="409" t="s">
        <v>0</v>
      </c>
      <c r="B338" s="410"/>
      <c r="C338" s="152">
        <f t="shared" ref="C338:M338" si="194">SUM(C326:C337)</f>
        <v>16183.4</v>
      </c>
      <c r="D338" s="152">
        <f t="shared" si="194"/>
        <v>10296.289999999997</v>
      </c>
      <c r="E338" s="152">
        <f t="shared" si="194"/>
        <v>640</v>
      </c>
      <c r="F338" s="152">
        <f t="shared" si="194"/>
        <v>624</v>
      </c>
      <c r="G338" s="152">
        <f t="shared" si="194"/>
        <v>27203.690000000002</v>
      </c>
      <c r="H338" s="152">
        <f t="shared" si="194"/>
        <v>222.04939999999993</v>
      </c>
      <c r="I338" s="152">
        <f t="shared" si="194"/>
        <v>2114</v>
      </c>
      <c r="J338" s="152">
        <f t="shared" si="194"/>
        <v>-159.5</v>
      </c>
      <c r="K338" s="152">
        <f t="shared" si="194"/>
        <v>624</v>
      </c>
      <c r="L338" s="152">
        <f t="shared" si="194"/>
        <v>402.22500000000002</v>
      </c>
      <c r="M338" s="152">
        <f t="shared" si="194"/>
        <v>2025</v>
      </c>
      <c r="N338" s="152">
        <f t="shared" ref="N338" si="195">SUM(N326:N337)</f>
        <v>21891.915599999993</v>
      </c>
      <c r="O338" s="411" t="s">
        <v>0</v>
      </c>
      <c r="P338" s="412"/>
      <c r="Q338" s="132"/>
    </row>
    <row r="339" spans="1:17" x14ac:dyDescent="0.2">
      <c r="A339" s="82" t="s">
        <v>25</v>
      </c>
      <c r="B339" s="83" t="s">
        <v>63</v>
      </c>
      <c r="C339" s="88">
        <v>3966.4</v>
      </c>
      <c r="D339" s="88">
        <v>3197.91</v>
      </c>
      <c r="E339" s="88">
        <v>490</v>
      </c>
      <c r="F339" s="88">
        <v>624</v>
      </c>
      <c r="G339" s="87">
        <f t="shared" ref="G339" si="196">C339+D339+F339</f>
        <v>7788.3099999999995</v>
      </c>
      <c r="H339" s="88">
        <v>37.18</v>
      </c>
      <c r="I339" s="88">
        <v>1498</v>
      </c>
      <c r="J339" s="88">
        <v>-159.5</v>
      </c>
      <c r="K339" s="88">
        <v>624</v>
      </c>
      <c r="L339" s="88">
        <v>200.01</v>
      </c>
      <c r="M339" s="88">
        <f>1125+500</f>
        <v>1625</v>
      </c>
      <c r="N339" s="87">
        <f t="shared" ref="N339:N344" si="197">C339+D339+E339-H339-I339-J339-K339-L339-M339</f>
        <v>3829.619999999999</v>
      </c>
      <c r="O339" s="98">
        <v>44125</v>
      </c>
      <c r="P339" s="239" t="s">
        <v>162</v>
      </c>
      <c r="Q339" s="132" t="s">
        <v>169</v>
      </c>
    </row>
    <row r="340" spans="1:17" x14ac:dyDescent="0.2">
      <c r="A340" s="80" t="s">
        <v>26</v>
      </c>
      <c r="B340" s="81" t="s">
        <v>70</v>
      </c>
      <c r="C340" s="88">
        <v>1023.5</v>
      </c>
      <c r="D340" s="88"/>
      <c r="E340" s="88">
        <v>50</v>
      </c>
      <c r="F340" s="88"/>
      <c r="G340" s="87">
        <f>C340+D340+F340</f>
        <v>1023.5</v>
      </c>
      <c r="H340" s="88">
        <v>10.234999999999999</v>
      </c>
      <c r="I340" s="88"/>
      <c r="J340" s="88"/>
      <c r="K340" s="88"/>
      <c r="L340" s="88">
        <v>58.14</v>
      </c>
      <c r="M340" s="88">
        <v>100</v>
      </c>
      <c r="N340" s="87">
        <f t="shared" si="197"/>
        <v>905.12500000000011</v>
      </c>
      <c r="O340" s="98">
        <v>44125</v>
      </c>
      <c r="P340" s="239" t="s">
        <v>162</v>
      </c>
      <c r="Q340" s="132" t="s">
        <v>169</v>
      </c>
    </row>
    <row r="341" spans="1:17" x14ac:dyDescent="0.2">
      <c r="A341" s="80" t="s">
        <v>3</v>
      </c>
      <c r="B341" s="81" t="s">
        <v>71</v>
      </c>
      <c r="C341" s="88">
        <v>1343.5</v>
      </c>
      <c r="D341" s="88">
        <v>856.48</v>
      </c>
      <c r="E341" s="88">
        <v>50</v>
      </c>
      <c r="F341" s="88"/>
      <c r="G341" s="87">
        <f>C341+D341+F341+E341</f>
        <v>2249.98</v>
      </c>
      <c r="H341" s="88">
        <v>22</v>
      </c>
      <c r="I341" s="88">
        <v>108</v>
      </c>
      <c r="J341" s="88"/>
      <c r="K341" s="88"/>
      <c r="L341" s="88">
        <v>76.295000000000002</v>
      </c>
      <c r="M341" s="88"/>
      <c r="N341" s="87">
        <f t="shared" si="197"/>
        <v>2043.6849999999999</v>
      </c>
      <c r="O341" s="98">
        <v>44125</v>
      </c>
      <c r="P341" s="239" t="s">
        <v>162</v>
      </c>
      <c r="Q341" s="132" t="s">
        <v>169</v>
      </c>
    </row>
    <row r="342" spans="1:17" x14ac:dyDescent="0.2">
      <c r="A342" s="80" t="s">
        <v>31</v>
      </c>
      <c r="B342" s="81" t="s">
        <v>72</v>
      </c>
      <c r="C342" s="88">
        <v>1300</v>
      </c>
      <c r="D342" s="88">
        <v>828.75</v>
      </c>
      <c r="E342" s="88">
        <v>50</v>
      </c>
      <c r="F342" s="88"/>
      <c r="G342" s="87">
        <f>C342+D342+F342+E342</f>
        <v>2178.75</v>
      </c>
      <c r="H342" s="88">
        <v>13</v>
      </c>
      <c r="I342" s="88">
        <v>96</v>
      </c>
      <c r="J342" s="88"/>
      <c r="K342" s="88"/>
      <c r="L342" s="88">
        <v>67.78</v>
      </c>
      <c r="M342" s="88"/>
      <c r="N342" s="87">
        <f t="shared" si="197"/>
        <v>2001.97</v>
      </c>
      <c r="O342" s="98">
        <v>44125</v>
      </c>
      <c r="P342" s="239" t="s">
        <v>162</v>
      </c>
      <c r="Q342" s="132" t="s">
        <v>169</v>
      </c>
    </row>
    <row r="343" spans="1:17" x14ac:dyDescent="0.2">
      <c r="A343" s="80" t="s">
        <v>69</v>
      </c>
      <c r="B343" s="81" t="s">
        <v>73</v>
      </c>
      <c r="C343" s="88">
        <v>1000</v>
      </c>
      <c r="D343" s="88">
        <v>637.5</v>
      </c>
      <c r="E343" s="88"/>
      <c r="F343" s="88"/>
      <c r="G343" s="87">
        <f t="shared" ref="G343:G344" si="198">C343+D343+F343</f>
        <v>1637.5</v>
      </c>
      <c r="H343" s="88">
        <v>16.38</v>
      </c>
      <c r="I343" s="88">
        <v>7</v>
      </c>
      <c r="J343" s="88"/>
      <c r="K343" s="88"/>
      <c r="L343" s="88"/>
      <c r="M343" s="88"/>
      <c r="N343" s="87">
        <f t="shared" si="197"/>
        <v>1614.12</v>
      </c>
      <c r="O343" s="98">
        <v>44125</v>
      </c>
      <c r="P343" s="239" t="s">
        <v>162</v>
      </c>
      <c r="Q343" s="132" t="s">
        <v>169</v>
      </c>
    </row>
    <row r="344" spans="1:17" x14ac:dyDescent="0.2">
      <c r="A344" s="80" t="s">
        <v>79</v>
      </c>
      <c r="B344" s="81" t="s">
        <v>91</v>
      </c>
      <c r="C344" s="88">
        <v>1250</v>
      </c>
      <c r="D344" s="88">
        <v>421.88</v>
      </c>
      <c r="E344" s="88"/>
      <c r="F344" s="88"/>
      <c r="G344" s="87">
        <f t="shared" si="198"/>
        <v>1671.88</v>
      </c>
      <c r="H344" s="88">
        <v>16.72</v>
      </c>
      <c r="I344" s="88">
        <v>13</v>
      </c>
      <c r="J344" s="88"/>
      <c r="K344" s="88"/>
      <c r="L344" s="88"/>
      <c r="M344" s="88"/>
      <c r="N344" s="87">
        <f t="shared" si="197"/>
        <v>1642.16</v>
      </c>
      <c r="O344" s="98">
        <v>44125</v>
      </c>
      <c r="P344" s="239" t="s">
        <v>162</v>
      </c>
      <c r="Q344" s="132" t="s">
        <v>169</v>
      </c>
    </row>
    <row r="345" spans="1:17" x14ac:dyDescent="0.2">
      <c r="A345" s="80" t="s">
        <v>92</v>
      </c>
      <c r="B345" s="81" t="s">
        <v>93</v>
      </c>
      <c r="C345" s="88">
        <v>1250</v>
      </c>
      <c r="D345" s="88">
        <v>796.88</v>
      </c>
      <c r="E345" s="88"/>
      <c r="F345" s="88"/>
      <c r="G345" s="87">
        <f t="shared" ref="G345:G347" si="199">C345+D345+F345</f>
        <v>2046.88</v>
      </c>
      <c r="H345" s="88">
        <v>20.47</v>
      </c>
      <c r="I345" s="88">
        <v>81</v>
      </c>
      <c r="J345" s="88"/>
      <c r="K345" s="88"/>
      <c r="L345" s="88"/>
      <c r="M345" s="88"/>
      <c r="N345" s="87">
        <f t="shared" ref="N345:N346" si="200">C345+D345+E345-H345-I345-J345-K345-L345-M345</f>
        <v>1945.41</v>
      </c>
      <c r="O345" s="98">
        <v>44125</v>
      </c>
      <c r="P345" s="239" t="s">
        <v>162</v>
      </c>
      <c r="Q345" s="132" t="s">
        <v>169</v>
      </c>
    </row>
    <row r="346" spans="1:17" x14ac:dyDescent="0.2">
      <c r="A346" s="80" t="s">
        <v>95</v>
      </c>
      <c r="B346" s="81" t="s">
        <v>94</v>
      </c>
      <c r="C346" s="88">
        <v>800</v>
      </c>
      <c r="D346" s="88">
        <v>510</v>
      </c>
      <c r="E346" s="88"/>
      <c r="F346" s="88"/>
      <c r="G346" s="87">
        <f t="shared" si="199"/>
        <v>1310</v>
      </c>
      <c r="H346" s="88">
        <v>13.1</v>
      </c>
      <c r="I346" s="88"/>
      <c r="J346" s="88"/>
      <c r="K346" s="88"/>
      <c r="L346" s="88"/>
      <c r="M346" s="88"/>
      <c r="N346" s="87">
        <f t="shared" si="200"/>
        <v>1296.9000000000001</v>
      </c>
      <c r="O346" s="98">
        <v>44125</v>
      </c>
      <c r="P346" s="239" t="s">
        <v>162</v>
      </c>
      <c r="Q346" s="132" t="s">
        <v>169</v>
      </c>
    </row>
    <row r="347" spans="1:17" x14ac:dyDescent="0.2">
      <c r="A347" s="80" t="s">
        <v>102</v>
      </c>
      <c r="B347" s="81" t="s">
        <v>104</v>
      </c>
      <c r="C347" s="88">
        <v>1250</v>
      </c>
      <c r="D347" s="88">
        <v>750</v>
      </c>
      <c r="E347" s="88"/>
      <c r="F347" s="88"/>
      <c r="G347" s="87">
        <f t="shared" si="199"/>
        <v>2000</v>
      </c>
      <c r="H347" s="88">
        <v>20</v>
      </c>
      <c r="I347" s="88">
        <v>81</v>
      </c>
      <c r="J347" s="88"/>
      <c r="K347" s="88"/>
      <c r="L347" s="88"/>
      <c r="M347" s="88">
        <v>300</v>
      </c>
      <c r="N347" s="87">
        <f>C347+D347+E347-H347-I347-J347-K347-L347-M347</f>
        <v>1599</v>
      </c>
      <c r="O347" s="98">
        <v>44125</v>
      </c>
      <c r="P347" s="239" t="s">
        <v>162</v>
      </c>
      <c r="Q347" s="132" t="s">
        <v>169</v>
      </c>
    </row>
    <row r="348" spans="1:17" x14ac:dyDescent="0.2">
      <c r="A348" s="80" t="s">
        <v>146</v>
      </c>
      <c r="B348" s="81" t="s">
        <v>151</v>
      </c>
      <c r="C348" s="88">
        <v>1250</v>
      </c>
      <c r="D348" s="88">
        <v>796.88</v>
      </c>
      <c r="E348" s="88"/>
      <c r="F348" s="88"/>
      <c r="G348" s="87">
        <f>C348+D348+E348+F348</f>
        <v>2046.88</v>
      </c>
      <c r="H348" s="88">
        <v>20.468800000000002</v>
      </c>
      <c r="I348" s="88">
        <v>81</v>
      </c>
      <c r="J348" s="88"/>
      <c r="K348" s="88"/>
      <c r="L348" s="88"/>
      <c r="M348" s="88"/>
      <c r="N348" s="87">
        <f t="shared" ref="N348" si="201">C348+D348+E348-H348-I348-J348-K348-L348-M348</f>
        <v>1945.4112</v>
      </c>
      <c r="O348" s="98">
        <v>44125</v>
      </c>
      <c r="P348" s="239" t="s">
        <v>162</v>
      </c>
      <c r="Q348" s="132" t="s">
        <v>169</v>
      </c>
    </row>
    <row r="349" spans="1:17" x14ac:dyDescent="0.2">
      <c r="A349" s="79" t="s">
        <v>154</v>
      </c>
      <c r="B349" s="81" t="s">
        <v>101</v>
      </c>
      <c r="C349" s="88">
        <v>1250</v>
      </c>
      <c r="D349" s="88">
        <v>796.88</v>
      </c>
      <c r="E349" s="88"/>
      <c r="F349" s="88"/>
      <c r="G349" s="87">
        <f>C349+D349+E349+F349</f>
        <v>2046.88</v>
      </c>
      <c r="H349" s="88">
        <v>20.468800000000002</v>
      </c>
      <c r="I349" s="88">
        <v>81</v>
      </c>
      <c r="J349" s="88"/>
      <c r="K349" s="88"/>
      <c r="L349" s="88"/>
      <c r="M349" s="88"/>
      <c r="N349" s="87">
        <f t="shared" ref="N349:N350" si="202">C349+D349+E349-H349-I349-J349-K349-L349-M349</f>
        <v>1945.4112</v>
      </c>
      <c r="O349" s="98">
        <v>44125</v>
      </c>
      <c r="P349" s="239" t="s">
        <v>162</v>
      </c>
      <c r="Q349" s="132" t="s">
        <v>169</v>
      </c>
    </row>
    <row r="350" spans="1:17" ht="13.5" thickBot="1" x14ac:dyDescent="0.25">
      <c r="A350" s="247" t="s">
        <v>164</v>
      </c>
      <c r="B350" s="248" t="s">
        <v>170</v>
      </c>
      <c r="C350" s="95">
        <v>1000</v>
      </c>
      <c r="D350" s="95">
        <v>656.25</v>
      </c>
      <c r="E350" s="95"/>
      <c r="F350" s="95"/>
      <c r="G350" s="245">
        <f>C350+D350+E350+F350</f>
        <v>1656.25</v>
      </c>
      <c r="H350" s="244">
        <v>16.5625</v>
      </c>
      <c r="I350" s="244">
        <v>11</v>
      </c>
      <c r="J350" s="95"/>
      <c r="K350" s="95"/>
      <c r="L350" s="95"/>
      <c r="M350" s="95">
        <v>300</v>
      </c>
      <c r="N350" s="245">
        <f t="shared" si="202"/>
        <v>1328.6875</v>
      </c>
      <c r="O350" s="98">
        <v>44125</v>
      </c>
      <c r="P350" s="239" t="s">
        <v>162</v>
      </c>
      <c r="Q350" s="132" t="s">
        <v>169</v>
      </c>
    </row>
    <row r="351" spans="1:17" s="93" customFormat="1" ht="13.5" thickBot="1" x14ac:dyDescent="0.25">
      <c r="A351" s="413" t="s">
        <v>0</v>
      </c>
      <c r="B351" s="414"/>
      <c r="C351" s="106">
        <f t="shared" ref="C351:N351" si="203">SUM(C339:C350)</f>
        <v>16683.400000000001</v>
      </c>
      <c r="D351" s="106">
        <f t="shared" si="203"/>
        <v>10249.409999999998</v>
      </c>
      <c r="E351" s="106">
        <f t="shared" si="203"/>
        <v>640</v>
      </c>
      <c r="F351" s="106">
        <f t="shared" si="203"/>
        <v>624</v>
      </c>
      <c r="G351" s="106">
        <f t="shared" si="203"/>
        <v>27656.81</v>
      </c>
      <c r="H351" s="106">
        <f t="shared" si="203"/>
        <v>226.58509999999995</v>
      </c>
      <c r="I351" s="106">
        <f t="shared" si="203"/>
        <v>2057</v>
      </c>
      <c r="J351" s="106">
        <f t="shared" si="203"/>
        <v>-159.5</v>
      </c>
      <c r="K351" s="106">
        <f t="shared" si="203"/>
        <v>624</v>
      </c>
      <c r="L351" s="106">
        <f t="shared" si="203"/>
        <v>402.22500000000002</v>
      </c>
      <c r="M351" s="106">
        <f t="shared" si="203"/>
        <v>2325</v>
      </c>
      <c r="N351" s="106">
        <f t="shared" si="203"/>
        <v>22097.499899999995</v>
      </c>
      <c r="O351" s="418" t="s">
        <v>0</v>
      </c>
      <c r="P351" s="419"/>
      <c r="Q351" s="132"/>
    </row>
    <row r="352" spans="1:17" x14ac:dyDescent="0.2">
      <c r="A352" s="82" t="s">
        <v>25</v>
      </c>
      <c r="B352" s="83" t="s">
        <v>63</v>
      </c>
      <c r="C352" s="88">
        <v>3966.4</v>
      </c>
      <c r="D352" s="88">
        <v>4387.83</v>
      </c>
      <c r="E352" s="88">
        <v>490</v>
      </c>
      <c r="F352" s="88">
        <v>624</v>
      </c>
      <c r="G352" s="87">
        <f t="shared" ref="G352" si="204">C352+D352+F352</f>
        <v>8978.23</v>
      </c>
      <c r="H352" s="88">
        <v>37.18</v>
      </c>
      <c r="I352" s="88">
        <v>1890</v>
      </c>
      <c r="J352" s="88">
        <v>-159.5</v>
      </c>
      <c r="K352" s="88">
        <v>624</v>
      </c>
      <c r="L352" s="88">
        <v>200.01</v>
      </c>
      <c r="M352" s="88">
        <f>1125+500</f>
        <v>1625</v>
      </c>
      <c r="N352" s="87">
        <f t="shared" ref="N352:N359" si="205">C352+D352+E352-H352-I352-J352-K352-L352-M352</f>
        <v>4627.5399999999991</v>
      </c>
      <c r="O352" s="98">
        <v>44132</v>
      </c>
      <c r="P352" s="240" t="s">
        <v>163</v>
      </c>
      <c r="Q352" s="132" t="s">
        <v>169</v>
      </c>
    </row>
    <row r="353" spans="1:17" x14ac:dyDescent="0.2">
      <c r="A353" s="80" t="s">
        <v>26</v>
      </c>
      <c r="B353" s="81" t="s">
        <v>70</v>
      </c>
      <c r="C353" s="88">
        <v>1023.5</v>
      </c>
      <c r="D353" s="88"/>
      <c r="E353" s="88">
        <v>50</v>
      </c>
      <c r="F353" s="88"/>
      <c r="G353" s="87">
        <f>C353+D353+F353</f>
        <v>1023.5</v>
      </c>
      <c r="H353" s="88">
        <v>10.234999999999999</v>
      </c>
      <c r="I353" s="88"/>
      <c r="J353" s="88"/>
      <c r="K353" s="88"/>
      <c r="L353" s="88">
        <v>58.14</v>
      </c>
      <c r="M353" s="88"/>
      <c r="N353" s="87">
        <f t="shared" si="205"/>
        <v>1005.1250000000001</v>
      </c>
      <c r="O353" s="98">
        <v>44132</v>
      </c>
      <c r="P353" s="240" t="s">
        <v>163</v>
      </c>
      <c r="Q353" s="132" t="s">
        <v>169</v>
      </c>
    </row>
    <row r="354" spans="1:17" x14ac:dyDescent="0.2">
      <c r="A354" s="80" t="s">
        <v>3</v>
      </c>
      <c r="B354" s="81" t="s">
        <v>71</v>
      </c>
      <c r="C354" s="88">
        <v>1343.5</v>
      </c>
      <c r="D354" s="88">
        <v>1007.63</v>
      </c>
      <c r="E354" s="88">
        <v>50</v>
      </c>
      <c r="F354" s="88"/>
      <c r="G354" s="87">
        <f>C354+D354+F354+E354</f>
        <v>2401.13</v>
      </c>
      <c r="H354" s="88">
        <v>23.51</v>
      </c>
      <c r="I354" s="88">
        <v>135</v>
      </c>
      <c r="J354" s="88"/>
      <c r="K354" s="88"/>
      <c r="L354" s="88">
        <v>76.295000000000002</v>
      </c>
      <c r="M354" s="88"/>
      <c r="N354" s="87">
        <f t="shared" si="205"/>
        <v>2166.3249999999998</v>
      </c>
      <c r="O354" s="98">
        <v>44132</v>
      </c>
      <c r="P354" s="240" t="s">
        <v>163</v>
      </c>
      <c r="Q354" s="132" t="s">
        <v>169</v>
      </c>
    </row>
    <row r="355" spans="1:17" x14ac:dyDescent="0.2">
      <c r="A355" s="80" t="s">
        <v>31</v>
      </c>
      <c r="B355" s="81" t="s">
        <v>72</v>
      </c>
      <c r="C355" s="88">
        <v>1300</v>
      </c>
      <c r="D355" s="88">
        <v>975</v>
      </c>
      <c r="E355" s="88">
        <v>50</v>
      </c>
      <c r="F355" s="88"/>
      <c r="G355" s="87">
        <f>C355+D355+F355+E355</f>
        <v>2325</v>
      </c>
      <c r="H355" s="88">
        <v>22.75</v>
      </c>
      <c r="I355" s="88">
        <v>122</v>
      </c>
      <c r="J355" s="88"/>
      <c r="K355" s="88"/>
      <c r="L355" s="88">
        <v>67.78</v>
      </c>
      <c r="M355" s="88"/>
      <c r="N355" s="87">
        <f t="shared" si="205"/>
        <v>2112.4699999999998</v>
      </c>
      <c r="O355" s="98">
        <v>44132</v>
      </c>
      <c r="P355" s="240" t="s">
        <v>163</v>
      </c>
      <c r="Q355" s="132" t="s">
        <v>169</v>
      </c>
    </row>
    <row r="356" spans="1:17" x14ac:dyDescent="0.2">
      <c r="A356" s="80" t="s">
        <v>69</v>
      </c>
      <c r="B356" s="81" t="s">
        <v>73</v>
      </c>
      <c r="C356" s="88">
        <v>1000</v>
      </c>
      <c r="D356" s="88">
        <v>750</v>
      </c>
      <c r="E356" s="88"/>
      <c r="F356" s="88"/>
      <c r="G356" s="87">
        <f t="shared" ref="G356:G360" si="206">C356+D356+F356</f>
        <v>1750</v>
      </c>
      <c r="H356" s="88">
        <v>17.5</v>
      </c>
      <c r="I356" s="88">
        <v>28</v>
      </c>
      <c r="J356" s="88"/>
      <c r="K356" s="88"/>
      <c r="L356" s="88"/>
      <c r="M356" s="88"/>
      <c r="N356" s="87">
        <f t="shared" si="205"/>
        <v>1704.5</v>
      </c>
      <c r="O356" s="98">
        <v>44132</v>
      </c>
      <c r="P356" s="240" t="s">
        <v>163</v>
      </c>
      <c r="Q356" s="132" t="s">
        <v>169</v>
      </c>
    </row>
    <row r="357" spans="1:17" x14ac:dyDescent="0.2">
      <c r="A357" s="80" t="s">
        <v>79</v>
      </c>
      <c r="B357" s="81" t="s">
        <v>91</v>
      </c>
      <c r="C357" s="88">
        <v>1250</v>
      </c>
      <c r="D357" s="88">
        <v>937.5</v>
      </c>
      <c r="E357" s="88"/>
      <c r="F357" s="88"/>
      <c r="G357" s="87">
        <f t="shared" si="206"/>
        <v>2187.5</v>
      </c>
      <c r="H357" s="88">
        <v>21.875</v>
      </c>
      <c r="I357" s="88">
        <v>106</v>
      </c>
      <c r="J357" s="88"/>
      <c r="K357" s="88"/>
      <c r="L357" s="88"/>
      <c r="M357" s="88"/>
      <c r="N357" s="87">
        <f t="shared" si="205"/>
        <v>2059.625</v>
      </c>
      <c r="O357" s="98">
        <v>44132</v>
      </c>
      <c r="P357" s="240" t="s">
        <v>163</v>
      </c>
      <c r="Q357" s="132" t="s">
        <v>169</v>
      </c>
    </row>
    <row r="358" spans="1:17" x14ac:dyDescent="0.2">
      <c r="A358" s="80" t="s">
        <v>92</v>
      </c>
      <c r="B358" s="81" t="s">
        <v>93</v>
      </c>
      <c r="C358" s="88">
        <v>1250</v>
      </c>
      <c r="D358" s="88">
        <v>937.5</v>
      </c>
      <c r="E358" s="88"/>
      <c r="F358" s="88"/>
      <c r="G358" s="87">
        <f t="shared" si="206"/>
        <v>2187.5</v>
      </c>
      <c r="H358" s="88">
        <v>21.875</v>
      </c>
      <c r="I358" s="88">
        <v>106</v>
      </c>
      <c r="J358" s="88"/>
      <c r="K358" s="88"/>
      <c r="L358" s="88"/>
      <c r="M358" s="88"/>
      <c r="N358" s="87">
        <f t="shared" si="205"/>
        <v>2059.625</v>
      </c>
      <c r="O358" s="98">
        <v>44132</v>
      </c>
      <c r="P358" s="240" t="s">
        <v>163</v>
      </c>
      <c r="Q358" s="132" t="s">
        <v>169</v>
      </c>
    </row>
    <row r="359" spans="1:17" x14ac:dyDescent="0.2">
      <c r="A359" s="80" t="s">
        <v>95</v>
      </c>
      <c r="B359" s="81" t="s">
        <v>94</v>
      </c>
      <c r="C359" s="88">
        <v>800</v>
      </c>
      <c r="D359" s="88">
        <v>600</v>
      </c>
      <c r="E359" s="88"/>
      <c r="F359" s="88"/>
      <c r="G359" s="87">
        <f t="shared" si="206"/>
        <v>1400</v>
      </c>
      <c r="H359" s="88">
        <v>14</v>
      </c>
      <c r="I359" s="88"/>
      <c r="J359" s="88"/>
      <c r="K359" s="88"/>
      <c r="L359" s="88"/>
      <c r="M359" s="88"/>
      <c r="N359" s="87">
        <f t="shared" si="205"/>
        <v>1386</v>
      </c>
      <c r="O359" s="98">
        <v>44132</v>
      </c>
      <c r="P359" s="240" t="s">
        <v>163</v>
      </c>
      <c r="Q359" s="132" t="s">
        <v>169</v>
      </c>
    </row>
    <row r="360" spans="1:17" x14ac:dyDescent="0.2">
      <c r="A360" s="79" t="s">
        <v>102</v>
      </c>
      <c r="B360" s="83" t="s">
        <v>104</v>
      </c>
      <c r="C360" s="88">
        <v>1250</v>
      </c>
      <c r="D360" s="88">
        <v>937.5</v>
      </c>
      <c r="E360" s="88"/>
      <c r="F360" s="88"/>
      <c r="G360" s="87">
        <f t="shared" si="206"/>
        <v>2187.5</v>
      </c>
      <c r="H360" s="88">
        <v>21.875</v>
      </c>
      <c r="I360" s="88">
        <v>106</v>
      </c>
      <c r="J360" s="88"/>
      <c r="K360" s="88"/>
      <c r="L360" s="88"/>
      <c r="M360" s="88">
        <v>300</v>
      </c>
      <c r="N360" s="87">
        <f>C360+D360+E360-H360-I360-J360-K360-L360-M360</f>
        <v>1759.625</v>
      </c>
      <c r="O360" s="98">
        <v>44132</v>
      </c>
      <c r="P360" s="240" t="s">
        <v>163</v>
      </c>
      <c r="Q360" s="132" t="s">
        <v>169</v>
      </c>
    </row>
    <row r="361" spans="1:17" x14ac:dyDescent="0.2">
      <c r="A361" s="80" t="s">
        <v>146</v>
      </c>
      <c r="B361" s="81" t="s">
        <v>151</v>
      </c>
      <c r="C361" s="88">
        <v>1250</v>
      </c>
      <c r="D361" s="88">
        <v>937.5</v>
      </c>
      <c r="E361" s="88"/>
      <c r="F361" s="88"/>
      <c r="G361" s="87">
        <f>C361+D361+E361+F361</f>
        <v>2187.5</v>
      </c>
      <c r="H361" s="88">
        <v>21.875</v>
      </c>
      <c r="I361" s="88">
        <v>106</v>
      </c>
      <c r="J361" s="88"/>
      <c r="K361" s="88"/>
      <c r="L361" s="88"/>
      <c r="M361" s="88"/>
      <c r="N361" s="87">
        <f t="shared" ref="N361:N363" si="207">C361+D361+E361-H361-I361-J361-K361-L361-M361</f>
        <v>2059.625</v>
      </c>
      <c r="O361" s="98">
        <v>44132</v>
      </c>
      <c r="P361" s="240" t="s">
        <v>163</v>
      </c>
      <c r="Q361" s="132" t="s">
        <v>169</v>
      </c>
    </row>
    <row r="362" spans="1:17" x14ac:dyDescent="0.2">
      <c r="A362" s="79" t="s">
        <v>154</v>
      </c>
      <c r="B362" s="81" t="s">
        <v>101</v>
      </c>
      <c r="C362" s="88">
        <v>1250</v>
      </c>
      <c r="D362" s="88">
        <v>796.88</v>
      </c>
      <c r="E362" s="88"/>
      <c r="F362" s="88"/>
      <c r="G362" s="87">
        <f>C362+D362+E362+F362</f>
        <v>2046.88</v>
      </c>
      <c r="H362" s="88">
        <v>20.468800000000002</v>
      </c>
      <c r="I362" s="88">
        <v>81</v>
      </c>
      <c r="J362" s="88"/>
      <c r="K362" s="88"/>
      <c r="L362" s="88"/>
      <c r="M362" s="88"/>
      <c r="N362" s="87">
        <f t="shared" si="207"/>
        <v>1945.4112</v>
      </c>
      <c r="O362" s="98">
        <v>44132</v>
      </c>
      <c r="P362" s="240" t="s">
        <v>163</v>
      </c>
      <c r="Q362" s="132" t="s">
        <v>169</v>
      </c>
    </row>
    <row r="363" spans="1:17" ht="13.5" thickBot="1" x14ac:dyDescent="0.25">
      <c r="A363" s="247" t="s">
        <v>164</v>
      </c>
      <c r="B363" s="248" t="s">
        <v>170</v>
      </c>
      <c r="C363" s="95">
        <v>1250</v>
      </c>
      <c r="D363" s="88">
        <v>937.5</v>
      </c>
      <c r="E363" s="95"/>
      <c r="F363" s="95"/>
      <c r="G363" s="245">
        <f>C363+D363+E363+F363</f>
        <v>2187.5</v>
      </c>
      <c r="H363" s="244">
        <v>21.875</v>
      </c>
      <c r="I363" s="244">
        <v>106</v>
      </c>
      <c r="J363" s="95"/>
      <c r="K363" s="95"/>
      <c r="L363" s="95"/>
      <c r="M363" s="95">
        <v>300</v>
      </c>
      <c r="N363" s="245">
        <f t="shared" si="207"/>
        <v>1759.625</v>
      </c>
      <c r="O363" s="98">
        <v>44132</v>
      </c>
      <c r="P363" s="240" t="s">
        <v>163</v>
      </c>
      <c r="Q363" s="132" t="s">
        <v>169</v>
      </c>
    </row>
    <row r="364" spans="1:17" s="93" customFormat="1" ht="13.5" thickBot="1" x14ac:dyDescent="0.25">
      <c r="A364" s="420" t="s">
        <v>0</v>
      </c>
      <c r="B364" s="422"/>
      <c r="C364" s="150">
        <f t="shared" ref="C364:N364" si="208">SUM(C352:C363)</f>
        <v>16933.400000000001</v>
      </c>
      <c r="D364" s="150">
        <f t="shared" si="208"/>
        <v>13204.839999999998</v>
      </c>
      <c r="E364" s="150">
        <f t="shared" si="208"/>
        <v>640</v>
      </c>
      <c r="F364" s="150">
        <f t="shared" si="208"/>
        <v>624</v>
      </c>
      <c r="G364" s="150">
        <f t="shared" si="208"/>
        <v>30862.240000000002</v>
      </c>
      <c r="H364" s="150">
        <f t="shared" si="208"/>
        <v>255.0188</v>
      </c>
      <c r="I364" s="150">
        <f t="shared" si="208"/>
        <v>2786</v>
      </c>
      <c r="J364" s="150">
        <f t="shared" si="208"/>
        <v>-159.5</v>
      </c>
      <c r="K364" s="150">
        <f t="shared" si="208"/>
        <v>624</v>
      </c>
      <c r="L364" s="150">
        <f t="shared" si="208"/>
        <v>402.22500000000002</v>
      </c>
      <c r="M364" s="150">
        <f t="shared" si="208"/>
        <v>2225</v>
      </c>
      <c r="N364" s="150">
        <f t="shared" si="208"/>
        <v>24645.496199999998</v>
      </c>
      <c r="O364" s="407" t="s">
        <v>0</v>
      </c>
      <c r="P364" s="408"/>
      <c r="Q364" s="133"/>
    </row>
    <row r="365" spans="1:17" s="140" customFormat="1" ht="13.5" thickBot="1" x14ac:dyDescent="0.25">
      <c r="A365" s="401" t="s">
        <v>88</v>
      </c>
      <c r="B365" s="402"/>
      <c r="C365" s="155">
        <f t="shared" ref="C365:N365" si="209">C325+C338+C351+C364</f>
        <v>65483.6</v>
      </c>
      <c r="D365" s="155">
        <f t="shared" si="209"/>
        <v>41421.729999999989</v>
      </c>
      <c r="E365" s="155">
        <f t="shared" si="209"/>
        <v>2560</v>
      </c>
      <c r="F365" s="155">
        <f t="shared" si="209"/>
        <v>2496</v>
      </c>
      <c r="G365" s="155">
        <f t="shared" si="209"/>
        <v>109801.33000000002</v>
      </c>
      <c r="H365" s="155">
        <f t="shared" si="209"/>
        <v>898.87029999999982</v>
      </c>
      <c r="I365" s="155">
        <f t="shared" si="209"/>
        <v>8712</v>
      </c>
      <c r="J365" s="155">
        <f t="shared" si="209"/>
        <v>-638</v>
      </c>
      <c r="K365" s="155">
        <f t="shared" si="209"/>
        <v>2496</v>
      </c>
      <c r="L365" s="155">
        <f t="shared" si="209"/>
        <v>1608.9</v>
      </c>
      <c r="M365" s="155">
        <f t="shared" si="209"/>
        <v>8600</v>
      </c>
      <c r="N365" s="155">
        <f t="shared" si="209"/>
        <v>87787.559699999983</v>
      </c>
      <c r="O365" s="174"/>
      <c r="P365" s="144"/>
      <c r="Q365" s="139"/>
    </row>
    <row r="366" spans="1:17" s="162" customFormat="1" x14ac:dyDescent="0.2">
      <c r="A366" s="159" t="s">
        <v>8</v>
      </c>
      <c r="B366" s="165" t="s">
        <v>96</v>
      </c>
      <c r="C366" s="163">
        <v>13502</v>
      </c>
      <c r="D366" s="163"/>
      <c r="E366" s="163"/>
      <c r="F366" s="163">
        <v>5624</v>
      </c>
      <c r="G366" s="87">
        <f t="shared" ref="G366" si="210">C366+D366+F366</f>
        <v>19126</v>
      </c>
      <c r="H366" s="163"/>
      <c r="I366" s="163">
        <v>2355</v>
      </c>
      <c r="J366" s="163">
        <v>-853</v>
      </c>
      <c r="K366" s="160"/>
      <c r="L366" s="160"/>
      <c r="M366" s="160"/>
      <c r="N366" s="87">
        <f t="shared" ref="N366:N368" si="211">C366+D366+E366-H366-I366-J366-K366-L366-M366</f>
        <v>12000</v>
      </c>
      <c r="O366" s="169"/>
      <c r="P366" s="170"/>
      <c r="Q366" s="161"/>
    </row>
    <row r="367" spans="1:17" s="162" customFormat="1" x14ac:dyDescent="0.2">
      <c r="A367" s="159" t="s">
        <v>27</v>
      </c>
      <c r="B367" s="165" t="s">
        <v>97</v>
      </c>
      <c r="C367" s="163">
        <v>13717</v>
      </c>
      <c r="D367" s="163"/>
      <c r="E367" s="163"/>
      <c r="F367" s="163">
        <v>5409</v>
      </c>
      <c r="G367" s="87">
        <f t="shared" ref="G367:G368" si="212">C367+D367+F367</f>
        <v>19126</v>
      </c>
      <c r="H367" s="163"/>
      <c r="I367" s="163">
        <v>2355</v>
      </c>
      <c r="J367" s="163">
        <v>-638</v>
      </c>
      <c r="K367" s="163"/>
      <c r="L367" s="163"/>
      <c r="M367" s="163"/>
      <c r="N367" s="87">
        <f t="shared" si="211"/>
        <v>12000</v>
      </c>
      <c r="O367" s="169"/>
      <c r="P367" s="170"/>
      <c r="Q367" s="161"/>
    </row>
    <row r="368" spans="1:17" s="162" customFormat="1" ht="13.5" thickBot="1" x14ac:dyDescent="0.25">
      <c r="A368" s="159" t="s">
        <v>6</v>
      </c>
      <c r="B368" s="165" t="s">
        <v>98</v>
      </c>
      <c r="C368" s="164">
        <v>12643.72</v>
      </c>
      <c r="D368" s="164"/>
      <c r="E368" s="164"/>
      <c r="F368" s="164">
        <v>2812</v>
      </c>
      <c r="G368" s="87">
        <f t="shared" si="212"/>
        <v>15455.72</v>
      </c>
      <c r="H368" s="164">
        <v>148.72</v>
      </c>
      <c r="I368" s="164">
        <v>1536</v>
      </c>
      <c r="J368" s="164">
        <v>-853</v>
      </c>
      <c r="K368" s="164">
        <v>2812</v>
      </c>
      <c r="L368" s="164"/>
      <c r="M368" s="164"/>
      <c r="N368" s="87">
        <f t="shared" si="211"/>
        <v>9000</v>
      </c>
      <c r="O368" s="169"/>
      <c r="P368" s="170"/>
      <c r="Q368" s="161"/>
    </row>
    <row r="369" spans="1:17" s="131" customFormat="1" ht="13.5" thickBot="1" x14ac:dyDescent="0.25">
      <c r="A369" s="415" t="s">
        <v>89</v>
      </c>
      <c r="B369" s="416"/>
      <c r="C369" s="158">
        <f>SUM(C366:C368)</f>
        <v>39862.720000000001</v>
      </c>
      <c r="D369" s="158">
        <f t="shared" ref="D369" si="213">SUM(D366:D368)</f>
        <v>0</v>
      </c>
      <c r="E369" s="158">
        <f t="shared" ref="E369" si="214">SUM(E366:E368)</f>
        <v>0</v>
      </c>
      <c r="F369" s="158">
        <f t="shared" ref="F369" si="215">SUM(F366:F368)</f>
        <v>13845</v>
      </c>
      <c r="G369" s="158">
        <f t="shared" ref="G369" si="216">SUM(G366:G368)</f>
        <v>53707.72</v>
      </c>
      <c r="H369" s="158">
        <f t="shared" ref="H369" si="217">SUM(H366:H368)</f>
        <v>148.72</v>
      </c>
      <c r="I369" s="158">
        <f t="shared" ref="I369" si="218">SUM(I366:I368)</f>
        <v>6246</v>
      </c>
      <c r="J369" s="173">
        <f t="shared" ref="J369" si="219">SUM(J366:J368)</f>
        <v>-2344</v>
      </c>
      <c r="K369" s="158">
        <f t="shared" ref="K369" si="220">SUM(K366:K368)</f>
        <v>2812</v>
      </c>
      <c r="L369" s="158">
        <f t="shared" ref="L369" si="221">SUM(L366:L368)</f>
        <v>0</v>
      </c>
      <c r="M369" s="158">
        <f t="shared" ref="M369" si="222">SUM(M366:M368)</f>
        <v>0</v>
      </c>
      <c r="N369" s="158">
        <f t="shared" ref="N369" si="223">SUM(N366:N368)</f>
        <v>33000</v>
      </c>
      <c r="O369" s="175"/>
      <c r="P369" s="130"/>
      <c r="Q369" s="134"/>
    </row>
    <row r="370" spans="1:17" s="131" customFormat="1" ht="13.5" thickBot="1" x14ac:dyDescent="0.25">
      <c r="A370" s="417" t="s">
        <v>90</v>
      </c>
      <c r="B370" s="417"/>
      <c r="C370" s="141"/>
      <c r="D370" s="141"/>
      <c r="E370" s="141"/>
      <c r="F370" s="141"/>
      <c r="G370" s="141"/>
      <c r="H370" s="147">
        <f>(H365+H369)*2</f>
        <v>2095.1805999999997</v>
      </c>
      <c r="I370" s="250">
        <f>I365+I369</f>
        <v>14958</v>
      </c>
      <c r="J370" s="141"/>
      <c r="K370" s="141"/>
      <c r="L370" s="141"/>
      <c r="M370" s="141"/>
      <c r="N370" s="141">
        <f>9000+11000+12000</f>
        <v>32000</v>
      </c>
      <c r="O370" s="130"/>
      <c r="P370" s="130"/>
      <c r="Q370" s="143"/>
    </row>
    <row r="371" spans="1:17" ht="13.5" thickBot="1" x14ac:dyDescent="0.25"/>
    <row r="372" spans="1:17" s="78" customFormat="1" ht="13.5" thickBot="1" x14ac:dyDescent="0.25">
      <c r="A372" s="398" t="s">
        <v>181</v>
      </c>
      <c r="B372" s="399"/>
      <c r="C372" s="399"/>
      <c r="D372" s="399"/>
      <c r="E372" s="399"/>
      <c r="F372" s="399"/>
      <c r="G372" s="399"/>
      <c r="H372" s="399"/>
      <c r="I372" s="399"/>
      <c r="J372" s="399"/>
      <c r="K372" s="399"/>
      <c r="L372" s="399"/>
      <c r="M372" s="399"/>
      <c r="N372" s="399"/>
      <c r="O372" s="399"/>
      <c r="P372" s="399"/>
      <c r="Q372" s="400"/>
    </row>
    <row r="373" spans="1:17" s="78" customFormat="1" ht="13.5" thickBot="1" x14ac:dyDescent="0.25">
      <c r="A373" s="84" t="s">
        <v>64</v>
      </c>
      <c r="B373" s="85" t="s">
        <v>1</v>
      </c>
      <c r="C373" s="86" t="s">
        <v>56</v>
      </c>
      <c r="D373" s="86" t="s">
        <v>57</v>
      </c>
      <c r="E373" s="86" t="s">
        <v>67</v>
      </c>
      <c r="F373" s="86" t="s">
        <v>62</v>
      </c>
      <c r="G373" s="86" t="s">
        <v>74</v>
      </c>
      <c r="H373" s="86" t="s">
        <v>59</v>
      </c>
      <c r="I373" s="86" t="s">
        <v>60</v>
      </c>
      <c r="J373" s="86" t="s">
        <v>66</v>
      </c>
      <c r="K373" s="86" t="s">
        <v>62</v>
      </c>
      <c r="L373" s="86" t="s">
        <v>58</v>
      </c>
      <c r="M373" s="86" t="s">
        <v>61</v>
      </c>
      <c r="N373" s="86" t="s">
        <v>2</v>
      </c>
      <c r="O373" s="91" t="s">
        <v>65</v>
      </c>
      <c r="P373" s="92" t="s">
        <v>68</v>
      </c>
      <c r="Q373" s="135" t="s">
        <v>87</v>
      </c>
    </row>
    <row r="374" spans="1:17" x14ac:dyDescent="0.2">
      <c r="A374" s="82" t="s">
        <v>25</v>
      </c>
      <c r="B374" s="83" t="s">
        <v>63</v>
      </c>
      <c r="C374" s="88">
        <v>3966.4</v>
      </c>
      <c r="D374" s="88">
        <v>4722.5</v>
      </c>
      <c r="E374" s="88">
        <v>490</v>
      </c>
      <c r="F374" s="88">
        <v>624</v>
      </c>
      <c r="G374" s="87">
        <f t="shared" ref="G374" si="224">C374+D374+F374</f>
        <v>9312.9</v>
      </c>
      <c r="H374" s="88">
        <v>37.18</v>
      </c>
      <c r="I374" s="88">
        <v>2012</v>
      </c>
      <c r="J374" s="88">
        <v>-159.5</v>
      </c>
      <c r="K374" s="88">
        <v>624</v>
      </c>
      <c r="L374" s="88">
        <v>200.01</v>
      </c>
      <c r="M374" s="88">
        <f>1125+200</f>
        <v>1325</v>
      </c>
      <c r="N374" s="87">
        <f t="shared" ref="N374:N381" si="225">C374+D374+E374-H374-I374-J374-K374-L374-M374</f>
        <v>5140.2099999999991</v>
      </c>
      <c r="O374" s="98">
        <v>44139</v>
      </c>
      <c r="P374" s="120" t="s">
        <v>175</v>
      </c>
      <c r="Q374" s="132" t="s">
        <v>181</v>
      </c>
    </row>
    <row r="375" spans="1:17" x14ac:dyDescent="0.2">
      <c r="A375" s="80" t="s">
        <v>26</v>
      </c>
      <c r="B375" s="81" t="s">
        <v>70</v>
      </c>
      <c r="C375" s="88">
        <v>1023.5</v>
      </c>
      <c r="D375" s="88">
        <v>0</v>
      </c>
      <c r="E375" s="88">
        <v>50</v>
      </c>
      <c r="F375" s="88"/>
      <c r="G375" s="87">
        <f>C375+D375+F375</f>
        <v>1023.5</v>
      </c>
      <c r="H375" s="88">
        <v>10.234999999999999</v>
      </c>
      <c r="I375" s="88"/>
      <c r="J375" s="88"/>
      <c r="K375" s="88"/>
      <c r="L375" s="88">
        <v>58.14</v>
      </c>
      <c r="M375" s="88"/>
      <c r="N375" s="87">
        <f t="shared" si="225"/>
        <v>1005.1250000000001</v>
      </c>
      <c r="O375" s="98">
        <v>44139</v>
      </c>
      <c r="P375" s="120" t="s">
        <v>175</v>
      </c>
      <c r="Q375" s="132" t="s">
        <v>181</v>
      </c>
    </row>
    <row r="376" spans="1:17" x14ac:dyDescent="0.2">
      <c r="A376" s="80" t="s">
        <v>3</v>
      </c>
      <c r="B376" s="81" t="s">
        <v>71</v>
      </c>
      <c r="C376" s="88">
        <v>1343.5</v>
      </c>
      <c r="D376" s="88">
        <v>856.48</v>
      </c>
      <c r="E376" s="88">
        <v>50</v>
      </c>
      <c r="F376" s="88"/>
      <c r="G376" s="87">
        <f>C376+D376+F376+E376</f>
        <v>2249.98</v>
      </c>
      <c r="H376" s="88">
        <v>22</v>
      </c>
      <c r="I376" s="88">
        <v>108</v>
      </c>
      <c r="J376" s="88"/>
      <c r="K376" s="88"/>
      <c r="L376" s="88">
        <v>76.295000000000002</v>
      </c>
      <c r="M376" s="88"/>
      <c r="N376" s="87">
        <f t="shared" si="225"/>
        <v>2043.6849999999999</v>
      </c>
      <c r="O376" s="98">
        <v>44139</v>
      </c>
      <c r="P376" s="120" t="s">
        <v>175</v>
      </c>
      <c r="Q376" s="132" t="s">
        <v>181</v>
      </c>
    </row>
    <row r="377" spans="1:17" x14ac:dyDescent="0.2">
      <c r="A377" s="80" t="s">
        <v>31</v>
      </c>
      <c r="B377" s="81" t="s">
        <v>72</v>
      </c>
      <c r="C377" s="88">
        <v>1300</v>
      </c>
      <c r="D377" s="88">
        <v>828.75</v>
      </c>
      <c r="E377" s="88">
        <v>50</v>
      </c>
      <c r="F377" s="88"/>
      <c r="G377" s="87">
        <f>C377+D377+F377+E377</f>
        <v>2178.75</v>
      </c>
      <c r="H377" s="88">
        <v>21.29</v>
      </c>
      <c r="I377" s="88">
        <v>96</v>
      </c>
      <c r="J377" s="88"/>
      <c r="K377" s="88"/>
      <c r="L377" s="88">
        <v>67.78</v>
      </c>
      <c r="M377" s="88"/>
      <c r="N377" s="87">
        <f t="shared" si="225"/>
        <v>1993.68</v>
      </c>
      <c r="O377" s="98">
        <v>44139</v>
      </c>
      <c r="P377" s="120" t="s">
        <v>175</v>
      </c>
      <c r="Q377" s="132" t="s">
        <v>181</v>
      </c>
    </row>
    <row r="378" spans="1:17" x14ac:dyDescent="0.2">
      <c r="A378" s="80" t="s">
        <v>69</v>
      </c>
      <c r="B378" s="81" t="s">
        <v>73</v>
      </c>
      <c r="C378" s="88">
        <v>1000</v>
      </c>
      <c r="D378" s="88">
        <v>637.5</v>
      </c>
      <c r="E378" s="88"/>
      <c r="F378" s="88"/>
      <c r="G378" s="87">
        <f t="shared" ref="G378:G382" si="226">C378+D378+F378</f>
        <v>1637.5</v>
      </c>
      <c r="H378" s="88">
        <v>16.375</v>
      </c>
      <c r="I378" s="88">
        <v>7</v>
      </c>
      <c r="J378" s="88"/>
      <c r="K378" s="88"/>
      <c r="L378" s="88"/>
      <c r="M378" s="88"/>
      <c r="N378" s="87">
        <f t="shared" si="225"/>
        <v>1614.125</v>
      </c>
      <c r="O378" s="98">
        <v>44139</v>
      </c>
      <c r="P378" s="120" t="s">
        <v>175</v>
      </c>
      <c r="Q378" s="132" t="s">
        <v>181</v>
      </c>
    </row>
    <row r="379" spans="1:17" x14ac:dyDescent="0.2">
      <c r="A379" s="80" t="s">
        <v>79</v>
      </c>
      <c r="B379" s="81" t="s">
        <v>91</v>
      </c>
      <c r="C379" s="88">
        <v>1250</v>
      </c>
      <c r="D379" s="88">
        <v>1148.44</v>
      </c>
      <c r="E379" s="88"/>
      <c r="F379" s="88"/>
      <c r="G379" s="87">
        <f t="shared" si="226"/>
        <v>2398.44</v>
      </c>
      <c r="H379" s="88">
        <v>23.984400000000001</v>
      </c>
      <c r="I379" s="88">
        <v>143</v>
      </c>
      <c r="J379" s="88"/>
      <c r="K379" s="88"/>
      <c r="L379" s="88"/>
      <c r="M379" s="88"/>
      <c r="N379" s="87">
        <f t="shared" si="225"/>
        <v>2231.4556000000002</v>
      </c>
      <c r="O379" s="98">
        <v>44139</v>
      </c>
      <c r="P379" s="120" t="s">
        <v>175</v>
      </c>
      <c r="Q379" s="132" t="s">
        <v>181</v>
      </c>
    </row>
    <row r="380" spans="1:17" x14ac:dyDescent="0.2">
      <c r="A380" s="80" t="s">
        <v>92</v>
      </c>
      <c r="B380" s="81" t="s">
        <v>93</v>
      </c>
      <c r="C380" s="88">
        <v>1250</v>
      </c>
      <c r="D380" s="88">
        <v>867.19</v>
      </c>
      <c r="E380" s="88"/>
      <c r="F380" s="88"/>
      <c r="G380" s="87">
        <f t="shared" si="226"/>
        <v>2117.19</v>
      </c>
      <c r="H380" s="88">
        <v>21.171900000000001</v>
      </c>
      <c r="I380" s="88">
        <v>94</v>
      </c>
      <c r="J380" s="88"/>
      <c r="K380" s="88"/>
      <c r="L380" s="88"/>
      <c r="M380" s="88"/>
      <c r="N380" s="87">
        <f t="shared" si="225"/>
        <v>2002.0181000000002</v>
      </c>
      <c r="O380" s="98">
        <v>44139</v>
      </c>
      <c r="P380" s="120" t="s">
        <v>175</v>
      </c>
      <c r="Q380" s="132" t="s">
        <v>181</v>
      </c>
    </row>
    <row r="381" spans="1:17" x14ac:dyDescent="0.2">
      <c r="A381" s="80" t="s">
        <v>95</v>
      </c>
      <c r="B381" s="81" t="s">
        <v>94</v>
      </c>
      <c r="C381" s="88">
        <v>800</v>
      </c>
      <c r="D381" s="88">
        <v>510</v>
      </c>
      <c r="E381" s="88"/>
      <c r="F381" s="88"/>
      <c r="G381" s="87">
        <f t="shared" si="226"/>
        <v>1310</v>
      </c>
      <c r="H381" s="88">
        <v>13.1</v>
      </c>
      <c r="I381" s="88"/>
      <c r="J381" s="88"/>
      <c r="K381" s="88"/>
      <c r="L381" s="88"/>
      <c r="M381" s="88"/>
      <c r="N381" s="87">
        <f t="shared" si="225"/>
        <v>1296.9000000000001</v>
      </c>
      <c r="O381" s="98">
        <v>44139</v>
      </c>
      <c r="P381" s="120" t="s">
        <v>175</v>
      </c>
      <c r="Q381" s="132" t="s">
        <v>181</v>
      </c>
    </row>
    <row r="382" spans="1:17" x14ac:dyDescent="0.2">
      <c r="A382" s="176" t="s">
        <v>102</v>
      </c>
      <c r="B382" s="81" t="s">
        <v>104</v>
      </c>
      <c r="C382" s="88">
        <v>1250</v>
      </c>
      <c r="D382" s="88">
        <v>1078.1300000000001</v>
      </c>
      <c r="E382" s="88"/>
      <c r="F382" s="88"/>
      <c r="G382" s="87">
        <f t="shared" si="226"/>
        <v>2328.13</v>
      </c>
      <c r="H382" s="88">
        <v>23.281300000000002</v>
      </c>
      <c r="I382" s="88">
        <v>131</v>
      </c>
      <c r="J382" s="88"/>
      <c r="K382" s="88"/>
      <c r="L382" s="88"/>
      <c r="M382" s="88">
        <v>400</v>
      </c>
      <c r="N382" s="87">
        <f>C382+D382+E382-H382-I382-J382-K382-L382-M382</f>
        <v>1773.8487</v>
      </c>
      <c r="O382" s="98">
        <v>44139</v>
      </c>
      <c r="P382" s="120" t="s">
        <v>175</v>
      </c>
      <c r="Q382" s="132" t="s">
        <v>181</v>
      </c>
    </row>
    <row r="383" spans="1:17" x14ac:dyDescent="0.2">
      <c r="A383" s="251" t="s">
        <v>146</v>
      </c>
      <c r="B383" s="83" t="s">
        <v>151</v>
      </c>
      <c r="C383" s="88">
        <v>1250</v>
      </c>
      <c r="D383" s="88">
        <v>867.19</v>
      </c>
      <c r="E383" s="88"/>
      <c r="F383" s="88"/>
      <c r="G383" s="87">
        <f>C383+D383+E383+F383</f>
        <v>2117.19</v>
      </c>
      <c r="H383" s="88">
        <v>21.171900000000001</v>
      </c>
      <c r="I383" s="88">
        <v>94</v>
      </c>
      <c r="J383" s="88"/>
      <c r="K383" s="88"/>
      <c r="L383" s="88"/>
      <c r="M383" s="88"/>
      <c r="N383" s="87">
        <f t="shared" ref="N383:N385" si="227">C383+D383+E383-H383-I383-J383-K383-L383-M383</f>
        <v>2002.0181000000002</v>
      </c>
      <c r="O383" s="98">
        <v>44139</v>
      </c>
      <c r="P383" s="120" t="s">
        <v>175</v>
      </c>
      <c r="Q383" s="132" t="s">
        <v>181</v>
      </c>
    </row>
    <row r="384" spans="1:17" x14ac:dyDescent="0.2">
      <c r="A384" s="252" t="s">
        <v>154</v>
      </c>
      <c r="B384" s="83" t="s">
        <v>101</v>
      </c>
      <c r="C384" s="88">
        <v>1125</v>
      </c>
      <c r="D384" s="88">
        <v>726.56</v>
      </c>
      <c r="E384" s="88"/>
      <c r="F384" s="88"/>
      <c r="G384" s="87">
        <f>C384+D384+E384+F384</f>
        <v>1851.56</v>
      </c>
      <c r="H384" s="88">
        <v>18.515599999999999</v>
      </c>
      <c r="I384" s="88">
        <v>45</v>
      </c>
      <c r="J384" s="88"/>
      <c r="K384" s="88"/>
      <c r="L384" s="88"/>
      <c r="M384" s="88"/>
      <c r="N384" s="87">
        <f t="shared" si="227"/>
        <v>1788.0444</v>
      </c>
      <c r="O384" s="98">
        <v>44139</v>
      </c>
      <c r="P384" s="120" t="s">
        <v>175</v>
      </c>
      <c r="Q384" s="132" t="s">
        <v>181</v>
      </c>
    </row>
    <row r="385" spans="1:17" ht="13.5" thickBot="1" x14ac:dyDescent="0.25">
      <c r="A385" s="79" t="s">
        <v>164</v>
      </c>
      <c r="B385" s="83" t="s">
        <v>170</v>
      </c>
      <c r="C385" s="95">
        <v>1250</v>
      </c>
      <c r="D385" s="88">
        <v>867.19</v>
      </c>
      <c r="E385" s="95"/>
      <c r="F385" s="95"/>
      <c r="G385" s="245">
        <f>C385+D385+E385+F385</f>
        <v>2117.19</v>
      </c>
      <c r="H385" s="244">
        <v>21.171900000000001</v>
      </c>
      <c r="I385" s="244">
        <v>94</v>
      </c>
      <c r="J385" s="95"/>
      <c r="K385" s="95"/>
      <c r="L385" s="95"/>
      <c r="M385" s="95"/>
      <c r="N385" s="245">
        <f t="shared" si="227"/>
        <v>2002.0181000000002</v>
      </c>
      <c r="O385" s="98">
        <v>44139</v>
      </c>
      <c r="P385" s="120" t="s">
        <v>175</v>
      </c>
      <c r="Q385" s="132" t="s">
        <v>181</v>
      </c>
    </row>
    <row r="386" spans="1:17" s="93" customFormat="1" ht="13.5" thickBot="1" x14ac:dyDescent="0.25">
      <c r="A386" s="403" t="s">
        <v>0</v>
      </c>
      <c r="B386" s="404"/>
      <c r="C386" s="114">
        <f t="shared" ref="C386:N386" si="228">SUM(C374:C385)</f>
        <v>16808.400000000001</v>
      </c>
      <c r="D386" s="114">
        <f t="shared" si="228"/>
        <v>13109.930000000002</v>
      </c>
      <c r="E386" s="114">
        <f t="shared" si="228"/>
        <v>640</v>
      </c>
      <c r="F386" s="114">
        <f t="shared" si="228"/>
        <v>624</v>
      </c>
      <c r="G386" s="114">
        <f t="shared" si="228"/>
        <v>30642.329999999994</v>
      </c>
      <c r="H386" s="114">
        <f t="shared" si="228"/>
        <v>249.47699999999998</v>
      </c>
      <c r="I386" s="114">
        <f t="shared" si="228"/>
        <v>2824</v>
      </c>
      <c r="J386" s="114">
        <f t="shared" si="228"/>
        <v>-159.5</v>
      </c>
      <c r="K386" s="114">
        <f t="shared" si="228"/>
        <v>624</v>
      </c>
      <c r="L386" s="114">
        <f t="shared" si="228"/>
        <v>402.22500000000002</v>
      </c>
      <c r="M386" s="114">
        <f t="shared" si="228"/>
        <v>1725</v>
      </c>
      <c r="N386" s="114">
        <f t="shared" si="228"/>
        <v>24893.128000000001</v>
      </c>
      <c r="O386" s="405" t="s">
        <v>0</v>
      </c>
      <c r="P386" s="406"/>
      <c r="Q386" s="132"/>
    </row>
    <row r="387" spans="1:17" x14ac:dyDescent="0.2">
      <c r="A387" s="82" t="s">
        <v>25</v>
      </c>
      <c r="B387" s="83" t="s">
        <v>63</v>
      </c>
      <c r="C387" s="88">
        <v>3966.4</v>
      </c>
      <c r="D387" s="88">
        <v>5057.16</v>
      </c>
      <c r="E387" s="88">
        <v>490</v>
      </c>
      <c r="F387" s="88">
        <v>624</v>
      </c>
      <c r="G387" s="87">
        <f t="shared" ref="G387" si="229">C387+D387+F387</f>
        <v>9647.56</v>
      </c>
      <c r="H387" s="88">
        <v>37.18</v>
      </c>
      <c r="I387" s="88">
        <v>2133</v>
      </c>
      <c r="J387" s="88">
        <v>-159.5</v>
      </c>
      <c r="K387" s="88">
        <v>624</v>
      </c>
      <c r="L387" s="88">
        <v>200.01</v>
      </c>
      <c r="M387" s="88">
        <f>1125</f>
        <v>1125</v>
      </c>
      <c r="N387" s="87">
        <f t="shared" ref="N387:N394" si="230">C387+D387+E387-H387-I387-J387-K387-L387-M387</f>
        <v>5553.869999999999</v>
      </c>
      <c r="O387" s="98">
        <v>44146</v>
      </c>
      <c r="P387" s="151" t="s">
        <v>176</v>
      </c>
      <c r="Q387" s="132" t="s">
        <v>181</v>
      </c>
    </row>
    <row r="388" spans="1:17" x14ac:dyDescent="0.2">
      <c r="A388" s="80" t="s">
        <v>26</v>
      </c>
      <c r="B388" s="81" t="s">
        <v>70</v>
      </c>
      <c r="C388" s="88">
        <v>1023.5</v>
      </c>
      <c r="D388" s="88"/>
      <c r="E388" s="88">
        <v>50</v>
      </c>
      <c r="F388" s="88"/>
      <c r="G388" s="87">
        <f>C388+D388+F388</f>
        <v>1023.5</v>
      </c>
      <c r="H388" s="88">
        <v>10.234999999999999</v>
      </c>
      <c r="I388" s="88"/>
      <c r="J388" s="88"/>
      <c r="K388" s="88"/>
      <c r="L388" s="88">
        <v>58.14</v>
      </c>
      <c r="M388" s="88"/>
      <c r="N388" s="87">
        <f t="shared" si="230"/>
        <v>1005.1250000000001</v>
      </c>
      <c r="O388" s="98">
        <v>44146</v>
      </c>
      <c r="P388" s="151" t="s">
        <v>176</v>
      </c>
      <c r="Q388" s="132" t="s">
        <v>181</v>
      </c>
    </row>
    <row r="389" spans="1:17" x14ac:dyDescent="0.2">
      <c r="A389" s="80" t="s">
        <v>3</v>
      </c>
      <c r="B389" s="81" t="s">
        <v>71</v>
      </c>
      <c r="C389" s="88">
        <v>1343.5</v>
      </c>
      <c r="D389" s="88">
        <v>0</v>
      </c>
      <c r="E389" s="88">
        <v>50</v>
      </c>
      <c r="F389" s="88"/>
      <c r="G389" s="87">
        <f>C389+D389+F389+E389</f>
        <v>1393.5</v>
      </c>
      <c r="H389" s="88">
        <v>13.44</v>
      </c>
      <c r="I389" s="88"/>
      <c r="J389" s="88"/>
      <c r="K389" s="88"/>
      <c r="L389" s="88">
        <v>76.295000000000002</v>
      </c>
      <c r="M389" s="88"/>
      <c r="N389" s="87">
        <f t="shared" si="230"/>
        <v>1303.7649999999999</v>
      </c>
      <c r="O389" s="98">
        <v>44146</v>
      </c>
      <c r="P389" s="151" t="s">
        <v>176</v>
      </c>
      <c r="Q389" s="132" t="s">
        <v>181</v>
      </c>
    </row>
    <row r="390" spans="1:17" x14ac:dyDescent="0.2">
      <c r="A390" s="80" t="s">
        <v>31</v>
      </c>
      <c r="B390" s="81" t="s">
        <v>72</v>
      </c>
      <c r="C390" s="88">
        <v>1300</v>
      </c>
      <c r="D390" s="88">
        <v>0</v>
      </c>
      <c r="E390" s="88">
        <v>50</v>
      </c>
      <c r="F390" s="88"/>
      <c r="G390" s="87">
        <f>C390+D390+F390+E390</f>
        <v>1350</v>
      </c>
      <c r="H390" s="88">
        <v>13</v>
      </c>
      <c r="I390" s="88"/>
      <c r="J390" s="88"/>
      <c r="K390" s="88"/>
      <c r="L390" s="88">
        <v>67.78</v>
      </c>
      <c r="M390" s="88"/>
      <c r="N390" s="87">
        <f t="shared" si="230"/>
        <v>1269.22</v>
      </c>
      <c r="O390" s="98">
        <v>44146</v>
      </c>
      <c r="P390" s="151" t="s">
        <v>176</v>
      </c>
      <c r="Q390" s="132" t="s">
        <v>181</v>
      </c>
    </row>
    <row r="391" spans="1:17" x14ac:dyDescent="0.2">
      <c r="A391" s="80" t="s">
        <v>69</v>
      </c>
      <c r="B391" s="81" t="s">
        <v>73</v>
      </c>
      <c r="C391" s="88">
        <v>1000</v>
      </c>
      <c r="D391" s="88">
        <v>0</v>
      </c>
      <c r="E391" s="88"/>
      <c r="F391" s="88"/>
      <c r="G391" s="87">
        <f t="shared" ref="G391:G395" si="231">C391+D391+F391</f>
        <v>1000</v>
      </c>
      <c r="H391" s="88">
        <v>10</v>
      </c>
      <c r="I391" s="88"/>
      <c r="J391" s="88"/>
      <c r="K391" s="88"/>
      <c r="L391" s="88"/>
      <c r="M391" s="88"/>
      <c r="N391" s="87">
        <f t="shared" si="230"/>
        <v>990</v>
      </c>
      <c r="O391" s="98">
        <v>44146</v>
      </c>
      <c r="P391" s="151" t="s">
        <v>176</v>
      </c>
      <c r="Q391" s="132" t="s">
        <v>181</v>
      </c>
    </row>
    <row r="392" spans="1:17" x14ac:dyDescent="0.2">
      <c r="A392" s="80" t="s">
        <v>79</v>
      </c>
      <c r="B392" s="81" t="s">
        <v>91</v>
      </c>
      <c r="C392" s="88">
        <v>1250</v>
      </c>
      <c r="D392" s="88">
        <v>492.19</v>
      </c>
      <c r="E392" s="88"/>
      <c r="F392" s="88"/>
      <c r="G392" s="87">
        <f t="shared" si="231"/>
        <v>1742.19</v>
      </c>
      <c r="H392" s="88">
        <v>17.421900000000001</v>
      </c>
      <c r="I392" s="88">
        <v>26</v>
      </c>
      <c r="J392" s="88"/>
      <c r="K392" s="88"/>
      <c r="L392" s="88"/>
      <c r="M392" s="88"/>
      <c r="N392" s="87">
        <f t="shared" si="230"/>
        <v>1698.7681</v>
      </c>
      <c r="O392" s="98">
        <v>44146</v>
      </c>
      <c r="P392" s="151" t="s">
        <v>176</v>
      </c>
      <c r="Q392" s="132" t="s">
        <v>181</v>
      </c>
    </row>
    <row r="393" spans="1:17" x14ac:dyDescent="0.2">
      <c r="A393" s="80" t="s">
        <v>92</v>
      </c>
      <c r="B393" s="81" t="s">
        <v>93</v>
      </c>
      <c r="C393" s="88">
        <v>1250</v>
      </c>
      <c r="D393" s="88">
        <v>492.19</v>
      </c>
      <c r="E393" s="88"/>
      <c r="F393" s="88"/>
      <c r="G393" s="87">
        <f t="shared" si="231"/>
        <v>1742.19</v>
      </c>
      <c r="H393" s="88">
        <v>17.421900000000001</v>
      </c>
      <c r="I393" s="88">
        <v>26</v>
      </c>
      <c r="J393" s="88"/>
      <c r="K393" s="88"/>
      <c r="L393" s="88"/>
      <c r="M393" s="88"/>
      <c r="N393" s="87">
        <f t="shared" si="230"/>
        <v>1698.7681</v>
      </c>
      <c r="O393" s="98">
        <v>44146</v>
      </c>
      <c r="P393" s="151" t="s">
        <v>176</v>
      </c>
      <c r="Q393" s="132" t="s">
        <v>181</v>
      </c>
    </row>
    <row r="394" spans="1:17" x14ac:dyDescent="0.2">
      <c r="A394" s="80" t="s">
        <v>95</v>
      </c>
      <c r="B394" s="81" t="s">
        <v>94</v>
      </c>
      <c r="C394" s="88">
        <v>800</v>
      </c>
      <c r="D394" s="88"/>
      <c r="E394" s="88"/>
      <c r="F394" s="88"/>
      <c r="G394" s="87">
        <f t="shared" si="231"/>
        <v>800</v>
      </c>
      <c r="H394" s="88">
        <v>8</v>
      </c>
      <c r="I394" s="88"/>
      <c r="J394" s="88"/>
      <c r="K394" s="88"/>
      <c r="L394" s="88"/>
      <c r="M394" s="88"/>
      <c r="N394" s="87">
        <f t="shared" si="230"/>
        <v>792</v>
      </c>
      <c r="O394" s="98">
        <v>44146</v>
      </c>
      <c r="P394" s="151" t="s">
        <v>176</v>
      </c>
      <c r="Q394" s="132" t="s">
        <v>181</v>
      </c>
    </row>
    <row r="395" spans="1:17" x14ac:dyDescent="0.2">
      <c r="A395" s="176" t="s">
        <v>102</v>
      </c>
      <c r="B395" s="81" t="s">
        <v>104</v>
      </c>
      <c r="C395" s="88">
        <v>1250</v>
      </c>
      <c r="D395" s="88">
        <v>1242.19</v>
      </c>
      <c r="E395" s="88"/>
      <c r="F395" s="88"/>
      <c r="G395" s="87">
        <f t="shared" si="231"/>
        <v>2492.19</v>
      </c>
      <c r="H395" s="88">
        <v>24.921900000000001</v>
      </c>
      <c r="I395" s="88">
        <v>161</v>
      </c>
      <c r="J395" s="88"/>
      <c r="K395" s="88"/>
      <c r="L395" s="88"/>
      <c r="M395" s="88">
        <v>0</v>
      </c>
      <c r="N395" s="87">
        <f>C395+D395+E395-H395-I395-J395-K395-L395-M395</f>
        <v>2306.2681000000002</v>
      </c>
      <c r="O395" s="98">
        <v>44146</v>
      </c>
      <c r="P395" s="151" t="s">
        <v>176</v>
      </c>
      <c r="Q395" s="132" t="s">
        <v>181</v>
      </c>
    </row>
    <row r="396" spans="1:17" x14ac:dyDescent="0.2">
      <c r="A396" s="251" t="s">
        <v>146</v>
      </c>
      <c r="B396" s="83" t="s">
        <v>151</v>
      </c>
      <c r="C396" s="88">
        <v>1250</v>
      </c>
      <c r="D396" s="88">
        <v>890.63</v>
      </c>
      <c r="E396" s="88"/>
      <c r="F396" s="88"/>
      <c r="G396" s="87">
        <f>C396+D396+E396+F396</f>
        <v>2140.63</v>
      </c>
      <c r="H396" s="88">
        <v>21.406300000000002</v>
      </c>
      <c r="I396" s="88">
        <v>98</v>
      </c>
      <c r="J396" s="88"/>
      <c r="K396" s="88"/>
      <c r="L396" s="88"/>
      <c r="M396" s="88"/>
      <c r="N396" s="87">
        <f t="shared" ref="N396:N398" si="232">C396+D396+E396-H396-I396-J396-K396-L396-M396</f>
        <v>2021.2237</v>
      </c>
      <c r="O396" s="98">
        <v>44146</v>
      </c>
      <c r="P396" s="151" t="s">
        <v>176</v>
      </c>
      <c r="Q396" s="132" t="s">
        <v>181</v>
      </c>
    </row>
    <row r="397" spans="1:17" x14ac:dyDescent="0.2">
      <c r="A397" s="252" t="s">
        <v>154</v>
      </c>
      <c r="B397" s="83" t="s">
        <v>101</v>
      </c>
      <c r="C397" s="88">
        <v>1125</v>
      </c>
      <c r="D397" s="88">
        <v>468.75</v>
      </c>
      <c r="E397" s="88"/>
      <c r="F397" s="88"/>
      <c r="G397" s="87">
        <f>C397+D397+E397+F397</f>
        <v>1593.75</v>
      </c>
      <c r="H397" s="88">
        <v>15.9375</v>
      </c>
      <c r="I397" s="88"/>
      <c r="J397" s="88"/>
      <c r="K397" s="88"/>
      <c r="L397" s="88"/>
      <c r="M397" s="88"/>
      <c r="N397" s="87">
        <f t="shared" si="232"/>
        <v>1577.8125</v>
      </c>
      <c r="O397" s="98">
        <v>44146</v>
      </c>
      <c r="P397" s="151" t="s">
        <v>176</v>
      </c>
      <c r="Q397" s="132" t="s">
        <v>181</v>
      </c>
    </row>
    <row r="398" spans="1:17" ht="13.5" thickBot="1" x14ac:dyDescent="0.25">
      <c r="A398" s="79" t="s">
        <v>164</v>
      </c>
      <c r="B398" s="83" t="s">
        <v>170</v>
      </c>
      <c r="C398" s="95">
        <v>1250</v>
      </c>
      <c r="D398" s="88">
        <v>468.75</v>
      </c>
      <c r="E398" s="95"/>
      <c r="F398" s="95"/>
      <c r="G398" s="245">
        <f>C398+D398+E398+F398</f>
        <v>1718.75</v>
      </c>
      <c r="H398" s="244">
        <v>17.1875</v>
      </c>
      <c r="I398" s="244">
        <v>21</v>
      </c>
      <c r="J398" s="95"/>
      <c r="K398" s="95"/>
      <c r="L398" s="95"/>
      <c r="M398" s="95"/>
      <c r="N398" s="245">
        <f t="shared" si="232"/>
        <v>1680.5625</v>
      </c>
      <c r="O398" s="98">
        <v>44146</v>
      </c>
      <c r="P398" s="151" t="s">
        <v>176</v>
      </c>
      <c r="Q398" s="132" t="s">
        <v>181</v>
      </c>
    </row>
    <row r="399" spans="1:17" s="93" customFormat="1" ht="13.5" thickBot="1" x14ac:dyDescent="0.25">
      <c r="A399" s="409" t="s">
        <v>0</v>
      </c>
      <c r="B399" s="410"/>
      <c r="C399" s="152">
        <f t="shared" ref="C399:N399" si="233">SUM(C387:C398)</f>
        <v>16808.400000000001</v>
      </c>
      <c r="D399" s="152">
        <f t="shared" si="233"/>
        <v>9111.86</v>
      </c>
      <c r="E399" s="152">
        <f t="shared" si="233"/>
        <v>640</v>
      </c>
      <c r="F399" s="152">
        <f t="shared" si="233"/>
        <v>624</v>
      </c>
      <c r="G399" s="152">
        <f t="shared" si="233"/>
        <v>26644.26</v>
      </c>
      <c r="H399" s="152">
        <f t="shared" si="233"/>
        <v>206.15199999999999</v>
      </c>
      <c r="I399" s="152">
        <f t="shared" si="233"/>
        <v>2465</v>
      </c>
      <c r="J399" s="152">
        <f t="shared" si="233"/>
        <v>-159.5</v>
      </c>
      <c r="K399" s="152">
        <f t="shared" si="233"/>
        <v>624</v>
      </c>
      <c r="L399" s="152">
        <f t="shared" si="233"/>
        <v>402.22500000000002</v>
      </c>
      <c r="M399" s="152">
        <f t="shared" si="233"/>
        <v>1125</v>
      </c>
      <c r="N399" s="152">
        <f t="shared" si="233"/>
        <v>21897.382999999994</v>
      </c>
      <c r="O399" s="411" t="s">
        <v>0</v>
      </c>
      <c r="P399" s="412"/>
      <c r="Q399" s="132"/>
    </row>
    <row r="400" spans="1:17" x14ac:dyDescent="0.2">
      <c r="A400" s="82" t="s">
        <v>25</v>
      </c>
      <c r="B400" s="83" t="s">
        <v>63</v>
      </c>
      <c r="C400" s="88">
        <v>3966.4</v>
      </c>
      <c r="D400" s="88">
        <v>4536.57</v>
      </c>
      <c r="E400" s="88">
        <v>490</v>
      </c>
      <c r="F400" s="88">
        <v>624</v>
      </c>
      <c r="G400" s="87">
        <f t="shared" ref="G400" si="234">C400+D400+F400</f>
        <v>9126.9699999999993</v>
      </c>
      <c r="H400" s="88">
        <v>37.18</v>
      </c>
      <c r="I400" s="88">
        <v>1946</v>
      </c>
      <c r="J400" s="88">
        <v>-159.5</v>
      </c>
      <c r="K400" s="88">
        <v>624</v>
      </c>
      <c r="L400" s="88">
        <v>200.01</v>
      </c>
      <c r="M400" s="88">
        <f>1125</f>
        <v>1125</v>
      </c>
      <c r="N400" s="87">
        <f t="shared" ref="N400:N407" si="235">C400+D400+E400-H400-I400-J400-K400-L400-M400</f>
        <v>5220.2799999999988</v>
      </c>
      <c r="O400" s="98">
        <v>44153</v>
      </c>
      <c r="P400" s="239" t="s">
        <v>177</v>
      </c>
      <c r="Q400" s="132" t="s">
        <v>181</v>
      </c>
    </row>
    <row r="401" spans="1:17" x14ac:dyDescent="0.2">
      <c r="A401" s="80" t="s">
        <v>26</v>
      </c>
      <c r="B401" s="81" t="s">
        <v>70</v>
      </c>
      <c r="C401" s="88">
        <v>1023.5</v>
      </c>
      <c r="D401" s="88"/>
      <c r="E401" s="88">
        <v>50</v>
      </c>
      <c r="F401" s="88"/>
      <c r="G401" s="87">
        <f>C401+D401+F401</f>
        <v>1023.5</v>
      </c>
      <c r="H401" s="88">
        <v>10.234999999999999</v>
      </c>
      <c r="I401" s="88"/>
      <c r="J401" s="88"/>
      <c r="K401" s="88"/>
      <c r="L401" s="88">
        <v>58.14</v>
      </c>
      <c r="M401" s="88">
        <v>100</v>
      </c>
      <c r="N401" s="87">
        <f t="shared" si="235"/>
        <v>905.12500000000011</v>
      </c>
      <c r="O401" s="98">
        <v>44153</v>
      </c>
      <c r="P401" s="239" t="s">
        <v>177</v>
      </c>
      <c r="Q401" s="132" t="s">
        <v>181</v>
      </c>
    </row>
    <row r="402" spans="1:17" x14ac:dyDescent="0.2">
      <c r="A402" s="80" t="s">
        <v>3</v>
      </c>
      <c r="B402" s="81" t="s">
        <v>71</v>
      </c>
      <c r="C402" s="88">
        <v>1343.5</v>
      </c>
      <c r="D402" s="88">
        <v>0</v>
      </c>
      <c r="E402" s="88">
        <v>50</v>
      </c>
      <c r="F402" s="88"/>
      <c r="G402" s="87">
        <f>C402+D402+F402+E402</f>
        <v>1393.5</v>
      </c>
      <c r="H402" s="88">
        <v>13.44</v>
      </c>
      <c r="I402" s="88"/>
      <c r="J402" s="88"/>
      <c r="K402" s="88"/>
      <c r="L402" s="88">
        <v>76.295000000000002</v>
      </c>
      <c r="M402" s="88"/>
      <c r="N402" s="87">
        <f t="shared" si="235"/>
        <v>1303.7649999999999</v>
      </c>
      <c r="O402" s="98">
        <v>44153</v>
      </c>
      <c r="P402" s="239" t="s">
        <v>177</v>
      </c>
      <c r="Q402" s="132" t="s">
        <v>181</v>
      </c>
    </row>
    <row r="403" spans="1:17" x14ac:dyDescent="0.2">
      <c r="A403" s="80" t="s">
        <v>31</v>
      </c>
      <c r="B403" s="81" t="s">
        <v>72</v>
      </c>
      <c r="C403" s="88">
        <v>1300</v>
      </c>
      <c r="D403" s="88">
        <v>0</v>
      </c>
      <c r="E403" s="88">
        <v>50</v>
      </c>
      <c r="F403" s="88"/>
      <c r="G403" s="87">
        <f>C403+D403+F403+E403</f>
        <v>1350</v>
      </c>
      <c r="H403" s="88">
        <v>13</v>
      </c>
      <c r="I403" s="88"/>
      <c r="J403" s="88"/>
      <c r="K403" s="88"/>
      <c r="L403" s="88">
        <v>67.78</v>
      </c>
      <c r="M403" s="88"/>
      <c r="N403" s="87">
        <f t="shared" si="235"/>
        <v>1269.22</v>
      </c>
      <c r="O403" s="98">
        <v>44153</v>
      </c>
      <c r="P403" s="239" t="s">
        <v>177</v>
      </c>
      <c r="Q403" s="132" t="s">
        <v>181</v>
      </c>
    </row>
    <row r="404" spans="1:17" x14ac:dyDescent="0.2">
      <c r="A404" s="80" t="s">
        <v>69</v>
      </c>
      <c r="B404" s="81" t="s">
        <v>73</v>
      </c>
      <c r="C404" s="88">
        <v>1000</v>
      </c>
      <c r="D404" s="88">
        <v>0</v>
      </c>
      <c r="E404" s="88"/>
      <c r="F404" s="88"/>
      <c r="G404" s="87">
        <f t="shared" ref="G404:G408" si="236">C404+D404+F404</f>
        <v>1000</v>
      </c>
      <c r="H404" s="88">
        <v>10</v>
      </c>
      <c r="I404" s="88"/>
      <c r="J404" s="88"/>
      <c r="K404" s="88"/>
      <c r="L404" s="88"/>
      <c r="M404" s="88"/>
      <c r="N404" s="87">
        <f t="shared" si="235"/>
        <v>990</v>
      </c>
      <c r="O404" s="98">
        <v>44153</v>
      </c>
      <c r="P404" s="239" t="s">
        <v>177</v>
      </c>
      <c r="Q404" s="132" t="s">
        <v>181</v>
      </c>
    </row>
    <row r="405" spans="1:17" x14ac:dyDescent="0.2">
      <c r="A405" s="80" t="s">
        <v>79</v>
      </c>
      <c r="B405" s="81" t="s">
        <v>91</v>
      </c>
      <c r="C405" s="88">
        <v>1250</v>
      </c>
      <c r="D405" s="88">
        <v>35.159999999999997</v>
      </c>
      <c r="E405" s="88"/>
      <c r="F405" s="88"/>
      <c r="G405" s="87">
        <f t="shared" si="236"/>
        <v>1285.1600000000001</v>
      </c>
      <c r="H405" s="88">
        <v>12.851599999999999</v>
      </c>
      <c r="I405" s="88">
        <v>0</v>
      </c>
      <c r="J405" s="88"/>
      <c r="K405" s="88"/>
      <c r="L405" s="88"/>
      <c r="M405" s="88"/>
      <c r="N405" s="87">
        <f t="shared" si="235"/>
        <v>1272.3084000000001</v>
      </c>
      <c r="O405" s="98">
        <v>44153</v>
      </c>
      <c r="P405" s="239" t="s">
        <v>177</v>
      </c>
      <c r="Q405" s="132" t="s">
        <v>181</v>
      </c>
    </row>
    <row r="406" spans="1:17" x14ac:dyDescent="0.2">
      <c r="A406" s="80" t="s">
        <v>92</v>
      </c>
      <c r="B406" s="81" t="s">
        <v>93</v>
      </c>
      <c r="C406" s="88">
        <v>1250</v>
      </c>
      <c r="D406" s="88">
        <v>23.44</v>
      </c>
      <c r="E406" s="88"/>
      <c r="F406" s="88"/>
      <c r="G406" s="87">
        <f t="shared" si="236"/>
        <v>1273.44</v>
      </c>
      <c r="H406" s="88">
        <v>12.734400000000001</v>
      </c>
      <c r="I406" s="88">
        <v>0</v>
      </c>
      <c r="J406" s="88"/>
      <c r="K406" s="88"/>
      <c r="L406" s="88"/>
      <c r="M406" s="88"/>
      <c r="N406" s="87">
        <f t="shared" si="235"/>
        <v>1260.7056</v>
      </c>
      <c r="O406" s="98">
        <v>44153</v>
      </c>
      <c r="P406" s="239" t="s">
        <v>177</v>
      </c>
      <c r="Q406" s="132" t="s">
        <v>181</v>
      </c>
    </row>
    <row r="407" spans="1:17" x14ac:dyDescent="0.2">
      <c r="A407" s="80" t="s">
        <v>95</v>
      </c>
      <c r="B407" s="81" t="s">
        <v>94</v>
      </c>
      <c r="C407" s="88">
        <v>800</v>
      </c>
      <c r="D407" s="88"/>
      <c r="E407" s="88"/>
      <c r="F407" s="88"/>
      <c r="G407" s="87">
        <f t="shared" si="236"/>
        <v>800</v>
      </c>
      <c r="H407" s="88">
        <v>8</v>
      </c>
      <c r="I407" s="88"/>
      <c r="J407" s="88"/>
      <c r="K407" s="88"/>
      <c r="L407" s="88"/>
      <c r="M407" s="88"/>
      <c r="N407" s="87">
        <f t="shared" si="235"/>
        <v>792</v>
      </c>
      <c r="O407" s="98">
        <v>44153</v>
      </c>
      <c r="P407" s="239" t="s">
        <v>177</v>
      </c>
      <c r="Q407" s="132" t="s">
        <v>181</v>
      </c>
    </row>
    <row r="408" spans="1:17" x14ac:dyDescent="0.2">
      <c r="A408" s="176" t="s">
        <v>102</v>
      </c>
      <c r="B408" s="81" t="s">
        <v>104</v>
      </c>
      <c r="C408" s="88">
        <v>1250</v>
      </c>
      <c r="D408" s="88">
        <v>375</v>
      </c>
      <c r="E408" s="88"/>
      <c r="F408" s="88"/>
      <c r="G408" s="87">
        <f t="shared" si="236"/>
        <v>1625</v>
      </c>
      <c r="H408" s="88">
        <v>16.25</v>
      </c>
      <c r="I408" s="88">
        <v>0</v>
      </c>
      <c r="J408" s="88"/>
      <c r="K408" s="88"/>
      <c r="L408" s="88"/>
      <c r="M408" s="88">
        <v>0</v>
      </c>
      <c r="N408" s="87">
        <f>C408+D408+E408-H408-I408-J408-K408-L408-M408</f>
        <v>1608.75</v>
      </c>
      <c r="O408" s="98">
        <v>44153</v>
      </c>
      <c r="P408" s="239" t="s">
        <v>177</v>
      </c>
      <c r="Q408" s="132" t="s">
        <v>181</v>
      </c>
    </row>
    <row r="409" spans="1:17" x14ac:dyDescent="0.2">
      <c r="A409" s="251" t="s">
        <v>146</v>
      </c>
      <c r="B409" s="83" t="s">
        <v>151</v>
      </c>
      <c r="C409" s="88">
        <v>1250</v>
      </c>
      <c r="D409" s="88">
        <v>23.44</v>
      </c>
      <c r="E409" s="88"/>
      <c r="F409" s="88"/>
      <c r="G409" s="87">
        <f>C409+D409+E409+F409</f>
        <v>1273.44</v>
      </c>
      <c r="H409" s="88">
        <v>12.734400000000001</v>
      </c>
      <c r="I409" s="88">
        <v>0</v>
      </c>
      <c r="J409" s="88"/>
      <c r="K409" s="88"/>
      <c r="L409" s="88"/>
      <c r="M409" s="88"/>
      <c r="N409" s="87">
        <f t="shared" ref="N409:N411" si="237">C409+D409+E409-H409-I409-J409-K409-L409-M409</f>
        <v>1260.7056</v>
      </c>
      <c r="O409" s="98">
        <v>44153</v>
      </c>
      <c r="P409" s="239" t="s">
        <v>177</v>
      </c>
      <c r="Q409" s="132" t="s">
        <v>181</v>
      </c>
    </row>
    <row r="410" spans="1:17" x14ac:dyDescent="0.2">
      <c r="A410" s="252" t="s">
        <v>154</v>
      </c>
      <c r="B410" s="83" t="s">
        <v>101</v>
      </c>
      <c r="C410" s="88">
        <v>1250</v>
      </c>
      <c r="D410" s="88">
        <v>23.44</v>
      </c>
      <c r="E410" s="88"/>
      <c r="F410" s="88"/>
      <c r="G410" s="87">
        <f>C410+D410+E410+F410</f>
        <v>1273.44</v>
      </c>
      <c r="H410" s="88">
        <v>12.734400000000001</v>
      </c>
      <c r="I410" s="88">
        <v>0</v>
      </c>
      <c r="J410" s="88"/>
      <c r="K410" s="88"/>
      <c r="L410" s="88"/>
      <c r="M410" s="88"/>
      <c r="N410" s="87">
        <f t="shared" si="237"/>
        <v>1260.7056</v>
      </c>
      <c r="O410" s="98">
        <v>44153</v>
      </c>
      <c r="P410" s="239" t="s">
        <v>177</v>
      </c>
      <c r="Q410" s="132" t="s">
        <v>181</v>
      </c>
    </row>
    <row r="411" spans="1:17" ht="13.5" thickBot="1" x14ac:dyDescent="0.25">
      <c r="A411" s="79" t="s">
        <v>164</v>
      </c>
      <c r="B411" s="83" t="s">
        <v>170</v>
      </c>
      <c r="C411" s="95">
        <v>1000</v>
      </c>
      <c r="D411" s="88">
        <v>23.44</v>
      </c>
      <c r="E411" s="95"/>
      <c r="F411" s="95"/>
      <c r="G411" s="245">
        <f>C411+D411+E411+F411</f>
        <v>1023.44</v>
      </c>
      <c r="H411" s="244">
        <v>10.234400000000001</v>
      </c>
      <c r="I411" s="244">
        <v>0</v>
      </c>
      <c r="J411" s="95"/>
      <c r="K411" s="95"/>
      <c r="L411" s="95"/>
      <c r="M411" s="95"/>
      <c r="N411" s="245">
        <f t="shared" si="237"/>
        <v>1013.2056</v>
      </c>
      <c r="O411" s="98">
        <v>44153</v>
      </c>
      <c r="P411" s="239" t="s">
        <v>177</v>
      </c>
      <c r="Q411" s="132" t="s">
        <v>181</v>
      </c>
    </row>
    <row r="412" spans="1:17" s="93" customFormat="1" ht="13.5" thickBot="1" x14ac:dyDescent="0.25">
      <c r="A412" s="413" t="s">
        <v>0</v>
      </c>
      <c r="B412" s="414"/>
      <c r="C412" s="106">
        <f t="shared" ref="C412:N412" si="238">SUM(C400:C411)</f>
        <v>16683.400000000001</v>
      </c>
      <c r="D412" s="106">
        <f t="shared" si="238"/>
        <v>5040.489999999998</v>
      </c>
      <c r="E412" s="106">
        <f t="shared" si="238"/>
        <v>640</v>
      </c>
      <c r="F412" s="106">
        <f t="shared" si="238"/>
        <v>624</v>
      </c>
      <c r="G412" s="106">
        <f t="shared" si="238"/>
        <v>22447.889999999996</v>
      </c>
      <c r="H412" s="106">
        <f t="shared" si="238"/>
        <v>169.39419999999998</v>
      </c>
      <c r="I412" s="106">
        <f t="shared" si="238"/>
        <v>1946</v>
      </c>
      <c r="J412" s="106">
        <f t="shared" si="238"/>
        <v>-159.5</v>
      </c>
      <c r="K412" s="106">
        <f t="shared" si="238"/>
        <v>624</v>
      </c>
      <c r="L412" s="106">
        <f t="shared" si="238"/>
        <v>402.22500000000002</v>
      </c>
      <c r="M412" s="106">
        <f t="shared" si="238"/>
        <v>1225</v>
      </c>
      <c r="N412" s="106">
        <f t="shared" si="238"/>
        <v>18156.770799999998</v>
      </c>
      <c r="O412" s="418" t="s">
        <v>0</v>
      </c>
      <c r="P412" s="419"/>
      <c r="Q412" s="132"/>
    </row>
    <row r="413" spans="1:17" x14ac:dyDescent="0.2">
      <c r="A413" s="82" t="s">
        <v>25</v>
      </c>
      <c r="B413" s="83" t="s">
        <v>63</v>
      </c>
      <c r="C413" s="88">
        <v>3966.4</v>
      </c>
      <c r="D413" s="88">
        <v>5280.27</v>
      </c>
      <c r="E413" s="88">
        <v>490</v>
      </c>
      <c r="F413" s="88">
        <v>624</v>
      </c>
      <c r="G413" s="87">
        <f t="shared" ref="G413" si="239">C413+D413+F413</f>
        <v>9870.67</v>
      </c>
      <c r="H413" s="88">
        <v>37.18</v>
      </c>
      <c r="I413" s="88">
        <v>2216</v>
      </c>
      <c r="J413" s="88">
        <v>-159.5</v>
      </c>
      <c r="K413" s="88">
        <v>624</v>
      </c>
      <c r="L413" s="88">
        <v>200.01</v>
      </c>
      <c r="M413" s="88">
        <f>1125</f>
        <v>1125</v>
      </c>
      <c r="N413" s="87">
        <f t="shared" ref="N413:N420" si="240">C413+D413+E413-H413-I413-J413-K413-L413-M413</f>
        <v>5693.98</v>
      </c>
      <c r="O413" s="98">
        <v>44160</v>
      </c>
      <c r="P413" s="240" t="s">
        <v>178</v>
      </c>
      <c r="Q413" s="132" t="s">
        <v>181</v>
      </c>
    </row>
    <row r="414" spans="1:17" x14ac:dyDescent="0.2">
      <c r="A414" s="80" t="s">
        <v>26</v>
      </c>
      <c r="B414" s="81" t="s">
        <v>70</v>
      </c>
      <c r="C414" s="88">
        <v>1023.5</v>
      </c>
      <c r="D414" s="88"/>
      <c r="E414" s="88">
        <v>50</v>
      </c>
      <c r="F414" s="88"/>
      <c r="G414" s="87">
        <f>C414+D414+F414</f>
        <v>1023.5</v>
      </c>
      <c r="H414" s="88">
        <v>10.234999999999999</v>
      </c>
      <c r="I414" s="88"/>
      <c r="J414" s="88"/>
      <c r="K414" s="88"/>
      <c r="L414" s="88">
        <v>58.14</v>
      </c>
      <c r="M414" s="88">
        <v>100</v>
      </c>
      <c r="N414" s="87">
        <f t="shared" si="240"/>
        <v>905.12500000000011</v>
      </c>
      <c r="O414" s="98">
        <v>44160</v>
      </c>
      <c r="P414" s="240" t="s">
        <v>178</v>
      </c>
      <c r="Q414" s="132" t="s">
        <v>181</v>
      </c>
    </row>
    <row r="415" spans="1:17" x14ac:dyDescent="0.2">
      <c r="A415" s="80" t="s">
        <v>3</v>
      </c>
      <c r="B415" s="81" t="s">
        <v>71</v>
      </c>
      <c r="C415" s="88">
        <v>1343.5</v>
      </c>
      <c r="D415" s="88">
        <v>0</v>
      </c>
      <c r="E415" s="88">
        <v>50</v>
      </c>
      <c r="F415" s="88"/>
      <c r="G415" s="87">
        <f>C415+D415+F415+E415</f>
        <v>1393.5</v>
      </c>
      <c r="H415" s="88">
        <v>13.44</v>
      </c>
      <c r="I415" s="88"/>
      <c r="J415" s="88"/>
      <c r="K415" s="88"/>
      <c r="L415" s="88">
        <v>76.295000000000002</v>
      </c>
      <c r="M415" s="88"/>
      <c r="N415" s="87">
        <f t="shared" si="240"/>
        <v>1303.7649999999999</v>
      </c>
      <c r="O415" s="98">
        <v>44160</v>
      </c>
      <c r="P415" s="240" t="s">
        <v>178</v>
      </c>
      <c r="Q415" s="132" t="s">
        <v>181</v>
      </c>
    </row>
    <row r="416" spans="1:17" x14ac:dyDescent="0.2">
      <c r="A416" s="80" t="s">
        <v>31</v>
      </c>
      <c r="B416" s="81" t="s">
        <v>72</v>
      </c>
      <c r="C416" s="88">
        <v>1300</v>
      </c>
      <c r="D416" s="88">
        <v>0</v>
      </c>
      <c r="E416" s="88">
        <v>50</v>
      </c>
      <c r="F416" s="88"/>
      <c r="G416" s="87">
        <f>C416+D416+F416+E416</f>
        <v>1350</v>
      </c>
      <c r="H416" s="88">
        <v>13</v>
      </c>
      <c r="I416" s="88"/>
      <c r="J416" s="88"/>
      <c r="K416" s="88"/>
      <c r="L416" s="88">
        <v>67.78</v>
      </c>
      <c r="M416" s="88"/>
      <c r="N416" s="87">
        <f t="shared" si="240"/>
        <v>1269.22</v>
      </c>
      <c r="O416" s="98">
        <v>44160</v>
      </c>
      <c r="P416" s="240" t="s">
        <v>178</v>
      </c>
      <c r="Q416" s="132" t="s">
        <v>181</v>
      </c>
    </row>
    <row r="417" spans="1:17" x14ac:dyDescent="0.2">
      <c r="A417" s="80" t="s">
        <v>69</v>
      </c>
      <c r="B417" s="81" t="s">
        <v>73</v>
      </c>
      <c r="C417" s="88">
        <v>1000</v>
      </c>
      <c r="D417" s="88">
        <v>0</v>
      </c>
      <c r="E417" s="88"/>
      <c r="F417" s="88"/>
      <c r="G417" s="87">
        <f t="shared" ref="G417:G421" si="241">C417+D417+F417</f>
        <v>1000</v>
      </c>
      <c r="H417" s="88">
        <v>10</v>
      </c>
      <c r="I417" s="88"/>
      <c r="J417" s="88"/>
      <c r="K417" s="88"/>
      <c r="L417" s="88"/>
      <c r="M417" s="88"/>
      <c r="N417" s="87">
        <f t="shared" si="240"/>
        <v>990</v>
      </c>
      <c r="O417" s="98">
        <v>44160</v>
      </c>
      <c r="P417" s="240" t="s">
        <v>178</v>
      </c>
      <c r="Q417" s="132" t="s">
        <v>181</v>
      </c>
    </row>
    <row r="418" spans="1:17" x14ac:dyDescent="0.2">
      <c r="A418" s="80" t="s">
        <v>79</v>
      </c>
      <c r="B418" s="81" t="s">
        <v>91</v>
      </c>
      <c r="C418" s="88">
        <v>1250</v>
      </c>
      <c r="D418" s="88">
        <v>117.19</v>
      </c>
      <c r="E418" s="88"/>
      <c r="F418" s="88"/>
      <c r="G418" s="87">
        <f t="shared" si="241"/>
        <v>1367.19</v>
      </c>
      <c r="H418" s="88">
        <v>13.671900000000001</v>
      </c>
      <c r="I418" s="88">
        <v>0</v>
      </c>
      <c r="J418" s="88"/>
      <c r="K418" s="88"/>
      <c r="L418" s="88"/>
      <c r="M418" s="88"/>
      <c r="N418" s="87">
        <f t="shared" si="240"/>
        <v>1353.5181</v>
      </c>
      <c r="O418" s="98">
        <v>44160</v>
      </c>
      <c r="P418" s="240" t="s">
        <v>178</v>
      </c>
      <c r="Q418" s="132" t="s">
        <v>181</v>
      </c>
    </row>
    <row r="419" spans="1:17" x14ac:dyDescent="0.2">
      <c r="A419" s="80" t="s">
        <v>92</v>
      </c>
      <c r="B419" s="81" t="s">
        <v>93</v>
      </c>
      <c r="C419" s="88">
        <v>1250</v>
      </c>
      <c r="D419" s="88">
        <v>117.19</v>
      </c>
      <c r="E419" s="88"/>
      <c r="F419" s="88"/>
      <c r="G419" s="87">
        <f t="shared" si="241"/>
        <v>1367.19</v>
      </c>
      <c r="H419" s="88">
        <v>13.671900000000001</v>
      </c>
      <c r="I419" s="88">
        <v>0</v>
      </c>
      <c r="J419" s="88"/>
      <c r="K419" s="88"/>
      <c r="L419" s="88"/>
      <c r="M419" s="88"/>
      <c r="N419" s="87">
        <f t="shared" si="240"/>
        <v>1353.5181</v>
      </c>
      <c r="O419" s="98">
        <v>44160</v>
      </c>
      <c r="P419" s="240" t="s">
        <v>178</v>
      </c>
      <c r="Q419" s="132" t="s">
        <v>181</v>
      </c>
    </row>
    <row r="420" spans="1:17" x14ac:dyDescent="0.2">
      <c r="A420" s="80" t="s">
        <v>95</v>
      </c>
      <c r="B420" s="81" t="s">
        <v>94</v>
      </c>
      <c r="C420" s="88">
        <v>800</v>
      </c>
      <c r="D420" s="88"/>
      <c r="E420" s="88"/>
      <c r="F420" s="88"/>
      <c r="G420" s="87">
        <f t="shared" si="241"/>
        <v>800</v>
      </c>
      <c r="H420" s="88">
        <v>8</v>
      </c>
      <c r="I420" s="88"/>
      <c r="J420" s="88"/>
      <c r="K420" s="88"/>
      <c r="L420" s="88"/>
      <c r="M420" s="88"/>
      <c r="N420" s="87">
        <f t="shared" si="240"/>
        <v>792</v>
      </c>
      <c r="O420" s="98">
        <v>44160</v>
      </c>
      <c r="P420" s="240" t="s">
        <v>178</v>
      </c>
      <c r="Q420" s="132" t="s">
        <v>181</v>
      </c>
    </row>
    <row r="421" spans="1:17" x14ac:dyDescent="0.2">
      <c r="A421" s="176" t="s">
        <v>102</v>
      </c>
      <c r="B421" s="81" t="s">
        <v>104</v>
      </c>
      <c r="C421" s="88">
        <v>1250</v>
      </c>
      <c r="D421" s="88">
        <v>1359.38</v>
      </c>
      <c r="E421" s="88"/>
      <c r="F421" s="88"/>
      <c r="G421" s="87">
        <f t="shared" si="241"/>
        <v>2609.38</v>
      </c>
      <c r="H421" s="88">
        <v>26.093800000000002</v>
      </c>
      <c r="I421" s="88">
        <v>183</v>
      </c>
      <c r="J421" s="88"/>
      <c r="K421" s="88"/>
      <c r="L421" s="88"/>
      <c r="M421" s="88">
        <v>0</v>
      </c>
      <c r="N421" s="87">
        <f>C421+D421+E421-H421-I421-J421-K421-L421-M421</f>
        <v>2400.2862</v>
      </c>
      <c r="O421" s="98">
        <v>44160</v>
      </c>
      <c r="P421" s="240" t="s">
        <v>178</v>
      </c>
      <c r="Q421" s="132" t="s">
        <v>181</v>
      </c>
    </row>
    <row r="422" spans="1:17" x14ac:dyDescent="0.2">
      <c r="A422" s="251" t="s">
        <v>146</v>
      </c>
      <c r="B422" s="83" t="s">
        <v>151</v>
      </c>
      <c r="C422" s="88">
        <v>1250</v>
      </c>
      <c r="D422" s="88">
        <v>46.88</v>
      </c>
      <c r="E422" s="88"/>
      <c r="F422" s="88"/>
      <c r="G422" s="87">
        <f>C422+D422+E422+F422</f>
        <v>1296.8800000000001</v>
      </c>
      <c r="H422" s="88">
        <v>12.9688</v>
      </c>
      <c r="I422" s="88">
        <v>0</v>
      </c>
      <c r="J422" s="88"/>
      <c r="K422" s="88"/>
      <c r="L422" s="88"/>
      <c r="M422" s="88"/>
      <c r="N422" s="87">
        <f t="shared" ref="N422:N424" si="242">C422+D422+E422-H422-I422-J422-K422-L422-M422</f>
        <v>1283.9112</v>
      </c>
      <c r="O422" s="98">
        <v>44160</v>
      </c>
      <c r="P422" s="240" t="s">
        <v>178</v>
      </c>
      <c r="Q422" s="132" t="s">
        <v>181</v>
      </c>
    </row>
    <row r="423" spans="1:17" x14ac:dyDescent="0.2">
      <c r="A423" s="252" t="s">
        <v>154</v>
      </c>
      <c r="B423" s="83" t="s">
        <v>101</v>
      </c>
      <c r="C423" s="88">
        <v>1250</v>
      </c>
      <c r="D423" s="88">
        <v>0</v>
      </c>
      <c r="E423" s="88"/>
      <c r="F423" s="88"/>
      <c r="G423" s="87">
        <f>C423+D423+E423+F423</f>
        <v>1250</v>
      </c>
      <c r="H423" s="88">
        <v>12.5</v>
      </c>
      <c r="I423" s="88">
        <v>0</v>
      </c>
      <c r="J423" s="88"/>
      <c r="K423" s="88"/>
      <c r="L423" s="88"/>
      <c r="M423" s="88"/>
      <c r="N423" s="87">
        <f t="shared" si="242"/>
        <v>1237.5</v>
      </c>
      <c r="O423" s="98">
        <v>44160</v>
      </c>
      <c r="P423" s="240" t="s">
        <v>178</v>
      </c>
      <c r="Q423" s="132" t="s">
        <v>181</v>
      </c>
    </row>
    <row r="424" spans="1:17" ht="13.5" thickBot="1" x14ac:dyDescent="0.25">
      <c r="A424" s="79" t="s">
        <v>164</v>
      </c>
      <c r="B424" s="83" t="s">
        <v>170</v>
      </c>
      <c r="C424" s="95">
        <v>1000</v>
      </c>
      <c r="D424" s="88">
        <v>0</v>
      </c>
      <c r="E424" s="95"/>
      <c r="F424" s="95"/>
      <c r="G424" s="245">
        <f>C424+D424+E424+F424</f>
        <v>1000</v>
      </c>
      <c r="H424" s="244">
        <v>10</v>
      </c>
      <c r="I424" s="244">
        <v>0</v>
      </c>
      <c r="J424" s="95"/>
      <c r="K424" s="95"/>
      <c r="L424" s="95"/>
      <c r="M424" s="95"/>
      <c r="N424" s="245">
        <f t="shared" si="242"/>
        <v>990</v>
      </c>
      <c r="O424" s="98">
        <v>44160</v>
      </c>
      <c r="P424" s="240" t="s">
        <v>178</v>
      </c>
      <c r="Q424" s="132" t="s">
        <v>181</v>
      </c>
    </row>
    <row r="425" spans="1:17" s="93" customFormat="1" ht="13.5" thickBot="1" x14ac:dyDescent="0.25">
      <c r="A425" s="420" t="s">
        <v>0</v>
      </c>
      <c r="B425" s="421"/>
      <c r="C425" s="150">
        <f t="shared" ref="C425:N425" si="243">SUM(C413:C424)</f>
        <v>16683.400000000001</v>
      </c>
      <c r="D425" s="150">
        <f t="shared" si="243"/>
        <v>6920.91</v>
      </c>
      <c r="E425" s="150">
        <f t="shared" si="243"/>
        <v>640</v>
      </c>
      <c r="F425" s="150">
        <f t="shared" si="243"/>
        <v>624</v>
      </c>
      <c r="G425" s="150">
        <f t="shared" si="243"/>
        <v>24328.31</v>
      </c>
      <c r="H425" s="150">
        <f t="shared" si="243"/>
        <v>180.76139999999998</v>
      </c>
      <c r="I425" s="150">
        <f t="shared" si="243"/>
        <v>2399</v>
      </c>
      <c r="J425" s="150">
        <f t="shared" si="243"/>
        <v>-159.5</v>
      </c>
      <c r="K425" s="150">
        <f t="shared" si="243"/>
        <v>624</v>
      </c>
      <c r="L425" s="150">
        <f t="shared" si="243"/>
        <v>402.22500000000002</v>
      </c>
      <c r="M425" s="150">
        <f t="shared" si="243"/>
        <v>1225</v>
      </c>
      <c r="N425" s="150">
        <f t="shared" si="243"/>
        <v>19572.823599999996</v>
      </c>
      <c r="O425" s="407" t="s">
        <v>0</v>
      </c>
      <c r="P425" s="408"/>
      <c r="Q425" s="133"/>
    </row>
    <row r="426" spans="1:17" s="140" customFormat="1" ht="13.5" thickBot="1" x14ac:dyDescent="0.25">
      <c r="A426" s="401" t="s">
        <v>88</v>
      </c>
      <c r="B426" s="402"/>
      <c r="C426" s="155">
        <f t="shared" ref="C426:N426" si="244">C425+C412+C399+C386</f>
        <v>66983.600000000006</v>
      </c>
      <c r="D426" s="155">
        <f t="shared" si="244"/>
        <v>34183.19</v>
      </c>
      <c r="E426" s="155">
        <f t="shared" si="244"/>
        <v>2560</v>
      </c>
      <c r="F426" s="155">
        <f t="shared" si="244"/>
        <v>2496</v>
      </c>
      <c r="G426" s="155">
        <f t="shared" si="244"/>
        <v>104062.78999999998</v>
      </c>
      <c r="H426" s="155">
        <f t="shared" si="244"/>
        <v>805.78459999999984</v>
      </c>
      <c r="I426" s="155">
        <f t="shared" si="244"/>
        <v>9634</v>
      </c>
      <c r="J426" s="155">
        <f t="shared" si="244"/>
        <v>-638</v>
      </c>
      <c r="K426" s="155">
        <f t="shared" si="244"/>
        <v>2496</v>
      </c>
      <c r="L426" s="155">
        <f t="shared" si="244"/>
        <v>1608.9</v>
      </c>
      <c r="M426" s="155">
        <f t="shared" si="244"/>
        <v>5300</v>
      </c>
      <c r="N426" s="155">
        <f t="shared" si="244"/>
        <v>84520.105399999986</v>
      </c>
      <c r="O426" s="174"/>
      <c r="P426" s="144"/>
      <c r="Q426" s="139"/>
    </row>
    <row r="427" spans="1:17" s="162" customFormat="1" x14ac:dyDescent="0.2">
      <c r="A427" s="159" t="s">
        <v>8</v>
      </c>
      <c r="B427" s="165" t="s">
        <v>96</v>
      </c>
      <c r="C427" s="163">
        <v>13502</v>
      </c>
      <c r="D427" s="163"/>
      <c r="E427" s="163"/>
      <c r="F427" s="163">
        <v>5624</v>
      </c>
      <c r="G427" s="87">
        <f t="shared" ref="G427:G429" si="245">C427+D427+F427</f>
        <v>19126</v>
      </c>
      <c r="H427" s="163"/>
      <c r="I427" s="163">
        <v>2355</v>
      </c>
      <c r="J427" s="163">
        <v>-853</v>
      </c>
      <c r="K427" s="160"/>
      <c r="L427" s="160"/>
      <c r="M427" s="160"/>
      <c r="N427" s="87">
        <f t="shared" ref="N427:N429" si="246">C427+D427+E427-H427-I427-J427-K427-L427-M427</f>
        <v>12000</v>
      </c>
      <c r="O427" s="169"/>
      <c r="P427" s="170"/>
      <c r="Q427" s="161"/>
    </row>
    <row r="428" spans="1:17" s="162" customFormat="1" x14ac:dyDescent="0.2">
      <c r="A428" s="159" t="s">
        <v>27</v>
      </c>
      <c r="B428" s="165" t="s">
        <v>97</v>
      </c>
      <c r="C428" s="163">
        <v>13717</v>
      </c>
      <c r="D428" s="163"/>
      <c r="E428" s="163"/>
      <c r="F428" s="163">
        <v>5409</v>
      </c>
      <c r="G428" s="87">
        <f t="shared" si="245"/>
        <v>19126</v>
      </c>
      <c r="H428" s="163"/>
      <c r="I428" s="163">
        <v>2355</v>
      </c>
      <c r="J428" s="163">
        <v>-638</v>
      </c>
      <c r="K428" s="163"/>
      <c r="L428" s="163"/>
      <c r="M428" s="163"/>
      <c r="N428" s="87">
        <f t="shared" si="246"/>
        <v>12000</v>
      </c>
      <c r="O428" s="169"/>
      <c r="P428" s="170"/>
      <c r="Q428" s="161"/>
    </row>
    <row r="429" spans="1:17" s="162" customFormat="1" ht="13.5" thickBot="1" x14ac:dyDescent="0.25">
      <c r="A429" s="159" t="s">
        <v>6</v>
      </c>
      <c r="B429" s="165" t="s">
        <v>98</v>
      </c>
      <c r="C429" s="164">
        <v>12643.72</v>
      </c>
      <c r="D429" s="164"/>
      <c r="E429" s="164"/>
      <c r="F429" s="164">
        <v>2812</v>
      </c>
      <c r="G429" s="87">
        <f t="shared" si="245"/>
        <v>15455.72</v>
      </c>
      <c r="H429" s="164">
        <v>148.72</v>
      </c>
      <c r="I429" s="164">
        <v>1536</v>
      </c>
      <c r="J429" s="164">
        <v>-853</v>
      </c>
      <c r="K429" s="164">
        <v>2812</v>
      </c>
      <c r="L429" s="164"/>
      <c r="M429" s="164"/>
      <c r="N429" s="87">
        <f t="shared" si="246"/>
        <v>9000</v>
      </c>
      <c r="O429" s="169"/>
      <c r="P429" s="170"/>
      <c r="Q429" s="161"/>
    </row>
    <row r="430" spans="1:17" s="131" customFormat="1" ht="13.5" thickBot="1" x14ac:dyDescent="0.25">
      <c r="A430" s="415" t="s">
        <v>89</v>
      </c>
      <c r="B430" s="416"/>
      <c r="C430" s="158">
        <f>SUM(C427:C429)</f>
        <v>39862.720000000001</v>
      </c>
      <c r="D430" s="158">
        <f t="shared" ref="D430" si="247">SUM(D427:D429)</f>
        <v>0</v>
      </c>
      <c r="E430" s="158">
        <f t="shared" ref="E430" si="248">SUM(E427:E429)</f>
        <v>0</v>
      </c>
      <c r="F430" s="158">
        <f t="shared" ref="F430" si="249">SUM(F427:F429)</f>
        <v>13845</v>
      </c>
      <c r="G430" s="158">
        <f t="shared" ref="G430" si="250">SUM(G427:G429)</f>
        <v>53707.72</v>
      </c>
      <c r="H430" s="158">
        <f t="shared" ref="H430" si="251">SUM(H427:H429)</f>
        <v>148.72</v>
      </c>
      <c r="I430" s="158">
        <f t="shared" ref="I430" si="252">SUM(I427:I429)</f>
        <v>6246</v>
      </c>
      <c r="J430" s="158">
        <f t="shared" ref="J430" si="253">SUM(J427:J429)</f>
        <v>-2344</v>
      </c>
      <c r="K430" s="158">
        <f t="shared" ref="K430" si="254">SUM(K427:K429)</f>
        <v>2812</v>
      </c>
      <c r="L430" s="158">
        <f t="shared" ref="L430" si="255">SUM(L427:L429)</f>
        <v>0</v>
      </c>
      <c r="M430" s="158">
        <f t="shared" ref="M430" si="256">SUM(M427:M429)</f>
        <v>0</v>
      </c>
      <c r="N430" s="158">
        <f t="shared" ref="N430" si="257">SUM(N427:N429)</f>
        <v>33000</v>
      </c>
      <c r="O430" s="175"/>
      <c r="P430" s="130"/>
      <c r="Q430" s="134"/>
    </row>
    <row r="431" spans="1:17" s="131" customFormat="1" ht="13.5" thickBot="1" x14ac:dyDescent="0.25">
      <c r="A431" s="417" t="s">
        <v>90</v>
      </c>
      <c r="B431" s="417"/>
      <c r="C431" s="141"/>
      <c r="D431" s="141"/>
      <c r="E431" s="141"/>
      <c r="F431" s="141"/>
      <c r="G431" s="141"/>
      <c r="H431" s="147">
        <f>(H426+H430)*2</f>
        <v>1909.0091999999997</v>
      </c>
      <c r="I431" s="145">
        <f>I426+I430</f>
        <v>15880</v>
      </c>
      <c r="J431" s="148">
        <f>J426+J430</f>
        <v>-2982</v>
      </c>
      <c r="K431" s="141"/>
      <c r="L431" s="141"/>
      <c r="M431" s="141"/>
      <c r="N431" s="141"/>
      <c r="O431" s="130"/>
      <c r="P431" s="130"/>
      <c r="Q431" s="143"/>
    </row>
    <row r="432" spans="1:17" ht="13.5" thickBot="1" x14ac:dyDescent="0.25"/>
    <row r="433" spans="1:19" s="78" customFormat="1" ht="13.5" thickBot="1" x14ac:dyDescent="0.25">
      <c r="A433" s="398" t="s">
        <v>185</v>
      </c>
      <c r="B433" s="399"/>
      <c r="C433" s="399"/>
      <c r="D433" s="399"/>
      <c r="E433" s="399"/>
      <c r="F433" s="399"/>
      <c r="G433" s="399"/>
      <c r="H433" s="399"/>
      <c r="I433" s="399"/>
      <c r="J433" s="399"/>
      <c r="K433" s="399"/>
      <c r="L433" s="399"/>
      <c r="M433" s="399"/>
      <c r="N433" s="399"/>
      <c r="O433" s="399"/>
      <c r="P433" s="399"/>
      <c r="Q433" s="399"/>
      <c r="R433" s="399"/>
      <c r="S433" s="400"/>
    </row>
    <row r="434" spans="1:19" s="78" customFormat="1" ht="13.5" thickBot="1" x14ac:dyDescent="0.25">
      <c r="A434" s="84" t="s">
        <v>64</v>
      </c>
      <c r="B434" s="85" t="s">
        <v>1</v>
      </c>
      <c r="C434" s="86" t="s">
        <v>56</v>
      </c>
      <c r="D434" s="86" t="s">
        <v>189</v>
      </c>
      <c r="E434" s="86" t="s">
        <v>188</v>
      </c>
      <c r="F434" s="86" t="s">
        <v>57</v>
      </c>
      <c r="G434" s="86" t="s">
        <v>67</v>
      </c>
      <c r="H434" s="86" t="s">
        <v>62</v>
      </c>
      <c r="I434" s="86" t="s">
        <v>74</v>
      </c>
      <c r="J434" s="86" t="s">
        <v>59</v>
      </c>
      <c r="K434" s="86" t="s">
        <v>60</v>
      </c>
      <c r="L434" s="86" t="s">
        <v>66</v>
      </c>
      <c r="M434" s="86" t="s">
        <v>62</v>
      </c>
      <c r="N434" s="86" t="s">
        <v>58</v>
      </c>
      <c r="O434" s="86" t="s">
        <v>61</v>
      </c>
      <c r="P434" s="86" t="s">
        <v>2</v>
      </c>
      <c r="Q434" s="91" t="s">
        <v>65</v>
      </c>
      <c r="R434" s="92" t="s">
        <v>68</v>
      </c>
      <c r="S434" s="135" t="s">
        <v>87</v>
      </c>
    </row>
    <row r="435" spans="1:19" x14ac:dyDescent="0.2">
      <c r="A435" s="82" t="s">
        <v>25</v>
      </c>
      <c r="B435" s="83" t="s">
        <v>63</v>
      </c>
      <c r="C435" s="88">
        <v>3966.4</v>
      </c>
      <c r="D435" s="88"/>
      <c r="E435" s="88"/>
      <c r="F435" s="88">
        <v>4387.83</v>
      </c>
      <c r="G435" s="88">
        <v>490</v>
      </c>
      <c r="H435" s="88">
        <v>624</v>
      </c>
      <c r="I435" s="87">
        <f>C435+F435+H435</f>
        <v>8978.23</v>
      </c>
      <c r="J435" s="88">
        <v>37.18</v>
      </c>
      <c r="K435" s="88">
        <v>1890</v>
      </c>
      <c r="L435" s="88">
        <v>-159.5</v>
      </c>
      <c r="M435" s="88">
        <v>624</v>
      </c>
      <c r="N435" s="88">
        <v>200.01</v>
      </c>
      <c r="O435" s="88">
        <f>1125</f>
        <v>1125</v>
      </c>
      <c r="P435" s="87">
        <f t="shared" ref="P435:P446" si="258">C435+F435+G435-J435-K435-L435-M435-N435-O435</f>
        <v>5127.5399999999991</v>
      </c>
      <c r="Q435" s="98">
        <v>44167</v>
      </c>
      <c r="R435" s="120" t="s">
        <v>183</v>
      </c>
      <c r="S435" s="132" t="s">
        <v>185</v>
      </c>
    </row>
    <row r="436" spans="1:19" x14ac:dyDescent="0.2">
      <c r="A436" s="80" t="s">
        <v>26</v>
      </c>
      <c r="B436" s="81" t="s">
        <v>70</v>
      </c>
      <c r="C436" s="88">
        <v>1023.5</v>
      </c>
      <c r="D436" s="88"/>
      <c r="E436" s="88"/>
      <c r="F436" s="88"/>
      <c r="G436" s="88">
        <v>50</v>
      </c>
      <c r="H436" s="88"/>
      <c r="I436" s="87">
        <f>C436+F436+H436</f>
        <v>1023.5</v>
      </c>
      <c r="J436" s="88">
        <v>10.234999999999999</v>
      </c>
      <c r="K436" s="88"/>
      <c r="L436" s="88"/>
      <c r="M436" s="88"/>
      <c r="N436" s="88">
        <v>58.14</v>
      </c>
      <c r="O436" s="88">
        <v>100</v>
      </c>
      <c r="P436" s="87">
        <f t="shared" si="258"/>
        <v>905.12500000000011</v>
      </c>
      <c r="Q436" s="98">
        <v>44167</v>
      </c>
      <c r="R436" s="120" t="s">
        <v>183</v>
      </c>
      <c r="S436" s="132" t="s">
        <v>185</v>
      </c>
    </row>
    <row r="437" spans="1:19" x14ac:dyDescent="0.2">
      <c r="A437" s="80" t="s">
        <v>3</v>
      </c>
      <c r="B437" s="81" t="s">
        <v>71</v>
      </c>
      <c r="C437" s="88">
        <v>1343.5</v>
      </c>
      <c r="D437" s="88"/>
      <c r="E437" s="88"/>
      <c r="F437" s="88">
        <v>0</v>
      </c>
      <c r="G437" s="88">
        <v>50</v>
      </c>
      <c r="H437" s="88"/>
      <c r="I437" s="87">
        <f>C437+F437+H437+G437</f>
        <v>1393.5</v>
      </c>
      <c r="J437" s="88">
        <v>13.44</v>
      </c>
      <c r="K437" s="88"/>
      <c r="L437" s="88"/>
      <c r="M437" s="88"/>
      <c r="N437" s="88">
        <v>76.295000000000002</v>
      </c>
      <c r="O437" s="88"/>
      <c r="P437" s="87">
        <f t="shared" si="258"/>
        <v>1303.7649999999999</v>
      </c>
      <c r="Q437" s="98">
        <v>44167</v>
      </c>
      <c r="R437" s="120" t="s">
        <v>183</v>
      </c>
      <c r="S437" s="132" t="s">
        <v>185</v>
      </c>
    </row>
    <row r="438" spans="1:19" x14ac:dyDescent="0.2">
      <c r="A438" s="80" t="s">
        <v>31</v>
      </c>
      <c r="B438" s="81" t="s">
        <v>72</v>
      </c>
      <c r="C438" s="88">
        <v>1300</v>
      </c>
      <c r="D438" s="88"/>
      <c r="E438" s="88"/>
      <c r="F438" s="88">
        <v>0</v>
      </c>
      <c r="G438" s="88">
        <v>50</v>
      </c>
      <c r="H438" s="88"/>
      <c r="I438" s="87">
        <f>C438+F438+H438+G438</f>
        <v>1350</v>
      </c>
      <c r="J438" s="88">
        <v>13</v>
      </c>
      <c r="K438" s="88"/>
      <c r="L438" s="88"/>
      <c r="M438" s="88"/>
      <c r="N438" s="88">
        <v>67.78</v>
      </c>
      <c r="O438" s="88"/>
      <c r="P438" s="87">
        <f t="shared" si="258"/>
        <v>1269.22</v>
      </c>
      <c r="Q438" s="98">
        <v>44167</v>
      </c>
      <c r="R438" s="120" t="s">
        <v>183</v>
      </c>
      <c r="S438" s="132" t="s">
        <v>185</v>
      </c>
    </row>
    <row r="439" spans="1:19" x14ac:dyDescent="0.2">
      <c r="A439" s="80" t="s">
        <v>69</v>
      </c>
      <c r="B439" s="81" t="s">
        <v>73</v>
      </c>
      <c r="C439" s="88">
        <v>1000</v>
      </c>
      <c r="D439" s="88"/>
      <c r="E439" s="88"/>
      <c r="F439" s="88">
        <v>0</v>
      </c>
      <c r="G439" s="88"/>
      <c r="H439" s="88"/>
      <c r="I439" s="87">
        <f>C439+F439+H439</f>
        <v>1000</v>
      </c>
      <c r="J439" s="88">
        <v>10</v>
      </c>
      <c r="K439" s="88"/>
      <c r="L439" s="88"/>
      <c r="M439" s="88"/>
      <c r="N439" s="88"/>
      <c r="O439" s="88"/>
      <c r="P439" s="87">
        <f t="shared" si="258"/>
        <v>990</v>
      </c>
      <c r="Q439" s="98">
        <v>44167</v>
      </c>
      <c r="R439" s="120" t="s">
        <v>183</v>
      </c>
      <c r="S439" s="132" t="s">
        <v>185</v>
      </c>
    </row>
    <row r="440" spans="1:19" x14ac:dyDescent="0.2">
      <c r="A440" s="80" t="s">
        <v>79</v>
      </c>
      <c r="B440" s="81" t="s">
        <v>91</v>
      </c>
      <c r="C440" s="88">
        <v>1000</v>
      </c>
      <c r="D440" s="88"/>
      <c r="E440" s="88"/>
      <c r="F440" s="88">
        <v>0</v>
      </c>
      <c r="G440" s="88"/>
      <c r="H440" s="88"/>
      <c r="I440" s="87">
        <f>C440+F440+H440</f>
        <v>1000</v>
      </c>
      <c r="J440" s="88">
        <v>10</v>
      </c>
      <c r="K440" s="88">
        <v>0</v>
      </c>
      <c r="L440" s="88"/>
      <c r="M440" s="88"/>
      <c r="N440" s="88"/>
      <c r="O440" s="88"/>
      <c r="P440" s="87">
        <f t="shared" si="258"/>
        <v>990</v>
      </c>
      <c r="Q440" s="98">
        <v>44167</v>
      </c>
      <c r="R440" s="120" t="s">
        <v>183</v>
      </c>
      <c r="S440" s="132" t="s">
        <v>185</v>
      </c>
    </row>
    <row r="441" spans="1:19" x14ac:dyDescent="0.2">
      <c r="A441" s="80" t="s">
        <v>92</v>
      </c>
      <c r="B441" s="81" t="s">
        <v>93</v>
      </c>
      <c r="C441" s="88">
        <v>1250</v>
      </c>
      <c r="D441" s="88"/>
      <c r="E441" s="88"/>
      <c r="F441" s="88">
        <v>0</v>
      </c>
      <c r="G441" s="88"/>
      <c r="H441" s="88"/>
      <c r="I441" s="87">
        <f>C441+F441+H441</f>
        <v>1250</v>
      </c>
      <c r="J441" s="88">
        <v>12.5</v>
      </c>
      <c r="K441" s="88">
        <v>0</v>
      </c>
      <c r="L441" s="88"/>
      <c r="M441" s="88"/>
      <c r="N441" s="88"/>
      <c r="O441" s="88"/>
      <c r="P441" s="87">
        <f t="shared" si="258"/>
        <v>1237.5</v>
      </c>
      <c r="Q441" s="98">
        <v>44167</v>
      </c>
      <c r="R441" s="120" t="s">
        <v>183</v>
      </c>
      <c r="S441" s="132" t="s">
        <v>185</v>
      </c>
    </row>
    <row r="442" spans="1:19" x14ac:dyDescent="0.2">
      <c r="A442" s="80" t="s">
        <v>95</v>
      </c>
      <c r="B442" s="81" t="s">
        <v>94</v>
      </c>
      <c r="C442" s="88">
        <v>800</v>
      </c>
      <c r="D442" s="88"/>
      <c r="E442" s="88"/>
      <c r="F442" s="88"/>
      <c r="G442" s="88"/>
      <c r="H442" s="88"/>
      <c r="I442" s="87">
        <f>C442+F442+H442</f>
        <v>800</v>
      </c>
      <c r="J442" s="88">
        <v>8</v>
      </c>
      <c r="K442" s="88"/>
      <c r="L442" s="88"/>
      <c r="M442" s="88"/>
      <c r="N442" s="88"/>
      <c r="O442" s="88"/>
      <c r="P442" s="87">
        <f t="shared" si="258"/>
        <v>792</v>
      </c>
      <c r="Q442" s="98">
        <v>44167</v>
      </c>
      <c r="R442" s="120" t="s">
        <v>183</v>
      </c>
      <c r="S442" s="132" t="s">
        <v>185</v>
      </c>
    </row>
    <row r="443" spans="1:19" x14ac:dyDescent="0.2">
      <c r="A443" s="80" t="s">
        <v>102</v>
      </c>
      <c r="B443" s="81" t="s">
        <v>104</v>
      </c>
      <c r="C443" s="88">
        <v>1250</v>
      </c>
      <c r="D443" s="88"/>
      <c r="E443" s="88"/>
      <c r="F443" s="88">
        <v>187.5</v>
      </c>
      <c r="G443" s="88"/>
      <c r="H443" s="88"/>
      <c r="I443" s="87">
        <f>C443+F443+H443</f>
        <v>1437.5</v>
      </c>
      <c r="J443" s="88">
        <v>14.375</v>
      </c>
      <c r="K443" s="88">
        <v>0</v>
      </c>
      <c r="L443" s="88"/>
      <c r="M443" s="88"/>
      <c r="N443" s="88"/>
      <c r="O443" s="88">
        <v>0</v>
      </c>
      <c r="P443" s="87">
        <f t="shared" si="258"/>
        <v>1423.125</v>
      </c>
      <c r="Q443" s="98">
        <v>44167</v>
      </c>
      <c r="R443" s="120" t="s">
        <v>183</v>
      </c>
      <c r="S443" s="132" t="s">
        <v>185</v>
      </c>
    </row>
    <row r="444" spans="1:19" x14ac:dyDescent="0.2">
      <c r="A444" s="80" t="s">
        <v>146</v>
      </c>
      <c r="B444" s="81" t="s">
        <v>151</v>
      </c>
      <c r="C444" s="88">
        <v>1062.5</v>
      </c>
      <c r="D444" s="88"/>
      <c r="E444" s="88"/>
      <c r="F444" s="88">
        <v>351.56</v>
      </c>
      <c r="G444" s="88"/>
      <c r="H444" s="88"/>
      <c r="I444" s="87">
        <f>C444+F444+G444+H444</f>
        <v>1414.06</v>
      </c>
      <c r="J444" s="88">
        <v>14.140599999999999</v>
      </c>
      <c r="K444" s="88">
        <v>0</v>
      </c>
      <c r="L444" s="88"/>
      <c r="M444" s="88"/>
      <c r="N444" s="88"/>
      <c r="O444" s="88"/>
      <c r="P444" s="87">
        <f t="shared" si="258"/>
        <v>1399.9194</v>
      </c>
      <c r="Q444" s="98">
        <v>44167</v>
      </c>
      <c r="R444" s="120" t="s">
        <v>183</v>
      </c>
      <c r="S444" s="132" t="s">
        <v>185</v>
      </c>
    </row>
    <row r="445" spans="1:19" x14ac:dyDescent="0.2">
      <c r="A445" s="80" t="s">
        <v>154</v>
      </c>
      <c r="B445" s="81" t="s">
        <v>101</v>
      </c>
      <c r="C445" s="88">
        <v>750</v>
      </c>
      <c r="D445" s="88"/>
      <c r="E445" s="88"/>
      <c r="F445" s="88">
        <v>0</v>
      </c>
      <c r="G445" s="88"/>
      <c r="H445" s="88"/>
      <c r="I445" s="87">
        <f>C445+F445+G445+H445</f>
        <v>750</v>
      </c>
      <c r="J445" s="88">
        <v>7.5</v>
      </c>
      <c r="K445" s="88">
        <v>0</v>
      </c>
      <c r="L445" s="88"/>
      <c r="M445" s="88"/>
      <c r="N445" s="88"/>
      <c r="O445" s="88"/>
      <c r="P445" s="87">
        <f t="shared" si="258"/>
        <v>742.5</v>
      </c>
      <c r="Q445" s="98">
        <v>44167</v>
      </c>
      <c r="R445" s="120" t="s">
        <v>183</v>
      </c>
      <c r="S445" s="132" t="s">
        <v>185</v>
      </c>
    </row>
    <row r="446" spans="1:19" ht="13.5" thickBot="1" x14ac:dyDescent="0.25">
      <c r="A446" s="80" t="s">
        <v>164</v>
      </c>
      <c r="B446" s="81" t="s">
        <v>170</v>
      </c>
      <c r="C446" s="95">
        <v>750</v>
      </c>
      <c r="D446" s="244"/>
      <c r="E446" s="244"/>
      <c r="F446" s="88">
        <v>0</v>
      </c>
      <c r="G446" s="95"/>
      <c r="H446" s="95"/>
      <c r="I446" s="245">
        <f>C446+F446+G446+H446</f>
        <v>750</v>
      </c>
      <c r="J446" s="244">
        <v>7.5</v>
      </c>
      <c r="K446" s="244">
        <v>0</v>
      </c>
      <c r="L446" s="95"/>
      <c r="M446" s="95"/>
      <c r="N446" s="95"/>
      <c r="O446" s="95"/>
      <c r="P446" s="245">
        <f t="shared" si="258"/>
        <v>742.5</v>
      </c>
      <c r="Q446" s="98">
        <v>44167</v>
      </c>
      <c r="R446" s="120" t="s">
        <v>183</v>
      </c>
      <c r="S446" s="132" t="s">
        <v>185</v>
      </c>
    </row>
    <row r="447" spans="1:19" s="93" customFormat="1" ht="13.5" thickBot="1" x14ac:dyDescent="0.25">
      <c r="A447" s="403" t="s">
        <v>0</v>
      </c>
      <c r="B447" s="404"/>
      <c r="C447" s="114">
        <f t="shared" ref="C447:P447" si="259">SUM(C435:C446)</f>
        <v>15495.9</v>
      </c>
      <c r="D447" s="114">
        <f t="shared" si="259"/>
        <v>0</v>
      </c>
      <c r="E447" s="114">
        <f t="shared" si="259"/>
        <v>0</v>
      </c>
      <c r="F447" s="114">
        <f t="shared" si="259"/>
        <v>4926.8900000000003</v>
      </c>
      <c r="G447" s="114">
        <f t="shared" si="259"/>
        <v>640</v>
      </c>
      <c r="H447" s="114">
        <f t="shared" si="259"/>
        <v>624</v>
      </c>
      <c r="I447" s="114">
        <f t="shared" si="259"/>
        <v>21146.79</v>
      </c>
      <c r="J447" s="114">
        <f t="shared" si="259"/>
        <v>157.8706</v>
      </c>
      <c r="K447" s="114">
        <f t="shared" si="259"/>
        <v>1890</v>
      </c>
      <c r="L447" s="114">
        <f t="shared" si="259"/>
        <v>-159.5</v>
      </c>
      <c r="M447" s="114">
        <f t="shared" si="259"/>
        <v>624</v>
      </c>
      <c r="N447" s="114">
        <f t="shared" si="259"/>
        <v>402.22500000000002</v>
      </c>
      <c r="O447" s="114">
        <f t="shared" si="259"/>
        <v>1225</v>
      </c>
      <c r="P447" s="114">
        <f t="shared" si="259"/>
        <v>16923.1944</v>
      </c>
      <c r="Q447" s="405" t="s">
        <v>0</v>
      </c>
      <c r="R447" s="406"/>
      <c r="S447" s="132"/>
    </row>
    <row r="448" spans="1:19" x14ac:dyDescent="0.2">
      <c r="A448" s="82" t="s">
        <v>25</v>
      </c>
      <c r="B448" s="83" t="s">
        <v>63</v>
      </c>
      <c r="C448" s="88">
        <v>3966.4</v>
      </c>
      <c r="D448" s="88">
        <v>11899.2</v>
      </c>
      <c r="E448" s="88">
        <v>17180.86</v>
      </c>
      <c r="F448" s="88">
        <v>3421.02</v>
      </c>
      <c r="G448" s="88">
        <v>1960</v>
      </c>
      <c r="H448" s="88">
        <v>2496</v>
      </c>
      <c r="I448" s="87">
        <f>C448+F448+H448</f>
        <v>9883.42</v>
      </c>
      <c r="J448" s="88">
        <v>594.88</v>
      </c>
      <c r="K448" s="88">
        <v>5335</v>
      </c>
      <c r="L448" s="88">
        <v>-638</v>
      </c>
      <c r="M448" s="88">
        <v>2496</v>
      </c>
      <c r="N448" s="88">
        <v>800.04</v>
      </c>
      <c r="O448" s="88">
        <v>4500</v>
      </c>
      <c r="P448" s="87">
        <f>C448+F448+G448-J448-K448-L448-M448-N448-O448+D448+E448</f>
        <v>25339.56</v>
      </c>
      <c r="Q448" s="98">
        <v>44174</v>
      </c>
      <c r="R448" s="242" t="s">
        <v>184</v>
      </c>
      <c r="S448" s="132" t="s">
        <v>185</v>
      </c>
    </row>
    <row r="449" spans="1:19" x14ac:dyDescent="0.2">
      <c r="A449" s="80" t="s">
        <v>26</v>
      </c>
      <c r="B449" s="81" t="s">
        <v>70</v>
      </c>
      <c r="C449" s="88">
        <v>1023.5</v>
      </c>
      <c r="D449" s="88">
        <v>3070.5</v>
      </c>
      <c r="E449" s="88">
        <v>4433.83</v>
      </c>
      <c r="F449" s="88"/>
      <c r="G449" s="88">
        <v>50</v>
      </c>
      <c r="H449" s="88"/>
      <c r="I449" s="87">
        <f>C449+F449+H449</f>
        <v>1023.5</v>
      </c>
      <c r="J449" s="88">
        <v>40.94</v>
      </c>
      <c r="K449" s="88"/>
      <c r="L449" s="88"/>
      <c r="M449" s="88"/>
      <c r="N449" s="88">
        <v>58.14</v>
      </c>
      <c r="O449" s="88">
        <v>200</v>
      </c>
      <c r="P449" s="87">
        <f t="shared" ref="P449:P459" si="260">C449+F449+G449-J449-K449-L449-M449-N449-O449+D449+E449</f>
        <v>8278.75</v>
      </c>
      <c r="Q449" s="98">
        <v>44174</v>
      </c>
      <c r="R449" s="242" t="s">
        <v>184</v>
      </c>
      <c r="S449" s="132" t="s">
        <v>185</v>
      </c>
    </row>
    <row r="450" spans="1:19" x14ac:dyDescent="0.2">
      <c r="A450" s="80" t="s">
        <v>3</v>
      </c>
      <c r="B450" s="81" t="s">
        <v>71</v>
      </c>
      <c r="C450" s="88">
        <v>1343.5</v>
      </c>
      <c r="D450" s="88">
        <v>4030.5</v>
      </c>
      <c r="E450" s="88">
        <v>5819.94</v>
      </c>
      <c r="F450" s="88">
        <v>0</v>
      </c>
      <c r="G450" s="88">
        <v>50</v>
      </c>
      <c r="H450" s="88"/>
      <c r="I450" s="87">
        <f>C450+F450+H450+G450</f>
        <v>1393.5</v>
      </c>
      <c r="J450" s="88">
        <v>53.74</v>
      </c>
      <c r="K450" s="88"/>
      <c r="L450" s="88"/>
      <c r="M450" s="88"/>
      <c r="N450" s="88">
        <v>76.295000000000002</v>
      </c>
      <c r="O450" s="88"/>
      <c r="P450" s="87">
        <f t="shared" si="260"/>
        <v>11113.904999999999</v>
      </c>
      <c r="Q450" s="98">
        <v>44174</v>
      </c>
      <c r="R450" s="242" t="s">
        <v>184</v>
      </c>
      <c r="S450" s="132" t="s">
        <v>185</v>
      </c>
    </row>
    <row r="451" spans="1:19" x14ac:dyDescent="0.2">
      <c r="A451" s="80" t="s">
        <v>31</v>
      </c>
      <c r="B451" s="81" t="s">
        <v>72</v>
      </c>
      <c r="C451" s="88">
        <v>1300</v>
      </c>
      <c r="D451" s="88">
        <v>3900</v>
      </c>
      <c r="E451" s="88">
        <v>5631.08</v>
      </c>
      <c r="F451" s="88">
        <v>0</v>
      </c>
      <c r="G451" s="88">
        <v>50</v>
      </c>
      <c r="H451" s="88"/>
      <c r="I451" s="87">
        <f>C451+F451+H451+G451</f>
        <v>1350</v>
      </c>
      <c r="J451" s="88">
        <v>52</v>
      </c>
      <c r="K451" s="88"/>
      <c r="L451" s="88"/>
      <c r="M451" s="88"/>
      <c r="N451" s="88">
        <v>67.78</v>
      </c>
      <c r="O451" s="88"/>
      <c r="P451" s="87">
        <f t="shared" si="260"/>
        <v>10761.3</v>
      </c>
      <c r="Q451" s="98">
        <v>44174</v>
      </c>
      <c r="R451" s="242" t="s">
        <v>184</v>
      </c>
      <c r="S451" s="132" t="s">
        <v>185</v>
      </c>
    </row>
    <row r="452" spans="1:19" x14ac:dyDescent="0.2">
      <c r="A452" s="80" t="s">
        <v>69</v>
      </c>
      <c r="B452" s="81" t="s">
        <v>73</v>
      </c>
      <c r="C452" s="88">
        <v>1000</v>
      </c>
      <c r="D452" s="88">
        <v>3000</v>
      </c>
      <c r="E452" s="88">
        <v>4331.6000000000004</v>
      </c>
      <c r="F452" s="88">
        <v>0</v>
      </c>
      <c r="G452" s="88"/>
      <c r="H452" s="88"/>
      <c r="I452" s="87">
        <f>C452+F452+H452</f>
        <v>1000</v>
      </c>
      <c r="J452" s="88">
        <v>40</v>
      </c>
      <c r="K452" s="88"/>
      <c r="L452" s="88"/>
      <c r="M452" s="88"/>
      <c r="N452" s="88"/>
      <c r="O452" s="88">
        <v>1000</v>
      </c>
      <c r="P452" s="87">
        <f t="shared" si="260"/>
        <v>7291.6</v>
      </c>
      <c r="Q452" s="98">
        <v>44174</v>
      </c>
      <c r="R452" s="242" t="s">
        <v>184</v>
      </c>
      <c r="S452" s="132" t="s">
        <v>185</v>
      </c>
    </row>
    <row r="453" spans="1:19" x14ac:dyDescent="0.2">
      <c r="A453" s="80" t="s">
        <v>79</v>
      </c>
      <c r="B453" s="81" t="s">
        <v>91</v>
      </c>
      <c r="C453" s="88">
        <v>1000</v>
      </c>
      <c r="D453" s="88">
        <v>2996.79</v>
      </c>
      <c r="E453" s="88">
        <v>4326.97</v>
      </c>
      <c r="F453" s="88">
        <v>0</v>
      </c>
      <c r="G453" s="88"/>
      <c r="H453" s="88"/>
      <c r="I453" s="87">
        <f>C453+F453+H453</f>
        <v>1000</v>
      </c>
      <c r="J453" s="88">
        <v>39.97</v>
      </c>
      <c r="K453" s="88">
        <v>0</v>
      </c>
      <c r="L453" s="88"/>
      <c r="M453" s="88"/>
      <c r="N453" s="88"/>
      <c r="O453" s="88"/>
      <c r="P453" s="87">
        <f t="shared" si="260"/>
        <v>8283.7900000000009</v>
      </c>
      <c r="Q453" s="98">
        <v>44174</v>
      </c>
      <c r="R453" s="242" t="s">
        <v>184</v>
      </c>
      <c r="S453" s="132" t="s">
        <v>185</v>
      </c>
    </row>
    <row r="454" spans="1:19" x14ac:dyDescent="0.2">
      <c r="A454" s="80" t="s">
        <v>92</v>
      </c>
      <c r="B454" s="81" t="s">
        <v>93</v>
      </c>
      <c r="C454" s="88">
        <v>1250</v>
      </c>
      <c r="D454" s="88">
        <v>705.13</v>
      </c>
      <c r="E454" s="88">
        <v>1018.11</v>
      </c>
      <c r="F454" s="88">
        <v>0</v>
      </c>
      <c r="G454" s="88"/>
      <c r="H454" s="88"/>
      <c r="I454" s="87">
        <f>C454+F454+H454</f>
        <v>1250</v>
      </c>
      <c r="J454" s="88">
        <v>19.55</v>
      </c>
      <c r="K454" s="88">
        <v>0</v>
      </c>
      <c r="L454" s="88"/>
      <c r="M454" s="88"/>
      <c r="N454" s="88"/>
      <c r="O454" s="88"/>
      <c r="P454" s="87">
        <f t="shared" si="260"/>
        <v>2953.69</v>
      </c>
      <c r="Q454" s="98">
        <v>44174</v>
      </c>
      <c r="R454" s="242" t="s">
        <v>184</v>
      </c>
      <c r="S454" s="132" t="s">
        <v>185</v>
      </c>
    </row>
    <row r="455" spans="1:19" x14ac:dyDescent="0.2">
      <c r="A455" s="80" t="s">
        <v>95</v>
      </c>
      <c r="B455" s="81" t="s">
        <v>94</v>
      </c>
      <c r="C455" s="88">
        <v>800</v>
      </c>
      <c r="D455" s="88">
        <v>656.41</v>
      </c>
      <c r="E455" s="88">
        <v>947.77</v>
      </c>
      <c r="F455" s="88">
        <v>0</v>
      </c>
      <c r="G455" s="88"/>
      <c r="H455" s="88"/>
      <c r="I455" s="87">
        <f>C455+F455+H455</f>
        <v>800</v>
      </c>
      <c r="J455" s="88">
        <v>14.56</v>
      </c>
      <c r="K455" s="88"/>
      <c r="L455" s="88"/>
      <c r="M455" s="88"/>
      <c r="N455" s="88"/>
      <c r="O455" s="88"/>
      <c r="P455" s="87">
        <f t="shared" si="260"/>
        <v>2389.62</v>
      </c>
      <c r="Q455" s="98">
        <v>44174</v>
      </c>
      <c r="R455" s="242" t="s">
        <v>184</v>
      </c>
      <c r="S455" s="132" t="s">
        <v>185</v>
      </c>
    </row>
    <row r="456" spans="1:19" x14ac:dyDescent="0.2">
      <c r="A456" s="80" t="s">
        <v>102</v>
      </c>
      <c r="B456" s="81" t="s">
        <v>104</v>
      </c>
      <c r="C456" s="88">
        <v>1000</v>
      </c>
      <c r="D456" s="88">
        <v>801.28</v>
      </c>
      <c r="E456" s="88">
        <v>1156.94</v>
      </c>
      <c r="F456" s="88">
        <v>0</v>
      </c>
      <c r="G456" s="88"/>
      <c r="H456" s="88"/>
      <c r="I456" s="87">
        <f>C456+F456+H456</f>
        <v>1000</v>
      </c>
      <c r="J456" s="88">
        <v>18.010000000000002</v>
      </c>
      <c r="K456" s="88">
        <v>0</v>
      </c>
      <c r="L456" s="88"/>
      <c r="M456" s="88"/>
      <c r="N456" s="88"/>
      <c r="O456" s="88">
        <v>0</v>
      </c>
      <c r="P456" s="87">
        <f t="shared" si="260"/>
        <v>2940.21</v>
      </c>
      <c r="Q456" s="98">
        <v>44174</v>
      </c>
      <c r="R456" s="242" t="s">
        <v>184</v>
      </c>
      <c r="S456" s="132" t="s">
        <v>185</v>
      </c>
    </row>
    <row r="457" spans="1:19" x14ac:dyDescent="0.2">
      <c r="A457" s="80" t="s">
        <v>146</v>
      </c>
      <c r="B457" s="81" t="s">
        <v>151</v>
      </c>
      <c r="C457" s="88">
        <v>1250</v>
      </c>
      <c r="D457" s="88">
        <v>1490.38</v>
      </c>
      <c r="E457" s="88">
        <v>2151.92</v>
      </c>
      <c r="F457" s="88">
        <v>70.31</v>
      </c>
      <c r="G457" s="88"/>
      <c r="H457" s="88"/>
      <c r="I457" s="87">
        <f>C457+F457+G457+H457</f>
        <v>1320.31</v>
      </c>
      <c r="J457" s="88">
        <v>28.11</v>
      </c>
      <c r="K457" s="88">
        <v>0</v>
      </c>
      <c r="L457" s="88"/>
      <c r="M457" s="88"/>
      <c r="N457" s="88"/>
      <c r="O457" s="88"/>
      <c r="P457" s="87">
        <f t="shared" si="260"/>
        <v>4934.5</v>
      </c>
      <c r="Q457" s="98">
        <v>44174</v>
      </c>
      <c r="R457" s="242" t="s">
        <v>184</v>
      </c>
      <c r="S457" s="132" t="s">
        <v>185</v>
      </c>
    </row>
    <row r="458" spans="1:19" x14ac:dyDescent="0.2">
      <c r="A458" s="80" t="s">
        <v>154</v>
      </c>
      <c r="B458" s="81" t="s">
        <v>101</v>
      </c>
      <c r="C458" s="88">
        <v>0</v>
      </c>
      <c r="D458" s="88"/>
      <c r="E458" s="88">
        <v>1457.75</v>
      </c>
      <c r="F458" s="88">
        <v>0</v>
      </c>
      <c r="G458" s="88"/>
      <c r="H458" s="88"/>
      <c r="I458" s="87">
        <f>C458+F458+G458+H458</f>
        <v>0</v>
      </c>
      <c r="J458" s="88">
        <v>0</v>
      </c>
      <c r="K458" s="88">
        <v>0</v>
      </c>
      <c r="L458" s="88"/>
      <c r="M458" s="88"/>
      <c r="N458" s="88"/>
      <c r="O458" s="88"/>
      <c r="P458" s="87">
        <f t="shared" si="260"/>
        <v>1457.75</v>
      </c>
      <c r="Q458" s="98">
        <v>44174</v>
      </c>
      <c r="R458" s="242" t="s">
        <v>184</v>
      </c>
      <c r="S458" s="132" t="s">
        <v>185</v>
      </c>
    </row>
    <row r="459" spans="1:19" ht="13.5" thickBot="1" x14ac:dyDescent="0.25">
      <c r="A459" s="288" t="s">
        <v>164</v>
      </c>
      <c r="B459" s="243" t="s">
        <v>170</v>
      </c>
      <c r="C459" s="244">
        <v>0</v>
      </c>
      <c r="D459" s="244"/>
      <c r="E459" s="244">
        <v>925.56</v>
      </c>
      <c r="F459" s="244">
        <v>0</v>
      </c>
      <c r="G459" s="244"/>
      <c r="H459" s="244"/>
      <c r="I459" s="245">
        <f>C459+F459+G459+H459</f>
        <v>0</v>
      </c>
      <c r="J459" s="244">
        <v>0</v>
      </c>
      <c r="K459" s="244">
        <v>0</v>
      </c>
      <c r="L459" s="244"/>
      <c r="M459" s="244"/>
      <c r="N459" s="244"/>
      <c r="O459" s="244"/>
      <c r="P459" s="245">
        <f t="shared" si="260"/>
        <v>925.56</v>
      </c>
      <c r="Q459" s="246">
        <v>44174</v>
      </c>
      <c r="R459" s="289" t="s">
        <v>184</v>
      </c>
      <c r="S459" s="132" t="s">
        <v>185</v>
      </c>
    </row>
    <row r="460" spans="1:19" s="93" customFormat="1" ht="13.5" thickBot="1" x14ac:dyDescent="0.25">
      <c r="A460" s="403" t="s">
        <v>0</v>
      </c>
      <c r="B460" s="404"/>
      <c r="C460" s="114">
        <f t="shared" ref="C460:P460" si="261">SUM(C448:C459)</f>
        <v>13933.4</v>
      </c>
      <c r="D460" s="114">
        <f t="shared" si="261"/>
        <v>32550.190000000002</v>
      </c>
      <c r="E460" s="114">
        <f t="shared" si="261"/>
        <v>49382.329999999994</v>
      </c>
      <c r="F460" s="114">
        <f t="shared" si="261"/>
        <v>3491.33</v>
      </c>
      <c r="G460" s="114">
        <f t="shared" si="261"/>
        <v>2110</v>
      </c>
      <c r="H460" s="114">
        <f t="shared" si="261"/>
        <v>2496</v>
      </c>
      <c r="I460" s="114">
        <f t="shared" si="261"/>
        <v>20020.73</v>
      </c>
      <c r="J460" s="114">
        <f t="shared" si="261"/>
        <v>901.75999999999988</v>
      </c>
      <c r="K460" s="114">
        <f t="shared" si="261"/>
        <v>5335</v>
      </c>
      <c r="L460" s="114">
        <f t="shared" si="261"/>
        <v>-638</v>
      </c>
      <c r="M460" s="114">
        <f t="shared" si="261"/>
        <v>2496</v>
      </c>
      <c r="N460" s="114">
        <f t="shared" si="261"/>
        <v>1002.2549999999999</v>
      </c>
      <c r="O460" s="114">
        <f t="shared" si="261"/>
        <v>5700</v>
      </c>
      <c r="P460" s="114">
        <f t="shared" si="261"/>
        <v>86670.235000000001</v>
      </c>
      <c r="Q460" s="405" t="s">
        <v>0</v>
      </c>
      <c r="R460" s="406"/>
      <c r="S460" s="132"/>
    </row>
    <row r="461" spans="1:19" x14ac:dyDescent="0.2">
      <c r="A461" s="290" t="s">
        <v>25</v>
      </c>
      <c r="B461" s="291" t="s">
        <v>63</v>
      </c>
      <c r="C461" s="94">
        <v>3966.4</v>
      </c>
      <c r="D461" s="94"/>
      <c r="E461" s="94"/>
      <c r="F461" s="94">
        <v>0</v>
      </c>
      <c r="G461" s="94">
        <v>0</v>
      </c>
      <c r="H461" s="94">
        <v>0</v>
      </c>
      <c r="I461" s="94">
        <f>C461+F461+H461</f>
        <v>3966.4</v>
      </c>
      <c r="J461" s="94">
        <v>37.18</v>
      </c>
      <c r="K461" s="94">
        <v>426</v>
      </c>
      <c r="L461" s="94">
        <v>0</v>
      </c>
      <c r="M461" s="94">
        <v>0</v>
      </c>
      <c r="N461" s="94">
        <v>200.01</v>
      </c>
      <c r="O461" s="94">
        <v>0</v>
      </c>
      <c r="P461" s="94">
        <f t="shared" ref="P461:P470" si="262">C461+F461+G461-J461-K461-L461-M461-N461-O461</f>
        <v>3303.21</v>
      </c>
      <c r="Q461" s="100">
        <v>44181</v>
      </c>
      <c r="R461" s="294" t="s">
        <v>200</v>
      </c>
      <c r="S461" s="132" t="s">
        <v>185</v>
      </c>
    </row>
    <row r="462" spans="1:19" x14ac:dyDescent="0.2">
      <c r="A462" s="292" t="s">
        <v>26</v>
      </c>
      <c r="B462" s="81" t="s">
        <v>70</v>
      </c>
      <c r="C462" s="88">
        <v>1023.5</v>
      </c>
      <c r="D462" s="88"/>
      <c r="E462" s="88"/>
      <c r="F462" s="88"/>
      <c r="G462" s="88">
        <v>50</v>
      </c>
      <c r="H462" s="88"/>
      <c r="I462" s="87">
        <f>C462+F462+H462</f>
        <v>1023.5</v>
      </c>
      <c r="J462" s="88">
        <v>10.234999999999999</v>
      </c>
      <c r="K462" s="88"/>
      <c r="L462" s="88"/>
      <c r="M462" s="88"/>
      <c r="N462" s="88">
        <v>58.14</v>
      </c>
      <c r="O462" s="88">
        <v>0</v>
      </c>
      <c r="P462" s="87">
        <f t="shared" si="262"/>
        <v>1005.1250000000001</v>
      </c>
      <c r="Q462" s="98">
        <v>44181</v>
      </c>
      <c r="R462" s="113" t="s">
        <v>200</v>
      </c>
      <c r="S462" s="132" t="s">
        <v>185</v>
      </c>
    </row>
    <row r="463" spans="1:19" x14ac:dyDescent="0.2">
      <c r="A463" s="292" t="s">
        <v>3</v>
      </c>
      <c r="B463" s="81" t="s">
        <v>71</v>
      </c>
      <c r="C463" s="88">
        <v>1343.5</v>
      </c>
      <c r="D463" s="88"/>
      <c r="E463" s="88"/>
      <c r="F463" s="88">
        <v>0</v>
      </c>
      <c r="G463" s="88">
        <v>50</v>
      </c>
      <c r="H463" s="88"/>
      <c r="I463" s="87">
        <f>C463+F463+H463+G463</f>
        <v>1393.5</v>
      </c>
      <c r="J463" s="88">
        <v>13.44</v>
      </c>
      <c r="K463" s="88"/>
      <c r="L463" s="88"/>
      <c r="M463" s="88"/>
      <c r="N463" s="88">
        <v>76.295000000000002</v>
      </c>
      <c r="O463" s="88"/>
      <c r="P463" s="87">
        <f t="shared" si="262"/>
        <v>1303.7649999999999</v>
      </c>
      <c r="Q463" s="99">
        <v>44181</v>
      </c>
      <c r="R463" s="295" t="s">
        <v>200</v>
      </c>
      <c r="S463" s="132" t="s">
        <v>185</v>
      </c>
    </row>
    <row r="464" spans="1:19" x14ac:dyDescent="0.2">
      <c r="A464" s="292" t="s">
        <v>31</v>
      </c>
      <c r="B464" s="81" t="s">
        <v>72</v>
      </c>
      <c r="C464" s="88">
        <v>1300</v>
      </c>
      <c r="D464" s="88"/>
      <c r="E464" s="88"/>
      <c r="F464" s="88">
        <v>0</v>
      </c>
      <c r="G464" s="88">
        <v>50</v>
      </c>
      <c r="H464" s="88"/>
      <c r="I464" s="87">
        <f>C464+F464+H464+G464</f>
        <v>1350</v>
      </c>
      <c r="J464" s="88">
        <v>13</v>
      </c>
      <c r="K464" s="88"/>
      <c r="L464" s="88"/>
      <c r="M464" s="88"/>
      <c r="N464" s="88">
        <v>67.78</v>
      </c>
      <c r="O464" s="88"/>
      <c r="P464" s="87">
        <f t="shared" si="262"/>
        <v>1269.22</v>
      </c>
      <c r="Q464" s="98">
        <v>44181</v>
      </c>
      <c r="R464" s="113" t="s">
        <v>200</v>
      </c>
      <c r="S464" s="132" t="s">
        <v>185</v>
      </c>
    </row>
    <row r="465" spans="1:21" x14ac:dyDescent="0.2">
      <c r="A465" s="292" t="s">
        <v>69</v>
      </c>
      <c r="B465" s="81" t="s">
        <v>73</v>
      </c>
      <c r="C465" s="88">
        <v>1000</v>
      </c>
      <c r="D465" s="88"/>
      <c r="E465" s="88"/>
      <c r="F465" s="88">
        <v>0</v>
      </c>
      <c r="G465" s="88"/>
      <c r="H465" s="88"/>
      <c r="I465" s="87">
        <f>C465+F465+H465</f>
        <v>1000</v>
      </c>
      <c r="J465" s="88">
        <v>10</v>
      </c>
      <c r="K465" s="88"/>
      <c r="L465" s="88"/>
      <c r="M465" s="88"/>
      <c r="N465" s="88"/>
      <c r="O465" s="88"/>
      <c r="P465" s="87">
        <f t="shared" si="262"/>
        <v>990</v>
      </c>
      <c r="Q465" s="99">
        <v>44181</v>
      </c>
      <c r="R465" s="295" t="s">
        <v>200</v>
      </c>
      <c r="S465" s="132" t="s">
        <v>185</v>
      </c>
    </row>
    <row r="466" spans="1:21" x14ac:dyDescent="0.2">
      <c r="A466" s="292" t="s">
        <v>79</v>
      </c>
      <c r="B466" s="81" t="s">
        <v>91</v>
      </c>
      <c r="C466" s="88">
        <v>1250</v>
      </c>
      <c r="D466" s="88"/>
      <c r="E466" s="88"/>
      <c r="F466" s="88">
        <v>0</v>
      </c>
      <c r="G466" s="88"/>
      <c r="H466" s="88"/>
      <c r="I466" s="87">
        <f>C466+F466+H466</f>
        <v>1250</v>
      </c>
      <c r="J466" s="88">
        <v>12.5</v>
      </c>
      <c r="K466" s="88">
        <v>0</v>
      </c>
      <c r="L466" s="88"/>
      <c r="M466" s="88"/>
      <c r="N466" s="88"/>
      <c r="O466" s="88"/>
      <c r="P466" s="87">
        <f t="shared" si="262"/>
        <v>1237.5</v>
      </c>
      <c r="Q466" s="98">
        <v>44181</v>
      </c>
      <c r="R466" s="113" t="s">
        <v>200</v>
      </c>
      <c r="S466" s="132" t="s">
        <v>185</v>
      </c>
    </row>
    <row r="467" spans="1:21" x14ac:dyDescent="0.2">
      <c r="A467" s="292" t="s">
        <v>92</v>
      </c>
      <c r="B467" s="81" t="s">
        <v>93</v>
      </c>
      <c r="C467" s="88">
        <v>1250</v>
      </c>
      <c r="D467" s="88"/>
      <c r="E467" s="88"/>
      <c r="F467" s="88">
        <v>0</v>
      </c>
      <c r="G467" s="88"/>
      <c r="H467" s="88"/>
      <c r="I467" s="87">
        <f>C467+F467+H467</f>
        <v>1250</v>
      </c>
      <c r="J467" s="88">
        <v>12.5</v>
      </c>
      <c r="K467" s="88">
        <v>0</v>
      </c>
      <c r="L467" s="88"/>
      <c r="M467" s="88"/>
      <c r="N467" s="88"/>
      <c r="O467" s="88"/>
      <c r="P467" s="87">
        <f t="shared" si="262"/>
        <v>1237.5</v>
      </c>
      <c r="Q467" s="99">
        <v>44181</v>
      </c>
      <c r="R467" s="295" t="s">
        <v>200</v>
      </c>
      <c r="S467" s="132" t="s">
        <v>185</v>
      </c>
    </row>
    <row r="468" spans="1:21" x14ac:dyDescent="0.2">
      <c r="A468" s="292" t="s">
        <v>95</v>
      </c>
      <c r="B468" s="81" t="s">
        <v>94</v>
      </c>
      <c r="C468" s="88">
        <v>800</v>
      </c>
      <c r="D468" s="88"/>
      <c r="E468" s="88"/>
      <c r="F468" s="88"/>
      <c r="G468" s="88"/>
      <c r="H468" s="88"/>
      <c r="I468" s="87">
        <f>C468+F468+H468</f>
        <v>800</v>
      </c>
      <c r="J468" s="88">
        <v>8</v>
      </c>
      <c r="K468" s="88"/>
      <c r="L468" s="88"/>
      <c r="M468" s="88"/>
      <c r="N468" s="88"/>
      <c r="O468" s="88"/>
      <c r="P468" s="87">
        <f t="shared" si="262"/>
        <v>792</v>
      </c>
      <c r="Q468" s="98">
        <v>44181</v>
      </c>
      <c r="R468" s="113" t="s">
        <v>200</v>
      </c>
      <c r="S468" s="132" t="s">
        <v>185</v>
      </c>
    </row>
    <row r="469" spans="1:21" x14ac:dyDescent="0.2">
      <c r="A469" s="292" t="s">
        <v>102</v>
      </c>
      <c r="B469" s="81" t="s">
        <v>104</v>
      </c>
      <c r="C469" s="88">
        <v>1000</v>
      </c>
      <c r="D469" s="88"/>
      <c r="E469" s="88"/>
      <c r="F469" s="88">
        <v>0</v>
      </c>
      <c r="G469" s="88"/>
      <c r="H469" s="88"/>
      <c r="I469" s="87">
        <f>C469+F469+H469</f>
        <v>1000</v>
      </c>
      <c r="J469" s="88">
        <v>10</v>
      </c>
      <c r="K469" s="88">
        <v>0</v>
      </c>
      <c r="L469" s="88"/>
      <c r="M469" s="88"/>
      <c r="N469" s="88"/>
      <c r="O469" s="88">
        <v>0</v>
      </c>
      <c r="P469" s="87">
        <f t="shared" si="262"/>
        <v>990</v>
      </c>
      <c r="Q469" s="97">
        <v>44181</v>
      </c>
      <c r="R469" s="293" t="s">
        <v>200</v>
      </c>
      <c r="S469" s="132" t="s">
        <v>185</v>
      </c>
    </row>
    <row r="470" spans="1:21" ht="13.5" thickBot="1" x14ac:dyDescent="0.25">
      <c r="A470" s="82" t="s">
        <v>146</v>
      </c>
      <c r="B470" s="83" t="s">
        <v>151</v>
      </c>
      <c r="C470" s="87">
        <v>1250</v>
      </c>
      <c r="D470" s="87"/>
      <c r="E470" s="87"/>
      <c r="F470" s="87">
        <v>0</v>
      </c>
      <c r="G470" s="87"/>
      <c r="H470" s="87"/>
      <c r="I470" s="87">
        <f>C470+F470+G470+H470</f>
        <v>1250</v>
      </c>
      <c r="J470" s="87">
        <v>12.5</v>
      </c>
      <c r="K470" s="87">
        <v>0</v>
      </c>
      <c r="L470" s="87"/>
      <c r="M470" s="87"/>
      <c r="N470" s="87"/>
      <c r="O470" s="87"/>
      <c r="P470" s="87">
        <f t="shared" si="262"/>
        <v>1237.5</v>
      </c>
      <c r="Q470" s="97">
        <v>44181</v>
      </c>
      <c r="R470" s="293" t="s">
        <v>200</v>
      </c>
      <c r="S470" s="132" t="s">
        <v>185</v>
      </c>
    </row>
    <row r="471" spans="1:21" s="93" customFormat="1" ht="13.5" thickBot="1" x14ac:dyDescent="0.25">
      <c r="A471" s="403" t="s">
        <v>0</v>
      </c>
      <c r="B471" s="404"/>
      <c r="C471" s="114">
        <f t="shared" ref="C471:P471" si="263">SUM(C461:C470)</f>
        <v>14183.4</v>
      </c>
      <c r="D471" s="114">
        <f t="shared" si="263"/>
        <v>0</v>
      </c>
      <c r="E471" s="114">
        <f t="shared" si="263"/>
        <v>0</v>
      </c>
      <c r="F471" s="114">
        <f t="shared" si="263"/>
        <v>0</v>
      </c>
      <c r="G471" s="114">
        <f t="shared" si="263"/>
        <v>150</v>
      </c>
      <c r="H471" s="114">
        <f t="shared" si="263"/>
        <v>0</v>
      </c>
      <c r="I471" s="114">
        <f t="shared" si="263"/>
        <v>14283.4</v>
      </c>
      <c r="J471" s="114">
        <f t="shared" si="263"/>
        <v>139.35499999999999</v>
      </c>
      <c r="K471" s="114">
        <f t="shared" si="263"/>
        <v>426</v>
      </c>
      <c r="L471" s="114">
        <f t="shared" si="263"/>
        <v>0</v>
      </c>
      <c r="M471" s="114">
        <f t="shared" si="263"/>
        <v>0</v>
      </c>
      <c r="N471" s="114">
        <f t="shared" si="263"/>
        <v>402.22500000000002</v>
      </c>
      <c r="O471" s="114">
        <f t="shared" si="263"/>
        <v>0</v>
      </c>
      <c r="P471" s="114">
        <f t="shared" si="263"/>
        <v>13365.82</v>
      </c>
      <c r="Q471" s="405" t="s">
        <v>0</v>
      </c>
      <c r="R471" s="406"/>
      <c r="S471" s="132"/>
    </row>
    <row r="472" spans="1:21" s="140" customFormat="1" ht="13.5" thickBot="1" x14ac:dyDescent="0.25">
      <c r="A472" s="401" t="s">
        <v>88</v>
      </c>
      <c r="B472" s="402"/>
      <c r="C472" s="155">
        <f t="shared" ref="C472:P472" si="264">C447+C460+C471</f>
        <v>43612.7</v>
      </c>
      <c r="D472" s="155">
        <f t="shared" si="264"/>
        <v>32550.190000000002</v>
      </c>
      <c r="E472" s="155">
        <f t="shared" si="264"/>
        <v>49382.329999999994</v>
      </c>
      <c r="F472" s="155">
        <f t="shared" si="264"/>
        <v>8418.2200000000012</v>
      </c>
      <c r="G472" s="155">
        <f t="shared" si="264"/>
        <v>2900</v>
      </c>
      <c r="H472" s="155">
        <f t="shared" si="264"/>
        <v>3120</v>
      </c>
      <c r="I472" s="155">
        <f t="shared" si="264"/>
        <v>55450.920000000006</v>
      </c>
      <c r="J472" s="155">
        <f t="shared" si="264"/>
        <v>1198.9856</v>
      </c>
      <c r="K472" s="155">
        <f t="shared" si="264"/>
        <v>7651</v>
      </c>
      <c r="L472" s="155">
        <f t="shared" si="264"/>
        <v>-797.5</v>
      </c>
      <c r="M472" s="155">
        <f t="shared" si="264"/>
        <v>3120</v>
      </c>
      <c r="N472" s="155">
        <f t="shared" si="264"/>
        <v>1806.7049999999999</v>
      </c>
      <c r="O472" s="155">
        <f t="shared" si="264"/>
        <v>6925</v>
      </c>
      <c r="P472" s="155">
        <f t="shared" si="264"/>
        <v>116959.2494</v>
      </c>
      <c r="Q472" s="174"/>
      <c r="R472" s="144"/>
      <c r="S472" s="139"/>
    </row>
    <row r="473" spans="1:21" s="162" customFormat="1" x14ac:dyDescent="0.2">
      <c r="A473" s="159" t="s">
        <v>8</v>
      </c>
      <c r="B473" s="165" t="s">
        <v>96</v>
      </c>
      <c r="C473" s="163">
        <v>13502</v>
      </c>
      <c r="D473" s="163"/>
      <c r="E473" s="163"/>
      <c r="F473" s="163"/>
      <c r="G473" s="163"/>
      <c r="H473" s="163">
        <v>5624</v>
      </c>
      <c r="I473" s="87">
        <f>C473+F473+H473</f>
        <v>19126</v>
      </c>
      <c r="J473" s="163"/>
      <c r="K473" s="163">
        <v>2355</v>
      </c>
      <c r="L473" s="163">
        <v>-853</v>
      </c>
      <c r="M473" s="160"/>
      <c r="N473" s="160"/>
      <c r="O473" s="160"/>
      <c r="P473" s="87">
        <f>C473+F473+G473-J473-K473-L473-M473-N473-O473</f>
        <v>12000</v>
      </c>
      <c r="Q473" s="160"/>
      <c r="R473" s="87">
        <f>C473+H473+I473-L473-M473-N473-O473-P473-Q473</f>
        <v>27105</v>
      </c>
      <c r="S473" s="169"/>
      <c r="T473" s="170"/>
      <c r="U473" s="161"/>
    </row>
    <row r="474" spans="1:21" s="162" customFormat="1" x14ac:dyDescent="0.2">
      <c r="A474" s="159" t="s">
        <v>27</v>
      </c>
      <c r="B474" s="165" t="s">
        <v>97</v>
      </c>
      <c r="C474" s="163">
        <v>13717</v>
      </c>
      <c r="D474" s="163"/>
      <c r="E474" s="163"/>
      <c r="F474" s="163"/>
      <c r="G474" s="163"/>
      <c r="H474" s="163">
        <v>5409</v>
      </c>
      <c r="I474" s="87">
        <f>C474+F474+H474</f>
        <v>19126</v>
      </c>
      <c r="J474" s="163"/>
      <c r="K474" s="163">
        <v>2355</v>
      </c>
      <c r="L474" s="163">
        <v>-638</v>
      </c>
      <c r="M474" s="163"/>
      <c r="N474" s="163"/>
      <c r="O474" s="163"/>
      <c r="P474" s="87">
        <f>C474+F474+G474-J474-K474-L474-M474-N474-O474</f>
        <v>12000</v>
      </c>
      <c r="Q474" s="163"/>
      <c r="R474" s="87">
        <f>C474+H474+I474-L474-M474-N474-O474-P474-Q474</f>
        <v>26890</v>
      </c>
      <c r="S474" s="169"/>
      <c r="T474" s="170"/>
      <c r="U474" s="161"/>
    </row>
    <row r="475" spans="1:21" s="162" customFormat="1" ht="13.5" thickBot="1" x14ac:dyDescent="0.25">
      <c r="A475" s="159" t="s">
        <v>6</v>
      </c>
      <c r="B475" s="165" t="s">
        <v>98</v>
      </c>
      <c r="C475" s="164">
        <v>12643.72</v>
      </c>
      <c r="D475" s="164"/>
      <c r="E475" s="164"/>
      <c r="F475" s="164"/>
      <c r="G475" s="164"/>
      <c r="H475" s="164">
        <v>2812</v>
      </c>
      <c r="I475" s="87">
        <f>C475+F475+H475</f>
        <v>15455.72</v>
      </c>
      <c r="J475" s="164">
        <v>148.72</v>
      </c>
      <c r="K475" s="164">
        <v>1536</v>
      </c>
      <c r="L475" s="164">
        <v>-853</v>
      </c>
      <c r="M475" s="164">
        <v>2812</v>
      </c>
      <c r="N475" s="164"/>
      <c r="O475" s="164"/>
      <c r="P475" s="87">
        <f>C475+F475+G475-J475-K475-L475-M475-N475-O475</f>
        <v>9000</v>
      </c>
      <c r="Q475" s="164"/>
      <c r="R475" s="87">
        <f>C475+H475+I475-L475-M475-N475-O475-P475-Q475</f>
        <v>19952.439999999999</v>
      </c>
      <c r="S475" s="169"/>
      <c r="T475" s="170"/>
      <c r="U475" s="161"/>
    </row>
    <row r="476" spans="1:21" s="131" customFormat="1" ht="13.5" thickBot="1" x14ac:dyDescent="0.25">
      <c r="A476" s="415" t="s">
        <v>89</v>
      </c>
      <c r="B476" s="416"/>
      <c r="C476" s="158">
        <f t="shared" ref="C476:P476" si="265">SUM(C473:C475)</f>
        <v>39862.720000000001</v>
      </c>
      <c r="D476" s="158">
        <f t="shared" si="265"/>
        <v>0</v>
      </c>
      <c r="E476" s="158">
        <f t="shared" si="265"/>
        <v>0</v>
      </c>
      <c r="F476" s="158">
        <f t="shared" si="265"/>
        <v>0</v>
      </c>
      <c r="G476" s="158">
        <f t="shared" si="265"/>
        <v>0</v>
      </c>
      <c r="H476" s="158">
        <f t="shared" si="265"/>
        <v>13845</v>
      </c>
      <c r="I476" s="158">
        <f t="shared" si="265"/>
        <v>53707.72</v>
      </c>
      <c r="J476" s="158">
        <f t="shared" si="265"/>
        <v>148.72</v>
      </c>
      <c r="K476" s="158">
        <f t="shared" si="265"/>
        <v>6246</v>
      </c>
      <c r="L476" s="158">
        <f t="shared" si="265"/>
        <v>-2344</v>
      </c>
      <c r="M476" s="158">
        <f t="shared" si="265"/>
        <v>2812</v>
      </c>
      <c r="N476" s="158">
        <f t="shared" si="265"/>
        <v>0</v>
      </c>
      <c r="O476" s="158">
        <f t="shared" si="265"/>
        <v>0</v>
      </c>
      <c r="P476" s="158">
        <f t="shared" si="265"/>
        <v>33000</v>
      </c>
      <c r="Q476" s="175"/>
      <c r="R476" s="130"/>
      <c r="S476" s="134"/>
    </row>
    <row r="477" spans="1:21" s="131" customFormat="1" ht="13.5" thickBot="1" x14ac:dyDescent="0.25">
      <c r="A477" s="417" t="s">
        <v>90</v>
      </c>
      <c r="B477" s="417"/>
      <c r="C477" s="141"/>
      <c r="D477" s="141"/>
      <c r="E477" s="141"/>
      <c r="F477" s="141"/>
      <c r="G477" s="141"/>
      <c r="H477" s="141"/>
      <c r="I477" s="141"/>
      <c r="J477" s="147">
        <f>(J472+J476)*2</f>
        <v>2695.4112</v>
      </c>
      <c r="K477" s="145">
        <f>K472+K476</f>
        <v>13897</v>
      </c>
      <c r="L477" s="148">
        <f>L472+L476</f>
        <v>-3141.5</v>
      </c>
      <c r="M477" s="141"/>
      <c r="N477" s="141"/>
      <c r="O477" s="141"/>
      <c r="P477" s="141"/>
      <c r="Q477" s="130"/>
      <c r="R477" s="130"/>
      <c r="S477" s="143"/>
    </row>
    <row r="478" spans="1:21" ht="13.5" thickBot="1" x14ac:dyDescent="0.25"/>
    <row r="479" spans="1:21" s="78" customFormat="1" ht="13.5" thickBot="1" x14ac:dyDescent="0.25">
      <c r="A479" s="398" t="s">
        <v>221</v>
      </c>
      <c r="B479" s="399"/>
      <c r="C479" s="399"/>
      <c r="D479" s="399"/>
      <c r="E479" s="399"/>
      <c r="F479" s="399"/>
      <c r="G479" s="399"/>
      <c r="H479" s="399"/>
      <c r="I479" s="399"/>
      <c r="J479" s="399"/>
      <c r="K479" s="399"/>
      <c r="L479" s="399"/>
      <c r="M479" s="399"/>
      <c r="N479" s="399"/>
      <c r="O479" s="399"/>
      <c r="P479" s="399"/>
      <c r="Q479" s="400"/>
    </row>
    <row r="480" spans="1:21" s="78" customFormat="1" ht="13.5" thickBot="1" x14ac:dyDescent="0.25">
      <c r="A480" s="84" t="s">
        <v>64</v>
      </c>
      <c r="B480" s="85" t="s">
        <v>1</v>
      </c>
      <c r="C480" s="86" t="s">
        <v>56</v>
      </c>
      <c r="D480" s="86" t="s">
        <v>57</v>
      </c>
      <c r="E480" s="86" t="s">
        <v>67</v>
      </c>
      <c r="F480" s="86" t="s">
        <v>62</v>
      </c>
      <c r="G480" s="86" t="s">
        <v>74</v>
      </c>
      <c r="H480" s="86" t="s">
        <v>59</v>
      </c>
      <c r="I480" s="86" t="s">
        <v>60</v>
      </c>
      <c r="J480" s="86" t="s">
        <v>66</v>
      </c>
      <c r="K480" s="86" t="s">
        <v>62</v>
      </c>
      <c r="L480" s="86" t="s">
        <v>58</v>
      </c>
      <c r="M480" s="86" t="s">
        <v>61</v>
      </c>
      <c r="N480" s="86" t="s">
        <v>2</v>
      </c>
      <c r="O480" s="91" t="s">
        <v>65</v>
      </c>
      <c r="P480" s="92" t="s">
        <v>68</v>
      </c>
      <c r="Q480" s="135" t="s">
        <v>87</v>
      </c>
    </row>
    <row r="481" spans="1:17" x14ac:dyDescent="0.2">
      <c r="A481" s="82" t="s">
        <v>25</v>
      </c>
      <c r="B481" s="83" t="s">
        <v>63</v>
      </c>
      <c r="C481" s="88">
        <v>3966.4</v>
      </c>
      <c r="D481" s="88">
        <v>966.81</v>
      </c>
      <c r="E481" s="88">
        <v>490</v>
      </c>
      <c r="F481" s="88">
        <v>624</v>
      </c>
      <c r="G481" s="87">
        <f t="shared" ref="G481:G487" si="266">C481+D481+F481</f>
        <v>5557.21</v>
      </c>
      <c r="H481" s="88">
        <v>37.18</v>
      </c>
      <c r="I481" s="88">
        <v>841</v>
      </c>
      <c r="J481" s="88">
        <v>-159.5</v>
      </c>
      <c r="K481" s="88">
        <v>624</v>
      </c>
      <c r="L481" s="88">
        <v>200.01</v>
      </c>
      <c r="M481" s="88">
        <v>1125</v>
      </c>
      <c r="N481" s="87">
        <f t="shared" ref="N481:N486" si="267">C481+D481+E481-H481-I481-J481-K481-L481-M481</f>
        <v>2755.5199999999995</v>
      </c>
      <c r="O481" s="98">
        <v>44209</v>
      </c>
      <c r="P481" s="151" t="s">
        <v>204</v>
      </c>
      <c r="Q481" s="132" t="s">
        <v>221</v>
      </c>
    </row>
    <row r="482" spans="1:17" x14ac:dyDescent="0.2">
      <c r="A482" s="80" t="s">
        <v>26</v>
      </c>
      <c r="B482" s="81" t="s">
        <v>70</v>
      </c>
      <c r="C482" s="88">
        <v>1023.5</v>
      </c>
      <c r="D482" s="88"/>
      <c r="E482" s="88">
        <v>50</v>
      </c>
      <c r="F482" s="88"/>
      <c r="G482" s="87">
        <f t="shared" si="266"/>
        <v>1023.5</v>
      </c>
      <c r="H482" s="88">
        <v>10.234999999999999</v>
      </c>
      <c r="I482" s="88"/>
      <c r="J482" s="88"/>
      <c r="K482" s="88"/>
      <c r="L482" s="88">
        <v>58.14</v>
      </c>
      <c r="M482" s="88"/>
      <c r="N482" s="87">
        <f t="shared" si="267"/>
        <v>1005.1250000000001</v>
      </c>
      <c r="O482" s="98">
        <v>44209</v>
      </c>
      <c r="P482" s="151" t="s">
        <v>204</v>
      </c>
      <c r="Q482" s="132" t="s">
        <v>221</v>
      </c>
    </row>
    <row r="483" spans="1:17" x14ac:dyDescent="0.2">
      <c r="A483" s="80" t="s">
        <v>3</v>
      </c>
      <c r="B483" s="81" t="s">
        <v>71</v>
      </c>
      <c r="C483" s="88">
        <v>1343.5</v>
      </c>
      <c r="D483" s="88"/>
      <c r="E483" s="88">
        <v>50</v>
      </c>
      <c r="F483" s="88"/>
      <c r="G483" s="87">
        <f t="shared" si="266"/>
        <v>1343.5</v>
      </c>
      <c r="H483" s="88">
        <v>13.435</v>
      </c>
      <c r="I483" s="88"/>
      <c r="J483" s="88"/>
      <c r="K483" s="88"/>
      <c r="L483" s="88">
        <v>76.3</v>
      </c>
      <c r="M483" s="88"/>
      <c r="N483" s="87">
        <f t="shared" si="267"/>
        <v>1303.7650000000001</v>
      </c>
      <c r="O483" s="98">
        <v>44209</v>
      </c>
      <c r="P483" s="151" t="s">
        <v>204</v>
      </c>
      <c r="Q483" s="132" t="s">
        <v>221</v>
      </c>
    </row>
    <row r="484" spans="1:17" x14ac:dyDescent="0.2">
      <c r="A484" s="80" t="s">
        <v>31</v>
      </c>
      <c r="B484" s="81" t="s">
        <v>72</v>
      </c>
      <c r="C484" s="88">
        <v>1300</v>
      </c>
      <c r="D484" s="88"/>
      <c r="E484" s="88">
        <v>50</v>
      </c>
      <c r="F484" s="88"/>
      <c r="G484" s="87">
        <f t="shared" si="266"/>
        <v>1300</v>
      </c>
      <c r="H484" s="88">
        <v>13</v>
      </c>
      <c r="I484" s="88"/>
      <c r="J484" s="88"/>
      <c r="K484" s="88"/>
      <c r="L484" s="88">
        <v>67.78</v>
      </c>
      <c r="M484" s="88"/>
      <c r="N484" s="87">
        <f t="shared" si="267"/>
        <v>1269.22</v>
      </c>
      <c r="O484" s="98">
        <v>44209</v>
      </c>
      <c r="P484" s="151" t="s">
        <v>204</v>
      </c>
      <c r="Q484" s="132" t="s">
        <v>221</v>
      </c>
    </row>
    <row r="485" spans="1:17" x14ac:dyDescent="0.2">
      <c r="A485" s="80" t="s">
        <v>69</v>
      </c>
      <c r="B485" s="81" t="s">
        <v>73</v>
      </c>
      <c r="C485" s="88">
        <v>1000</v>
      </c>
      <c r="D485" s="88"/>
      <c r="E485" s="88"/>
      <c r="F485" s="88"/>
      <c r="G485" s="87">
        <f t="shared" si="266"/>
        <v>1000</v>
      </c>
      <c r="H485" s="88">
        <v>10</v>
      </c>
      <c r="I485" s="88"/>
      <c r="J485" s="88"/>
      <c r="K485" s="88"/>
      <c r="L485" s="88"/>
      <c r="M485" s="88"/>
      <c r="N485" s="87">
        <f t="shared" si="267"/>
        <v>990</v>
      </c>
      <c r="O485" s="98">
        <v>44209</v>
      </c>
      <c r="P485" s="151" t="s">
        <v>204</v>
      </c>
      <c r="Q485" s="132" t="s">
        <v>221</v>
      </c>
    </row>
    <row r="486" spans="1:17" x14ac:dyDescent="0.2">
      <c r="A486" s="80" t="s">
        <v>79</v>
      </c>
      <c r="B486" s="81" t="s">
        <v>91</v>
      </c>
      <c r="C486" s="88">
        <v>1250</v>
      </c>
      <c r="D486" s="88"/>
      <c r="E486" s="88"/>
      <c r="F486" s="88"/>
      <c r="G486" s="87">
        <f t="shared" si="266"/>
        <v>1250</v>
      </c>
      <c r="H486" s="88">
        <v>12.5</v>
      </c>
      <c r="I486" s="88"/>
      <c r="J486" s="88"/>
      <c r="K486" s="88"/>
      <c r="L486" s="88"/>
      <c r="M486" s="88"/>
      <c r="N486" s="87">
        <f t="shared" si="267"/>
        <v>1237.5</v>
      </c>
      <c r="O486" s="98">
        <v>44209</v>
      </c>
      <c r="P486" s="151" t="s">
        <v>204</v>
      </c>
      <c r="Q486" s="132" t="s">
        <v>221</v>
      </c>
    </row>
    <row r="487" spans="1:17" ht="13.5" thickBot="1" x14ac:dyDescent="0.25">
      <c r="A487" s="80" t="s">
        <v>102</v>
      </c>
      <c r="B487" s="81" t="s">
        <v>104</v>
      </c>
      <c r="C487" s="88">
        <v>500</v>
      </c>
      <c r="D487" s="88">
        <v>304.69</v>
      </c>
      <c r="E487" s="88"/>
      <c r="F487" s="88"/>
      <c r="G487" s="87">
        <f t="shared" si="266"/>
        <v>804.69</v>
      </c>
      <c r="H487" s="88">
        <v>8.0469000000000008</v>
      </c>
      <c r="I487" s="88"/>
      <c r="J487" s="88"/>
      <c r="K487" s="88"/>
      <c r="L487" s="88"/>
      <c r="M487" s="88"/>
      <c r="N487" s="87">
        <f>C487+D487+E487-H487-I487-J487-K487-L487-M487</f>
        <v>796.6431</v>
      </c>
      <c r="O487" s="98">
        <v>44209</v>
      </c>
      <c r="P487" s="151" t="s">
        <v>204</v>
      </c>
      <c r="Q487" s="132" t="s">
        <v>221</v>
      </c>
    </row>
    <row r="488" spans="1:17" s="93" customFormat="1" ht="13.5" thickBot="1" x14ac:dyDescent="0.25">
      <c r="A488" s="409" t="s">
        <v>0</v>
      </c>
      <c r="B488" s="410"/>
      <c r="C488" s="152">
        <f t="shared" ref="C488:N488" si="268">SUM(C481:C487)</f>
        <v>10383.4</v>
      </c>
      <c r="D488" s="152">
        <f t="shared" si="268"/>
        <v>1271.5</v>
      </c>
      <c r="E488" s="152">
        <f t="shared" si="268"/>
        <v>640</v>
      </c>
      <c r="F488" s="152">
        <f t="shared" si="268"/>
        <v>624</v>
      </c>
      <c r="G488" s="152">
        <f t="shared" si="268"/>
        <v>12278.9</v>
      </c>
      <c r="H488" s="152">
        <f t="shared" si="268"/>
        <v>104.39689999999999</v>
      </c>
      <c r="I488" s="152">
        <f t="shared" si="268"/>
        <v>841</v>
      </c>
      <c r="J488" s="152">
        <f t="shared" si="268"/>
        <v>-159.5</v>
      </c>
      <c r="K488" s="152">
        <f t="shared" si="268"/>
        <v>624</v>
      </c>
      <c r="L488" s="152">
        <f t="shared" si="268"/>
        <v>402.23</v>
      </c>
      <c r="M488" s="152">
        <f t="shared" si="268"/>
        <v>1125</v>
      </c>
      <c r="N488" s="152">
        <f t="shared" si="268"/>
        <v>9357.7731000000003</v>
      </c>
      <c r="O488" s="411" t="s">
        <v>0</v>
      </c>
      <c r="P488" s="412"/>
      <c r="Q488" s="132"/>
    </row>
    <row r="489" spans="1:17" x14ac:dyDescent="0.2">
      <c r="A489" s="82" t="s">
        <v>25</v>
      </c>
      <c r="B489" s="83" t="s">
        <v>63</v>
      </c>
      <c r="C489" s="88">
        <v>3966.4</v>
      </c>
      <c r="D489" s="88">
        <v>0</v>
      </c>
      <c r="E489" s="88">
        <v>490</v>
      </c>
      <c r="F489" s="88">
        <v>624</v>
      </c>
      <c r="G489" s="87">
        <f t="shared" ref="G489:G494" si="269">C489+D489+F489</f>
        <v>4590.3999999999996</v>
      </c>
      <c r="H489" s="88">
        <v>37.18</v>
      </c>
      <c r="I489" s="88">
        <v>588</v>
      </c>
      <c r="J489" s="88">
        <v>-159.5</v>
      </c>
      <c r="K489" s="88">
        <v>624</v>
      </c>
      <c r="L489" s="88">
        <v>200.01</v>
      </c>
      <c r="M489" s="88">
        <v>1125</v>
      </c>
      <c r="N489" s="87">
        <f t="shared" ref="N489:N494" si="270">C489+D489+E489-H489-I489-J489-K489-L489-M489</f>
        <v>2041.7099999999991</v>
      </c>
      <c r="O489" s="98">
        <v>44216</v>
      </c>
      <c r="P489" s="123" t="s">
        <v>205</v>
      </c>
      <c r="Q489" s="132" t="s">
        <v>221</v>
      </c>
    </row>
    <row r="490" spans="1:17" x14ac:dyDescent="0.2">
      <c r="A490" s="80" t="s">
        <v>26</v>
      </c>
      <c r="B490" s="81" t="s">
        <v>70</v>
      </c>
      <c r="C490" s="88">
        <v>1023.5</v>
      </c>
      <c r="D490" s="88"/>
      <c r="E490" s="88">
        <v>50</v>
      </c>
      <c r="F490" s="88"/>
      <c r="G490" s="87">
        <f t="shared" si="269"/>
        <v>1023.5</v>
      </c>
      <c r="H490" s="88">
        <v>10.234999999999999</v>
      </c>
      <c r="I490" s="88"/>
      <c r="J490" s="88"/>
      <c r="K490" s="88"/>
      <c r="L490" s="88">
        <v>58.14</v>
      </c>
      <c r="M490" s="88"/>
      <c r="N490" s="87">
        <f t="shared" si="270"/>
        <v>1005.1250000000001</v>
      </c>
      <c r="O490" s="98">
        <v>44216</v>
      </c>
      <c r="P490" s="123" t="s">
        <v>205</v>
      </c>
      <c r="Q490" s="132" t="s">
        <v>221</v>
      </c>
    </row>
    <row r="491" spans="1:17" x14ac:dyDescent="0.2">
      <c r="A491" s="80" t="s">
        <v>3</v>
      </c>
      <c r="B491" s="81" t="s">
        <v>71</v>
      </c>
      <c r="C491" s="88">
        <v>1343.5</v>
      </c>
      <c r="D491" s="88"/>
      <c r="E491" s="88">
        <v>50</v>
      </c>
      <c r="F491" s="88"/>
      <c r="G491" s="87">
        <f t="shared" si="269"/>
        <v>1343.5</v>
      </c>
      <c r="H491" s="88">
        <v>13.435</v>
      </c>
      <c r="I491" s="88"/>
      <c r="J491" s="88"/>
      <c r="K491" s="88"/>
      <c r="L491" s="88">
        <v>76.3</v>
      </c>
      <c r="M491" s="88"/>
      <c r="N491" s="87">
        <f t="shared" si="270"/>
        <v>1303.7650000000001</v>
      </c>
      <c r="O491" s="98">
        <v>44216</v>
      </c>
      <c r="P491" s="123" t="s">
        <v>205</v>
      </c>
      <c r="Q491" s="132" t="s">
        <v>221</v>
      </c>
    </row>
    <row r="492" spans="1:17" x14ac:dyDescent="0.2">
      <c r="A492" s="80" t="s">
        <v>31</v>
      </c>
      <c r="B492" s="81" t="s">
        <v>72</v>
      </c>
      <c r="C492" s="88">
        <v>1300</v>
      </c>
      <c r="D492" s="88"/>
      <c r="E492" s="88">
        <v>50</v>
      </c>
      <c r="F492" s="88"/>
      <c r="G492" s="87">
        <f t="shared" si="269"/>
        <v>1300</v>
      </c>
      <c r="H492" s="88">
        <v>13</v>
      </c>
      <c r="I492" s="88"/>
      <c r="J492" s="88"/>
      <c r="K492" s="88"/>
      <c r="L492" s="88">
        <v>67.78</v>
      </c>
      <c r="M492" s="88"/>
      <c r="N492" s="87">
        <f t="shared" si="270"/>
        <v>1269.22</v>
      </c>
      <c r="O492" s="98">
        <v>44216</v>
      </c>
      <c r="P492" s="123" t="s">
        <v>205</v>
      </c>
      <c r="Q492" s="132" t="s">
        <v>221</v>
      </c>
    </row>
    <row r="493" spans="1:17" x14ac:dyDescent="0.2">
      <c r="A493" s="80" t="s">
        <v>69</v>
      </c>
      <c r="B493" s="81" t="s">
        <v>73</v>
      </c>
      <c r="C493" s="88">
        <v>1000</v>
      </c>
      <c r="D493" s="88"/>
      <c r="E493" s="88"/>
      <c r="F493" s="88"/>
      <c r="G493" s="87">
        <f t="shared" si="269"/>
        <v>1000</v>
      </c>
      <c r="H493" s="88">
        <v>10</v>
      </c>
      <c r="I493" s="88"/>
      <c r="J493" s="88"/>
      <c r="K493" s="88"/>
      <c r="L493" s="88"/>
      <c r="M493" s="88"/>
      <c r="N493" s="87">
        <f t="shared" si="270"/>
        <v>990</v>
      </c>
      <c r="O493" s="98">
        <v>44216</v>
      </c>
      <c r="P493" s="123" t="s">
        <v>205</v>
      </c>
      <c r="Q493" s="132" t="s">
        <v>221</v>
      </c>
    </row>
    <row r="494" spans="1:17" ht="13.5" thickBot="1" x14ac:dyDescent="0.25">
      <c r="A494" s="80" t="s">
        <v>79</v>
      </c>
      <c r="B494" s="81" t="s">
        <v>91</v>
      </c>
      <c r="C494" s="88">
        <v>1250</v>
      </c>
      <c r="D494" s="88"/>
      <c r="E494" s="88"/>
      <c r="F494" s="88"/>
      <c r="G494" s="87">
        <f t="shared" si="269"/>
        <v>1250</v>
      </c>
      <c r="H494" s="88">
        <v>12.5</v>
      </c>
      <c r="I494" s="88"/>
      <c r="J494" s="88"/>
      <c r="K494" s="88"/>
      <c r="L494" s="88"/>
      <c r="M494" s="88"/>
      <c r="N494" s="87">
        <f t="shared" si="270"/>
        <v>1237.5</v>
      </c>
      <c r="O494" s="98">
        <v>44216</v>
      </c>
      <c r="P494" s="123" t="s">
        <v>205</v>
      </c>
      <c r="Q494" s="132" t="s">
        <v>221</v>
      </c>
    </row>
    <row r="495" spans="1:17" s="93" customFormat="1" ht="13.5" thickBot="1" x14ac:dyDescent="0.25">
      <c r="A495" s="413" t="s">
        <v>0</v>
      </c>
      <c r="B495" s="414"/>
      <c r="C495" s="106">
        <f t="shared" ref="C495:N495" si="271">SUM(C489:C494)</f>
        <v>9883.4</v>
      </c>
      <c r="D495" s="106">
        <f t="shared" si="271"/>
        <v>0</v>
      </c>
      <c r="E495" s="106">
        <f t="shared" si="271"/>
        <v>640</v>
      </c>
      <c r="F495" s="106">
        <f t="shared" si="271"/>
        <v>624</v>
      </c>
      <c r="G495" s="106">
        <f t="shared" si="271"/>
        <v>10507.4</v>
      </c>
      <c r="H495" s="106">
        <f t="shared" si="271"/>
        <v>96.35</v>
      </c>
      <c r="I495" s="106">
        <f t="shared" si="271"/>
        <v>588</v>
      </c>
      <c r="J495" s="106">
        <f t="shared" si="271"/>
        <v>-159.5</v>
      </c>
      <c r="K495" s="106">
        <f t="shared" si="271"/>
        <v>624</v>
      </c>
      <c r="L495" s="106">
        <f t="shared" si="271"/>
        <v>402.23</v>
      </c>
      <c r="M495" s="106">
        <f t="shared" si="271"/>
        <v>1125</v>
      </c>
      <c r="N495" s="106">
        <f t="shared" si="271"/>
        <v>7847.32</v>
      </c>
      <c r="O495" s="418" t="s">
        <v>0</v>
      </c>
      <c r="P495" s="419"/>
      <c r="Q495" s="132"/>
    </row>
    <row r="496" spans="1:17" x14ac:dyDescent="0.2">
      <c r="A496" s="82" t="s">
        <v>25</v>
      </c>
      <c r="B496" s="83" t="s">
        <v>63</v>
      </c>
      <c r="C496" s="88">
        <v>3966.4</v>
      </c>
      <c r="D496" s="88">
        <v>0</v>
      </c>
      <c r="E496" s="88">
        <v>490</v>
      </c>
      <c r="F496" s="88">
        <v>624</v>
      </c>
      <c r="G496" s="87">
        <f t="shared" ref="G496:G501" si="272">C496+D496+F496</f>
        <v>4590.3999999999996</v>
      </c>
      <c r="H496" s="88">
        <v>37.18</v>
      </c>
      <c r="I496" s="88">
        <v>588</v>
      </c>
      <c r="J496" s="88">
        <v>-159.5</v>
      </c>
      <c r="K496" s="88">
        <v>624</v>
      </c>
      <c r="L496" s="88">
        <v>200.01</v>
      </c>
      <c r="M496" s="88">
        <v>1125</v>
      </c>
      <c r="N496" s="87">
        <f t="shared" ref="N496:N501" si="273">C496+D496+E496-H496-I496-J496-K496-L496-M496</f>
        <v>2041.7099999999991</v>
      </c>
      <c r="O496" s="98">
        <v>44223</v>
      </c>
      <c r="P496" s="149" t="s">
        <v>206</v>
      </c>
      <c r="Q496" s="132" t="s">
        <v>221</v>
      </c>
    </row>
    <row r="497" spans="1:17" x14ac:dyDescent="0.2">
      <c r="A497" s="80" t="s">
        <v>26</v>
      </c>
      <c r="B497" s="81" t="s">
        <v>70</v>
      </c>
      <c r="C497" s="88">
        <v>1023.5</v>
      </c>
      <c r="D497" s="88"/>
      <c r="E497" s="88">
        <v>50</v>
      </c>
      <c r="F497" s="88"/>
      <c r="G497" s="87">
        <f t="shared" si="272"/>
        <v>1023.5</v>
      </c>
      <c r="H497" s="88">
        <v>10.234999999999999</v>
      </c>
      <c r="I497" s="88"/>
      <c r="J497" s="88"/>
      <c r="K497" s="88"/>
      <c r="L497" s="88">
        <v>58.14</v>
      </c>
      <c r="M497" s="88">
        <v>100</v>
      </c>
      <c r="N497" s="87">
        <f t="shared" si="273"/>
        <v>905.12500000000011</v>
      </c>
      <c r="O497" s="98">
        <v>44223</v>
      </c>
      <c r="P497" s="149" t="s">
        <v>206</v>
      </c>
      <c r="Q497" s="132" t="s">
        <v>221</v>
      </c>
    </row>
    <row r="498" spans="1:17" x14ac:dyDescent="0.2">
      <c r="A498" s="80" t="s">
        <v>3</v>
      </c>
      <c r="B498" s="81" t="s">
        <v>71</v>
      </c>
      <c r="C498" s="88">
        <v>1343.5</v>
      </c>
      <c r="D498" s="88"/>
      <c r="E498" s="88">
        <v>50</v>
      </c>
      <c r="F498" s="88"/>
      <c r="G498" s="87">
        <f t="shared" si="272"/>
        <v>1343.5</v>
      </c>
      <c r="H498" s="88">
        <v>13.435</v>
      </c>
      <c r="I498" s="88"/>
      <c r="J498" s="88"/>
      <c r="K498" s="88"/>
      <c r="L498" s="88">
        <v>76.3</v>
      </c>
      <c r="M498" s="88"/>
      <c r="N498" s="87">
        <f t="shared" si="273"/>
        <v>1303.7650000000001</v>
      </c>
      <c r="O498" s="98">
        <v>44223</v>
      </c>
      <c r="P498" s="149" t="s">
        <v>206</v>
      </c>
      <c r="Q498" s="132" t="s">
        <v>221</v>
      </c>
    </row>
    <row r="499" spans="1:17" x14ac:dyDescent="0.2">
      <c r="A499" s="80" t="s">
        <v>31</v>
      </c>
      <c r="B499" s="81" t="s">
        <v>72</v>
      </c>
      <c r="C499" s="88">
        <v>1300</v>
      </c>
      <c r="D499" s="88"/>
      <c r="E499" s="88">
        <v>50</v>
      </c>
      <c r="F499" s="88"/>
      <c r="G499" s="87">
        <f t="shared" si="272"/>
        <v>1300</v>
      </c>
      <c r="H499" s="88">
        <v>13</v>
      </c>
      <c r="I499" s="88"/>
      <c r="J499" s="88"/>
      <c r="K499" s="88"/>
      <c r="L499" s="88">
        <v>67.78</v>
      </c>
      <c r="M499" s="88"/>
      <c r="N499" s="87">
        <f t="shared" si="273"/>
        <v>1269.22</v>
      </c>
      <c r="O499" s="98">
        <v>44223</v>
      </c>
      <c r="P499" s="149" t="s">
        <v>206</v>
      </c>
      <c r="Q499" s="132" t="s">
        <v>221</v>
      </c>
    </row>
    <row r="500" spans="1:17" x14ac:dyDescent="0.2">
      <c r="A500" s="80" t="s">
        <v>69</v>
      </c>
      <c r="B500" s="81" t="s">
        <v>73</v>
      </c>
      <c r="C500" s="88">
        <v>1000</v>
      </c>
      <c r="D500" s="88"/>
      <c r="E500" s="88"/>
      <c r="F500" s="88"/>
      <c r="G500" s="87">
        <f t="shared" si="272"/>
        <v>1000</v>
      </c>
      <c r="H500" s="88">
        <v>10</v>
      </c>
      <c r="I500" s="88"/>
      <c r="J500" s="88"/>
      <c r="K500" s="88"/>
      <c r="L500" s="88"/>
      <c r="M500" s="88"/>
      <c r="N500" s="87">
        <f t="shared" si="273"/>
        <v>990</v>
      </c>
      <c r="O500" s="98">
        <v>44223</v>
      </c>
      <c r="P500" s="149" t="s">
        <v>206</v>
      </c>
      <c r="Q500" s="132" t="s">
        <v>221</v>
      </c>
    </row>
    <row r="501" spans="1:17" ht="13.5" thickBot="1" x14ac:dyDescent="0.25">
      <c r="A501" s="80" t="s">
        <v>79</v>
      </c>
      <c r="B501" s="81" t="s">
        <v>91</v>
      </c>
      <c r="C501" s="88">
        <v>1250</v>
      </c>
      <c r="D501" s="88"/>
      <c r="E501" s="88"/>
      <c r="F501" s="88"/>
      <c r="G501" s="87">
        <f t="shared" si="272"/>
        <v>1250</v>
      </c>
      <c r="H501" s="88">
        <v>12.5</v>
      </c>
      <c r="I501" s="88"/>
      <c r="J501" s="88"/>
      <c r="K501" s="88"/>
      <c r="L501" s="88"/>
      <c r="M501" s="88"/>
      <c r="N501" s="87">
        <f t="shared" si="273"/>
        <v>1237.5</v>
      </c>
      <c r="O501" s="98">
        <v>44223</v>
      </c>
      <c r="P501" s="149" t="s">
        <v>206</v>
      </c>
      <c r="Q501" s="132" t="s">
        <v>221</v>
      </c>
    </row>
    <row r="502" spans="1:17" s="93" customFormat="1" ht="13.5" thickBot="1" x14ac:dyDescent="0.25">
      <c r="A502" s="420" t="s">
        <v>0</v>
      </c>
      <c r="B502" s="422"/>
      <c r="C502" s="150">
        <f t="shared" ref="C502:N502" si="274">SUM(C496:C501)</f>
        <v>9883.4</v>
      </c>
      <c r="D502" s="150">
        <f t="shared" si="274"/>
        <v>0</v>
      </c>
      <c r="E502" s="150">
        <f t="shared" si="274"/>
        <v>640</v>
      </c>
      <c r="F502" s="150">
        <f t="shared" si="274"/>
        <v>624</v>
      </c>
      <c r="G502" s="150">
        <f t="shared" si="274"/>
        <v>10507.4</v>
      </c>
      <c r="H502" s="150">
        <f t="shared" si="274"/>
        <v>96.35</v>
      </c>
      <c r="I502" s="150">
        <f t="shared" si="274"/>
        <v>588</v>
      </c>
      <c r="J502" s="150">
        <f t="shared" si="274"/>
        <v>-159.5</v>
      </c>
      <c r="K502" s="150">
        <f t="shared" si="274"/>
        <v>624</v>
      </c>
      <c r="L502" s="150">
        <f t="shared" si="274"/>
        <v>402.23</v>
      </c>
      <c r="M502" s="150">
        <f t="shared" si="274"/>
        <v>1225</v>
      </c>
      <c r="N502" s="150">
        <f t="shared" si="274"/>
        <v>7747.32</v>
      </c>
      <c r="O502" s="407" t="s">
        <v>0</v>
      </c>
      <c r="P502" s="408"/>
      <c r="Q502" s="132"/>
    </row>
    <row r="503" spans="1:17" s="140" customFormat="1" ht="13.5" thickBot="1" x14ac:dyDescent="0.25">
      <c r="A503" s="401" t="s">
        <v>88</v>
      </c>
      <c r="B503" s="402"/>
      <c r="C503" s="155">
        <f t="shared" ref="C503:N503" si="275">C488+C495+C502</f>
        <v>30150.199999999997</v>
      </c>
      <c r="D503" s="155">
        <f t="shared" si="275"/>
        <v>1271.5</v>
      </c>
      <c r="E503" s="155">
        <f t="shared" si="275"/>
        <v>1920</v>
      </c>
      <c r="F503" s="155">
        <f t="shared" si="275"/>
        <v>1872</v>
      </c>
      <c r="G503" s="155">
        <f t="shared" si="275"/>
        <v>33293.699999999997</v>
      </c>
      <c r="H503" s="155">
        <f>H488+H495+H502</f>
        <v>297.09690000000001</v>
      </c>
      <c r="I503" s="155">
        <f t="shared" si="275"/>
        <v>2017</v>
      </c>
      <c r="J503" s="155">
        <f t="shared" si="275"/>
        <v>-478.5</v>
      </c>
      <c r="K503" s="155">
        <f t="shared" si="275"/>
        <v>1872</v>
      </c>
      <c r="L503" s="155">
        <f t="shared" si="275"/>
        <v>1206.69</v>
      </c>
      <c r="M503" s="155">
        <f t="shared" si="275"/>
        <v>3475</v>
      </c>
      <c r="N503" s="155">
        <f t="shared" si="275"/>
        <v>24952.413099999998</v>
      </c>
      <c r="O503" s="174"/>
      <c r="P503" s="144"/>
      <c r="Q503" s="139"/>
    </row>
    <row r="504" spans="1:17" s="162" customFormat="1" x14ac:dyDescent="0.2">
      <c r="A504" s="159" t="s">
        <v>8</v>
      </c>
      <c r="B504" s="165" t="s">
        <v>96</v>
      </c>
      <c r="C504" s="163">
        <v>13502</v>
      </c>
      <c r="D504" s="163"/>
      <c r="E504" s="163"/>
      <c r="F504" s="163">
        <v>5624</v>
      </c>
      <c r="G504" s="163"/>
      <c r="H504" s="87"/>
      <c r="I504" s="163">
        <v>2355</v>
      </c>
      <c r="J504" s="163">
        <v>-853</v>
      </c>
      <c r="K504" s="163"/>
      <c r="L504" s="160"/>
      <c r="M504" s="160"/>
      <c r="N504" s="297">
        <f>C504-I504-J504</f>
        <v>12000</v>
      </c>
      <c r="O504" s="298"/>
      <c r="P504" s="161"/>
    </row>
    <row r="505" spans="1:17" s="162" customFormat="1" x14ac:dyDescent="0.2">
      <c r="A505" s="159" t="s">
        <v>27</v>
      </c>
      <c r="B505" s="165" t="s">
        <v>97</v>
      </c>
      <c r="C505" s="163">
        <v>13717</v>
      </c>
      <c r="D505" s="163"/>
      <c r="E505" s="163"/>
      <c r="F505" s="163">
        <v>5409</v>
      </c>
      <c r="G505" s="163"/>
      <c r="H505" s="87"/>
      <c r="I505" s="163">
        <v>2355</v>
      </c>
      <c r="J505" s="163">
        <v>-638</v>
      </c>
      <c r="K505" s="163"/>
      <c r="L505" s="163"/>
      <c r="M505" s="163"/>
      <c r="N505" s="297">
        <f>C505-I505-J505</f>
        <v>12000</v>
      </c>
      <c r="O505" s="298"/>
      <c r="P505" s="161"/>
    </row>
    <row r="506" spans="1:17" s="162" customFormat="1" ht="13.5" thickBot="1" x14ac:dyDescent="0.25">
      <c r="A506" s="159" t="s">
        <v>6</v>
      </c>
      <c r="B506" s="165" t="s">
        <v>98</v>
      </c>
      <c r="C506" s="164">
        <v>12643.72</v>
      </c>
      <c r="D506" s="164"/>
      <c r="E506" s="164"/>
      <c r="F506" s="164">
        <v>2812</v>
      </c>
      <c r="G506" s="164"/>
      <c r="H506" s="87">
        <v>148.72</v>
      </c>
      <c r="I506" s="164">
        <v>1536</v>
      </c>
      <c r="J506" s="164">
        <v>-853</v>
      </c>
      <c r="K506" s="164">
        <v>2812</v>
      </c>
      <c r="L506" s="164"/>
      <c r="M506" s="164"/>
      <c r="N506" s="297">
        <f>C506-I506-J506-H506-K506</f>
        <v>9000</v>
      </c>
      <c r="O506" s="298"/>
      <c r="P506" s="161"/>
    </row>
    <row r="507" spans="1:17" s="131" customFormat="1" ht="13.5" thickBot="1" x14ac:dyDescent="0.25">
      <c r="A507" s="415" t="s">
        <v>89</v>
      </c>
      <c r="B507" s="416"/>
      <c r="C507" s="158">
        <f>SUM(C504:C506)</f>
        <v>39862.720000000001</v>
      </c>
      <c r="D507" s="158">
        <f t="shared" ref="D507" si="276">SUM(D504:D506)</f>
        <v>0</v>
      </c>
      <c r="E507" s="158">
        <f t="shared" ref="E507" si="277">SUM(E504:E506)</f>
        <v>0</v>
      </c>
      <c r="F507" s="158">
        <f t="shared" ref="F507:N507" si="278">SUM(F504:F506)</f>
        <v>13845</v>
      </c>
      <c r="G507" s="158">
        <f t="shared" si="278"/>
        <v>0</v>
      </c>
      <c r="H507" s="158">
        <f t="shared" si="278"/>
        <v>148.72</v>
      </c>
      <c r="I507" s="158">
        <f t="shared" si="278"/>
        <v>6246</v>
      </c>
      <c r="J507" s="158">
        <f t="shared" si="278"/>
        <v>-2344</v>
      </c>
      <c r="K507" s="158">
        <f t="shared" si="278"/>
        <v>2812</v>
      </c>
      <c r="L507" s="158">
        <f t="shared" si="278"/>
        <v>0</v>
      </c>
      <c r="M507" s="158">
        <f t="shared" si="278"/>
        <v>0</v>
      </c>
      <c r="N507" s="158">
        <f t="shared" si="278"/>
        <v>33000</v>
      </c>
      <c r="O507" s="175"/>
      <c r="P507" s="130"/>
      <c r="Q507" s="134"/>
    </row>
    <row r="508" spans="1:17" s="131" customFormat="1" ht="13.5" thickBot="1" x14ac:dyDescent="0.25">
      <c r="A508" s="417" t="s">
        <v>90</v>
      </c>
      <c r="B508" s="417"/>
      <c r="C508" s="141"/>
      <c r="D508" s="141"/>
      <c r="E508" s="141"/>
      <c r="F508" s="141"/>
      <c r="G508" s="141"/>
      <c r="H508" s="147">
        <f>(H503+H507)*2</f>
        <v>891.63380000000006</v>
      </c>
      <c r="I508" s="145">
        <f>I503+I507</f>
        <v>8263</v>
      </c>
      <c r="J508" s="148">
        <f>J503+J507</f>
        <v>-2822.5</v>
      </c>
      <c r="K508" s="141"/>
      <c r="L508" s="141"/>
      <c r="M508" s="141"/>
      <c r="N508" s="141"/>
      <c r="O508" s="130"/>
      <c r="P508" s="130"/>
      <c r="Q508" s="143"/>
    </row>
    <row r="509" spans="1:17" ht="13.5" thickBot="1" x14ac:dyDescent="0.25"/>
    <row r="510" spans="1:17" s="78" customFormat="1" ht="13.5" thickBot="1" x14ac:dyDescent="0.25">
      <c r="A510" s="398" t="s">
        <v>226</v>
      </c>
      <c r="B510" s="399"/>
      <c r="C510" s="399"/>
      <c r="D510" s="399"/>
      <c r="E510" s="399"/>
      <c r="F510" s="399"/>
      <c r="G510" s="399"/>
      <c r="H510" s="399"/>
      <c r="I510" s="399"/>
      <c r="J510" s="399"/>
      <c r="K510" s="399"/>
      <c r="L510" s="399"/>
      <c r="M510" s="399"/>
      <c r="N510" s="399"/>
      <c r="O510" s="399"/>
      <c r="P510" s="399"/>
      <c r="Q510" s="400"/>
    </row>
    <row r="511" spans="1:17" s="78" customFormat="1" ht="13.5" thickBot="1" x14ac:dyDescent="0.25">
      <c r="A511" s="84" t="s">
        <v>64</v>
      </c>
      <c r="B511" s="85" t="s">
        <v>1</v>
      </c>
      <c r="C511" s="86" t="s">
        <v>56</v>
      </c>
      <c r="D511" s="86" t="s">
        <v>57</v>
      </c>
      <c r="E511" s="86" t="s">
        <v>67</v>
      </c>
      <c r="F511" s="86" t="s">
        <v>62</v>
      </c>
      <c r="G511" s="86" t="s">
        <v>74</v>
      </c>
      <c r="H511" s="86" t="s">
        <v>59</v>
      </c>
      <c r="I511" s="86" t="s">
        <v>60</v>
      </c>
      <c r="J511" s="86" t="s">
        <v>66</v>
      </c>
      <c r="K511" s="86" t="s">
        <v>62</v>
      </c>
      <c r="L511" s="86" t="s">
        <v>58</v>
      </c>
      <c r="M511" s="86" t="s">
        <v>61</v>
      </c>
      <c r="N511" s="86" t="s">
        <v>2</v>
      </c>
      <c r="O511" s="91" t="s">
        <v>65</v>
      </c>
      <c r="P511" s="92" t="s">
        <v>68</v>
      </c>
      <c r="Q511" s="135" t="s">
        <v>87</v>
      </c>
    </row>
    <row r="512" spans="1:17" x14ac:dyDescent="0.2">
      <c r="A512" s="82" t="s">
        <v>25</v>
      </c>
      <c r="B512" s="83" t="s">
        <v>63</v>
      </c>
      <c r="C512" s="88">
        <v>3966.4</v>
      </c>
      <c r="D512" s="88">
        <v>0</v>
      </c>
      <c r="E512" s="88">
        <v>490</v>
      </c>
      <c r="F512" s="88">
        <v>624</v>
      </c>
      <c r="G512" s="87">
        <f t="shared" ref="G512:G517" si="279">C512+D512+F512</f>
        <v>4590.3999999999996</v>
      </c>
      <c r="H512" s="88">
        <v>37.18</v>
      </c>
      <c r="I512" s="88">
        <v>588</v>
      </c>
      <c r="J512" s="88">
        <v>-159.5</v>
      </c>
      <c r="K512" s="88">
        <v>624</v>
      </c>
      <c r="L512" s="88">
        <v>200.01</v>
      </c>
      <c r="M512" s="88">
        <v>1125</v>
      </c>
      <c r="N512" s="87">
        <f t="shared" ref="N512:N517" si="280">C512+D512+E512-H512-I512-J512-K512-L512-M512</f>
        <v>2041.7099999999991</v>
      </c>
      <c r="O512" s="98">
        <v>44230</v>
      </c>
      <c r="P512" s="120" t="s">
        <v>105</v>
      </c>
      <c r="Q512" s="132" t="s">
        <v>226</v>
      </c>
    </row>
    <row r="513" spans="1:17" x14ac:dyDescent="0.2">
      <c r="A513" s="80" t="s">
        <v>26</v>
      </c>
      <c r="B513" s="81" t="s">
        <v>70</v>
      </c>
      <c r="C513" s="88">
        <v>1023.5</v>
      </c>
      <c r="D513" s="88"/>
      <c r="E513" s="88">
        <v>50</v>
      </c>
      <c r="F513" s="88"/>
      <c r="G513" s="87">
        <f t="shared" si="279"/>
        <v>1023.5</v>
      </c>
      <c r="H513" s="88">
        <v>10.234999999999999</v>
      </c>
      <c r="I513" s="88"/>
      <c r="J513" s="88"/>
      <c r="K513" s="88"/>
      <c r="L513" s="88">
        <v>58.14</v>
      </c>
      <c r="M513" s="88">
        <v>200</v>
      </c>
      <c r="N513" s="87">
        <f t="shared" si="280"/>
        <v>805.12500000000011</v>
      </c>
      <c r="O513" s="98">
        <v>44230</v>
      </c>
      <c r="P513" s="120" t="s">
        <v>105</v>
      </c>
      <c r="Q513" s="132" t="s">
        <v>226</v>
      </c>
    </row>
    <row r="514" spans="1:17" x14ac:dyDescent="0.2">
      <c r="A514" s="80" t="s">
        <v>3</v>
      </c>
      <c r="B514" s="81" t="s">
        <v>71</v>
      </c>
      <c r="C514" s="88">
        <v>1343.5</v>
      </c>
      <c r="D514" s="88"/>
      <c r="E514" s="88">
        <v>50</v>
      </c>
      <c r="F514" s="88"/>
      <c r="G514" s="87">
        <f t="shared" si="279"/>
        <v>1343.5</v>
      </c>
      <c r="H514" s="88">
        <v>13.435</v>
      </c>
      <c r="I514" s="88"/>
      <c r="J514" s="88"/>
      <c r="K514" s="88"/>
      <c r="L514" s="88">
        <v>76.3</v>
      </c>
      <c r="M514" s="88"/>
      <c r="N514" s="87">
        <f t="shared" si="280"/>
        <v>1303.7650000000001</v>
      </c>
      <c r="O514" s="98">
        <v>44230</v>
      </c>
      <c r="P514" s="120" t="s">
        <v>105</v>
      </c>
      <c r="Q514" s="132" t="s">
        <v>226</v>
      </c>
    </row>
    <row r="515" spans="1:17" x14ac:dyDescent="0.2">
      <c r="A515" s="80" t="s">
        <v>31</v>
      </c>
      <c r="B515" s="81" t="s">
        <v>72</v>
      </c>
      <c r="C515" s="88">
        <v>1300</v>
      </c>
      <c r="D515" s="88"/>
      <c r="E515" s="88">
        <v>50</v>
      </c>
      <c r="F515" s="88"/>
      <c r="G515" s="87">
        <f t="shared" si="279"/>
        <v>1300</v>
      </c>
      <c r="H515" s="88">
        <v>13</v>
      </c>
      <c r="I515" s="88"/>
      <c r="J515" s="88"/>
      <c r="K515" s="88"/>
      <c r="L515" s="88">
        <v>67.78</v>
      </c>
      <c r="M515" s="88"/>
      <c r="N515" s="87">
        <f t="shared" si="280"/>
        <v>1269.22</v>
      </c>
      <c r="O515" s="98">
        <v>44230</v>
      </c>
      <c r="P515" s="120" t="s">
        <v>105</v>
      </c>
      <c r="Q515" s="132" t="s">
        <v>226</v>
      </c>
    </row>
    <row r="516" spans="1:17" x14ac:dyDescent="0.2">
      <c r="A516" s="80" t="s">
        <v>69</v>
      </c>
      <c r="B516" s="81" t="s">
        <v>73</v>
      </c>
      <c r="C516" s="88">
        <v>1000</v>
      </c>
      <c r="D516" s="88"/>
      <c r="E516" s="88"/>
      <c r="F516" s="88"/>
      <c r="G516" s="87">
        <f t="shared" si="279"/>
        <v>1000</v>
      </c>
      <c r="H516" s="88">
        <v>10</v>
      </c>
      <c r="I516" s="88"/>
      <c r="J516" s="88"/>
      <c r="K516" s="88"/>
      <c r="L516" s="88"/>
      <c r="M516" s="88"/>
      <c r="N516" s="87">
        <f t="shared" si="280"/>
        <v>990</v>
      </c>
      <c r="O516" s="98">
        <v>44230</v>
      </c>
      <c r="P516" s="120" t="s">
        <v>105</v>
      </c>
      <c r="Q516" s="132" t="s">
        <v>226</v>
      </c>
    </row>
    <row r="517" spans="1:17" ht="13.5" thickBot="1" x14ac:dyDescent="0.25">
      <c r="A517" s="80" t="s">
        <v>79</v>
      </c>
      <c r="B517" s="81" t="s">
        <v>91</v>
      </c>
      <c r="C517" s="88">
        <v>1250</v>
      </c>
      <c r="D517" s="88"/>
      <c r="E517" s="88"/>
      <c r="F517" s="88"/>
      <c r="G517" s="87">
        <f t="shared" si="279"/>
        <v>1250</v>
      </c>
      <c r="H517" s="88">
        <v>12.5</v>
      </c>
      <c r="I517" s="88"/>
      <c r="J517" s="88"/>
      <c r="K517" s="88"/>
      <c r="L517" s="88"/>
      <c r="M517" s="88"/>
      <c r="N517" s="87">
        <f t="shared" si="280"/>
        <v>1237.5</v>
      </c>
      <c r="O517" s="98">
        <v>44230</v>
      </c>
      <c r="P517" s="120" t="s">
        <v>105</v>
      </c>
      <c r="Q517" s="132" t="s">
        <v>226</v>
      </c>
    </row>
    <row r="518" spans="1:17" s="93" customFormat="1" ht="13.5" thickBot="1" x14ac:dyDescent="0.25">
      <c r="A518" s="403" t="s">
        <v>0</v>
      </c>
      <c r="B518" s="404"/>
      <c r="C518" s="114">
        <f t="shared" ref="C518:N518" si="281">SUM(C512:C517)</f>
        <v>9883.4</v>
      </c>
      <c r="D518" s="114">
        <f t="shared" si="281"/>
        <v>0</v>
      </c>
      <c r="E518" s="114">
        <f t="shared" si="281"/>
        <v>640</v>
      </c>
      <c r="F518" s="114">
        <f t="shared" si="281"/>
        <v>624</v>
      </c>
      <c r="G518" s="114">
        <f t="shared" si="281"/>
        <v>10507.4</v>
      </c>
      <c r="H518" s="114">
        <f t="shared" si="281"/>
        <v>96.35</v>
      </c>
      <c r="I518" s="114">
        <f t="shared" si="281"/>
        <v>588</v>
      </c>
      <c r="J518" s="114">
        <f t="shared" si="281"/>
        <v>-159.5</v>
      </c>
      <c r="K518" s="114">
        <f t="shared" si="281"/>
        <v>624</v>
      </c>
      <c r="L518" s="114">
        <f t="shared" si="281"/>
        <v>402.23</v>
      </c>
      <c r="M518" s="114">
        <f t="shared" si="281"/>
        <v>1325</v>
      </c>
      <c r="N518" s="114">
        <f t="shared" si="281"/>
        <v>7647.32</v>
      </c>
      <c r="O518" s="405" t="s">
        <v>0</v>
      </c>
      <c r="P518" s="406"/>
      <c r="Q518" s="132"/>
    </row>
    <row r="519" spans="1:17" x14ac:dyDescent="0.2">
      <c r="A519" s="82" t="s">
        <v>25</v>
      </c>
      <c r="B519" s="83" t="s">
        <v>63</v>
      </c>
      <c r="C519" s="88">
        <v>3966.4</v>
      </c>
      <c r="D519" s="88">
        <v>0</v>
      </c>
      <c r="E519" s="88">
        <v>490</v>
      </c>
      <c r="F519" s="88">
        <v>624</v>
      </c>
      <c r="G519" s="87">
        <f t="shared" ref="G519:G524" si="282">C519+D519+F519</f>
        <v>4590.3999999999996</v>
      </c>
      <c r="H519" s="88">
        <v>37.18</v>
      </c>
      <c r="I519" s="88">
        <v>588</v>
      </c>
      <c r="J519" s="88">
        <v>-159.5</v>
      </c>
      <c r="K519" s="88">
        <v>624</v>
      </c>
      <c r="L519" s="88">
        <v>200.01</v>
      </c>
      <c r="M519" s="88">
        <v>1125</v>
      </c>
      <c r="N519" s="87">
        <f t="shared" ref="N519:N524" si="283">C519+D519+E519-H519-I519-J519-K519-L519-M519</f>
        <v>2041.7099999999991</v>
      </c>
      <c r="O519" s="98">
        <v>44237</v>
      </c>
      <c r="P519" s="151" t="s">
        <v>106</v>
      </c>
      <c r="Q519" s="132" t="s">
        <v>226</v>
      </c>
    </row>
    <row r="520" spans="1:17" x14ac:dyDescent="0.2">
      <c r="A520" s="80" t="s">
        <v>26</v>
      </c>
      <c r="B520" s="81" t="s">
        <v>70</v>
      </c>
      <c r="C520" s="88">
        <v>1023.5</v>
      </c>
      <c r="D520" s="88"/>
      <c r="E520" s="88">
        <v>50</v>
      </c>
      <c r="F520" s="88"/>
      <c r="G520" s="87">
        <f t="shared" si="282"/>
        <v>1023.5</v>
      </c>
      <c r="H520" s="88">
        <v>10.234999999999999</v>
      </c>
      <c r="I520" s="88"/>
      <c r="J520" s="88"/>
      <c r="K520" s="88"/>
      <c r="L520" s="88">
        <v>58.14</v>
      </c>
      <c r="M520" s="88">
        <v>0</v>
      </c>
      <c r="N520" s="87">
        <f t="shared" si="283"/>
        <v>1005.1250000000001</v>
      </c>
      <c r="O520" s="98">
        <v>44237</v>
      </c>
      <c r="P520" s="151" t="s">
        <v>106</v>
      </c>
      <c r="Q520" s="132" t="s">
        <v>226</v>
      </c>
    </row>
    <row r="521" spans="1:17" x14ac:dyDescent="0.2">
      <c r="A521" s="80" t="s">
        <v>3</v>
      </c>
      <c r="B521" s="81" t="s">
        <v>71</v>
      </c>
      <c r="C521" s="88">
        <v>1343.5</v>
      </c>
      <c r="D521" s="88"/>
      <c r="E521" s="88">
        <v>50</v>
      </c>
      <c r="F521" s="88"/>
      <c r="G521" s="87">
        <f t="shared" si="282"/>
        <v>1343.5</v>
      </c>
      <c r="H521" s="88">
        <v>13.435</v>
      </c>
      <c r="I521" s="88"/>
      <c r="J521" s="88"/>
      <c r="K521" s="88"/>
      <c r="L521" s="88">
        <v>76.3</v>
      </c>
      <c r="M521" s="88"/>
      <c r="N521" s="87">
        <f t="shared" si="283"/>
        <v>1303.7650000000001</v>
      </c>
      <c r="O521" s="98">
        <v>44237</v>
      </c>
      <c r="P521" s="151" t="s">
        <v>106</v>
      </c>
      <c r="Q521" s="132" t="s">
        <v>226</v>
      </c>
    </row>
    <row r="522" spans="1:17" x14ac:dyDescent="0.2">
      <c r="A522" s="80" t="s">
        <v>31</v>
      </c>
      <c r="B522" s="81" t="s">
        <v>72</v>
      </c>
      <c r="C522" s="88">
        <v>1300</v>
      </c>
      <c r="D522" s="88"/>
      <c r="E522" s="88">
        <v>50</v>
      </c>
      <c r="F522" s="88"/>
      <c r="G522" s="87">
        <f t="shared" si="282"/>
        <v>1300</v>
      </c>
      <c r="H522" s="88">
        <v>13</v>
      </c>
      <c r="I522" s="88"/>
      <c r="J522" s="88"/>
      <c r="K522" s="88"/>
      <c r="L522" s="88">
        <v>67.78</v>
      </c>
      <c r="M522" s="88"/>
      <c r="N522" s="87">
        <f t="shared" si="283"/>
        <v>1269.22</v>
      </c>
      <c r="O522" s="98">
        <v>44237</v>
      </c>
      <c r="P522" s="151" t="s">
        <v>106</v>
      </c>
      <c r="Q522" s="132" t="s">
        <v>226</v>
      </c>
    </row>
    <row r="523" spans="1:17" x14ac:dyDescent="0.2">
      <c r="A523" s="80" t="s">
        <v>69</v>
      </c>
      <c r="B523" s="81" t="s">
        <v>73</v>
      </c>
      <c r="C523" s="88">
        <v>1000</v>
      </c>
      <c r="D523" s="88"/>
      <c r="E523" s="88"/>
      <c r="F523" s="88"/>
      <c r="G523" s="87">
        <f t="shared" si="282"/>
        <v>1000</v>
      </c>
      <c r="H523" s="88">
        <v>10</v>
      </c>
      <c r="I523" s="88"/>
      <c r="J523" s="88"/>
      <c r="K523" s="88"/>
      <c r="L523" s="88"/>
      <c r="M523" s="88"/>
      <c r="N523" s="87">
        <f t="shared" si="283"/>
        <v>990</v>
      </c>
      <c r="O523" s="98">
        <v>44237</v>
      </c>
      <c r="P523" s="151" t="s">
        <v>106</v>
      </c>
      <c r="Q523" s="132" t="s">
        <v>226</v>
      </c>
    </row>
    <row r="524" spans="1:17" ht="13.5" thickBot="1" x14ac:dyDescent="0.25">
      <c r="A524" s="80" t="s">
        <v>79</v>
      </c>
      <c r="B524" s="81" t="s">
        <v>91</v>
      </c>
      <c r="C524" s="88">
        <v>1250</v>
      </c>
      <c r="D524" s="88"/>
      <c r="E524" s="88"/>
      <c r="F524" s="88"/>
      <c r="G524" s="87">
        <f t="shared" si="282"/>
        <v>1250</v>
      </c>
      <c r="H524" s="88">
        <v>12.5</v>
      </c>
      <c r="I524" s="88"/>
      <c r="J524" s="88"/>
      <c r="K524" s="88"/>
      <c r="L524" s="88"/>
      <c r="M524" s="88"/>
      <c r="N524" s="87">
        <f t="shared" si="283"/>
        <v>1237.5</v>
      </c>
      <c r="O524" s="98">
        <v>44237</v>
      </c>
      <c r="P524" s="151" t="s">
        <v>106</v>
      </c>
      <c r="Q524" s="132" t="s">
        <v>226</v>
      </c>
    </row>
    <row r="525" spans="1:17" s="93" customFormat="1" ht="13.5" thickBot="1" x14ac:dyDescent="0.25">
      <c r="A525" s="409" t="s">
        <v>0</v>
      </c>
      <c r="B525" s="410"/>
      <c r="C525" s="152">
        <f t="shared" ref="C525:N525" si="284">SUM(C519:C524)</f>
        <v>9883.4</v>
      </c>
      <c r="D525" s="152">
        <f t="shared" si="284"/>
        <v>0</v>
      </c>
      <c r="E525" s="152">
        <f t="shared" si="284"/>
        <v>640</v>
      </c>
      <c r="F525" s="152">
        <f t="shared" si="284"/>
        <v>624</v>
      </c>
      <c r="G525" s="152">
        <f t="shared" si="284"/>
        <v>10507.4</v>
      </c>
      <c r="H525" s="152">
        <f t="shared" si="284"/>
        <v>96.35</v>
      </c>
      <c r="I525" s="152">
        <f t="shared" si="284"/>
        <v>588</v>
      </c>
      <c r="J525" s="152">
        <f t="shared" si="284"/>
        <v>-159.5</v>
      </c>
      <c r="K525" s="152">
        <f t="shared" si="284"/>
        <v>624</v>
      </c>
      <c r="L525" s="152">
        <f t="shared" si="284"/>
        <v>402.23</v>
      </c>
      <c r="M525" s="152">
        <f t="shared" si="284"/>
        <v>1125</v>
      </c>
      <c r="N525" s="152">
        <f t="shared" si="284"/>
        <v>7847.32</v>
      </c>
      <c r="O525" s="411" t="s">
        <v>0</v>
      </c>
      <c r="P525" s="412"/>
      <c r="Q525" s="132"/>
    </row>
    <row r="526" spans="1:17" x14ac:dyDescent="0.2">
      <c r="A526" s="82" t="s">
        <v>25</v>
      </c>
      <c r="B526" s="83" t="s">
        <v>63</v>
      </c>
      <c r="C526" s="88">
        <v>3966.4</v>
      </c>
      <c r="D526" s="88">
        <v>1189.92</v>
      </c>
      <c r="E526" s="88">
        <v>490</v>
      </c>
      <c r="F526" s="88">
        <v>624</v>
      </c>
      <c r="G526" s="87">
        <f t="shared" ref="G526:G531" si="285">C526+D526+F526</f>
        <v>5780.32</v>
      </c>
      <c r="H526" s="88">
        <v>37.18</v>
      </c>
      <c r="I526" s="88">
        <v>901</v>
      </c>
      <c r="J526" s="88">
        <v>-159.5</v>
      </c>
      <c r="K526" s="88">
        <v>624</v>
      </c>
      <c r="L526" s="88">
        <v>200.01</v>
      </c>
      <c r="M526" s="88">
        <v>1125</v>
      </c>
      <c r="N526" s="87">
        <f t="shared" ref="N526:N531" si="286">C526+D526+E526-H526-I526-J526-K526-L526-M526</f>
        <v>2918.6299999999992</v>
      </c>
      <c r="O526" s="98">
        <v>44244</v>
      </c>
      <c r="P526" s="123" t="s">
        <v>107</v>
      </c>
      <c r="Q526" s="132" t="s">
        <v>226</v>
      </c>
    </row>
    <row r="527" spans="1:17" x14ac:dyDescent="0.2">
      <c r="A527" s="80" t="s">
        <v>26</v>
      </c>
      <c r="B527" s="81" t="s">
        <v>70</v>
      </c>
      <c r="C527" s="88">
        <v>1023.5</v>
      </c>
      <c r="D527" s="88"/>
      <c r="E527" s="88">
        <v>50</v>
      </c>
      <c r="F527" s="88"/>
      <c r="G527" s="87">
        <f t="shared" si="285"/>
        <v>1023.5</v>
      </c>
      <c r="H527" s="88">
        <v>10.234999999999999</v>
      </c>
      <c r="I527" s="88"/>
      <c r="J527" s="88"/>
      <c r="K527" s="88"/>
      <c r="L527" s="88">
        <v>58.14</v>
      </c>
      <c r="M527" s="88">
        <v>200</v>
      </c>
      <c r="N527" s="87">
        <f t="shared" si="286"/>
        <v>805.12500000000011</v>
      </c>
      <c r="O527" s="98">
        <v>44244</v>
      </c>
      <c r="P527" s="123" t="s">
        <v>107</v>
      </c>
      <c r="Q527" s="132" t="s">
        <v>226</v>
      </c>
    </row>
    <row r="528" spans="1:17" x14ac:dyDescent="0.2">
      <c r="A528" s="80" t="s">
        <v>3</v>
      </c>
      <c r="B528" s="81" t="s">
        <v>71</v>
      </c>
      <c r="C528" s="88">
        <v>1343.5</v>
      </c>
      <c r="D528" s="88"/>
      <c r="E528" s="88">
        <v>50</v>
      </c>
      <c r="F528" s="88"/>
      <c r="G528" s="87">
        <f t="shared" si="285"/>
        <v>1343.5</v>
      </c>
      <c r="H528" s="88">
        <v>13.435</v>
      </c>
      <c r="I528" s="88"/>
      <c r="J528" s="88"/>
      <c r="K528" s="88"/>
      <c r="L528" s="88">
        <v>76.3</v>
      </c>
      <c r="M528" s="88"/>
      <c r="N528" s="87">
        <f t="shared" si="286"/>
        <v>1303.7650000000001</v>
      </c>
      <c r="O528" s="98">
        <v>44244</v>
      </c>
      <c r="P528" s="123" t="s">
        <v>107</v>
      </c>
      <c r="Q528" s="132" t="s">
        <v>226</v>
      </c>
    </row>
    <row r="529" spans="1:17" x14ac:dyDescent="0.2">
      <c r="A529" s="80" t="s">
        <v>31</v>
      </c>
      <c r="B529" s="81" t="s">
        <v>72</v>
      </c>
      <c r="C529" s="88">
        <v>1300</v>
      </c>
      <c r="D529" s="88">
        <v>390</v>
      </c>
      <c r="E529" s="88">
        <v>50</v>
      </c>
      <c r="F529" s="88"/>
      <c r="G529" s="87">
        <f t="shared" si="285"/>
        <v>1690</v>
      </c>
      <c r="H529" s="88">
        <v>16.899999999999999</v>
      </c>
      <c r="I529" s="88"/>
      <c r="J529" s="88"/>
      <c r="K529" s="88"/>
      <c r="L529" s="88">
        <v>67.78</v>
      </c>
      <c r="M529" s="88"/>
      <c r="N529" s="87">
        <f t="shared" si="286"/>
        <v>1655.32</v>
      </c>
      <c r="O529" s="98">
        <v>44244</v>
      </c>
      <c r="P529" s="123" t="s">
        <v>107</v>
      </c>
      <c r="Q529" s="132" t="s">
        <v>226</v>
      </c>
    </row>
    <row r="530" spans="1:17" x14ac:dyDescent="0.2">
      <c r="A530" s="80" t="s">
        <v>69</v>
      </c>
      <c r="B530" s="81" t="s">
        <v>73</v>
      </c>
      <c r="C530" s="88">
        <v>1000</v>
      </c>
      <c r="D530" s="88"/>
      <c r="E530" s="88"/>
      <c r="F530" s="88"/>
      <c r="G530" s="87">
        <f t="shared" si="285"/>
        <v>1000</v>
      </c>
      <c r="H530" s="88">
        <v>10</v>
      </c>
      <c r="I530" s="88"/>
      <c r="J530" s="88"/>
      <c r="K530" s="88"/>
      <c r="L530" s="88"/>
      <c r="M530" s="88"/>
      <c r="N530" s="87">
        <f t="shared" si="286"/>
        <v>990</v>
      </c>
      <c r="O530" s="98">
        <v>44244</v>
      </c>
      <c r="P530" s="123" t="s">
        <v>107</v>
      </c>
      <c r="Q530" s="132" t="s">
        <v>226</v>
      </c>
    </row>
    <row r="531" spans="1:17" ht="13.5" thickBot="1" x14ac:dyDescent="0.25">
      <c r="A531" s="80" t="s">
        <v>79</v>
      </c>
      <c r="B531" s="81" t="s">
        <v>91</v>
      </c>
      <c r="C531" s="88">
        <v>1250</v>
      </c>
      <c r="D531" s="88"/>
      <c r="E531" s="88"/>
      <c r="F531" s="88"/>
      <c r="G531" s="87">
        <f t="shared" si="285"/>
        <v>1250</v>
      </c>
      <c r="H531" s="88">
        <v>12.5</v>
      </c>
      <c r="I531" s="88"/>
      <c r="J531" s="88"/>
      <c r="K531" s="88"/>
      <c r="L531" s="88"/>
      <c r="M531" s="88"/>
      <c r="N531" s="87">
        <f t="shared" si="286"/>
        <v>1237.5</v>
      </c>
      <c r="O531" s="98">
        <v>44244</v>
      </c>
      <c r="P531" s="123" t="s">
        <v>107</v>
      </c>
      <c r="Q531" s="132" t="s">
        <v>226</v>
      </c>
    </row>
    <row r="532" spans="1:17" s="93" customFormat="1" ht="13.5" thickBot="1" x14ac:dyDescent="0.25">
      <c r="A532" s="413" t="s">
        <v>0</v>
      </c>
      <c r="B532" s="414"/>
      <c r="C532" s="106">
        <f t="shared" ref="C532:N532" si="287">SUM(C526:C531)</f>
        <v>9883.4</v>
      </c>
      <c r="D532" s="106">
        <f t="shared" si="287"/>
        <v>1579.92</v>
      </c>
      <c r="E532" s="106">
        <f t="shared" si="287"/>
        <v>640</v>
      </c>
      <c r="F532" s="106">
        <f t="shared" si="287"/>
        <v>624</v>
      </c>
      <c r="G532" s="106">
        <f t="shared" si="287"/>
        <v>12087.32</v>
      </c>
      <c r="H532" s="106">
        <f t="shared" si="287"/>
        <v>100.25</v>
      </c>
      <c r="I532" s="106">
        <f t="shared" si="287"/>
        <v>901</v>
      </c>
      <c r="J532" s="106">
        <f t="shared" si="287"/>
        <v>-159.5</v>
      </c>
      <c r="K532" s="106">
        <f t="shared" si="287"/>
        <v>624</v>
      </c>
      <c r="L532" s="106">
        <f t="shared" si="287"/>
        <v>402.23</v>
      </c>
      <c r="M532" s="106">
        <f t="shared" si="287"/>
        <v>1325</v>
      </c>
      <c r="N532" s="106">
        <f t="shared" si="287"/>
        <v>8910.34</v>
      </c>
      <c r="O532" s="418" t="s">
        <v>0</v>
      </c>
      <c r="P532" s="419"/>
      <c r="Q532" s="132"/>
    </row>
    <row r="533" spans="1:17" x14ac:dyDescent="0.2">
      <c r="A533" s="82" t="s">
        <v>25</v>
      </c>
      <c r="B533" s="83" t="s">
        <v>63</v>
      </c>
      <c r="C533" s="88">
        <v>3966.4</v>
      </c>
      <c r="D533" s="88"/>
      <c r="E533" s="88">
        <v>490</v>
      </c>
      <c r="F533" s="88">
        <v>624</v>
      </c>
      <c r="G533" s="87">
        <f t="shared" ref="G533:G538" si="288">C533+D533+F533</f>
        <v>4590.3999999999996</v>
      </c>
      <c r="H533" s="88">
        <v>37.18</v>
      </c>
      <c r="I533" s="88">
        <v>588</v>
      </c>
      <c r="J533" s="88">
        <v>-159.5</v>
      </c>
      <c r="K533" s="88">
        <v>624</v>
      </c>
      <c r="L533" s="88">
        <v>200.01</v>
      </c>
      <c r="M533" s="88">
        <v>1125</v>
      </c>
      <c r="N533" s="87">
        <f t="shared" ref="N533:N538" si="289">C533+D533+E533-H533-I533-J533-K533-L533-M533</f>
        <v>2041.7099999999991</v>
      </c>
      <c r="O533" s="98">
        <v>44251</v>
      </c>
      <c r="P533" s="149" t="s">
        <v>108</v>
      </c>
      <c r="Q533" s="132" t="s">
        <v>226</v>
      </c>
    </row>
    <row r="534" spans="1:17" x14ac:dyDescent="0.2">
      <c r="A534" s="80" t="s">
        <v>26</v>
      </c>
      <c r="B534" s="81" t="s">
        <v>70</v>
      </c>
      <c r="C534" s="88">
        <v>1023.5</v>
      </c>
      <c r="D534" s="88"/>
      <c r="E534" s="88">
        <v>50</v>
      </c>
      <c r="F534" s="88"/>
      <c r="G534" s="87">
        <f t="shared" si="288"/>
        <v>1023.5</v>
      </c>
      <c r="H534" s="88">
        <v>10.234999999999999</v>
      </c>
      <c r="I534" s="88"/>
      <c r="J534" s="88"/>
      <c r="K534" s="88"/>
      <c r="L534" s="88">
        <v>58.14</v>
      </c>
      <c r="M534" s="88">
        <v>200</v>
      </c>
      <c r="N534" s="87">
        <f t="shared" si="289"/>
        <v>805.12500000000011</v>
      </c>
      <c r="O534" s="98">
        <v>44251</v>
      </c>
      <c r="P534" s="149" t="s">
        <v>108</v>
      </c>
      <c r="Q534" s="132" t="s">
        <v>226</v>
      </c>
    </row>
    <row r="535" spans="1:17" x14ac:dyDescent="0.2">
      <c r="A535" s="80" t="s">
        <v>3</v>
      </c>
      <c r="B535" s="81" t="s">
        <v>71</v>
      </c>
      <c r="C535" s="88">
        <v>1343.5</v>
      </c>
      <c r="D535" s="88"/>
      <c r="E535" s="88">
        <v>50</v>
      </c>
      <c r="F535" s="88"/>
      <c r="G535" s="87">
        <f t="shared" si="288"/>
        <v>1343.5</v>
      </c>
      <c r="H535" s="88">
        <v>13.435</v>
      </c>
      <c r="I535" s="88"/>
      <c r="J535" s="88"/>
      <c r="K535" s="88"/>
      <c r="L535" s="88">
        <v>76.3</v>
      </c>
      <c r="M535" s="88"/>
      <c r="N535" s="87">
        <f t="shared" si="289"/>
        <v>1303.7650000000001</v>
      </c>
      <c r="O535" s="98">
        <v>44251</v>
      </c>
      <c r="P535" s="149" t="s">
        <v>108</v>
      </c>
      <c r="Q535" s="132" t="s">
        <v>226</v>
      </c>
    </row>
    <row r="536" spans="1:17" x14ac:dyDescent="0.2">
      <c r="A536" s="80" t="s">
        <v>31</v>
      </c>
      <c r="B536" s="81" t="s">
        <v>72</v>
      </c>
      <c r="C536" s="88">
        <v>1300</v>
      </c>
      <c r="D536" s="88">
        <v>0</v>
      </c>
      <c r="E536" s="88">
        <v>50</v>
      </c>
      <c r="F536" s="88"/>
      <c r="G536" s="87">
        <f t="shared" si="288"/>
        <v>1300</v>
      </c>
      <c r="H536" s="88">
        <v>13</v>
      </c>
      <c r="I536" s="88"/>
      <c r="J536" s="88"/>
      <c r="K536" s="88"/>
      <c r="L536" s="88">
        <v>67.78</v>
      </c>
      <c r="M536" s="88"/>
      <c r="N536" s="87">
        <f t="shared" si="289"/>
        <v>1269.22</v>
      </c>
      <c r="O536" s="98">
        <v>44251</v>
      </c>
      <c r="P536" s="149" t="s">
        <v>108</v>
      </c>
      <c r="Q536" s="132" t="s">
        <v>226</v>
      </c>
    </row>
    <row r="537" spans="1:17" x14ac:dyDescent="0.2">
      <c r="A537" s="80" t="s">
        <v>69</v>
      </c>
      <c r="B537" s="81" t="s">
        <v>73</v>
      </c>
      <c r="C537" s="88">
        <v>1000</v>
      </c>
      <c r="D537" s="88"/>
      <c r="E537" s="88"/>
      <c r="F537" s="88"/>
      <c r="G537" s="87">
        <f t="shared" si="288"/>
        <v>1000</v>
      </c>
      <c r="H537" s="88">
        <v>10</v>
      </c>
      <c r="I537" s="88"/>
      <c r="J537" s="88"/>
      <c r="K537" s="88"/>
      <c r="L537" s="88"/>
      <c r="M537" s="88"/>
      <c r="N537" s="87">
        <f t="shared" si="289"/>
        <v>990</v>
      </c>
      <c r="O537" s="98">
        <v>44251</v>
      </c>
      <c r="P537" s="149" t="s">
        <v>108</v>
      </c>
      <c r="Q537" s="132" t="s">
        <v>226</v>
      </c>
    </row>
    <row r="538" spans="1:17" ht="13.5" thickBot="1" x14ac:dyDescent="0.25">
      <c r="A538" s="80" t="s">
        <v>79</v>
      </c>
      <c r="B538" s="81" t="s">
        <v>91</v>
      </c>
      <c r="C538" s="88">
        <v>1500</v>
      </c>
      <c r="D538" s="88"/>
      <c r="E538" s="88"/>
      <c r="F538" s="88"/>
      <c r="G538" s="87">
        <f t="shared" si="288"/>
        <v>1500</v>
      </c>
      <c r="H538" s="88">
        <v>15</v>
      </c>
      <c r="I538" s="88"/>
      <c r="J538" s="88"/>
      <c r="K538" s="88"/>
      <c r="L538" s="88"/>
      <c r="M538" s="88"/>
      <c r="N538" s="87">
        <f t="shared" si="289"/>
        <v>1485</v>
      </c>
      <c r="O538" s="98">
        <v>44251</v>
      </c>
      <c r="P538" s="149" t="s">
        <v>108</v>
      </c>
      <c r="Q538" s="132" t="s">
        <v>226</v>
      </c>
    </row>
    <row r="539" spans="1:17" s="93" customFormat="1" ht="13.5" thickBot="1" x14ac:dyDescent="0.25">
      <c r="A539" s="420" t="s">
        <v>0</v>
      </c>
      <c r="B539" s="421"/>
      <c r="C539" s="150">
        <f>SUM(C533:C538)</f>
        <v>10133.4</v>
      </c>
      <c r="D539" s="150">
        <f t="shared" ref="D539:N539" si="290">SUM(D533:D538)</f>
        <v>0</v>
      </c>
      <c r="E539" s="150">
        <f t="shared" si="290"/>
        <v>640</v>
      </c>
      <c r="F539" s="150">
        <f t="shared" si="290"/>
        <v>624</v>
      </c>
      <c r="G539" s="150">
        <f t="shared" si="290"/>
        <v>10757.4</v>
      </c>
      <c r="H539" s="150">
        <f t="shared" si="290"/>
        <v>98.85</v>
      </c>
      <c r="I539" s="150">
        <f t="shared" si="290"/>
        <v>588</v>
      </c>
      <c r="J539" s="150">
        <f t="shared" si="290"/>
        <v>-159.5</v>
      </c>
      <c r="K539" s="150">
        <f t="shared" si="290"/>
        <v>624</v>
      </c>
      <c r="L539" s="150">
        <f t="shared" si="290"/>
        <v>402.23</v>
      </c>
      <c r="M539" s="150">
        <f t="shared" si="290"/>
        <v>1325</v>
      </c>
      <c r="N539" s="150">
        <f t="shared" si="290"/>
        <v>7894.82</v>
      </c>
      <c r="O539" s="407" t="s">
        <v>0</v>
      </c>
      <c r="P539" s="408"/>
      <c r="Q539" s="133"/>
    </row>
    <row r="540" spans="1:17" s="140" customFormat="1" ht="13.5" thickBot="1" x14ac:dyDescent="0.25">
      <c r="A540" s="401" t="s">
        <v>88</v>
      </c>
      <c r="B540" s="402"/>
      <c r="C540" s="155">
        <f>C518+C525+C532+C539</f>
        <v>39783.599999999999</v>
      </c>
      <c r="D540" s="155">
        <f t="shared" ref="D540:N540" si="291">D518+D525+D532+D539</f>
        <v>1579.92</v>
      </c>
      <c r="E540" s="155">
        <f t="shared" si="291"/>
        <v>2560</v>
      </c>
      <c r="F540" s="155">
        <f t="shared" si="291"/>
        <v>2496</v>
      </c>
      <c r="G540" s="155">
        <f t="shared" si="291"/>
        <v>43859.519999999997</v>
      </c>
      <c r="H540" s="155">
        <f t="shared" si="291"/>
        <v>391.79999999999995</v>
      </c>
      <c r="I540" s="155">
        <f t="shared" si="291"/>
        <v>2665</v>
      </c>
      <c r="J540" s="155">
        <f t="shared" si="291"/>
        <v>-638</v>
      </c>
      <c r="K540" s="155">
        <f t="shared" si="291"/>
        <v>2496</v>
      </c>
      <c r="L540" s="155">
        <f t="shared" si="291"/>
        <v>1608.92</v>
      </c>
      <c r="M540" s="155">
        <f t="shared" si="291"/>
        <v>5100</v>
      </c>
      <c r="N540" s="155">
        <f t="shared" si="291"/>
        <v>32299.8</v>
      </c>
      <c r="O540" s="174"/>
      <c r="P540" s="144"/>
      <c r="Q540" s="139"/>
    </row>
    <row r="541" spans="1:17" s="162" customFormat="1" x14ac:dyDescent="0.2">
      <c r="A541" s="159" t="s">
        <v>8</v>
      </c>
      <c r="B541" s="165" t="s">
        <v>96</v>
      </c>
      <c r="C541" s="163">
        <v>13502</v>
      </c>
      <c r="D541" s="163"/>
      <c r="E541" s="163"/>
      <c r="F541" s="163">
        <v>5624</v>
      </c>
      <c r="G541" s="163"/>
      <c r="H541" s="87"/>
      <c r="I541" s="163">
        <v>2355</v>
      </c>
      <c r="J541" s="163">
        <v>-853</v>
      </c>
      <c r="K541" s="163"/>
      <c r="L541" s="160"/>
      <c r="M541" s="160"/>
      <c r="N541" s="297">
        <f>C541-I541-J541</f>
        <v>12000</v>
      </c>
      <c r="O541" s="169"/>
      <c r="P541" s="170"/>
      <c r="Q541" s="161"/>
    </row>
    <row r="542" spans="1:17" s="162" customFormat="1" x14ac:dyDescent="0.2">
      <c r="A542" s="159" t="s">
        <v>27</v>
      </c>
      <c r="B542" s="165" t="s">
        <v>97</v>
      </c>
      <c r="C542" s="163">
        <v>13717</v>
      </c>
      <c r="D542" s="163"/>
      <c r="E542" s="163"/>
      <c r="F542" s="163">
        <v>5409</v>
      </c>
      <c r="G542" s="163"/>
      <c r="H542" s="87"/>
      <c r="I542" s="163">
        <v>2355</v>
      </c>
      <c r="J542" s="163">
        <v>-638</v>
      </c>
      <c r="K542" s="163"/>
      <c r="L542" s="163"/>
      <c r="M542" s="163"/>
      <c r="N542" s="297">
        <f>C542-I542-J542</f>
        <v>12000</v>
      </c>
      <c r="O542" s="169"/>
      <c r="P542" s="170"/>
      <c r="Q542" s="161"/>
    </row>
    <row r="543" spans="1:17" s="162" customFormat="1" ht="13.5" thickBot="1" x14ac:dyDescent="0.25">
      <c r="A543" s="159" t="s">
        <v>6</v>
      </c>
      <c r="B543" s="165" t="s">
        <v>98</v>
      </c>
      <c r="C543" s="164">
        <v>12643.72</v>
      </c>
      <c r="D543" s="164"/>
      <c r="E543" s="164"/>
      <c r="F543" s="164">
        <v>2812</v>
      </c>
      <c r="G543" s="164"/>
      <c r="H543" s="87">
        <v>148.72</v>
      </c>
      <c r="I543" s="164">
        <v>1536</v>
      </c>
      <c r="J543" s="164">
        <v>-853</v>
      </c>
      <c r="K543" s="164">
        <v>2812</v>
      </c>
      <c r="L543" s="164"/>
      <c r="M543" s="164"/>
      <c r="N543" s="297">
        <f>C543-I543-J543-H543-K543</f>
        <v>9000</v>
      </c>
      <c r="O543" s="169"/>
      <c r="P543" s="170"/>
      <c r="Q543" s="161"/>
    </row>
    <row r="544" spans="1:17" s="131" customFormat="1" ht="13.5" thickBot="1" x14ac:dyDescent="0.25">
      <c r="A544" s="415" t="s">
        <v>89</v>
      </c>
      <c r="B544" s="416"/>
      <c r="C544" s="158">
        <f>SUM(C541:C543)</f>
        <v>39862.720000000001</v>
      </c>
      <c r="D544" s="158">
        <f t="shared" ref="D544:N544" si="292">SUM(D541:D543)</f>
        <v>0</v>
      </c>
      <c r="E544" s="158">
        <f t="shared" si="292"/>
        <v>0</v>
      </c>
      <c r="F544" s="158">
        <f t="shared" si="292"/>
        <v>13845</v>
      </c>
      <c r="G544" s="158">
        <f t="shared" si="292"/>
        <v>0</v>
      </c>
      <c r="H544" s="158">
        <f t="shared" si="292"/>
        <v>148.72</v>
      </c>
      <c r="I544" s="158">
        <f t="shared" si="292"/>
        <v>6246</v>
      </c>
      <c r="J544" s="158">
        <f t="shared" si="292"/>
        <v>-2344</v>
      </c>
      <c r="K544" s="158">
        <f t="shared" si="292"/>
        <v>2812</v>
      </c>
      <c r="L544" s="158">
        <f t="shared" si="292"/>
        <v>0</v>
      </c>
      <c r="M544" s="158">
        <f t="shared" si="292"/>
        <v>0</v>
      </c>
      <c r="N544" s="158">
        <f t="shared" si="292"/>
        <v>33000</v>
      </c>
      <c r="O544" s="175"/>
      <c r="P544" s="130"/>
      <c r="Q544" s="134"/>
    </row>
    <row r="545" spans="1:17" s="131" customFormat="1" ht="13.5" thickBot="1" x14ac:dyDescent="0.25">
      <c r="A545" s="417" t="s">
        <v>90</v>
      </c>
      <c r="B545" s="417"/>
      <c r="C545" s="141"/>
      <c r="D545" s="141"/>
      <c r="E545" s="141"/>
      <c r="F545" s="141"/>
      <c r="G545" s="141"/>
      <c r="H545" s="147">
        <f>(H540+H544)*2</f>
        <v>1081.04</v>
      </c>
      <c r="I545" s="145">
        <f>I540+I544</f>
        <v>8911</v>
      </c>
      <c r="J545" s="148">
        <f>J540+J544</f>
        <v>-2982</v>
      </c>
      <c r="K545" s="141"/>
      <c r="L545" s="141"/>
      <c r="M545" s="141"/>
      <c r="N545" s="141"/>
      <c r="O545" s="130"/>
      <c r="P545" s="130"/>
      <c r="Q545" s="143"/>
    </row>
  </sheetData>
  <mergeCells count="157">
    <mergeCell ref="A309:B309"/>
    <mergeCell ref="A310:B310"/>
    <mergeCell ref="A28:B28"/>
    <mergeCell ref="O28:P28"/>
    <mergeCell ref="A20:B20"/>
    <mergeCell ref="O20:P20"/>
    <mergeCell ref="A12:B12"/>
    <mergeCell ref="O12:P12"/>
    <mergeCell ref="A4:Q4"/>
    <mergeCell ref="A36:B36"/>
    <mergeCell ref="O36:P36"/>
    <mergeCell ref="A37:B37"/>
    <mergeCell ref="A119:B119"/>
    <mergeCell ref="O119:P119"/>
    <mergeCell ref="A88:B88"/>
    <mergeCell ref="A97:Q97"/>
    <mergeCell ref="A105:B105"/>
    <mergeCell ref="O105:P105"/>
    <mergeCell ref="A132:B132"/>
    <mergeCell ref="I133:J133"/>
    <mergeCell ref="H134:J134"/>
    <mergeCell ref="A41:B41"/>
    <mergeCell ref="A42:B42"/>
    <mergeCell ref="I43:J43"/>
    <mergeCell ref="H44:J44"/>
    <mergeCell ref="A46:Q46"/>
    <mergeCell ref="A1:Q2"/>
    <mergeCell ref="A250:B250"/>
    <mergeCell ref="O250:P250"/>
    <mergeCell ref="A251:B251"/>
    <mergeCell ref="A55:B55"/>
    <mergeCell ref="A126:B126"/>
    <mergeCell ref="O126:P126"/>
    <mergeCell ref="A144:B144"/>
    <mergeCell ref="O144:P144"/>
    <mergeCell ref="A92:B92"/>
    <mergeCell ref="A93:B93"/>
    <mergeCell ref="I94:J94"/>
    <mergeCell ref="H95:J95"/>
    <mergeCell ref="O55:P55"/>
    <mergeCell ref="A63:B63"/>
    <mergeCell ref="O63:P63"/>
    <mergeCell ref="A71:B71"/>
    <mergeCell ref="O71:P71"/>
    <mergeCell ref="A87:B87"/>
    <mergeCell ref="O87:P87"/>
    <mergeCell ref="A79:B79"/>
    <mergeCell ref="O79:P79"/>
    <mergeCell ref="A127:B127"/>
    <mergeCell ref="A136:Q136"/>
    <mergeCell ref="A131:B131"/>
    <mergeCell ref="A236:B236"/>
    <mergeCell ref="O236:P236"/>
    <mergeCell ref="I218:J218"/>
    <mergeCell ref="A158:B158"/>
    <mergeCell ref="O158:P158"/>
    <mergeCell ref="A112:B112"/>
    <mergeCell ref="O112:P112"/>
    <mergeCell ref="A151:B151"/>
    <mergeCell ref="O151:P151"/>
    <mergeCell ref="O197:P197"/>
    <mergeCell ref="A211:B211"/>
    <mergeCell ref="O211:P211"/>
    <mergeCell ref="A204:B204"/>
    <mergeCell ref="O204:P204"/>
    <mergeCell ref="A165:B165"/>
    <mergeCell ref="A304:B304"/>
    <mergeCell ref="O304:P304"/>
    <mergeCell ref="A243:B243"/>
    <mergeCell ref="O243:P243"/>
    <mergeCell ref="H219:J219"/>
    <mergeCell ref="A190:B190"/>
    <mergeCell ref="O190:P190"/>
    <mergeCell ref="A197:B197"/>
    <mergeCell ref="A229:B229"/>
    <mergeCell ref="O229:P229"/>
    <mergeCell ref="O267:P267"/>
    <mergeCell ref="A305:B305"/>
    <mergeCell ref="A258:Q258"/>
    <mergeCell ref="A267:B267"/>
    <mergeCell ref="A255:B255"/>
    <mergeCell ref="A256:B256"/>
    <mergeCell ref="O165:P165"/>
    <mergeCell ref="A183:B183"/>
    <mergeCell ref="O183:P183"/>
    <mergeCell ref="A166:B166"/>
    <mergeCell ref="A175:Q175"/>
    <mergeCell ref="A170:B170"/>
    <mergeCell ref="A171:B171"/>
    <mergeCell ref="I172:J172"/>
    <mergeCell ref="H173:J173"/>
    <mergeCell ref="A293:B293"/>
    <mergeCell ref="O293:P293"/>
    <mergeCell ref="A275:B275"/>
    <mergeCell ref="O275:P275"/>
    <mergeCell ref="A221:Q221"/>
    <mergeCell ref="A212:B212"/>
    <mergeCell ref="A216:B216"/>
    <mergeCell ref="A217:B217"/>
    <mergeCell ref="A284:B284"/>
    <mergeCell ref="O284:P284"/>
    <mergeCell ref="A412:B412"/>
    <mergeCell ref="O412:P412"/>
    <mergeCell ref="A425:B425"/>
    <mergeCell ref="A369:B369"/>
    <mergeCell ref="A370:B370"/>
    <mergeCell ref="A430:B430"/>
    <mergeCell ref="A386:B386"/>
    <mergeCell ref="O386:P386"/>
    <mergeCell ref="A399:B399"/>
    <mergeCell ref="A544:B544"/>
    <mergeCell ref="A545:B545"/>
    <mergeCell ref="A518:B518"/>
    <mergeCell ref="O518:P518"/>
    <mergeCell ref="A525:B525"/>
    <mergeCell ref="O525:P525"/>
    <mergeCell ref="A510:Q510"/>
    <mergeCell ref="A476:B476"/>
    <mergeCell ref="A477:B477"/>
    <mergeCell ref="A532:B532"/>
    <mergeCell ref="O532:P532"/>
    <mergeCell ref="O539:P539"/>
    <mergeCell ref="A539:B539"/>
    <mergeCell ref="A503:B503"/>
    <mergeCell ref="A508:B508"/>
    <mergeCell ref="A507:B507"/>
    <mergeCell ref="A479:Q479"/>
    <mergeCell ref="A488:B488"/>
    <mergeCell ref="O488:P488"/>
    <mergeCell ref="A495:B495"/>
    <mergeCell ref="O495:P495"/>
    <mergeCell ref="A502:B502"/>
    <mergeCell ref="O502:P502"/>
    <mergeCell ref="A312:Q312"/>
    <mergeCell ref="A540:B540"/>
    <mergeCell ref="A472:B472"/>
    <mergeCell ref="A447:B447"/>
    <mergeCell ref="A433:S433"/>
    <mergeCell ref="A471:B471"/>
    <mergeCell ref="Q471:R471"/>
    <mergeCell ref="A460:B460"/>
    <mergeCell ref="Q460:R460"/>
    <mergeCell ref="A325:B325"/>
    <mergeCell ref="O425:P425"/>
    <mergeCell ref="A426:B426"/>
    <mergeCell ref="Q447:R447"/>
    <mergeCell ref="O325:P325"/>
    <mergeCell ref="A338:B338"/>
    <mergeCell ref="O338:P338"/>
    <mergeCell ref="A351:B351"/>
    <mergeCell ref="O351:P351"/>
    <mergeCell ref="A431:B431"/>
    <mergeCell ref="A372:Q372"/>
    <mergeCell ref="A364:B364"/>
    <mergeCell ref="O364:P364"/>
    <mergeCell ref="A365:B365"/>
    <mergeCell ref="O399:P39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2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19"/>
  <sheetViews>
    <sheetView zoomScale="85" zoomScaleNormal="85" workbookViewId="0">
      <pane ySplit="3" topLeftCell="A4" activePane="bottomLeft" state="frozen"/>
      <selection pane="bottomLeft" activeCell="A12" sqref="A12:XFD12"/>
    </sheetView>
  </sheetViews>
  <sheetFormatPr defaultRowHeight="12.75" x14ac:dyDescent="0.2"/>
  <cols>
    <col min="1" max="2" width="9.140625" style="350"/>
    <col min="3" max="3" width="9.140625" style="77"/>
    <col min="4" max="4" width="13.140625" style="89" customWidth="1"/>
    <col min="5" max="5" width="11.5703125" style="89" customWidth="1"/>
    <col min="6" max="6" width="13.140625" style="89" customWidth="1"/>
    <col min="7" max="8" width="10" style="89" customWidth="1"/>
    <col min="9" max="10" width="11.140625" style="89" customWidth="1"/>
    <col min="11" max="12" width="12.85546875" style="89" customWidth="1"/>
    <col min="13" max="13" width="10.85546875" style="89" customWidth="1"/>
    <col min="14" max="14" width="11.28515625" style="89" customWidth="1"/>
    <col min="15" max="15" width="10.5703125" style="89" customWidth="1"/>
    <col min="16" max="16" width="11.140625" style="89" customWidth="1"/>
    <col min="17" max="17" width="9.140625" style="77"/>
    <col min="18" max="18" width="6.28515625" style="79" customWidth="1"/>
    <col min="19" max="19" width="9.140625" style="77"/>
    <col min="20" max="20" width="11.7109375" style="89" customWidth="1"/>
    <col min="21" max="22" width="9.7109375" style="89" bestFit="1" customWidth="1"/>
    <col min="23" max="23" width="10.85546875" style="89" customWidth="1"/>
    <col min="24" max="24" width="11.7109375" style="89" customWidth="1"/>
    <col min="25" max="25" width="10.7109375" style="89" customWidth="1"/>
    <col min="26" max="26" width="12.7109375" style="89" customWidth="1"/>
    <col min="27" max="27" width="9.140625" style="89"/>
    <col min="28" max="28" width="11" style="89" customWidth="1"/>
    <col min="29" max="29" width="10.85546875" style="89" customWidth="1"/>
    <col min="30" max="30" width="10.28515625" style="89" bestFit="1" customWidth="1"/>
    <col min="31" max="31" width="11.7109375" style="89" customWidth="1"/>
    <col min="32" max="32" width="11.7109375" style="96" customWidth="1"/>
    <col min="33" max="33" width="11.7109375" style="90" customWidth="1"/>
    <col min="34" max="34" width="11.42578125" style="79" customWidth="1"/>
    <col min="35" max="16384" width="9.140625" style="77"/>
  </cols>
  <sheetData>
    <row r="1" spans="1:36" ht="23.25" customHeight="1" x14ac:dyDescent="0.2">
      <c r="C1" s="451" t="s">
        <v>228</v>
      </c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</row>
    <row r="2" spans="1:36" ht="13.5" customHeight="1" thickBot="1" x14ac:dyDescent="0.25">
      <c r="F2" s="351">
        <v>3601</v>
      </c>
      <c r="G2" s="351">
        <v>3602</v>
      </c>
      <c r="H2" s="351">
        <v>3605</v>
      </c>
      <c r="I2" s="351" t="s">
        <v>229</v>
      </c>
      <c r="J2" s="351">
        <v>4005</v>
      </c>
      <c r="K2" s="351"/>
      <c r="L2" s="351">
        <v>4141</v>
      </c>
      <c r="M2" s="351">
        <v>4102</v>
      </c>
      <c r="N2" s="351">
        <v>4116</v>
      </c>
      <c r="O2" s="352">
        <v>4102</v>
      </c>
      <c r="P2" s="351">
        <v>4001</v>
      </c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</row>
    <row r="3" spans="1:36" s="78" customFormat="1" ht="26.25" thickBot="1" x14ac:dyDescent="0.25">
      <c r="A3" s="353" t="s">
        <v>230</v>
      </c>
      <c r="B3" s="353" t="s">
        <v>240</v>
      </c>
      <c r="C3" s="374" t="s">
        <v>1</v>
      </c>
      <c r="D3" s="354" t="s">
        <v>56</v>
      </c>
      <c r="E3" s="355" t="s">
        <v>57</v>
      </c>
      <c r="F3" s="355" t="s">
        <v>231</v>
      </c>
      <c r="G3" s="355" t="s">
        <v>67</v>
      </c>
      <c r="H3" s="355" t="s">
        <v>188</v>
      </c>
      <c r="I3" s="355" t="s">
        <v>62</v>
      </c>
      <c r="J3" s="355" t="s">
        <v>232</v>
      </c>
      <c r="K3" s="355" t="s">
        <v>59</v>
      </c>
      <c r="L3" s="355" t="s">
        <v>241</v>
      </c>
      <c r="M3" s="355" t="s">
        <v>60</v>
      </c>
      <c r="N3" s="355" t="s">
        <v>66</v>
      </c>
      <c r="O3" s="355" t="s">
        <v>233</v>
      </c>
      <c r="P3" s="356" t="s">
        <v>58</v>
      </c>
      <c r="R3" s="341" t="s">
        <v>64</v>
      </c>
      <c r="S3" s="342" t="s">
        <v>1</v>
      </c>
      <c r="T3" s="343" t="s">
        <v>56</v>
      </c>
      <c r="U3" s="343" t="s">
        <v>189</v>
      </c>
      <c r="V3" s="343" t="s">
        <v>188</v>
      </c>
      <c r="W3" s="343" t="s">
        <v>57</v>
      </c>
      <c r="X3" s="343" t="s">
        <v>67</v>
      </c>
      <c r="Y3" s="343" t="s">
        <v>62</v>
      </c>
      <c r="Z3" s="343" t="s">
        <v>74</v>
      </c>
      <c r="AA3" s="343" t="s">
        <v>59</v>
      </c>
      <c r="AB3" s="343" t="s">
        <v>60</v>
      </c>
      <c r="AC3" s="343" t="s">
        <v>66</v>
      </c>
      <c r="AD3" s="343" t="s">
        <v>62</v>
      </c>
      <c r="AE3" s="343" t="s">
        <v>58</v>
      </c>
      <c r="AF3" s="343" t="s">
        <v>61</v>
      </c>
      <c r="AG3" s="343" t="s">
        <v>2</v>
      </c>
      <c r="AH3" s="91" t="s">
        <v>65</v>
      </c>
      <c r="AI3" s="92" t="s">
        <v>68</v>
      </c>
      <c r="AJ3" s="135" t="s">
        <v>87</v>
      </c>
    </row>
    <row r="4" spans="1:36" x14ac:dyDescent="0.2">
      <c r="A4" s="375">
        <v>2021</v>
      </c>
      <c r="B4" s="376" t="s">
        <v>25</v>
      </c>
      <c r="C4" s="377" t="s">
        <v>63</v>
      </c>
      <c r="D4" s="340">
        <f>SUMPRODUCT(--($S$4:$S$416=C4),$T$4:$T$416)+U343-H4</f>
        <v>189071.93999999983</v>
      </c>
      <c r="E4" s="298">
        <f t="shared" ref="E4:E18" si="0">SUMPRODUCT(--($S$4:$S$416=C4),$W$4:$W$416)</f>
        <v>53484.429999999986</v>
      </c>
      <c r="F4" s="298">
        <f>SUM(D4:E4)</f>
        <v>242556.36999999982</v>
      </c>
      <c r="G4" s="388">
        <f>SUMPRODUCT(--($S$4:$S$416=C4),$X$4:$X$416)</f>
        <v>23520</v>
      </c>
      <c r="H4" s="298">
        <f>V343</f>
        <v>17180.86</v>
      </c>
      <c r="I4" s="388">
        <f>SUMPRODUCT(--($S$4:$S$416=C4),$Y$4:$Y$416)</f>
        <v>29952</v>
      </c>
      <c r="J4" s="298">
        <f>I4*2</f>
        <v>59904</v>
      </c>
      <c r="K4" s="298">
        <f>SUMPRODUCT(--($S$4:$S$416=C4),$AA$4:$AA$416)</f>
        <v>2379.5199999999986</v>
      </c>
      <c r="L4" s="245">
        <f>K4*2</f>
        <v>4759.0399999999972</v>
      </c>
      <c r="M4" s="389">
        <f>SUMPRODUCT(--($S$4:$S$416=C4),$AB$4:$AB$416)</f>
        <v>47537</v>
      </c>
      <c r="N4" s="245">
        <f>SUMPRODUCT(--($S$4:$S$416=C4),$AC$4:$AC$416)</f>
        <v>-7654.5</v>
      </c>
      <c r="O4" s="340">
        <f t="shared" ref="O4:O18" si="1">M4+N4</f>
        <v>39882.5</v>
      </c>
      <c r="P4" s="245">
        <f>SUMPRODUCT(--($S$4:$S$416=C4),$AE$4:$AE$416)</f>
        <v>10400.520000000008</v>
      </c>
      <c r="R4" s="290" t="s">
        <v>25</v>
      </c>
      <c r="S4" s="291" t="s">
        <v>63</v>
      </c>
      <c r="T4" s="94">
        <v>3966.4</v>
      </c>
      <c r="U4" s="94"/>
      <c r="V4" s="94"/>
      <c r="W4" s="94">
        <v>0</v>
      </c>
      <c r="X4" s="94">
        <v>490</v>
      </c>
      <c r="Y4" s="94">
        <v>624</v>
      </c>
      <c r="Z4" s="94">
        <f>T4+W4+Y4+X4</f>
        <v>5080.3999999999996</v>
      </c>
      <c r="AA4" s="94">
        <v>37.18</v>
      </c>
      <c r="AB4" s="94">
        <v>588</v>
      </c>
      <c r="AC4" s="94">
        <v>-159</v>
      </c>
      <c r="AD4" s="94">
        <v>624</v>
      </c>
      <c r="AE4" s="94">
        <v>200.01</v>
      </c>
      <c r="AF4" s="94">
        <v>1125</v>
      </c>
      <c r="AG4" s="303">
        <f t="shared" ref="AG4:AG67" si="2">T4+W4+X4-AA4-AB4-AC4-AD4-AE4-AF4</f>
        <v>2041.2099999999991</v>
      </c>
      <c r="AH4" s="326">
        <v>43894</v>
      </c>
      <c r="AI4" s="101" t="s">
        <v>17</v>
      </c>
      <c r="AJ4" s="132" t="s">
        <v>113</v>
      </c>
    </row>
    <row r="5" spans="1:36" x14ac:dyDescent="0.2">
      <c r="A5" s="378">
        <v>2021</v>
      </c>
      <c r="B5" s="251" t="s">
        <v>26</v>
      </c>
      <c r="C5" s="379" t="s">
        <v>70</v>
      </c>
      <c r="D5" s="340">
        <f t="shared" ref="D5:D18" si="3">SUMPRODUCT(--($S$4:$S$416=C5),$T$4:$T$416)+U344-H5</f>
        <v>48788.17</v>
      </c>
      <c r="E5" s="298">
        <f t="shared" si="0"/>
        <v>0</v>
      </c>
      <c r="F5" s="298">
        <f t="shared" ref="F5:F17" si="4">SUM(D5:E5)</f>
        <v>48788.17</v>
      </c>
      <c r="G5" s="245">
        <f t="shared" ref="G5:G18" si="5">SUMPRODUCT(--($S$4:$S$416=C5),$X$4:$X$416)</f>
        <v>2450</v>
      </c>
      <c r="H5" s="298">
        <f>V344</f>
        <v>4433.83</v>
      </c>
      <c r="I5" s="245">
        <f t="shared" ref="I5:I18" si="6">SUMPRODUCT(--($S$4:$S$416=C5),$Y$4:$Y$416)</f>
        <v>0</v>
      </c>
      <c r="J5" s="340"/>
      <c r="K5" s="298">
        <f t="shared" ref="K5:K18" si="7">SUMPRODUCT(--($S$4:$S$416=C5),$AA$4:$AA$416)</f>
        <v>532.23500000000047</v>
      </c>
      <c r="L5" s="245">
        <f t="shared" ref="L5:L18" si="8">K5*2</f>
        <v>1064.4700000000009</v>
      </c>
      <c r="M5" s="389">
        <f t="shared" ref="M5:M18" si="9">SUMPRODUCT(--($S$4:$S$416=C5),$AB$4:$AB$416)</f>
        <v>0</v>
      </c>
      <c r="N5" s="245">
        <f t="shared" ref="N5:N18" si="10">SUMPRODUCT(--($S$4:$S$416=C5),$AC$4:$AC$416)</f>
        <v>0</v>
      </c>
      <c r="O5" s="340">
        <f t="shared" si="1"/>
        <v>0</v>
      </c>
      <c r="P5" s="245">
        <f t="shared" ref="P5:P18" si="11">SUMPRODUCT(--($S$4:$S$416=C5),$AE$4:$AE$416)</f>
        <v>2848.8449999999998</v>
      </c>
      <c r="R5" s="292" t="s">
        <v>26</v>
      </c>
      <c r="S5" s="81" t="s">
        <v>70</v>
      </c>
      <c r="T5" s="88">
        <v>1023.5</v>
      </c>
      <c r="U5" s="88"/>
      <c r="V5" s="88"/>
      <c r="W5" s="88">
        <v>0</v>
      </c>
      <c r="X5" s="88">
        <v>50</v>
      </c>
      <c r="Y5" s="88">
        <v>0</v>
      </c>
      <c r="Z5" s="88">
        <f>T5+W5+Y5+X5</f>
        <v>1073.5</v>
      </c>
      <c r="AA5" s="88">
        <v>10.24</v>
      </c>
      <c r="AB5" s="88">
        <v>0</v>
      </c>
      <c r="AC5" s="88"/>
      <c r="AD5" s="88"/>
      <c r="AE5" s="88">
        <v>58.134999999999998</v>
      </c>
      <c r="AF5" s="88">
        <v>100</v>
      </c>
      <c r="AG5" s="304">
        <f t="shared" si="2"/>
        <v>905.125</v>
      </c>
      <c r="AH5" s="326">
        <v>43894</v>
      </c>
      <c r="AI5" s="101" t="s">
        <v>17</v>
      </c>
      <c r="AJ5" s="132" t="s">
        <v>113</v>
      </c>
    </row>
    <row r="6" spans="1:36" x14ac:dyDescent="0.2">
      <c r="A6" s="378">
        <v>2021</v>
      </c>
      <c r="B6" s="251" t="s">
        <v>3</v>
      </c>
      <c r="C6" s="379" t="s">
        <v>71</v>
      </c>
      <c r="D6" s="340">
        <f t="shared" si="3"/>
        <v>64042.06</v>
      </c>
      <c r="E6" s="298">
        <f t="shared" si="0"/>
        <v>4987.74</v>
      </c>
      <c r="F6" s="298">
        <f t="shared" si="4"/>
        <v>69029.8</v>
      </c>
      <c r="G6" s="245">
        <f t="shared" si="5"/>
        <v>2450</v>
      </c>
      <c r="H6" s="298">
        <f t="shared" ref="H6:H18" si="12">V345</f>
        <v>5819.94</v>
      </c>
      <c r="I6" s="245">
        <f t="shared" si="6"/>
        <v>0</v>
      </c>
      <c r="J6" s="340"/>
      <c r="K6" s="298">
        <f t="shared" si="7"/>
        <v>748.67499999999995</v>
      </c>
      <c r="L6" s="245">
        <f t="shared" si="8"/>
        <v>1497.35</v>
      </c>
      <c r="M6" s="389">
        <f t="shared" si="9"/>
        <v>621</v>
      </c>
      <c r="N6" s="245">
        <f t="shared" si="10"/>
        <v>0</v>
      </c>
      <c r="O6" s="340">
        <f t="shared" si="1"/>
        <v>621</v>
      </c>
      <c r="P6" s="245">
        <f t="shared" si="11"/>
        <v>3738.490000000003</v>
      </c>
      <c r="R6" s="292" t="s">
        <v>3</v>
      </c>
      <c r="S6" s="81" t="s">
        <v>71</v>
      </c>
      <c r="T6" s="88">
        <v>1343.5</v>
      </c>
      <c r="U6" s="88"/>
      <c r="V6" s="88"/>
      <c r="W6" s="88"/>
      <c r="X6" s="88">
        <v>50</v>
      </c>
      <c r="Y6" s="88"/>
      <c r="Z6" s="88">
        <f>T6+W6+Y6+X6</f>
        <v>1393.5</v>
      </c>
      <c r="AA6" s="88">
        <v>13.44</v>
      </c>
      <c r="AB6" s="88"/>
      <c r="AC6" s="88"/>
      <c r="AD6" s="88"/>
      <c r="AE6" s="88">
        <v>76.295000000000002</v>
      </c>
      <c r="AF6" s="88"/>
      <c r="AG6" s="304">
        <f t="shared" si="2"/>
        <v>1303.7649999999999</v>
      </c>
      <c r="AH6" s="326">
        <v>43894</v>
      </c>
      <c r="AI6" s="101" t="s">
        <v>17</v>
      </c>
      <c r="AJ6" s="132" t="s">
        <v>113</v>
      </c>
    </row>
    <row r="7" spans="1:36" x14ac:dyDescent="0.2">
      <c r="A7" s="378">
        <v>2021</v>
      </c>
      <c r="B7" s="251" t="s">
        <v>31</v>
      </c>
      <c r="C7" s="379" t="s">
        <v>72</v>
      </c>
      <c r="D7" s="340">
        <f t="shared" si="3"/>
        <v>61968.92</v>
      </c>
      <c r="E7" s="298">
        <f t="shared" si="0"/>
        <v>5703.75</v>
      </c>
      <c r="F7" s="298">
        <f t="shared" si="4"/>
        <v>67672.67</v>
      </c>
      <c r="G7" s="245">
        <f t="shared" si="5"/>
        <v>2450</v>
      </c>
      <c r="H7" s="298">
        <f t="shared" si="12"/>
        <v>5631.08</v>
      </c>
      <c r="I7" s="245">
        <f t="shared" si="6"/>
        <v>0</v>
      </c>
      <c r="J7" s="340"/>
      <c r="K7" s="298">
        <f t="shared" si="7"/>
        <v>697.93999999999994</v>
      </c>
      <c r="L7" s="245">
        <f t="shared" si="8"/>
        <v>1395.8799999999999</v>
      </c>
      <c r="M7" s="389">
        <f t="shared" si="9"/>
        <v>565</v>
      </c>
      <c r="N7" s="245">
        <f t="shared" si="10"/>
        <v>0</v>
      </c>
      <c r="O7" s="340">
        <f t="shared" si="1"/>
        <v>565</v>
      </c>
      <c r="P7" s="245">
        <f t="shared" si="11"/>
        <v>3321.220000000003</v>
      </c>
      <c r="R7" s="292" t="s">
        <v>31</v>
      </c>
      <c r="S7" s="81" t="s">
        <v>72</v>
      </c>
      <c r="T7" s="88">
        <v>1300</v>
      </c>
      <c r="U7" s="88"/>
      <c r="V7" s="88"/>
      <c r="W7" s="88"/>
      <c r="X7" s="88">
        <v>50</v>
      </c>
      <c r="Y7" s="88"/>
      <c r="Z7" s="88">
        <f>T7+W7+Y7+X7</f>
        <v>1350</v>
      </c>
      <c r="AA7" s="88">
        <v>13</v>
      </c>
      <c r="AB7" s="88"/>
      <c r="AC7" s="88"/>
      <c r="AD7" s="88"/>
      <c r="AE7" s="88">
        <v>67.78</v>
      </c>
      <c r="AF7" s="88"/>
      <c r="AG7" s="304">
        <f t="shared" si="2"/>
        <v>1269.22</v>
      </c>
      <c r="AH7" s="326">
        <v>43894</v>
      </c>
      <c r="AI7" s="101" t="s">
        <v>17</v>
      </c>
      <c r="AJ7" s="132" t="s">
        <v>113</v>
      </c>
    </row>
    <row r="8" spans="1:36" x14ac:dyDescent="0.2">
      <c r="A8" s="378">
        <v>2021</v>
      </c>
      <c r="B8" s="251" t="s">
        <v>69</v>
      </c>
      <c r="C8" s="379" t="s">
        <v>73</v>
      </c>
      <c r="D8" s="340">
        <f t="shared" si="3"/>
        <v>47668.4</v>
      </c>
      <c r="E8" s="298">
        <f t="shared" si="0"/>
        <v>4690.63</v>
      </c>
      <c r="F8" s="298">
        <f t="shared" si="4"/>
        <v>52359.03</v>
      </c>
      <c r="G8" s="245">
        <f t="shared" si="5"/>
        <v>0</v>
      </c>
      <c r="H8" s="298">
        <f t="shared" si="12"/>
        <v>4331.6000000000004</v>
      </c>
      <c r="I8" s="245">
        <f t="shared" si="6"/>
        <v>0</v>
      </c>
      <c r="J8" s="340"/>
      <c r="K8" s="298">
        <f t="shared" si="7"/>
        <v>552.76499999999999</v>
      </c>
      <c r="L8" s="245">
        <f t="shared" si="8"/>
        <v>1105.53</v>
      </c>
      <c r="M8" s="389">
        <f t="shared" si="9"/>
        <v>120</v>
      </c>
      <c r="N8" s="245">
        <f t="shared" si="10"/>
        <v>0</v>
      </c>
      <c r="O8" s="340">
        <f t="shared" si="1"/>
        <v>120</v>
      </c>
      <c r="P8" s="245">
        <f t="shared" si="11"/>
        <v>0</v>
      </c>
      <c r="R8" s="292" t="s">
        <v>69</v>
      </c>
      <c r="S8" s="81" t="s">
        <v>73</v>
      </c>
      <c r="T8" s="88">
        <v>1000</v>
      </c>
      <c r="U8" s="88"/>
      <c r="V8" s="88"/>
      <c r="W8" s="88"/>
      <c r="X8" s="88"/>
      <c r="Y8" s="88"/>
      <c r="Z8" s="88">
        <f>T8+W8+Y8</f>
        <v>1000</v>
      </c>
      <c r="AA8" s="88">
        <v>10</v>
      </c>
      <c r="AB8" s="88"/>
      <c r="AC8" s="88"/>
      <c r="AD8" s="88"/>
      <c r="AE8" s="88"/>
      <c r="AF8" s="88"/>
      <c r="AG8" s="304">
        <f t="shared" si="2"/>
        <v>990</v>
      </c>
      <c r="AH8" s="326">
        <v>43894</v>
      </c>
      <c r="AI8" s="101" t="s">
        <v>17</v>
      </c>
      <c r="AJ8" s="132" t="s">
        <v>113</v>
      </c>
    </row>
    <row r="9" spans="1:36" x14ac:dyDescent="0.2">
      <c r="A9" s="378">
        <v>2021</v>
      </c>
      <c r="B9" s="251" t="s">
        <v>79</v>
      </c>
      <c r="C9" s="379" t="s">
        <v>91</v>
      </c>
      <c r="D9" s="340">
        <f t="shared" si="3"/>
        <v>48669.82</v>
      </c>
      <c r="E9" s="298">
        <f t="shared" si="0"/>
        <v>4371.119999999999</v>
      </c>
      <c r="F9" s="298">
        <f>SUM(D9:E9)</f>
        <v>53040.94</v>
      </c>
      <c r="G9" s="245">
        <f t="shared" si="5"/>
        <v>0</v>
      </c>
      <c r="H9" s="298">
        <f t="shared" si="12"/>
        <v>4326.97</v>
      </c>
      <c r="I9" s="245">
        <f t="shared" si="6"/>
        <v>0</v>
      </c>
      <c r="J9" s="340"/>
      <c r="K9" s="298">
        <f t="shared" si="7"/>
        <v>573.68480000000011</v>
      </c>
      <c r="L9" s="245">
        <f t="shared" si="8"/>
        <v>1147.3696000000002</v>
      </c>
      <c r="M9" s="389">
        <f t="shared" si="9"/>
        <v>369</v>
      </c>
      <c r="N9" s="245">
        <f t="shared" si="10"/>
        <v>0</v>
      </c>
      <c r="O9" s="340">
        <f>M9+N9</f>
        <v>369</v>
      </c>
      <c r="P9" s="245">
        <f t="shared" si="11"/>
        <v>0</v>
      </c>
      <c r="R9" s="292" t="s">
        <v>79</v>
      </c>
      <c r="S9" s="81" t="s">
        <v>91</v>
      </c>
      <c r="T9" s="88">
        <v>1250</v>
      </c>
      <c r="U9" s="88"/>
      <c r="V9" s="88"/>
      <c r="W9" s="88"/>
      <c r="X9" s="88"/>
      <c r="Y9" s="88"/>
      <c r="Z9" s="88">
        <f>T9+W9+Y9</f>
        <v>1250</v>
      </c>
      <c r="AA9" s="88">
        <v>12.5</v>
      </c>
      <c r="AB9" s="88"/>
      <c r="AC9" s="88"/>
      <c r="AD9" s="88"/>
      <c r="AE9" s="88"/>
      <c r="AF9" s="88">
        <v>100</v>
      </c>
      <c r="AG9" s="304">
        <f t="shared" si="2"/>
        <v>1137.5</v>
      </c>
      <c r="AH9" s="326">
        <v>43894</v>
      </c>
      <c r="AI9" s="101" t="s">
        <v>17</v>
      </c>
      <c r="AJ9" s="132" t="s">
        <v>113</v>
      </c>
    </row>
    <row r="10" spans="1:36" ht="13.5" thickBot="1" x14ac:dyDescent="0.25">
      <c r="A10" s="378">
        <v>2021</v>
      </c>
      <c r="B10" s="251" t="s">
        <v>92</v>
      </c>
      <c r="C10" s="379" t="s">
        <v>93</v>
      </c>
      <c r="D10" s="340">
        <f t="shared" si="3"/>
        <v>11437.019999999999</v>
      </c>
      <c r="E10" s="298">
        <f t="shared" si="0"/>
        <v>3515.6400000000003</v>
      </c>
      <c r="F10" s="298">
        <f t="shared" si="4"/>
        <v>14952.66</v>
      </c>
      <c r="G10" s="245">
        <f t="shared" si="5"/>
        <v>0</v>
      </c>
      <c r="H10" s="298">
        <f t="shared" si="12"/>
        <v>1018.11</v>
      </c>
      <c r="I10" s="245">
        <f t="shared" si="6"/>
        <v>0</v>
      </c>
      <c r="J10" s="340"/>
      <c r="K10" s="298">
        <f t="shared" si="7"/>
        <v>159.70509999999999</v>
      </c>
      <c r="L10" s="245">
        <f t="shared" si="8"/>
        <v>319.41019999999997</v>
      </c>
      <c r="M10" s="389">
        <f t="shared" si="9"/>
        <v>307</v>
      </c>
      <c r="N10" s="245">
        <f t="shared" si="10"/>
        <v>0</v>
      </c>
      <c r="O10" s="340">
        <f t="shared" si="1"/>
        <v>307</v>
      </c>
      <c r="P10" s="245">
        <f t="shared" si="11"/>
        <v>0</v>
      </c>
      <c r="R10" s="292" t="s">
        <v>100</v>
      </c>
      <c r="S10" s="81" t="s">
        <v>101</v>
      </c>
      <c r="T10" s="88">
        <v>1250</v>
      </c>
      <c r="U10" s="88"/>
      <c r="V10" s="88"/>
      <c r="W10" s="88"/>
      <c r="X10" s="88"/>
      <c r="Y10" s="88"/>
      <c r="Z10" s="88">
        <f>T10+W10+Y10</f>
        <v>1250</v>
      </c>
      <c r="AA10" s="88">
        <v>12.5</v>
      </c>
      <c r="AB10" s="88"/>
      <c r="AC10" s="88"/>
      <c r="AD10" s="88"/>
      <c r="AE10" s="88"/>
      <c r="AF10" s="88"/>
      <c r="AG10" s="304">
        <f t="shared" si="2"/>
        <v>1237.5</v>
      </c>
      <c r="AH10" s="326">
        <v>43894</v>
      </c>
      <c r="AI10" s="101" t="s">
        <v>17</v>
      </c>
      <c r="AJ10" s="132" t="s">
        <v>113</v>
      </c>
    </row>
    <row r="11" spans="1:36" x14ac:dyDescent="0.2">
      <c r="A11" s="378">
        <v>2021</v>
      </c>
      <c r="B11" s="371" t="s">
        <v>95</v>
      </c>
      <c r="C11" s="379" t="s">
        <v>94</v>
      </c>
      <c r="D11" s="340">
        <f t="shared" si="3"/>
        <v>10428.64</v>
      </c>
      <c r="E11" s="298">
        <f t="shared" si="0"/>
        <v>3730</v>
      </c>
      <c r="F11" s="298">
        <f t="shared" si="4"/>
        <v>14158.64</v>
      </c>
      <c r="G11" s="245">
        <f t="shared" si="5"/>
        <v>0</v>
      </c>
      <c r="H11" s="298">
        <f t="shared" si="12"/>
        <v>947.77</v>
      </c>
      <c r="I11" s="245">
        <f t="shared" si="6"/>
        <v>0</v>
      </c>
      <c r="J11" s="340"/>
      <c r="K11" s="298">
        <f t="shared" si="7"/>
        <v>149.45999999999998</v>
      </c>
      <c r="L11" s="245">
        <f t="shared" si="8"/>
        <v>298.91999999999996</v>
      </c>
      <c r="M11" s="389">
        <f t="shared" si="9"/>
        <v>0</v>
      </c>
      <c r="N11" s="245">
        <f t="shared" si="10"/>
        <v>0</v>
      </c>
      <c r="O11" s="340">
        <f t="shared" si="1"/>
        <v>0</v>
      </c>
      <c r="P11" s="245">
        <f t="shared" si="11"/>
        <v>0</v>
      </c>
      <c r="R11" s="292" t="s">
        <v>25</v>
      </c>
      <c r="S11" s="81" t="s">
        <v>63</v>
      </c>
      <c r="T11" s="88">
        <v>3966.4</v>
      </c>
      <c r="U11" s="88"/>
      <c r="V11" s="88"/>
      <c r="W11" s="88">
        <v>0</v>
      </c>
      <c r="X11" s="88">
        <v>490</v>
      </c>
      <c r="Y11" s="88">
        <v>624</v>
      </c>
      <c r="Z11" s="88">
        <f>T11+W11+Y11+X11</f>
        <v>5080.3999999999996</v>
      </c>
      <c r="AA11" s="88">
        <v>37.18</v>
      </c>
      <c r="AB11" s="88">
        <v>588</v>
      </c>
      <c r="AC11" s="88">
        <v>-159</v>
      </c>
      <c r="AD11" s="88">
        <v>624</v>
      </c>
      <c r="AE11" s="88">
        <v>200.01</v>
      </c>
      <c r="AF11" s="88">
        <v>1125</v>
      </c>
      <c r="AG11" s="304">
        <f t="shared" si="2"/>
        <v>2041.2099999999991</v>
      </c>
      <c r="AH11" s="324">
        <v>43901</v>
      </c>
      <c r="AI11" s="103" t="s">
        <v>37</v>
      </c>
      <c r="AJ11" s="132" t="s">
        <v>113</v>
      </c>
    </row>
    <row r="12" spans="1:36" x14ac:dyDescent="0.2">
      <c r="A12" s="378">
        <v>2021</v>
      </c>
      <c r="B12" s="371" t="s">
        <v>102</v>
      </c>
      <c r="C12" s="379" t="s">
        <v>104</v>
      </c>
      <c r="D12" s="340">
        <f t="shared" si="3"/>
        <v>13644.34</v>
      </c>
      <c r="E12" s="298">
        <f t="shared" si="0"/>
        <v>7687.5300000000007</v>
      </c>
      <c r="F12" s="298">
        <f t="shared" si="4"/>
        <v>21331.870000000003</v>
      </c>
      <c r="G12" s="245">
        <f t="shared" si="5"/>
        <v>0</v>
      </c>
      <c r="H12" s="298">
        <f t="shared" si="12"/>
        <v>1156.94</v>
      </c>
      <c r="I12" s="245">
        <f t="shared" si="6"/>
        <v>0</v>
      </c>
      <c r="J12" s="340"/>
      <c r="K12" s="298">
        <f t="shared" si="7"/>
        <v>224.89189999999996</v>
      </c>
      <c r="L12" s="245">
        <f t="shared" si="8"/>
        <v>449.78379999999993</v>
      </c>
      <c r="M12" s="389">
        <f t="shared" si="9"/>
        <v>773</v>
      </c>
      <c r="N12" s="245">
        <f t="shared" si="10"/>
        <v>0</v>
      </c>
      <c r="O12" s="340">
        <f t="shared" si="1"/>
        <v>773</v>
      </c>
      <c r="P12" s="245">
        <f t="shared" si="11"/>
        <v>0</v>
      </c>
      <c r="R12" s="292" t="s">
        <v>26</v>
      </c>
      <c r="S12" s="81" t="s">
        <v>70</v>
      </c>
      <c r="T12" s="88">
        <v>1023.5</v>
      </c>
      <c r="U12" s="88"/>
      <c r="V12" s="88"/>
      <c r="W12" s="88">
        <v>0</v>
      </c>
      <c r="X12" s="88">
        <v>50</v>
      </c>
      <c r="Y12" s="88">
        <v>0</v>
      </c>
      <c r="Z12" s="88">
        <f>T12+W12+Y12+X12</f>
        <v>1073.5</v>
      </c>
      <c r="AA12" s="88">
        <v>10.24</v>
      </c>
      <c r="AB12" s="88">
        <v>0</v>
      </c>
      <c r="AC12" s="88"/>
      <c r="AD12" s="88"/>
      <c r="AE12" s="88">
        <v>58.134999999999998</v>
      </c>
      <c r="AF12" s="88"/>
      <c r="AG12" s="304">
        <f t="shared" si="2"/>
        <v>1005.125</v>
      </c>
      <c r="AH12" s="301">
        <v>43901</v>
      </c>
      <c r="AI12" s="104" t="s">
        <v>37</v>
      </c>
      <c r="AJ12" s="132" t="s">
        <v>113</v>
      </c>
    </row>
    <row r="13" spans="1:36" x14ac:dyDescent="0.2">
      <c r="A13" s="378">
        <v>2021</v>
      </c>
      <c r="B13" s="371" t="s">
        <v>146</v>
      </c>
      <c r="C13" s="379" t="s">
        <v>151</v>
      </c>
      <c r="D13" s="340">
        <f t="shared" si="3"/>
        <v>23150.959999999999</v>
      </c>
      <c r="E13" s="298">
        <f t="shared" si="0"/>
        <v>11398.47</v>
      </c>
      <c r="F13" s="298">
        <f t="shared" si="4"/>
        <v>34549.43</v>
      </c>
      <c r="G13" s="245">
        <f t="shared" si="5"/>
        <v>0</v>
      </c>
      <c r="H13" s="298">
        <f t="shared" si="12"/>
        <v>2151.92</v>
      </c>
      <c r="I13" s="245">
        <f t="shared" si="6"/>
        <v>0</v>
      </c>
      <c r="J13" s="340"/>
      <c r="K13" s="298">
        <f t="shared" si="7"/>
        <v>367.01599999999996</v>
      </c>
      <c r="L13" s="245">
        <f t="shared" si="8"/>
        <v>734.03199999999993</v>
      </c>
      <c r="M13" s="389">
        <f t="shared" si="9"/>
        <v>1086</v>
      </c>
      <c r="N13" s="245">
        <f t="shared" si="10"/>
        <v>0</v>
      </c>
      <c r="O13" s="340">
        <f t="shared" si="1"/>
        <v>1086</v>
      </c>
      <c r="P13" s="245">
        <f t="shared" si="11"/>
        <v>0</v>
      </c>
      <c r="R13" s="292" t="s">
        <v>3</v>
      </c>
      <c r="S13" s="81" t="s">
        <v>71</v>
      </c>
      <c r="T13" s="88">
        <v>1343.5</v>
      </c>
      <c r="U13" s="88"/>
      <c r="V13" s="88"/>
      <c r="W13" s="88"/>
      <c r="X13" s="88">
        <v>50</v>
      </c>
      <c r="Y13" s="88"/>
      <c r="Z13" s="88">
        <f>T13+W13+Y13+X13</f>
        <v>1393.5</v>
      </c>
      <c r="AA13" s="88">
        <v>13.44</v>
      </c>
      <c r="AB13" s="88"/>
      <c r="AC13" s="88"/>
      <c r="AD13" s="88"/>
      <c r="AE13" s="88">
        <v>76.295000000000002</v>
      </c>
      <c r="AF13" s="88"/>
      <c r="AG13" s="304">
        <f t="shared" si="2"/>
        <v>1303.7649999999999</v>
      </c>
      <c r="AH13" s="325">
        <v>43901</v>
      </c>
      <c r="AI13" s="104" t="s">
        <v>37</v>
      </c>
      <c r="AJ13" s="132" t="s">
        <v>113</v>
      </c>
    </row>
    <row r="14" spans="1:36" x14ac:dyDescent="0.2">
      <c r="A14" s="385">
        <v>2021</v>
      </c>
      <c r="B14" s="371" t="s">
        <v>154</v>
      </c>
      <c r="C14" s="379" t="s">
        <v>101</v>
      </c>
      <c r="D14" s="340">
        <f t="shared" si="3"/>
        <v>25792.25</v>
      </c>
      <c r="E14" s="298">
        <f t="shared" si="0"/>
        <v>6578.1500000000005</v>
      </c>
      <c r="F14" s="298">
        <f t="shared" ref="F14:F15" si="13">SUM(D14:E14)</f>
        <v>32370.400000000001</v>
      </c>
      <c r="G14" s="245">
        <f t="shared" si="5"/>
        <v>0</v>
      </c>
      <c r="H14" s="298">
        <f t="shared" si="12"/>
        <v>1457.75</v>
      </c>
      <c r="I14" s="245">
        <f t="shared" si="6"/>
        <v>0</v>
      </c>
      <c r="J14" s="340"/>
      <c r="K14" s="298">
        <f t="shared" si="7"/>
        <v>338.28149999999994</v>
      </c>
      <c r="L14" s="245">
        <f t="shared" si="8"/>
        <v>676.56299999999987</v>
      </c>
      <c r="M14" s="389">
        <f t="shared" si="9"/>
        <v>508</v>
      </c>
      <c r="N14" s="245">
        <f t="shared" si="10"/>
        <v>0</v>
      </c>
      <c r="O14" s="340">
        <f t="shared" ref="O14:O15" si="14">M14+N14</f>
        <v>508</v>
      </c>
      <c r="P14" s="245">
        <f t="shared" si="11"/>
        <v>0</v>
      </c>
      <c r="R14" s="292" t="s">
        <v>31</v>
      </c>
      <c r="S14" s="81" t="s">
        <v>72</v>
      </c>
      <c r="T14" s="88">
        <v>1300</v>
      </c>
      <c r="U14" s="88"/>
      <c r="V14" s="88"/>
      <c r="W14" s="88"/>
      <c r="X14" s="88">
        <v>50</v>
      </c>
      <c r="Y14" s="88"/>
      <c r="Z14" s="88">
        <f>T14+W14+Y14+X14</f>
        <v>1350</v>
      </c>
      <c r="AA14" s="88">
        <v>13</v>
      </c>
      <c r="AB14" s="88"/>
      <c r="AC14" s="88"/>
      <c r="AD14" s="88"/>
      <c r="AE14" s="88">
        <v>67.78</v>
      </c>
      <c r="AF14" s="88"/>
      <c r="AG14" s="304">
        <f t="shared" si="2"/>
        <v>1269.22</v>
      </c>
      <c r="AH14" s="301">
        <v>43901</v>
      </c>
      <c r="AI14" s="183" t="s">
        <v>37</v>
      </c>
      <c r="AJ14" s="132" t="s">
        <v>113</v>
      </c>
    </row>
    <row r="15" spans="1:36" ht="13.5" thickBot="1" x14ac:dyDescent="0.25">
      <c r="A15" s="384">
        <v>2021</v>
      </c>
      <c r="B15" s="357" t="s">
        <v>164</v>
      </c>
      <c r="C15" s="380" t="s">
        <v>170</v>
      </c>
      <c r="D15" s="138">
        <f t="shared" si="3"/>
        <v>9074.44</v>
      </c>
      <c r="E15" s="138">
        <f t="shared" si="0"/>
        <v>4265.6400000000003</v>
      </c>
      <c r="F15" s="358">
        <f t="shared" si="13"/>
        <v>13340.080000000002</v>
      </c>
      <c r="G15" s="138">
        <f t="shared" si="5"/>
        <v>0</v>
      </c>
      <c r="H15" s="358">
        <f t="shared" si="12"/>
        <v>925.56</v>
      </c>
      <c r="I15" s="138">
        <f t="shared" si="6"/>
        <v>0</v>
      </c>
      <c r="J15" s="372"/>
      <c r="K15" s="358">
        <f t="shared" si="7"/>
        <v>142.65639999999999</v>
      </c>
      <c r="L15" s="138">
        <f t="shared" si="8"/>
        <v>285.31279999999998</v>
      </c>
      <c r="M15" s="391">
        <f t="shared" si="9"/>
        <v>343</v>
      </c>
      <c r="N15" s="138">
        <f t="shared" si="10"/>
        <v>0</v>
      </c>
      <c r="O15" s="372">
        <f t="shared" si="14"/>
        <v>343</v>
      </c>
      <c r="P15" s="138">
        <f t="shared" si="11"/>
        <v>0</v>
      </c>
      <c r="R15" s="292" t="s">
        <v>69</v>
      </c>
      <c r="S15" s="81" t="s">
        <v>73</v>
      </c>
      <c r="T15" s="88">
        <v>1000</v>
      </c>
      <c r="U15" s="88"/>
      <c r="V15" s="88"/>
      <c r="W15" s="88"/>
      <c r="X15" s="88"/>
      <c r="Y15" s="88"/>
      <c r="Z15" s="88">
        <f>T15+W15+Y15</f>
        <v>1000</v>
      </c>
      <c r="AA15" s="88">
        <v>10</v>
      </c>
      <c r="AB15" s="88"/>
      <c r="AC15" s="88"/>
      <c r="AD15" s="88"/>
      <c r="AE15" s="88"/>
      <c r="AF15" s="88"/>
      <c r="AG15" s="304">
        <f t="shared" si="2"/>
        <v>990</v>
      </c>
      <c r="AH15" s="325">
        <v>43901</v>
      </c>
      <c r="AI15" s="104" t="s">
        <v>37</v>
      </c>
      <c r="AJ15" s="132" t="s">
        <v>113</v>
      </c>
    </row>
    <row r="16" spans="1:36" x14ac:dyDescent="0.2">
      <c r="A16" s="378">
        <v>2021</v>
      </c>
      <c r="B16" s="371" t="s">
        <v>8</v>
      </c>
      <c r="C16" s="379" t="s">
        <v>96</v>
      </c>
      <c r="D16" s="340">
        <f t="shared" si="3"/>
        <v>162024</v>
      </c>
      <c r="E16" s="298">
        <f t="shared" si="0"/>
        <v>0</v>
      </c>
      <c r="F16" s="298">
        <f t="shared" si="4"/>
        <v>162024</v>
      </c>
      <c r="G16" s="245">
        <f t="shared" si="5"/>
        <v>0</v>
      </c>
      <c r="H16" s="298">
        <f t="shared" si="12"/>
        <v>0</v>
      </c>
      <c r="I16" s="245">
        <f t="shared" si="6"/>
        <v>67488</v>
      </c>
      <c r="J16" s="340">
        <f>I16</f>
        <v>67488</v>
      </c>
      <c r="K16" s="298">
        <f t="shared" si="7"/>
        <v>0</v>
      </c>
      <c r="L16" s="245">
        <f t="shared" si="8"/>
        <v>0</v>
      </c>
      <c r="M16" s="389">
        <f t="shared" si="9"/>
        <v>28260</v>
      </c>
      <c r="N16" s="245">
        <f t="shared" si="10"/>
        <v>-10236</v>
      </c>
      <c r="O16" s="340">
        <f t="shared" si="1"/>
        <v>18024</v>
      </c>
      <c r="P16" s="245">
        <f t="shared" si="11"/>
        <v>0</v>
      </c>
      <c r="R16" s="292" t="s">
        <v>79</v>
      </c>
      <c r="S16" s="81" t="s">
        <v>91</v>
      </c>
      <c r="T16" s="88">
        <v>1250</v>
      </c>
      <c r="U16" s="88"/>
      <c r="V16" s="88"/>
      <c r="W16" s="88"/>
      <c r="X16" s="88"/>
      <c r="Y16" s="88"/>
      <c r="Z16" s="88">
        <f>T16+W16+Y16</f>
        <v>1250</v>
      </c>
      <c r="AA16" s="88">
        <v>12.5</v>
      </c>
      <c r="AB16" s="88"/>
      <c r="AC16" s="88"/>
      <c r="AD16" s="88"/>
      <c r="AE16" s="88"/>
      <c r="AF16" s="88">
        <v>100</v>
      </c>
      <c r="AG16" s="304">
        <f t="shared" si="2"/>
        <v>1137.5</v>
      </c>
      <c r="AH16" s="301">
        <v>43901</v>
      </c>
      <c r="AI16" s="104" t="s">
        <v>37</v>
      </c>
      <c r="AJ16" s="132" t="s">
        <v>113</v>
      </c>
    </row>
    <row r="17" spans="1:36" x14ac:dyDescent="0.2">
      <c r="A17" s="378">
        <v>2021</v>
      </c>
      <c r="B17" s="371" t="s">
        <v>27</v>
      </c>
      <c r="C17" s="379" t="s">
        <v>97</v>
      </c>
      <c r="D17" s="340">
        <f t="shared" si="3"/>
        <v>164604</v>
      </c>
      <c r="E17" s="298">
        <f t="shared" si="0"/>
        <v>0</v>
      </c>
      <c r="F17" s="298">
        <f t="shared" si="4"/>
        <v>164604</v>
      </c>
      <c r="G17" s="245">
        <f t="shared" si="5"/>
        <v>0</v>
      </c>
      <c r="H17" s="298">
        <f t="shared" si="12"/>
        <v>0</v>
      </c>
      <c r="I17" s="245">
        <f t="shared" si="6"/>
        <v>64908</v>
      </c>
      <c r="J17" s="340">
        <f>I17</f>
        <v>64908</v>
      </c>
      <c r="K17" s="298">
        <f t="shared" si="7"/>
        <v>0</v>
      </c>
      <c r="L17" s="245">
        <f t="shared" si="8"/>
        <v>0</v>
      </c>
      <c r="M17" s="389">
        <f t="shared" si="9"/>
        <v>28260</v>
      </c>
      <c r="N17" s="245">
        <f t="shared" si="10"/>
        <v>-7656</v>
      </c>
      <c r="O17" s="340">
        <f t="shared" si="1"/>
        <v>20604</v>
      </c>
      <c r="P17" s="245">
        <f t="shared" si="11"/>
        <v>0</v>
      </c>
      <c r="R17" s="292" t="s">
        <v>100</v>
      </c>
      <c r="S17" s="81" t="s">
        <v>101</v>
      </c>
      <c r="T17" s="88">
        <v>1250</v>
      </c>
      <c r="U17" s="88"/>
      <c r="V17" s="88"/>
      <c r="W17" s="88"/>
      <c r="X17" s="88"/>
      <c r="Y17" s="88"/>
      <c r="Z17" s="88">
        <f>T17+W17+Y17</f>
        <v>1250</v>
      </c>
      <c r="AA17" s="88">
        <v>12.5</v>
      </c>
      <c r="AB17" s="88"/>
      <c r="AC17" s="88"/>
      <c r="AD17" s="88"/>
      <c r="AE17" s="88"/>
      <c r="AF17" s="88"/>
      <c r="AG17" s="304">
        <f t="shared" si="2"/>
        <v>1237.5</v>
      </c>
      <c r="AH17" s="326">
        <v>43901</v>
      </c>
      <c r="AI17" s="105" t="s">
        <v>37</v>
      </c>
      <c r="AJ17" s="132" t="s">
        <v>113</v>
      </c>
    </row>
    <row r="18" spans="1:36" x14ac:dyDescent="0.2">
      <c r="A18" s="381">
        <v>2021</v>
      </c>
      <c r="B18" s="382" t="s">
        <v>6</v>
      </c>
      <c r="C18" s="383" t="s">
        <v>98</v>
      </c>
      <c r="D18" s="340">
        <f t="shared" si="3"/>
        <v>151724.63999999998</v>
      </c>
      <c r="E18" s="87">
        <f t="shared" si="0"/>
        <v>0</v>
      </c>
      <c r="F18" s="87">
        <f>SUM(D18:E18)</f>
        <v>151724.63999999998</v>
      </c>
      <c r="G18" s="87">
        <f t="shared" si="5"/>
        <v>0</v>
      </c>
      <c r="H18" s="168">
        <f t="shared" si="12"/>
        <v>0</v>
      </c>
      <c r="I18" s="87">
        <f t="shared" si="6"/>
        <v>33744</v>
      </c>
      <c r="J18" s="168">
        <f>I18*2</f>
        <v>67488</v>
      </c>
      <c r="K18" s="168">
        <f t="shared" si="7"/>
        <v>1784.64</v>
      </c>
      <c r="L18" s="87">
        <f t="shared" si="8"/>
        <v>3569.28</v>
      </c>
      <c r="M18" s="373">
        <f t="shared" si="9"/>
        <v>18432</v>
      </c>
      <c r="N18" s="87">
        <f t="shared" si="10"/>
        <v>-10236</v>
      </c>
      <c r="O18" s="390">
        <f t="shared" si="1"/>
        <v>8196</v>
      </c>
      <c r="P18" s="87">
        <f t="shared" si="11"/>
        <v>0</v>
      </c>
      <c r="R18" s="292" t="s">
        <v>25</v>
      </c>
      <c r="S18" s="81" t="s">
        <v>63</v>
      </c>
      <c r="T18" s="88">
        <v>3966.4</v>
      </c>
      <c r="U18" s="88"/>
      <c r="V18" s="88"/>
      <c r="W18" s="88">
        <v>0</v>
      </c>
      <c r="X18" s="88">
        <v>490</v>
      </c>
      <c r="Y18" s="88">
        <v>624</v>
      </c>
      <c r="Z18" s="88">
        <f>T18+W18+Y18+X18</f>
        <v>5080.3999999999996</v>
      </c>
      <c r="AA18" s="88">
        <v>37.18</v>
      </c>
      <c r="AB18" s="88">
        <v>588</v>
      </c>
      <c r="AC18" s="88">
        <v>-159</v>
      </c>
      <c r="AD18" s="88">
        <v>624</v>
      </c>
      <c r="AE18" s="88">
        <v>200.01</v>
      </c>
      <c r="AF18" s="88">
        <v>1125</v>
      </c>
      <c r="AG18" s="304">
        <f t="shared" si="2"/>
        <v>2041.2099999999991</v>
      </c>
      <c r="AH18" s="326">
        <v>43908</v>
      </c>
      <c r="AI18" s="109" t="s">
        <v>18</v>
      </c>
      <c r="AJ18" s="132" t="s">
        <v>113</v>
      </c>
    </row>
    <row r="19" spans="1:36" x14ac:dyDescent="0.2">
      <c r="D19" s="88">
        <f t="shared" ref="D19:P19" si="15">SUM(D4:D18)</f>
        <v>1032089.5999999999</v>
      </c>
      <c r="E19" s="168">
        <f t="shared" si="15"/>
        <v>110413.09999999998</v>
      </c>
      <c r="F19" s="168">
        <f t="shared" si="15"/>
        <v>1142502.6999999997</v>
      </c>
      <c r="G19" s="168">
        <f t="shared" si="15"/>
        <v>30870</v>
      </c>
      <c r="H19" s="168">
        <f t="shared" si="15"/>
        <v>49382.329999999994</v>
      </c>
      <c r="I19" s="168">
        <f t="shared" si="15"/>
        <v>196092</v>
      </c>
      <c r="J19" s="168">
        <f t="shared" si="15"/>
        <v>259788</v>
      </c>
      <c r="K19" s="168">
        <f t="shared" si="15"/>
        <v>8651.470699999998</v>
      </c>
      <c r="L19" s="168">
        <f t="shared" si="15"/>
        <v>17302.941399999996</v>
      </c>
      <c r="M19" s="168">
        <f t="shared" si="15"/>
        <v>127181</v>
      </c>
      <c r="N19" s="87">
        <f t="shared" si="15"/>
        <v>-35782.5</v>
      </c>
      <c r="O19" s="390">
        <f t="shared" si="15"/>
        <v>91398.5</v>
      </c>
      <c r="P19" s="87">
        <f t="shared" si="15"/>
        <v>20309.075000000012</v>
      </c>
      <c r="R19" s="292" t="s">
        <v>26</v>
      </c>
      <c r="S19" s="81" t="s">
        <v>70</v>
      </c>
      <c r="T19" s="88">
        <v>1023.5</v>
      </c>
      <c r="U19" s="88"/>
      <c r="V19" s="88"/>
      <c r="W19" s="88">
        <v>0</v>
      </c>
      <c r="X19" s="88">
        <v>50</v>
      </c>
      <c r="Y19" s="88">
        <v>0</v>
      </c>
      <c r="Z19" s="88">
        <f>T19+W19+Y19+X19</f>
        <v>1073.5</v>
      </c>
      <c r="AA19" s="88">
        <v>10.24</v>
      </c>
      <c r="AB19" s="88">
        <v>0</v>
      </c>
      <c r="AC19" s="88"/>
      <c r="AD19" s="88"/>
      <c r="AE19" s="88">
        <v>58.134999999999998</v>
      </c>
      <c r="AF19" s="88"/>
      <c r="AG19" s="304">
        <f t="shared" si="2"/>
        <v>1005.125</v>
      </c>
      <c r="AH19" s="326">
        <v>43908</v>
      </c>
      <c r="AI19" s="109" t="s">
        <v>18</v>
      </c>
      <c r="AJ19" s="132" t="s">
        <v>113</v>
      </c>
    </row>
    <row r="20" spans="1:36" x14ac:dyDescent="0.2">
      <c r="F20" s="89">
        <f>D19+E19</f>
        <v>1142502.6999999997</v>
      </c>
      <c r="L20" s="89">
        <f>K19*2</f>
        <v>17302.941399999996</v>
      </c>
      <c r="O20" s="89">
        <f>M19+N19</f>
        <v>91398.5</v>
      </c>
      <c r="R20" s="292" t="s">
        <v>3</v>
      </c>
      <c r="S20" s="81" t="s">
        <v>71</v>
      </c>
      <c r="T20" s="88">
        <v>1343.5</v>
      </c>
      <c r="U20" s="88"/>
      <c r="V20" s="88"/>
      <c r="W20" s="88"/>
      <c r="X20" s="88">
        <v>50</v>
      </c>
      <c r="Y20" s="88"/>
      <c r="Z20" s="88">
        <f>T20+W20+Y20+X20</f>
        <v>1393.5</v>
      </c>
      <c r="AA20" s="88">
        <v>13.44</v>
      </c>
      <c r="AB20" s="88"/>
      <c r="AC20" s="88"/>
      <c r="AD20" s="88"/>
      <c r="AE20" s="88">
        <v>76.295000000000002</v>
      </c>
      <c r="AF20" s="88"/>
      <c r="AG20" s="304">
        <f t="shared" si="2"/>
        <v>1303.7649999999999</v>
      </c>
      <c r="AH20" s="326">
        <v>43908</v>
      </c>
      <c r="AI20" s="109" t="s">
        <v>18</v>
      </c>
      <c r="AJ20" s="132" t="s">
        <v>113</v>
      </c>
    </row>
    <row r="21" spans="1:36" x14ac:dyDescent="0.2">
      <c r="D21" s="89">
        <f>T417+U417-H19</f>
        <v>1032089.6000000007</v>
      </c>
      <c r="E21" s="89">
        <f>W417</f>
        <v>110413.10000000003</v>
      </c>
      <c r="G21" s="89">
        <f>X417</f>
        <v>30870</v>
      </c>
      <c r="I21" s="89">
        <f>Y417</f>
        <v>196092</v>
      </c>
      <c r="K21" s="89">
        <f>AA417</f>
        <v>8651.4707000000035</v>
      </c>
      <c r="M21" s="89">
        <f>AB417</f>
        <v>127181</v>
      </c>
      <c r="N21" s="89">
        <f>AC417</f>
        <v>-35782.5</v>
      </c>
      <c r="P21" s="89">
        <f>AE417</f>
        <v>20309.074999999975</v>
      </c>
      <c r="R21" s="292" t="s">
        <v>31</v>
      </c>
      <c r="S21" s="81" t="s">
        <v>72</v>
      </c>
      <c r="T21" s="88">
        <v>1300</v>
      </c>
      <c r="U21" s="88"/>
      <c r="V21" s="88"/>
      <c r="W21" s="88"/>
      <c r="X21" s="88">
        <v>50</v>
      </c>
      <c r="Y21" s="88"/>
      <c r="Z21" s="88">
        <f>T21+W21+Y21+X21</f>
        <v>1350</v>
      </c>
      <c r="AA21" s="88">
        <v>13</v>
      </c>
      <c r="AB21" s="88"/>
      <c r="AC21" s="88"/>
      <c r="AD21" s="88"/>
      <c r="AE21" s="88">
        <v>67.78</v>
      </c>
      <c r="AF21" s="88"/>
      <c r="AG21" s="304">
        <f t="shared" si="2"/>
        <v>1269.22</v>
      </c>
      <c r="AH21" s="326">
        <v>43908</v>
      </c>
      <c r="AI21" s="184" t="s">
        <v>18</v>
      </c>
      <c r="AJ21" s="132" t="s">
        <v>113</v>
      </c>
    </row>
    <row r="22" spans="1:36" x14ac:dyDescent="0.2">
      <c r="R22" s="292" t="s">
        <v>69</v>
      </c>
      <c r="S22" s="81" t="s">
        <v>73</v>
      </c>
      <c r="T22" s="88">
        <v>1000</v>
      </c>
      <c r="U22" s="88"/>
      <c r="V22" s="88"/>
      <c r="W22" s="88"/>
      <c r="X22" s="88"/>
      <c r="Y22" s="88"/>
      <c r="Z22" s="88">
        <f>T22+W22+Y22</f>
        <v>1000</v>
      </c>
      <c r="AA22" s="88">
        <v>10</v>
      </c>
      <c r="AB22" s="88"/>
      <c r="AC22" s="88"/>
      <c r="AD22" s="88"/>
      <c r="AE22" s="88"/>
      <c r="AF22" s="88"/>
      <c r="AG22" s="304">
        <f t="shared" si="2"/>
        <v>990</v>
      </c>
      <c r="AH22" s="326">
        <v>43908</v>
      </c>
      <c r="AI22" s="109" t="s">
        <v>18</v>
      </c>
      <c r="AJ22" s="132" t="s">
        <v>113</v>
      </c>
    </row>
    <row r="23" spans="1:36" x14ac:dyDescent="0.2">
      <c r="R23" s="292" t="s">
        <v>79</v>
      </c>
      <c r="S23" s="81" t="s">
        <v>91</v>
      </c>
      <c r="T23" s="88">
        <v>1250</v>
      </c>
      <c r="U23" s="88"/>
      <c r="V23" s="88"/>
      <c r="W23" s="88"/>
      <c r="X23" s="88"/>
      <c r="Y23" s="88"/>
      <c r="Z23" s="88">
        <f>T23+W23+Y23</f>
        <v>1250</v>
      </c>
      <c r="AA23" s="88">
        <v>12.5</v>
      </c>
      <c r="AB23" s="88"/>
      <c r="AC23" s="88"/>
      <c r="AD23" s="88"/>
      <c r="AE23" s="88"/>
      <c r="AF23" s="88">
        <v>100</v>
      </c>
      <c r="AG23" s="304">
        <f t="shared" si="2"/>
        <v>1137.5</v>
      </c>
      <c r="AH23" s="326">
        <v>43908</v>
      </c>
      <c r="AI23" s="109" t="s">
        <v>18</v>
      </c>
      <c r="AJ23" s="132" t="s">
        <v>113</v>
      </c>
    </row>
    <row r="24" spans="1:36" ht="19.5" thickBot="1" x14ac:dyDescent="0.35">
      <c r="A24" s="452" t="s">
        <v>234</v>
      </c>
      <c r="B24" s="452"/>
      <c r="C24" s="452"/>
      <c r="D24" s="452"/>
      <c r="E24" s="452"/>
      <c r="R24" s="292" t="s">
        <v>100</v>
      </c>
      <c r="S24" s="81" t="s">
        <v>101</v>
      </c>
      <c r="T24" s="88">
        <v>1250</v>
      </c>
      <c r="U24" s="88"/>
      <c r="V24" s="88"/>
      <c r="W24" s="88"/>
      <c r="X24" s="88"/>
      <c r="Y24" s="88"/>
      <c r="Z24" s="88">
        <f>T24+W24+Y24</f>
        <v>1250</v>
      </c>
      <c r="AA24" s="88">
        <v>12.5</v>
      </c>
      <c r="AB24" s="88"/>
      <c r="AC24" s="88"/>
      <c r="AD24" s="88"/>
      <c r="AE24" s="88"/>
      <c r="AF24" s="88"/>
      <c r="AG24" s="304">
        <f t="shared" si="2"/>
        <v>1237.5</v>
      </c>
      <c r="AH24" s="326">
        <v>43908</v>
      </c>
      <c r="AI24" s="109" t="s">
        <v>18</v>
      </c>
      <c r="AJ24" s="132" t="s">
        <v>113</v>
      </c>
    </row>
    <row r="25" spans="1:36" ht="38.25" x14ac:dyDescent="0.2">
      <c r="A25" s="368"/>
      <c r="B25" s="359" t="s">
        <v>235</v>
      </c>
      <c r="C25" s="360" t="s">
        <v>236</v>
      </c>
      <c r="D25" s="360" t="s">
        <v>237</v>
      </c>
      <c r="E25" s="361" t="s">
        <v>238</v>
      </c>
      <c r="R25" s="292" t="s">
        <v>25</v>
      </c>
      <c r="S25" s="81" t="s">
        <v>63</v>
      </c>
      <c r="T25" s="88">
        <v>3966.4</v>
      </c>
      <c r="U25" s="88"/>
      <c r="V25" s="88"/>
      <c r="W25" s="88">
        <v>0</v>
      </c>
      <c r="X25" s="88">
        <v>490</v>
      </c>
      <c r="Y25" s="88">
        <v>624</v>
      </c>
      <c r="Z25" s="88">
        <f>T25+W25+Y25</f>
        <v>4590.3999999999996</v>
      </c>
      <c r="AA25" s="88">
        <v>37.18</v>
      </c>
      <c r="AB25" s="88">
        <v>588</v>
      </c>
      <c r="AC25" s="88">
        <v>-159.5</v>
      </c>
      <c r="AD25" s="88">
        <v>624</v>
      </c>
      <c r="AE25" s="88">
        <v>200.01</v>
      </c>
      <c r="AF25" s="88">
        <v>1125</v>
      </c>
      <c r="AG25" s="304">
        <f t="shared" si="2"/>
        <v>2041.7099999999991</v>
      </c>
      <c r="AH25" s="324">
        <v>43915</v>
      </c>
      <c r="AI25" s="112" t="s">
        <v>38</v>
      </c>
      <c r="AJ25" s="132" t="s">
        <v>113</v>
      </c>
    </row>
    <row r="26" spans="1:36" x14ac:dyDescent="0.2">
      <c r="A26" s="369"/>
      <c r="B26" s="362" t="s">
        <v>113</v>
      </c>
      <c r="C26" s="363">
        <f>COUNTA(S4:S31)/4</f>
        <v>7</v>
      </c>
      <c r="D26" s="364">
        <v>1</v>
      </c>
      <c r="E26" s="89">
        <f>SUM(Z4:Z32)</f>
        <v>68175.600000000006</v>
      </c>
      <c r="R26" s="292" t="s">
        <v>26</v>
      </c>
      <c r="S26" s="81" t="s">
        <v>70</v>
      </c>
      <c r="T26" s="88">
        <v>1023.5</v>
      </c>
      <c r="U26" s="88"/>
      <c r="V26" s="88"/>
      <c r="W26" s="88"/>
      <c r="X26" s="88">
        <v>50</v>
      </c>
      <c r="Y26" s="88"/>
      <c r="Z26" s="88">
        <f>T26+W26+Y26</f>
        <v>1023.5</v>
      </c>
      <c r="AA26" s="88">
        <v>10.234999999999999</v>
      </c>
      <c r="AB26" s="88"/>
      <c r="AC26" s="88"/>
      <c r="AD26" s="88"/>
      <c r="AE26" s="88">
        <v>58.14</v>
      </c>
      <c r="AF26" s="88"/>
      <c r="AG26" s="304">
        <f t="shared" si="2"/>
        <v>1005.1250000000001</v>
      </c>
      <c r="AH26" s="301">
        <v>43915</v>
      </c>
      <c r="AI26" s="113" t="s">
        <v>38</v>
      </c>
      <c r="AJ26" s="132" t="s">
        <v>113</v>
      </c>
    </row>
    <row r="27" spans="1:36" x14ac:dyDescent="0.2">
      <c r="A27" s="369"/>
      <c r="B27" s="362" t="s">
        <v>118</v>
      </c>
      <c r="C27" s="363">
        <f>COUNTA(S35:S69)/5</f>
        <v>7</v>
      </c>
      <c r="D27" s="364">
        <v>1</v>
      </c>
      <c r="E27" s="89">
        <f>SUM(Z35:Z70)</f>
        <v>77789</v>
      </c>
      <c r="R27" s="292" t="s">
        <v>3</v>
      </c>
      <c r="S27" s="81" t="s">
        <v>71</v>
      </c>
      <c r="T27" s="88">
        <v>1343.5</v>
      </c>
      <c r="U27" s="88"/>
      <c r="V27" s="88"/>
      <c r="W27" s="88"/>
      <c r="X27" s="88">
        <v>50</v>
      </c>
      <c r="Y27" s="88"/>
      <c r="Z27" s="88">
        <f>T27+W27+Y27+X27</f>
        <v>1393.5</v>
      </c>
      <c r="AA27" s="88">
        <v>13.44</v>
      </c>
      <c r="AB27" s="88"/>
      <c r="AC27" s="88"/>
      <c r="AD27" s="88"/>
      <c r="AE27" s="88">
        <v>76.295000000000002</v>
      </c>
      <c r="AF27" s="88"/>
      <c r="AG27" s="304">
        <f t="shared" si="2"/>
        <v>1303.7649999999999</v>
      </c>
      <c r="AH27" s="301">
        <v>43915</v>
      </c>
      <c r="AI27" s="185" t="s">
        <v>38</v>
      </c>
      <c r="AJ27" s="132" t="s">
        <v>113</v>
      </c>
    </row>
    <row r="28" spans="1:36" x14ac:dyDescent="0.2">
      <c r="A28" s="369"/>
      <c r="B28" s="362" t="s">
        <v>119</v>
      </c>
      <c r="C28" s="363">
        <f>COUNTA(S73:S96)/4</f>
        <v>6</v>
      </c>
      <c r="D28" s="364">
        <v>1</v>
      </c>
      <c r="E28" s="89">
        <f>SUM(Z73:Z97)</f>
        <v>61555.6</v>
      </c>
      <c r="H28" s="386"/>
      <c r="I28" s="386"/>
      <c r="J28" s="386"/>
      <c r="R28" s="292" t="s">
        <v>31</v>
      </c>
      <c r="S28" s="81" t="s">
        <v>72</v>
      </c>
      <c r="T28" s="88">
        <v>1300</v>
      </c>
      <c r="U28" s="88"/>
      <c r="V28" s="88"/>
      <c r="W28" s="88"/>
      <c r="X28" s="88">
        <v>50</v>
      </c>
      <c r="Y28" s="88"/>
      <c r="Z28" s="88">
        <f>T28+W28+Y28+X28</f>
        <v>1350</v>
      </c>
      <c r="AA28" s="88">
        <v>13</v>
      </c>
      <c r="AB28" s="88"/>
      <c r="AC28" s="88"/>
      <c r="AD28" s="88"/>
      <c r="AE28" s="88">
        <v>67.78</v>
      </c>
      <c r="AF28" s="88"/>
      <c r="AG28" s="304">
        <f t="shared" si="2"/>
        <v>1269.22</v>
      </c>
      <c r="AH28" s="301">
        <v>43915</v>
      </c>
      <c r="AI28" s="113" t="s">
        <v>38</v>
      </c>
      <c r="AJ28" s="132" t="s">
        <v>113</v>
      </c>
    </row>
    <row r="29" spans="1:36" x14ac:dyDescent="0.2">
      <c r="A29" s="369"/>
      <c r="B29" s="362" t="s">
        <v>136</v>
      </c>
      <c r="C29" s="363">
        <f>COUNTA(S100:S123)/4</f>
        <v>6</v>
      </c>
      <c r="D29" s="364">
        <v>1</v>
      </c>
      <c r="E29" s="89">
        <f>SUM(Z100:Z124)</f>
        <v>61555.6</v>
      </c>
      <c r="H29" s="386"/>
      <c r="I29" s="386"/>
      <c r="J29" s="386"/>
      <c r="R29" s="292" t="s">
        <v>69</v>
      </c>
      <c r="S29" s="81" t="s">
        <v>73</v>
      </c>
      <c r="T29" s="88">
        <v>1000</v>
      </c>
      <c r="U29" s="88"/>
      <c r="V29" s="88"/>
      <c r="W29" s="88"/>
      <c r="X29" s="88"/>
      <c r="Y29" s="88"/>
      <c r="Z29" s="88">
        <f t="shared" ref="Z29:Z36" si="16">T29+W29+Y29</f>
        <v>1000</v>
      </c>
      <c r="AA29" s="88">
        <v>10</v>
      </c>
      <c r="AB29" s="88"/>
      <c r="AC29" s="88"/>
      <c r="AD29" s="88"/>
      <c r="AE29" s="88"/>
      <c r="AF29" s="88"/>
      <c r="AG29" s="304">
        <f t="shared" si="2"/>
        <v>990</v>
      </c>
      <c r="AH29" s="301">
        <v>43915</v>
      </c>
      <c r="AI29" s="113" t="s">
        <v>38</v>
      </c>
      <c r="AJ29" s="132" t="s">
        <v>113</v>
      </c>
    </row>
    <row r="30" spans="1:36" x14ac:dyDescent="0.2">
      <c r="A30" s="369"/>
      <c r="B30" s="362" t="s">
        <v>142</v>
      </c>
      <c r="C30" s="363">
        <f>COUNTA(S127:S156)/5</f>
        <v>6</v>
      </c>
      <c r="D30" s="364">
        <v>1</v>
      </c>
      <c r="E30" s="89">
        <f>SUM(Z127:Z157)</f>
        <v>71539</v>
      </c>
      <c r="F30" s="365"/>
      <c r="G30" s="365"/>
      <c r="H30" s="172"/>
      <c r="I30" s="387"/>
      <c r="J30" s="386"/>
      <c r="K30" s="365"/>
      <c r="L30" s="365"/>
      <c r="M30" s="365"/>
      <c r="N30" s="365"/>
      <c r="O30" s="365"/>
      <c r="P30" s="365"/>
      <c r="R30" s="292" t="s">
        <v>79</v>
      </c>
      <c r="S30" s="81" t="s">
        <v>91</v>
      </c>
      <c r="T30" s="88">
        <v>1250</v>
      </c>
      <c r="U30" s="88"/>
      <c r="V30" s="88"/>
      <c r="W30" s="88"/>
      <c r="X30" s="88"/>
      <c r="Y30" s="88"/>
      <c r="Z30" s="88">
        <f t="shared" si="16"/>
        <v>1250</v>
      </c>
      <c r="AA30" s="88">
        <v>12.5</v>
      </c>
      <c r="AB30" s="88"/>
      <c r="AC30" s="88"/>
      <c r="AD30" s="88"/>
      <c r="AE30" s="88"/>
      <c r="AF30" s="88">
        <v>100</v>
      </c>
      <c r="AG30" s="304">
        <f t="shared" si="2"/>
        <v>1137.5</v>
      </c>
      <c r="AH30" s="301">
        <v>43915</v>
      </c>
      <c r="AI30" s="113" t="s">
        <v>38</v>
      </c>
      <c r="AJ30" s="132" t="s">
        <v>113</v>
      </c>
    </row>
    <row r="31" spans="1:36" x14ac:dyDescent="0.2">
      <c r="A31" s="369"/>
      <c r="B31" s="362" t="s">
        <v>150</v>
      </c>
      <c r="C31" s="363">
        <f>COUNTA(S160:S183)/4</f>
        <v>6</v>
      </c>
      <c r="D31" s="364">
        <v>1</v>
      </c>
      <c r="E31" s="89">
        <f>SUM(Z160:Z184)</f>
        <v>62305.599999999999</v>
      </c>
      <c r="F31" s="365"/>
      <c r="G31" s="365"/>
      <c r="H31" s="172"/>
      <c r="I31" s="387"/>
      <c r="J31" s="386"/>
      <c r="K31" s="365"/>
      <c r="L31" s="365"/>
      <c r="M31" s="365"/>
      <c r="N31" s="365"/>
      <c r="O31" s="365"/>
      <c r="P31" s="365"/>
      <c r="R31" s="292" t="s">
        <v>100</v>
      </c>
      <c r="S31" s="81" t="s">
        <v>101</v>
      </c>
      <c r="T31" s="88">
        <v>1250</v>
      </c>
      <c r="U31" s="88"/>
      <c r="V31" s="88"/>
      <c r="W31" s="88"/>
      <c r="X31" s="88"/>
      <c r="Y31" s="88"/>
      <c r="Z31" s="88">
        <f t="shared" si="16"/>
        <v>1250</v>
      </c>
      <c r="AA31" s="88">
        <v>12.5</v>
      </c>
      <c r="AB31" s="88"/>
      <c r="AC31" s="88"/>
      <c r="AD31" s="88"/>
      <c r="AE31" s="88"/>
      <c r="AF31" s="88"/>
      <c r="AG31" s="304">
        <f t="shared" si="2"/>
        <v>1237.5</v>
      </c>
      <c r="AH31" s="301">
        <v>43915</v>
      </c>
      <c r="AI31" s="113" t="s">
        <v>38</v>
      </c>
      <c r="AJ31" s="132" t="s">
        <v>113</v>
      </c>
    </row>
    <row r="32" spans="1:36" s="162" customFormat="1" x14ac:dyDescent="0.2">
      <c r="A32" s="369"/>
      <c r="B32" s="362" t="s">
        <v>165</v>
      </c>
      <c r="C32" s="363">
        <f>COUNTA(S187:S226)/5</f>
        <v>8</v>
      </c>
      <c r="D32" s="364">
        <v>1</v>
      </c>
      <c r="E32" s="89">
        <f>SUM(Z187:Z227)</f>
        <v>101247.54000000001</v>
      </c>
      <c r="F32" s="365"/>
      <c r="G32" s="365"/>
      <c r="H32" s="172"/>
      <c r="I32" s="387"/>
      <c r="J32" s="386"/>
      <c r="K32" s="365"/>
      <c r="L32" s="365"/>
      <c r="M32" s="365"/>
      <c r="N32" s="365"/>
      <c r="O32" s="365"/>
      <c r="P32" s="365"/>
      <c r="R32" s="305" t="s">
        <v>8</v>
      </c>
      <c r="S32" s="165" t="s">
        <v>96</v>
      </c>
      <c r="T32" s="163">
        <v>13502</v>
      </c>
      <c r="U32" s="163"/>
      <c r="V32" s="163"/>
      <c r="W32" s="163"/>
      <c r="X32" s="163"/>
      <c r="Y32" s="163">
        <v>5624</v>
      </c>
      <c r="Z32" s="88">
        <f t="shared" si="16"/>
        <v>19126</v>
      </c>
      <c r="AA32" s="163"/>
      <c r="AB32" s="163">
        <v>2355</v>
      </c>
      <c r="AC32" s="163">
        <v>-853</v>
      </c>
      <c r="AD32" s="163"/>
      <c r="AE32" s="163"/>
      <c r="AF32" s="163"/>
      <c r="AG32" s="304">
        <f t="shared" si="2"/>
        <v>12000</v>
      </c>
      <c r="AH32" s="170"/>
      <c r="AI32" s="170"/>
      <c r="AJ32" s="161"/>
    </row>
    <row r="33" spans="1:36" s="162" customFormat="1" x14ac:dyDescent="0.2">
      <c r="A33" s="369"/>
      <c r="B33" s="362" t="s">
        <v>169</v>
      </c>
      <c r="C33" s="363">
        <f>COUNTA(S230:S276)/4</f>
        <v>11.75</v>
      </c>
      <c r="D33" s="364">
        <v>1</v>
      </c>
      <c r="E33" s="89">
        <f>SUM(Z230:Z277)</f>
        <v>128927.33000000002</v>
      </c>
      <c r="F33" s="89"/>
      <c r="G33" s="89"/>
      <c r="H33" s="172"/>
      <c r="I33" s="387"/>
      <c r="J33" s="386"/>
      <c r="K33" s="89"/>
      <c r="L33" s="89"/>
      <c r="M33" s="89"/>
      <c r="N33" s="89"/>
      <c r="O33" s="89"/>
      <c r="P33" s="89"/>
      <c r="R33" s="305" t="s">
        <v>27</v>
      </c>
      <c r="S33" s="165" t="s">
        <v>97</v>
      </c>
      <c r="T33" s="163">
        <v>13717</v>
      </c>
      <c r="U33" s="163"/>
      <c r="V33" s="163"/>
      <c r="W33" s="163"/>
      <c r="X33" s="163"/>
      <c r="Y33" s="163">
        <v>5409</v>
      </c>
      <c r="Z33" s="88">
        <f t="shared" si="16"/>
        <v>19126</v>
      </c>
      <c r="AA33" s="163"/>
      <c r="AB33" s="163">
        <v>2355</v>
      </c>
      <c r="AC33" s="163">
        <v>-638</v>
      </c>
      <c r="AD33" s="163"/>
      <c r="AE33" s="163"/>
      <c r="AF33" s="163"/>
      <c r="AG33" s="304">
        <f t="shared" si="2"/>
        <v>12000</v>
      </c>
      <c r="AH33" s="170"/>
      <c r="AI33" s="170"/>
      <c r="AJ33" s="161"/>
    </row>
    <row r="34" spans="1:36" s="162" customFormat="1" ht="13.5" thickBot="1" x14ac:dyDescent="0.25">
      <c r="A34" s="369"/>
      <c r="B34" s="362" t="s">
        <v>181</v>
      </c>
      <c r="C34" s="363">
        <f>COUNTA(S280:S327)/4</f>
        <v>12</v>
      </c>
      <c r="D34" s="364">
        <v>1</v>
      </c>
      <c r="E34" s="89">
        <f>SUM(Z280:Z328)</f>
        <v>123188.79000000002</v>
      </c>
      <c r="F34" s="89"/>
      <c r="G34" s="89"/>
      <c r="H34" s="172"/>
      <c r="I34" s="387"/>
      <c r="J34" s="386"/>
      <c r="K34" s="89"/>
      <c r="L34" s="89"/>
      <c r="M34" s="89"/>
      <c r="N34" s="89"/>
      <c r="O34" s="89"/>
      <c r="P34" s="89"/>
      <c r="R34" s="307" t="s">
        <v>6</v>
      </c>
      <c r="S34" s="308" t="s">
        <v>98</v>
      </c>
      <c r="T34" s="309">
        <v>12643.72</v>
      </c>
      <c r="U34" s="309"/>
      <c r="V34" s="309"/>
      <c r="W34" s="309"/>
      <c r="X34" s="309"/>
      <c r="Y34" s="309">
        <v>2812</v>
      </c>
      <c r="Z34" s="95">
        <f t="shared" si="16"/>
        <v>15455.72</v>
      </c>
      <c r="AA34" s="309">
        <v>148.72</v>
      </c>
      <c r="AB34" s="309">
        <v>1536</v>
      </c>
      <c r="AC34" s="309">
        <v>-853</v>
      </c>
      <c r="AD34" s="309">
        <v>2812</v>
      </c>
      <c r="AE34" s="309"/>
      <c r="AF34" s="309"/>
      <c r="AG34" s="328">
        <f t="shared" si="2"/>
        <v>9000</v>
      </c>
      <c r="AH34" s="170"/>
      <c r="AI34" s="170"/>
      <c r="AJ34" s="161"/>
    </row>
    <row r="35" spans="1:36" x14ac:dyDescent="0.2">
      <c r="A35" s="369"/>
      <c r="B35" s="362" t="s">
        <v>185</v>
      </c>
      <c r="C35" s="363">
        <f>COUNTA(T331:T364)/3</f>
        <v>11.333333333333334</v>
      </c>
      <c r="D35" s="364">
        <v>1</v>
      </c>
      <c r="E35" s="89">
        <f>SUM(Z331:Z365)</f>
        <v>74576.92</v>
      </c>
      <c r="H35" s="172"/>
      <c r="I35" s="387"/>
      <c r="J35" s="386"/>
      <c r="R35" s="334" t="s">
        <v>25</v>
      </c>
      <c r="S35" s="335" t="s">
        <v>63</v>
      </c>
      <c r="T35" s="332">
        <v>3966.4</v>
      </c>
      <c r="U35" s="332"/>
      <c r="V35" s="332"/>
      <c r="W35" s="332">
        <v>0</v>
      </c>
      <c r="X35" s="332">
        <v>490</v>
      </c>
      <c r="Y35" s="332">
        <v>624</v>
      </c>
      <c r="Z35" s="332">
        <f t="shared" si="16"/>
        <v>4590.3999999999996</v>
      </c>
      <c r="AA35" s="332">
        <v>37.18</v>
      </c>
      <c r="AB35" s="332">
        <v>588</v>
      </c>
      <c r="AC35" s="332">
        <v>-159.5</v>
      </c>
      <c r="AD35" s="332">
        <v>624</v>
      </c>
      <c r="AE35" s="332">
        <v>200.01</v>
      </c>
      <c r="AF35" s="332">
        <v>1125</v>
      </c>
      <c r="AG35" s="333">
        <f t="shared" si="2"/>
        <v>2041.7099999999991</v>
      </c>
      <c r="AH35" s="324">
        <v>43922</v>
      </c>
      <c r="AI35" s="136" t="s">
        <v>40</v>
      </c>
      <c r="AJ35" s="132" t="s">
        <v>118</v>
      </c>
    </row>
    <row r="36" spans="1:36" x14ac:dyDescent="0.2">
      <c r="A36" s="369"/>
      <c r="B36" s="362" t="s">
        <v>221</v>
      </c>
      <c r="C36" s="363">
        <f>COUNTA(T368:T386)/3</f>
        <v>6.333333333333333</v>
      </c>
      <c r="D36" s="364">
        <v>1</v>
      </c>
      <c r="E36" s="89">
        <f>SUM(Z368:Z387)</f>
        <v>52419.7</v>
      </c>
      <c r="H36" s="172"/>
      <c r="I36" s="387"/>
      <c r="J36" s="386"/>
      <c r="R36" s="314" t="s">
        <v>26</v>
      </c>
      <c r="S36" s="315" t="s">
        <v>70</v>
      </c>
      <c r="T36" s="316">
        <v>1023.5</v>
      </c>
      <c r="U36" s="316"/>
      <c r="V36" s="316"/>
      <c r="W36" s="316"/>
      <c r="X36" s="316">
        <v>50</v>
      </c>
      <c r="Y36" s="316"/>
      <c r="Z36" s="316">
        <f t="shared" si="16"/>
        <v>1023.5</v>
      </c>
      <c r="AA36" s="316">
        <v>10.234999999999999</v>
      </c>
      <c r="AB36" s="316"/>
      <c r="AC36" s="316"/>
      <c r="AD36" s="316"/>
      <c r="AE36" s="316">
        <v>58.14</v>
      </c>
      <c r="AF36" s="316"/>
      <c r="AG36" s="317">
        <f t="shared" si="2"/>
        <v>1005.1250000000001</v>
      </c>
      <c r="AH36" s="301">
        <v>43922</v>
      </c>
      <c r="AI36" s="137" t="s">
        <v>40</v>
      </c>
      <c r="AJ36" s="132" t="s">
        <v>118</v>
      </c>
    </row>
    <row r="37" spans="1:36" x14ac:dyDescent="0.2">
      <c r="A37" s="369"/>
      <c r="B37" s="362" t="s">
        <v>226</v>
      </c>
      <c r="C37" s="363">
        <f>COUNTA(S390:S413)/4</f>
        <v>6</v>
      </c>
      <c r="D37" s="364">
        <v>1</v>
      </c>
      <c r="E37" s="89">
        <f>SUM(Z390:Z414)</f>
        <v>62985.52</v>
      </c>
      <c r="H37" s="386"/>
      <c r="I37" s="386"/>
      <c r="J37" s="386"/>
      <c r="R37" s="314" t="s">
        <v>3</v>
      </c>
      <c r="S37" s="315" t="s">
        <v>71</v>
      </c>
      <c r="T37" s="316">
        <v>1343.5</v>
      </c>
      <c r="U37" s="316"/>
      <c r="V37" s="316"/>
      <c r="W37" s="316"/>
      <c r="X37" s="316">
        <v>50</v>
      </c>
      <c r="Y37" s="316"/>
      <c r="Z37" s="316">
        <f>T37+W37+Y37+X37</f>
        <v>1393.5</v>
      </c>
      <c r="AA37" s="316">
        <v>13.44</v>
      </c>
      <c r="AB37" s="316"/>
      <c r="AC37" s="316"/>
      <c r="AD37" s="316"/>
      <c r="AE37" s="316">
        <v>76.295000000000002</v>
      </c>
      <c r="AF37" s="316"/>
      <c r="AG37" s="317">
        <f t="shared" si="2"/>
        <v>1303.7649999999999</v>
      </c>
      <c r="AH37" s="325">
        <v>43922</v>
      </c>
      <c r="AI37" s="137" t="s">
        <v>40</v>
      </c>
      <c r="AJ37" s="132" t="s">
        <v>118</v>
      </c>
    </row>
    <row r="38" spans="1:36" x14ac:dyDescent="0.2">
      <c r="A38" s="370"/>
      <c r="B38" s="366" t="s">
        <v>0</v>
      </c>
      <c r="C38" s="453">
        <f>SUM(C26:D37)</f>
        <v>105.41666666666666</v>
      </c>
      <c r="D38" s="453"/>
      <c r="E38" s="454">
        <f>SUM(E26:E37)</f>
        <v>946266.20000000007</v>
      </c>
      <c r="H38" s="386"/>
      <c r="I38" s="386"/>
      <c r="J38" s="386"/>
      <c r="R38" s="314" t="s">
        <v>31</v>
      </c>
      <c r="S38" s="315" t="s">
        <v>72</v>
      </c>
      <c r="T38" s="316">
        <v>1300</v>
      </c>
      <c r="U38" s="316"/>
      <c r="V38" s="316"/>
      <c r="W38" s="316"/>
      <c r="X38" s="316">
        <v>50</v>
      </c>
      <c r="Y38" s="316"/>
      <c r="Z38" s="316">
        <f>T38+W38+Y38+X38</f>
        <v>1350</v>
      </c>
      <c r="AA38" s="316">
        <v>13</v>
      </c>
      <c r="AB38" s="316"/>
      <c r="AC38" s="316"/>
      <c r="AD38" s="316"/>
      <c r="AE38" s="316">
        <v>67.78</v>
      </c>
      <c r="AF38" s="316"/>
      <c r="AG38" s="317">
        <f t="shared" si="2"/>
        <v>1269.22</v>
      </c>
      <c r="AH38" s="301">
        <v>43922</v>
      </c>
      <c r="AI38" s="137" t="s">
        <v>40</v>
      </c>
      <c r="AJ38" s="132" t="s">
        <v>118</v>
      </c>
    </row>
    <row r="39" spans="1:36" x14ac:dyDescent="0.2">
      <c r="A39" s="370"/>
      <c r="B39" s="366" t="s">
        <v>239</v>
      </c>
      <c r="C39" s="453">
        <f>C38/12</f>
        <v>8.7847222222222214</v>
      </c>
      <c r="D39" s="453"/>
      <c r="E39" s="454"/>
      <c r="H39" s="386"/>
      <c r="I39" s="386"/>
      <c r="J39" s="386"/>
      <c r="R39" s="314" t="s">
        <v>69</v>
      </c>
      <c r="S39" s="315" t="s">
        <v>73</v>
      </c>
      <c r="T39" s="316">
        <v>1000</v>
      </c>
      <c r="U39" s="316"/>
      <c r="V39" s="316"/>
      <c r="W39" s="316"/>
      <c r="X39" s="316"/>
      <c r="Y39" s="316"/>
      <c r="Z39" s="316">
        <f>T39+W39+Y39</f>
        <v>1000</v>
      </c>
      <c r="AA39" s="316">
        <v>10</v>
      </c>
      <c r="AB39" s="316"/>
      <c r="AC39" s="316"/>
      <c r="AD39" s="316"/>
      <c r="AE39" s="316"/>
      <c r="AF39" s="316"/>
      <c r="AG39" s="317">
        <f t="shared" si="2"/>
        <v>990</v>
      </c>
      <c r="AH39" s="301">
        <v>43922</v>
      </c>
      <c r="AI39" s="137" t="s">
        <v>40</v>
      </c>
      <c r="AJ39" s="132" t="s">
        <v>118</v>
      </c>
    </row>
    <row r="40" spans="1:36" x14ac:dyDescent="0.2">
      <c r="H40" s="386"/>
      <c r="I40" s="386"/>
      <c r="J40" s="386"/>
      <c r="R40" s="314" t="s">
        <v>79</v>
      </c>
      <c r="S40" s="315" t="s">
        <v>91</v>
      </c>
      <c r="T40" s="316">
        <v>1250</v>
      </c>
      <c r="U40" s="316"/>
      <c r="V40" s="316"/>
      <c r="W40" s="316"/>
      <c r="X40" s="316"/>
      <c r="Y40" s="316"/>
      <c r="Z40" s="316">
        <f>T40+W40+Y40</f>
        <v>1250</v>
      </c>
      <c r="AA40" s="316">
        <v>12.5</v>
      </c>
      <c r="AB40" s="316"/>
      <c r="AC40" s="316"/>
      <c r="AD40" s="316"/>
      <c r="AE40" s="316"/>
      <c r="AF40" s="316">
        <v>100</v>
      </c>
      <c r="AG40" s="317">
        <f t="shared" si="2"/>
        <v>1137.5</v>
      </c>
      <c r="AH40" s="325">
        <v>43922</v>
      </c>
      <c r="AI40" s="194" t="s">
        <v>40</v>
      </c>
      <c r="AJ40" s="132" t="s">
        <v>118</v>
      </c>
    </row>
    <row r="41" spans="1:36" ht="13.5" thickBot="1" x14ac:dyDescent="0.25">
      <c r="E41" s="89">
        <v>795746</v>
      </c>
      <c r="R41" s="314" t="s">
        <v>100</v>
      </c>
      <c r="S41" s="315" t="s">
        <v>101</v>
      </c>
      <c r="T41" s="316">
        <v>1250</v>
      </c>
      <c r="U41" s="316"/>
      <c r="V41" s="316"/>
      <c r="W41" s="316"/>
      <c r="X41" s="316"/>
      <c r="Y41" s="316"/>
      <c r="Z41" s="316">
        <f>T41+W41+Y41</f>
        <v>1250</v>
      </c>
      <c r="AA41" s="316">
        <v>12.5</v>
      </c>
      <c r="AB41" s="316"/>
      <c r="AC41" s="316"/>
      <c r="AD41" s="316"/>
      <c r="AE41" s="316"/>
      <c r="AF41" s="316"/>
      <c r="AG41" s="317">
        <f t="shared" si="2"/>
        <v>1237.5</v>
      </c>
      <c r="AH41" s="348">
        <v>43922</v>
      </c>
      <c r="AI41" s="194" t="s">
        <v>40</v>
      </c>
      <c r="AJ41" s="132" t="s">
        <v>118</v>
      </c>
    </row>
    <row r="42" spans="1:36" x14ac:dyDescent="0.2">
      <c r="R42" s="334" t="s">
        <v>25</v>
      </c>
      <c r="S42" s="335" t="s">
        <v>63</v>
      </c>
      <c r="T42" s="332">
        <v>3966.4</v>
      </c>
      <c r="U42" s="332"/>
      <c r="V42" s="332"/>
      <c r="W42" s="332">
        <v>0</v>
      </c>
      <c r="X42" s="332">
        <v>490</v>
      </c>
      <c r="Y42" s="332">
        <v>624</v>
      </c>
      <c r="Z42" s="332">
        <f>T42+W42+Y42</f>
        <v>4590.3999999999996</v>
      </c>
      <c r="AA42" s="332">
        <v>37.18</v>
      </c>
      <c r="AB42" s="332">
        <v>588</v>
      </c>
      <c r="AC42" s="332">
        <v>-159.5</v>
      </c>
      <c r="AD42" s="332">
        <v>624</v>
      </c>
      <c r="AE42" s="332">
        <v>200.01</v>
      </c>
      <c r="AF42" s="332">
        <v>1125</v>
      </c>
      <c r="AG42" s="333">
        <f t="shared" si="2"/>
        <v>2041.7099999999991</v>
      </c>
      <c r="AH42" s="325">
        <v>43929</v>
      </c>
      <c r="AI42" s="103" t="s">
        <v>41</v>
      </c>
      <c r="AJ42" s="132" t="s">
        <v>118</v>
      </c>
    </row>
    <row r="43" spans="1:36" x14ac:dyDescent="0.2">
      <c r="R43" s="314" t="s">
        <v>26</v>
      </c>
      <c r="S43" s="315" t="s">
        <v>70</v>
      </c>
      <c r="T43" s="316">
        <v>1023.5</v>
      </c>
      <c r="U43" s="316"/>
      <c r="V43" s="316"/>
      <c r="W43" s="316"/>
      <c r="X43" s="316">
        <v>50</v>
      </c>
      <c r="Y43" s="316"/>
      <c r="Z43" s="316">
        <f>T43+W43+Y43</f>
        <v>1023.5</v>
      </c>
      <c r="AA43" s="316">
        <v>10.234999999999999</v>
      </c>
      <c r="AB43" s="316"/>
      <c r="AC43" s="316"/>
      <c r="AD43" s="316"/>
      <c r="AE43" s="316">
        <v>58.14</v>
      </c>
      <c r="AF43" s="316"/>
      <c r="AG43" s="317">
        <f t="shared" si="2"/>
        <v>1005.1250000000001</v>
      </c>
      <c r="AH43" s="301">
        <v>43929</v>
      </c>
      <c r="AI43" s="116" t="s">
        <v>41</v>
      </c>
      <c r="AJ43" s="132" t="s">
        <v>118</v>
      </c>
    </row>
    <row r="44" spans="1:36" x14ac:dyDescent="0.2">
      <c r="R44" s="314" t="s">
        <v>3</v>
      </c>
      <c r="S44" s="315" t="s">
        <v>71</v>
      </c>
      <c r="T44" s="316">
        <v>1343.5</v>
      </c>
      <c r="U44" s="316"/>
      <c r="V44" s="316"/>
      <c r="W44" s="316"/>
      <c r="X44" s="316">
        <v>50</v>
      </c>
      <c r="Y44" s="316"/>
      <c r="Z44" s="316">
        <f>T44+W44+Y44+X44</f>
        <v>1393.5</v>
      </c>
      <c r="AA44" s="316">
        <v>13.44</v>
      </c>
      <c r="AB44" s="316"/>
      <c r="AC44" s="316"/>
      <c r="AD44" s="316"/>
      <c r="AE44" s="316">
        <v>76.295000000000002</v>
      </c>
      <c r="AF44" s="316"/>
      <c r="AG44" s="317">
        <f t="shared" si="2"/>
        <v>1303.7649999999999</v>
      </c>
      <c r="AH44" s="301">
        <v>43929</v>
      </c>
      <c r="AI44" s="104" t="s">
        <v>41</v>
      </c>
      <c r="AJ44" s="132" t="s">
        <v>118</v>
      </c>
    </row>
    <row r="45" spans="1:36" x14ac:dyDescent="0.2">
      <c r="R45" s="314" t="s">
        <v>31</v>
      </c>
      <c r="S45" s="315" t="s">
        <v>72</v>
      </c>
      <c r="T45" s="316">
        <v>1300</v>
      </c>
      <c r="U45" s="316"/>
      <c r="V45" s="316"/>
      <c r="W45" s="316"/>
      <c r="X45" s="316">
        <v>50</v>
      </c>
      <c r="Y45" s="316"/>
      <c r="Z45" s="316">
        <f>T45+W45+Y45+X45</f>
        <v>1350</v>
      </c>
      <c r="AA45" s="316">
        <v>13</v>
      </c>
      <c r="AB45" s="316"/>
      <c r="AC45" s="316"/>
      <c r="AD45" s="316"/>
      <c r="AE45" s="316">
        <v>67.78</v>
      </c>
      <c r="AF45" s="316"/>
      <c r="AG45" s="317">
        <f t="shared" si="2"/>
        <v>1269.22</v>
      </c>
      <c r="AH45" s="301">
        <v>43929</v>
      </c>
      <c r="AI45" s="116" t="s">
        <v>41</v>
      </c>
      <c r="AJ45" s="132" t="s">
        <v>118</v>
      </c>
    </row>
    <row r="46" spans="1:36" x14ac:dyDescent="0.2">
      <c r="R46" s="314" t="s">
        <v>69</v>
      </c>
      <c r="S46" s="315" t="s">
        <v>73</v>
      </c>
      <c r="T46" s="316">
        <v>1000</v>
      </c>
      <c r="U46" s="316"/>
      <c r="V46" s="316"/>
      <c r="W46" s="316"/>
      <c r="X46" s="316"/>
      <c r="Y46" s="316"/>
      <c r="Z46" s="316">
        <f>T46+W46+Y46</f>
        <v>1000</v>
      </c>
      <c r="AA46" s="316">
        <v>10</v>
      </c>
      <c r="AB46" s="316"/>
      <c r="AC46" s="316"/>
      <c r="AD46" s="316"/>
      <c r="AE46" s="316"/>
      <c r="AF46" s="316"/>
      <c r="AG46" s="317">
        <f t="shared" si="2"/>
        <v>990</v>
      </c>
      <c r="AH46" s="301">
        <v>43929</v>
      </c>
      <c r="AI46" s="104" t="s">
        <v>41</v>
      </c>
      <c r="AJ46" s="132" t="s">
        <v>118</v>
      </c>
    </row>
    <row r="47" spans="1:36" x14ac:dyDescent="0.2">
      <c r="R47" s="314" t="s">
        <v>79</v>
      </c>
      <c r="S47" s="315" t="s">
        <v>91</v>
      </c>
      <c r="T47" s="316">
        <v>1250</v>
      </c>
      <c r="U47" s="316"/>
      <c r="V47" s="316"/>
      <c r="W47" s="316"/>
      <c r="X47" s="316"/>
      <c r="Y47" s="316"/>
      <c r="Z47" s="316">
        <f>T47+W47+Y47</f>
        <v>1250</v>
      </c>
      <c r="AA47" s="316">
        <v>12.5</v>
      </c>
      <c r="AB47" s="316"/>
      <c r="AC47" s="316"/>
      <c r="AD47" s="316"/>
      <c r="AE47" s="316"/>
      <c r="AF47" s="316">
        <v>100</v>
      </c>
      <c r="AG47" s="317">
        <f t="shared" si="2"/>
        <v>1137.5</v>
      </c>
      <c r="AH47" s="301">
        <v>43929</v>
      </c>
      <c r="AI47" s="117" t="s">
        <v>41</v>
      </c>
      <c r="AJ47" s="132" t="s">
        <v>118</v>
      </c>
    </row>
    <row r="48" spans="1:36" x14ac:dyDescent="0.2">
      <c r="R48" s="314" t="s">
        <v>100</v>
      </c>
      <c r="S48" s="315" t="s">
        <v>101</v>
      </c>
      <c r="T48" s="316">
        <v>1250</v>
      </c>
      <c r="U48" s="316"/>
      <c r="V48" s="316"/>
      <c r="W48" s="316"/>
      <c r="X48" s="316"/>
      <c r="Y48" s="316"/>
      <c r="Z48" s="316">
        <f>T48+W48+Y48</f>
        <v>1250</v>
      </c>
      <c r="AA48" s="316">
        <v>12.5</v>
      </c>
      <c r="AB48" s="316"/>
      <c r="AC48" s="316"/>
      <c r="AD48" s="316"/>
      <c r="AE48" s="316"/>
      <c r="AF48" s="316"/>
      <c r="AG48" s="317">
        <f t="shared" si="2"/>
        <v>1237.5</v>
      </c>
      <c r="AH48" s="301">
        <v>43929</v>
      </c>
      <c r="AI48" s="117" t="s">
        <v>41</v>
      </c>
      <c r="AJ48" s="132" t="s">
        <v>118</v>
      </c>
    </row>
    <row r="49" spans="1:36" x14ac:dyDescent="0.2">
      <c r="R49" s="314" t="s">
        <v>25</v>
      </c>
      <c r="S49" s="315" t="s">
        <v>63</v>
      </c>
      <c r="T49" s="316">
        <v>3966.4</v>
      </c>
      <c r="U49" s="316"/>
      <c r="V49" s="316"/>
      <c r="W49" s="316">
        <v>0</v>
      </c>
      <c r="X49" s="316">
        <v>490</v>
      </c>
      <c r="Y49" s="316">
        <v>624</v>
      </c>
      <c r="Z49" s="316">
        <f>T49+W49+Y49</f>
        <v>4590.3999999999996</v>
      </c>
      <c r="AA49" s="316">
        <v>37.18</v>
      </c>
      <c r="AB49" s="316">
        <v>588</v>
      </c>
      <c r="AC49" s="316">
        <v>-159.5</v>
      </c>
      <c r="AD49" s="316">
        <v>624</v>
      </c>
      <c r="AE49" s="316">
        <v>200.01</v>
      </c>
      <c r="AF49" s="316">
        <v>1125</v>
      </c>
      <c r="AG49" s="317">
        <f t="shared" si="2"/>
        <v>2041.7099999999991</v>
      </c>
      <c r="AH49" s="326">
        <v>43936</v>
      </c>
      <c r="AI49" s="109" t="s">
        <v>42</v>
      </c>
      <c r="AJ49" s="132" t="s">
        <v>118</v>
      </c>
    </row>
    <row r="50" spans="1:36" x14ac:dyDescent="0.2">
      <c r="R50" s="314" t="s">
        <v>26</v>
      </c>
      <c r="S50" s="315" t="s">
        <v>70</v>
      </c>
      <c r="T50" s="316">
        <v>1023.5</v>
      </c>
      <c r="U50" s="316"/>
      <c r="V50" s="316"/>
      <c r="W50" s="316"/>
      <c r="X50" s="316">
        <v>50</v>
      </c>
      <c r="Y50" s="316"/>
      <c r="Z50" s="316">
        <f>T50+W50+Y50</f>
        <v>1023.5</v>
      </c>
      <c r="AA50" s="316">
        <v>10.234999999999999</v>
      </c>
      <c r="AB50" s="316"/>
      <c r="AC50" s="316"/>
      <c r="AD50" s="316"/>
      <c r="AE50" s="316">
        <v>58.14</v>
      </c>
      <c r="AF50" s="316"/>
      <c r="AG50" s="317">
        <f t="shared" si="2"/>
        <v>1005.1250000000001</v>
      </c>
      <c r="AH50" s="326">
        <v>43936</v>
      </c>
      <c r="AI50" s="109" t="s">
        <v>42</v>
      </c>
      <c r="AJ50" s="132" t="s">
        <v>118</v>
      </c>
    </row>
    <row r="51" spans="1:36" x14ac:dyDescent="0.2">
      <c r="R51" s="314" t="s">
        <v>3</v>
      </c>
      <c r="S51" s="315" t="s">
        <v>71</v>
      </c>
      <c r="T51" s="316">
        <v>1343.5</v>
      </c>
      <c r="U51" s="316"/>
      <c r="V51" s="316"/>
      <c r="W51" s="316"/>
      <c r="X51" s="316">
        <v>50</v>
      </c>
      <c r="Y51" s="316"/>
      <c r="Z51" s="316">
        <f>T51+W51+Y51+X51</f>
        <v>1393.5</v>
      </c>
      <c r="AA51" s="316">
        <v>13.44</v>
      </c>
      <c r="AB51" s="316"/>
      <c r="AC51" s="316"/>
      <c r="AD51" s="316"/>
      <c r="AE51" s="316">
        <v>76.295000000000002</v>
      </c>
      <c r="AF51" s="316"/>
      <c r="AG51" s="317">
        <f t="shared" si="2"/>
        <v>1303.7649999999999</v>
      </c>
      <c r="AH51" s="326">
        <v>43936</v>
      </c>
      <c r="AI51" s="109" t="s">
        <v>42</v>
      </c>
      <c r="AJ51" s="132" t="s">
        <v>118</v>
      </c>
    </row>
    <row r="52" spans="1:36" x14ac:dyDescent="0.2">
      <c r="R52" s="314" t="s">
        <v>31</v>
      </c>
      <c r="S52" s="315" t="s">
        <v>72</v>
      </c>
      <c r="T52" s="316">
        <v>1300</v>
      </c>
      <c r="U52" s="316"/>
      <c r="V52" s="316"/>
      <c r="W52" s="316"/>
      <c r="X52" s="316">
        <v>50</v>
      </c>
      <c r="Y52" s="316"/>
      <c r="Z52" s="316">
        <f>T52+W52+Y52+X52</f>
        <v>1350</v>
      </c>
      <c r="AA52" s="316">
        <v>13</v>
      </c>
      <c r="AB52" s="316"/>
      <c r="AC52" s="316"/>
      <c r="AD52" s="316"/>
      <c r="AE52" s="316">
        <v>67.78</v>
      </c>
      <c r="AF52" s="316"/>
      <c r="AG52" s="317">
        <f t="shared" si="2"/>
        <v>1269.22</v>
      </c>
      <c r="AH52" s="326">
        <v>43936</v>
      </c>
      <c r="AI52" s="109" t="s">
        <v>42</v>
      </c>
      <c r="AJ52" s="132" t="s">
        <v>118</v>
      </c>
    </row>
    <row r="53" spans="1:36" x14ac:dyDescent="0.2">
      <c r="R53" s="314" t="s">
        <v>69</v>
      </c>
      <c r="S53" s="315" t="s">
        <v>73</v>
      </c>
      <c r="T53" s="316">
        <v>1000</v>
      </c>
      <c r="U53" s="316"/>
      <c r="V53" s="316"/>
      <c r="W53" s="316"/>
      <c r="X53" s="316"/>
      <c r="Y53" s="316"/>
      <c r="Z53" s="316">
        <f>T53+W53+Y53</f>
        <v>1000</v>
      </c>
      <c r="AA53" s="316">
        <v>10</v>
      </c>
      <c r="AB53" s="316"/>
      <c r="AC53" s="316"/>
      <c r="AD53" s="316"/>
      <c r="AE53" s="316"/>
      <c r="AF53" s="316"/>
      <c r="AG53" s="317">
        <f t="shared" si="2"/>
        <v>990</v>
      </c>
      <c r="AH53" s="326">
        <v>43936</v>
      </c>
      <c r="AI53" s="109" t="s">
        <v>42</v>
      </c>
      <c r="AJ53" s="132" t="s">
        <v>118</v>
      </c>
    </row>
    <row r="54" spans="1:36" x14ac:dyDescent="0.2">
      <c r="R54" s="314" t="s">
        <v>79</v>
      </c>
      <c r="S54" s="315" t="s">
        <v>91</v>
      </c>
      <c r="T54" s="316">
        <v>1250</v>
      </c>
      <c r="U54" s="316"/>
      <c r="V54" s="316"/>
      <c r="W54" s="316"/>
      <c r="X54" s="316"/>
      <c r="Y54" s="316"/>
      <c r="Z54" s="316">
        <f>T54+W54+Y54</f>
        <v>1250</v>
      </c>
      <c r="AA54" s="316">
        <v>12.5</v>
      </c>
      <c r="AB54" s="316"/>
      <c r="AC54" s="316"/>
      <c r="AD54" s="316"/>
      <c r="AE54" s="316"/>
      <c r="AF54" s="316"/>
      <c r="AG54" s="317">
        <f t="shared" si="2"/>
        <v>1237.5</v>
      </c>
      <c r="AH54" s="326">
        <v>43936</v>
      </c>
      <c r="AI54" s="109" t="s">
        <v>42</v>
      </c>
      <c r="AJ54" s="132" t="s">
        <v>118</v>
      </c>
    </row>
    <row r="55" spans="1:36" x14ac:dyDescent="0.2">
      <c r="R55" s="314" t="s">
        <v>100</v>
      </c>
      <c r="S55" s="315" t="s">
        <v>101</v>
      </c>
      <c r="T55" s="316">
        <v>1250</v>
      </c>
      <c r="U55" s="316"/>
      <c r="V55" s="316"/>
      <c r="W55" s="316"/>
      <c r="X55" s="316"/>
      <c r="Y55" s="316"/>
      <c r="Z55" s="316">
        <f>T55+W55+Y55</f>
        <v>1250</v>
      </c>
      <c r="AA55" s="316">
        <v>12.5</v>
      </c>
      <c r="AB55" s="316"/>
      <c r="AC55" s="316"/>
      <c r="AD55" s="316"/>
      <c r="AE55" s="316"/>
      <c r="AF55" s="316"/>
      <c r="AG55" s="317">
        <f t="shared" si="2"/>
        <v>1237.5</v>
      </c>
      <c r="AH55" s="326">
        <v>43936</v>
      </c>
      <c r="AI55" s="109" t="s">
        <v>42</v>
      </c>
      <c r="AJ55" s="132" t="s">
        <v>118</v>
      </c>
    </row>
    <row r="56" spans="1:36" x14ac:dyDescent="0.2">
      <c r="R56" s="314" t="s">
        <v>25</v>
      </c>
      <c r="S56" s="315" t="s">
        <v>63</v>
      </c>
      <c r="T56" s="316">
        <v>3966.4</v>
      </c>
      <c r="U56" s="316"/>
      <c r="V56" s="316"/>
      <c r="W56" s="316">
        <v>0</v>
      </c>
      <c r="X56" s="316">
        <v>490</v>
      </c>
      <c r="Y56" s="316">
        <v>624</v>
      </c>
      <c r="Z56" s="316">
        <f>T56+W56+Y56</f>
        <v>4590.3999999999996</v>
      </c>
      <c r="AA56" s="316">
        <v>37.18</v>
      </c>
      <c r="AB56" s="316">
        <v>588</v>
      </c>
      <c r="AC56" s="316">
        <v>-159.5</v>
      </c>
      <c r="AD56" s="316">
        <v>624</v>
      </c>
      <c r="AE56" s="316">
        <v>200.01</v>
      </c>
      <c r="AF56" s="316">
        <v>1125</v>
      </c>
      <c r="AG56" s="317">
        <f t="shared" si="2"/>
        <v>2041.7099999999991</v>
      </c>
      <c r="AH56" s="326">
        <v>43943</v>
      </c>
      <c r="AI56" s="109" t="s">
        <v>43</v>
      </c>
      <c r="AJ56" s="132" t="s">
        <v>118</v>
      </c>
    </row>
    <row r="57" spans="1:36" x14ac:dyDescent="0.2">
      <c r="A57" s="367"/>
      <c r="B57" s="367"/>
      <c r="C57" s="162"/>
      <c r="D57" s="365"/>
      <c r="E57" s="365"/>
      <c r="F57" s="365"/>
      <c r="G57" s="365"/>
      <c r="H57" s="365"/>
      <c r="I57" s="365"/>
      <c r="J57" s="365"/>
      <c r="K57" s="365"/>
      <c r="L57" s="365"/>
      <c r="M57" s="365"/>
      <c r="N57" s="365"/>
      <c r="O57" s="365"/>
      <c r="P57" s="365"/>
      <c r="R57" s="314" t="s">
        <v>26</v>
      </c>
      <c r="S57" s="315" t="s">
        <v>70</v>
      </c>
      <c r="T57" s="316">
        <v>1023.5</v>
      </c>
      <c r="U57" s="316"/>
      <c r="V57" s="316"/>
      <c r="W57" s="316"/>
      <c r="X57" s="316">
        <v>50</v>
      </c>
      <c r="Y57" s="316"/>
      <c r="Z57" s="316">
        <f>T57+W57+Y57</f>
        <v>1023.5</v>
      </c>
      <c r="AA57" s="316">
        <v>10.234999999999999</v>
      </c>
      <c r="AB57" s="316"/>
      <c r="AC57" s="316"/>
      <c r="AD57" s="316"/>
      <c r="AE57" s="316">
        <v>58.14</v>
      </c>
      <c r="AF57" s="316"/>
      <c r="AG57" s="317">
        <f t="shared" si="2"/>
        <v>1005.1250000000001</v>
      </c>
      <c r="AH57" s="326">
        <v>43943</v>
      </c>
      <c r="AI57" s="109" t="s">
        <v>43</v>
      </c>
      <c r="AJ57" s="132" t="s">
        <v>118</v>
      </c>
    </row>
    <row r="58" spans="1:36" x14ac:dyDescent="0.2">
      <c r="A58" s="367"/>
      <c r="B58" s="367"/>
      <c r="C58" s="162"/>
      <c r="D58" s="365"/>
      <c r="E58" s="365"/>
      <c r="F58" s="365"/>
      <c r="G58" s="365"/>
      <c r="H58" s="365"/>
      <c r="I58" s="365"/>
      <c r="J58" s="365"/>
      <c r="K58" s="365"/>
      <c r="L58" s="365"/>
      <c r="M58" s="365"/>
      <c r="N58" s="365"/>
      <c r="O58" s="365"/>
      <c r="P58" s="365"/>
      <c r="R58" s="314" t="s">
        <v>3</v>
      </c>
      <c r="S58" s="315" t="s">
        <v>71</v>
      </c>
      <c r="T58" s="316">
        <v>1343.5</v>
      </c>
      <c r="U58" s="316"/>
      <c r="V58" s="316"/>
      <c r="W58" s="316"/>
      <c r="X58" s="316">
        <v>50</v>
      </c>
      <c r="Y58" s="316"/>
      <c r="Z58" s="316">
        <f>T58+W58+Y58+X58</f>
        <v>1393.5</v>
      </c>
      <c r="AA58" s="316">
        <v>13.44</v>
      </c>
      <c r="AB58" s="316"/>
      <c r="AC58" s="316"/>
      <c r="AD58" s="316"/>
      <c r="AE58" s="316">
        <v>76.295000000000002</v>
      </c>
      <c r="AF58" s="316"/>
      <c r="AG58" s="317">
        <f t="shared" si="2"/>
        <v>1303.7649999999999</v>
      </c>
      <c r="AH58" s="326">
        <v>43943</v>
      </c>
      <c r="AI58" s="109" t="s">
        <v>43</v>
      </c>
      <c r="AJ58" s="132" t="s">
        <v>118</v>
      </c>
    </row>
    <row r="59" spans="1:36" x14ac:dyDescent="0.2">
      <c r="A59" s="367"/>
      <c r="B59" s="367"/>
      <c r="C59" s="162"/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5"/>
      <c r="R59" s="314" t="s">
        <v>31</v>
      </c>
      <c r="S59" s="315" t="s">
        <v>72</v>
      </c>
      <c r="T59" s="316">
        <v>1300</v>
      </c>
      <c r="U59" s="316"/>
      <c r="V59" s="316"/>
      <c r="W59" s="316"/>
      <c r="X59" s="316">
        <v>50</v>
      </c>
      <c r="Y59" s="316"/>
      <c r="Z59" s="316">
        <f>T59+W59+Y59+X59</f>
        <v>1350</v>
      </c>
      <c r="AA59" s="316">
        <v>13</v>
      </c>
      <c r="AB59" s="316"/>
      <c r="AC59" s="316"/>
      <c r="AD59" s="316"/>
      <c r="AE59" s="316">
        <v>67.78</v>
      </c>
      <c r="AF59" s="316"/>
      <c r="AG59" s="317">
        <f t="shared" si="2"/>
        <v>1269.22</v>
      </c>
      <c r="AH59" s="326">
        <v>43943</v>
      </c>
      <c r="AI59" s="109" t="s">
        <v>43</v>
      </c>
      <c r="AJ59" s="132" t="s">
        <v>118</v>
      </c>
    </row>
    <row r="60" spans="1:36" x14ac:dyDescent="0.2">
      <c r="R60" s="314" t="s">
        <v>69</v>
      </c>
      <c r="S60" s="315" t="s">
        <v>73</v>
      </c>
      <c r="T60" s="316">
        <v>1000</v>
      </c>
      <c r="U60" s="316"/>
      <c r="V60" s="316"/>
      <c r="W60" s="316"/>
      <c r="X60" s="316"/>
      <c r="Y60" s="316"/>
      <c r="Z60" s="316">
        <f>T60+W60+Y60</f>
        <v>1000</v>
      </c>
      <c r="AA60" s="316">
        <v>10</v>
      </c>
      <c r="AB60" s="316"/>
      <c r="AC60" s="316"/>
      <c r="AD60" s="316"/>
      <c r="AE60" s="316"/>
      <c r="AF60" s="316"/>
      <c r="AG60" s="317">
        <f t="shared" si="2"/>
        <v>990</v>
      </c>
      <c r="AH60" s="326">
        <v>43943</v>
      </c>
      <c r="AI60" s="109" t="s">
        <v>43</v>
      </c>
      <c r="AJ60" s="132" t="s">
        <v>118</v>
      </c>
    </row>
    <row r="61" spans="1:36" x14ac:dyDescent="0.2">
      <c r="R61" s="314" t="s">
        <v>79</v>
      </c>
      <c r="S61" s="315" t="s">
        <v>91</v>
      </c>
      <c r="T61" s="316">
        <v>1250</v>
      </c>
      <c r="U61" s="316"/>
      <c r="V61" s="316"/>
      <c r="W61" s="316"/>
      <c r="X61" s="316"/>
      <c r="Y61" s="316"/>
      <c r="Z61" s="316">
        <f>T61+W61+Y61</f>
        <v>1250</v>
      </c>
      <c r="AA61" s="316">
        <v>12.5</v>
      </c>
      <c r="AB61" s="316"/>
      <c r="AC61" s="316"/>
      <c r="AD61" s="316"/>
      <c r="AE61" s="316"/>
      <c r="AF61" s="316"/>
      <c r="AG61" s="317">
        <f t="shared" si="2"/>
        <v>1237.5</v>
      </c>
      <c r="AH61" s="326">
        <v>43943</v>
      </c>
      <c r="AI61" s="109" t="s">
        <v>43</v>
      </c>
      <c r="AJ61" s="132" t="s">
        <v>118</v>
      </c>
    </row>
    <row r="62" spans="1:36" x14ac:dyDescent="0.2">
      <c r="R62" s="314" t="s">
        <v>100</v>
      </c>
      <c r="S62" s="315" t="s">
        <v>101</v>
      </c>
      <c r="T62" s="316">
        <v>1250</v>
      </c>
      <c r="U62" s="316"/>
      <c r="V62" s="316"/>
      <c r="W62" s="316"/>
      <c r="X62" s="316"/>
      <c r="Y62" s="316"/>
      <c r="Z62" s="316">
        <f>T62+W62+Y62</f>
        <v>1250</v>
      </c>
      <c r="AA62" s="316">
        <v>12.5</v>
      </c>
      <c r="AB62" s="316"/>
      <c r="AC62" s="316"/>
      <c r="AD62" s="316"/>
      <c r="AE62" s="316"/>
      <c r="AF62" s="316"/>
      <c r="AG62" s="317">
        <f t="shared" si="2"/>
        <v>1237.5</v>
      </c>
      <c r="AH62" s="326">
        <v>43943</v>
      </c>
      <c r="AI62" s="109" t="s">
        <v>43</v>
      </c>
      <c r="AJ62" s="132" t="s">
        <v>118</v>
      </c>
    </row>
    <row r="63" spans="1:36" x14ac:dyDescent="0.2">
      <c r="R63" s="314" t="s">
        <v>25</v>
      </c>
      <c r="S63" s="315" t="s">
        <v>63</v>
      </c>
      <c r="T63" s="316">
        <v>3966.4</v>
      </c>
      <c r="U63" s="316"/>
      <c r="V63" s="316"/>
      <c r="W63" s="316"/>
      <c r="X63" s="316"/>
      <c r="Y63" s="316"/>
      <c r="Z63" s="316">
        <f>T63+W63+Y63+X63</f>
        <v>3966.4</v>
      </c>
      <c r="AA63" s="316">
        <v>37.18</v>
      </c>
      <c r="AB63" s="316">
        <v>426</v>
      </c>
      <c r="AC63" s="316"/>
      <c r="AD63" s="316"/>
      <c r="AE63" s="316">
        <v>200.01</v>
      </c>
      <c r="AF63" s="316"/>
      <c r="AG63" s="317">
        <f t="shared" si="2"/>
        <v>3303.21</v>
      </c>
      <c r="AH63" s="301">
        <v>43950</v>
      </c>
      <c r="AI63" s="120" t="s">
        <v>44</v>
      </c>
      <c r="AJ63" s="132" t="s">
        <v>118</v>
      </c>
    </row>
    <row r="64" spans="1:36" x14ac:dyDescent="0.2">
      <c r="R64" s="314" t="s">
        <v>26</v>
      </c>
      <c r="S64" s="315" t="s">
        <v>70</v>
      </c>
      <c r="T64" s="316">
        <v>1023.5</v>
      </c>
      <c r="U64" s="316"/>
      <c r="V64" s="316"/>
      <c r="W64" s="316"/>
      <c r="X64" s="316">
        <v>50</v>
      </c>
      <c r="Y64" s="316"/>
      <c r="Z64" s="316">
        <f>T64+W64+Y64</f>
        <v>1023.5</v>
      </c>
      <c r="AA64" s="316">
        <v>10.234999999999999</v>
      </c>
      <c r="AB64" s="316"/>
      <c r="AC64" s="316"/>
      <c r="AD64" s="316"/>
      <c r="AE64" s="316">
        <v>58.14</v>
      </c>
      <c r="AF64" s="316"/>
      <c r="AG64" s="317">
        <f t="shared" si="2"/>
        <v>1005.1250000000001</v>
      </c>
      <c r="AH64" s="301">
        <v>43950</v>
      </c>
      <c r="AI64" s="120" t="s">
        <v>44</v>
      </c>
      <c r="AJ64" s="132" t="s">
        <v>118</v>
      </c>
    </row>
    <row r="65" spans="1:36" x14ac:dyDescent="0.2">
      <c r="R65" s="314" t="s">
        <v>3</v>
      </c>
      <c r="S65" s="315" t="s">
        <v>71</v>
      </c>
      <c r="T65" s="316">
        <v>1343.5</v>
      </c>
      <c r="U65" s="316"/>
      <c r="V65" s="316"/>
      <c r="W65" s="316"/>
      <c r="X65" s="316">
        <v>50</v>
      </c>
      <c r="Y65" s="316"/>
      <c r="Z65" s="316">
        <f>T65+W65+Y65+X65</f>
        <v>1393.5</v>
      </c>
      <c r="AA65" s="316">
        <v>13.44</v>
      </c>
      <c r="AB65" s="316"/>
      <c r="AC65" s="316"/>
      <c r="AD65" s="316"/>
      <c r="AE65" s="316">
        <v>76.295000000000002</v>
      </c>
      <c r="AF65" s="316"/>
      <c r="AG65" s="317">
        <f t="shared" si="2"/>
        <v>1303.7649999999999</v>
      </c>
      <c r="AH65" s="301">
        <v>43950</v>
      </c>
      <c r="AI65" s="120" t="s">
        <v>44</v>
      </c>
      <c r="AJ65" s="132" t="s">
        <v>118</v>
      </c>
    </row>
    <row r="66" spans="1:36" x14ac:dyDescent="0.2">
      <c r="R66" s="314" t="s">
        <v>31</v>
      </c>
      <c r="S66" s="315" t="s">
        <v>72</v>
      </c>
      <c r="T66" s="316">
        <v>1300</v>
      </c>
      <c r="U66" s="316"/>
      <c r="V66" s="316"/>
      <c r="W66" s="316"/>
      <c r="X66" s="316">
        <v>50</v>
      </c>
      <c r="Y66" s="316"/>
      <c r="Z66" s="316">
        <f>T66+W66+Y66+X66</f>
        <v>1350</v>
      </c>
      <c r="AA66" s="316">
        <v>13</v>
      </c>
      <c r="AB66" s="316"/>
      <c r="AC66" s="316"/>
      <c r="AD66" s="316"/>
      <c r="AE66" s="316">
        <v>67.78</v>
      </c>
      <c r="AF66" s="316"/>
      <c r="AG66" s="317">
        <f t="shared" si="2"/>
        <v>1269.22</v>
      </c>
      <c r="AH66" s="301">
        <v>43950</v>
      </c>
      <c r="AI66" s="120" t="s">
        <v>44</v>
      </c>
      <c r="AJ66" s="132" t="s">
        <v>118</v>
      </c>
    </row>
    <row r="67" spans="1:36" x14ac:dyDescent="0.2">
      <c r="R67" s="314" t="s">
        <v>69</v>
      </c>
      <c r="S67" s="315" t="s">
        <v>73</v>
      </c>
      <c r="T67" s="316">
        <v>1000</v>
      </c>
      <c r="U67" s="316"/>
      <c r="V67" s="316"/>
      <c r="W67" s="316"/>
      <c r="X67" s="316"/>
      <c r="Y67" s="316"/>
      <c r="Z67" s="316">
        <f t="shared" ref="Z67:Z74" si="17">T67+W67+Y67</f>
        <v>1000</v>
      </c>
      <c r="AA67" s="316">
        <v>10</v>
      </c>
      <c r="AB67" s="316"/>
      <c r="AC67" s="316"/>
      <c r="AD67" s="316"/>
      <c r="AE67" s="316"/>
      <c r="AF67" s="316"/>
      <c r="AG67" s="317">
        <f t="shared" si="2"/>
        <v>990</v>
      </c>
      <c r="AH67" s="301">
        <v>43950</v>
      </c>
      <c r="AI67" s="120" t="s">
        <v>44</v>
      </c>
      <c r="AJ67" s="132" t="s">
        <v>118</v>
      </c>
    </row>
    <row r="68" spans="1:36" x14ac:dyDescent="0.2">
      <c r="R68" s="314" t="s">
        <v>79</v>
      </c>
      <c r="S68" s="315" t="s">
        <v>91</v>
      </c>
      <c r="T68" s="316">
        <v>1250</v>
      </c>
      <c r="U68" s="316"/>
      <c r="V68" s="316"/>
      <c r="W68" s="316"/>
      <c r="X68" s="316"/>
      <c r="Y68" s="316"/>
      <c r="Z68" s="316">
        <f t="shared" si="17"/>
        <v>1250</v>
      </c>
      <c r="AA68" s="316">
        <v>12.5</v>
      </c>
      <c r="AB68" s="316"/>
      <c r="AC68" s="316"/>
      <c r="AD68" s="316"/>
      <c r="AE68" s="316"/>
      <c r="AF68" s="316"/>
      <c r="AG68" s="317">
        <f t="shared" ref="AG68:AG131" si="18">T68+W68+X68-AA68-AB68-AC68-AD68-AE68-AF68</f>
        <v>1237.5</v>
      </c>
      <c r="AH68" s="301">
        <v>43950</v>
      </c>
      <c r="AI68" s="120" t="s">
        <v>44</v>
      </c>
      <c r="AJ68" s="132" t="s">
        <v>118</v>
      </c>
    </row>
    <row r="69" spans="1:36" x14ac:dyDescent="0.2">
      <c r="R69" s="314" t="s">
        <v>100</v>
      </c>
      <c r="S69" s="315" t="s">
        <v>101</v>
      </c>
      <c r="T69" s="316">
        <v>1250</v>
      </c>
      <c r="U69" s="316"/>
      <c r="V69" s="316"/>
      <c r="W69" s="316"/>
      <c r="X69" s="316"/>
      <c r="Y69" s="316"/>
      <c r="Z69" s="316">
        <f t="shared" si="17"/>
        <v>1250</v>
      </c>
      <c r="AA69" s="316">
        <v>12.5</v>
      </c>
      <c r="AB69" s="316"/>
      <c r="AC69" s="316"/>
      <c r="AD69" s="316"/>
      <c r="AE69" s="316"/>
      <c r="AF69" s="316"/>
      <c r="AG69" s="317">
        <f t="shared" si="18"/>
        <v>1237.5</v>
      </c>
      <c r="AH69" s="301">
        <v>43950</v>
      </c>
      <c r="AI69" s="120" t="s">
        <v>44</v>
      </c>
      <c r="AJ69" s="132" t="s">
        <v>118</v>
      </c>
    </row>
    <row r="70" spans="1:36" s="162" customFormat="1" x14ac:dyDescent="0.2">
      <c r="A70" s="350"/>
      <c r="B70" s="350"/>
      <c r="C70" s="77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R70" s="314" t="s">
        <v>8</v>
      </c>
      <c r="S70" s="318" t="s">
        <v>96</v>
      </c>
      <c r="T70" s="316">
        <v>13502</v>
      </c>
      <c r="U70" s="316"/>
      <c r="V70" s="316"/>
      <c r="W70" s="316"/>
      <c r="X70" s="316"/>
      <c r="Y70" s="316">
        <v>5624</v>
      </c>
      <c r="Z70" s="316">
        <f t="shared" si="17"/>
        <v>19126</v>
      </c>
      <c r="AA70" s="316"/>
      <c r="AB70" s="316">
        <v>2355</v>
      </c>
      <c r="AC70" s="316">
        <v>-853</v>
      </c>
      <c r="AD70" s="316"/>
      <c r="AE70" s="316"/>
      <c r="AF70" s="316"/>
      <c r="AG70" s="317">
        <f t="shared" si="18"/>
        <v>12000</v>
      </c>
      <c r="AH70" s="336"/>
      <c r="AI70" s="170"/>
      <c r="AJ70" s="161"/>
    </row>
    <row r="71" spans="1:36" s="162" customFormat="1" x14ac:dyDescent="0.2">
      <c r="A71" s="350"/>
      <c r="B71" s="350"/>
      <c r="C71" s="77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R71" s="314" t="s">
        <v>27</v>
      </c>
      <c r="S71" s="318" t="s">
        <v>97</v>
      </c>
      <c r="T71" s="316">
        <v>13717</v>
      </c>
      <c r="U71" s="316"/>
      <c r="V71" s="316"/>
      <c r="W71" s="316"/>
      <c r="X71" s="316"/>
      <c r="Y71" s="316">
        <v>5409</v>
      </c>
      <c r="Z71" s="316">
        <f t="shared" si="17"/>
        <v>19126</v>
      </c>
      <c r="AA71" s="316"/>
      <c r="AB71" s="316">
        <v>2355</v>
      </c>
      <c r="AC71" s="316">
        <v>-638</v>
      </c>
      <c r="AD71" s="316"/>
      <c r="AE71" s="316"/>
      <c r="AF71" s="316"/>
      <c r="AG71" s="317">
        <f t="shared" si="18"/>
        <v>12000</v>
      </c>
      <c r="AH71" s="170"/>
      <c r="AI71" s="170"/>
      <c r="AJ71" s="161"/>
    </row>
    <row r="72" spans="1:36" s="162" customFormat="1" ht="13.5" thickBot="1" x14ac:dyDescent="0.25">
      <c r="A72" s="350"/>
      <c r="B72" s="350"/>
      <c r="C72" s="77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R72" s="319" t="s">
        <v>6</v>
      </c>
      <c r="S72" s="320" t="s">
        <v>98</v>
      </c>
      <c r="T72" s="321">
        <v>12643.72</v>
      </c>
      <c r="U72" s="321"/>
      <c r="V72" s="321"/>
      <c r="W72" s="321"/>
      <c r="X72" s="321"/>
      <c r="Y72" s="321">
        <v>2812</v>
      </c>
      <c r="Z72" s="321">
        <f t="shared" si="17"/>
        <v>15455.72</v>
      </c>
      <c r="AA72" s="321">
        <v>148.72</v>
      </c>
      <c r="AB72" s="321">
        <v>1536</v>
      </c>
      <c r="AC72" s="321">
        <v>-853</v>
      </c>
      <c r="AD72" s="321">
        <v>2812</v>
      </c>
      <c r="AE72" s="321"/>
      <c r="AF72" s="321"/>
      <c r="AG72" s="322">
        <f t="shared" si="18"/>
        <v>9000</v>
      </c>
      <c r="AH72" s="170"/>
      <c r="AI72" s="170"/>
      <c r="AJ72" s="161"/>
    </row>
    <row r="73" spans="1:36" x14ac:dyDescent="0.2">
      <c r="R73" s="331" t="s">
        <v>25</v>
      </c>
      <c r="S73" s="83" t="s">
        <v>63</v>
      </c>
      <c r="T73" s="87">
        <v>3966.4</v>
      </c>
      <c r="U73" s="87"/>
      <c r="V73" s="87"/>
      <c r="W73" s="87">
        <v>0</v>
      </c>
      <c r="X73" s="87">
        <v>490</v>
      </c>
      <c r="Y73" s="87">
        <v>624</v>
      </c>
      <c r="Z73" s="87">
        <f t="shared" si="17"/>
        <v>4590.3999999999996</v>
      </c>
      <c r="AA73" s="87">
        <v>37.18</v>
      </c>
      <c r="AB73" s="87">
        <v>588</v>
      </c>
      <c r="AC73" s="87">
        <v>-159.5</v>
      </c>
      <c r="AD73" s="87">
        <v>624</v>
      </c>
      <c r="AE73" s="87">
        <v>200.01</v>
      </c>
      <c r="AF73" s="87">
        <v>1125</v>
      </c>
      <c r="AG73" s="330">
        <f t="shared" si="18"/>
        <v>2041.7099999999991</v>
      </c>
      <c r="AH73" s="301">
        <v>43957</v>
      </c>
      <c r="AI73" s="123" t="s">
        <v>45</v>
      </c>
      <c r="AJ73" s="132" t="s">
        <v>119</v>
      </c>
    </row>
    <row r="74" spans="1:36" x14ac:dyDescent="0.2">
      <c r="R74" s="292" t="s">
        <v>26</v>
      </c>
      <c r="S74" s="81" t="s">
        <v>70</v>
      </c>
      <c r="T74" s="88">
        <v>1023.5</v>
      </c>
      <c r="U74" s="88"/>
      <c r="V74" s="88"/>
      <c r="W74" s="88"/>
      <c r="X74" s="88">
        <v>50</v>
      </c>
      <c r="Y74" s="88"/>
      <c r="Z74" s="88">
        <f t="shared" si="17"/>
        <v>1023.5</v>
      </c>
      <c r="AA74" s="88">
        <v>10.234999999999999</v>
      </c>
      <c r="AB74" s="88"/>
      <c r="AC74" s="88"/>
      <c r="AD74" s="88"/>
      <c r="AE74" s="88">
        <v>58.14</v>
      </c>
      <c r="AF74" s="88"/>
      <c r="AG74" s="304">
        <f t="shared" si="18"/>
        <v>1005.1250000000001</v>
      </c>
      <c r="AH74" s="301">
        <v>43957</v>
      </c>
      <c r="AI74" s="123" t="s">
        <v>45</v>
      </c>
      <c r="AJ74" s="132" t="s">
        <v>119</v>
      </c>
    </row>
    <row r="75" spans="1:36" x14ac:dyDescent="0.2">
      <c r="R75" s="292" t="s">
        <v>3</v>
      </c>
      <c r="S75" s="81" t="s">
        <v>71</v>
      </c>
      <c r="T75" s="88">
        <v>1343.5</v>
      </c>
      <c r="U75" s="88"/>
      <c r="V75" s="88"/>
      <c r="W75" s="88"/>
      <c r="X75" s="88">
        <v>50</v>
      </c>
      <c r="Y75" s="88"/>
      <c r="Z75" s="88">
        <f>T75+W75+Y75+X75</f>
        <v>1393.5</v>
      </c>
      <c r="AA75" s="88">
        <v>13.44</v>
      </c>
      <c r="AB75" s="88"/>
      <c r="AC75" s="88"/>
      <c r="AD75" s="88"/>
      <c r="AE75" s="88">
        <v>76.295000000000002</v>
      </c>
      <c r="AF75" s="88"/>
      <c r="AG75" s="304">
        <f t="shared" si="18"/>
        <v>1303.7649999999999</v>
      </c>
      <c r="AH75" s="301">
        <v>43957</v>
      </c>
      <c r="AI75" s="123" t="s">
        <v>45</v>
      </c>
      <c r="AJ75" s="132" t="s">
        <v>119</v>
      </c>
    </row>
    <row r="76" spans="1:36" x14ac:dyDescent="0.2">
      <c r="R76" s="292" t="s">
        <v>31</v>
      </c>
      <c r="S76" s="81" t="s">
        <v>72</v>
      </c>
      <c r="T76" s="88">
        <v>1300</v>
      </c>
      <c r="U76" s="88"/>
      <c r="V76" s="88"/>
      <c r="W76" s="88"/>
      <c r="X76" s="88">
        <v>50</v>
      </c>
      <c r="Y76" s="88"/>
      <c r="Z76" s="88">
        <f>T76+W76+Y76+X76</f>
        <v>1350</v>
      </c>
      <c r="AA76" s="88">
        <v>13</v>
      </c>
      <c r="AB76" s="88"/>
      <c r="AC76" s="88"/>
      <c r="AD76" s="88"/>
      <c r="AE76" s="88">
        <v>67.78</v>
      </c>
      <c r="AF76" s="88"/>
      <c r="AG76" s="304">
        <f t="shared" si="18"/>
        <v>1269.22</v>
      </c>
      <c r="AH76" s="301">
        <v>43957</v>
      </c>
      <c r="AI76" s="123" t="s">
        <v>45</v>
      </c>
      <c r="AJ76" s="132" t="s">
        <v>119</v>
      </c>
    </row>
    <row r="77" spans="1:36" x14ac:dyDescent="0.2">
      <c r="R77" s="292" t="s">
        <v>69</v>
      </c>
      <c r="S77" s="81" t="s">
        <v>73</v>
      </c>
      <c r="T77" s="88">
        <v>1000</v>
      </c>
      <c r="U77" s="88"/>
      <c r="V77" s="88"/>
      <c r="W77" s="88"/>
      <c r="X77" s="88"/>
      <c r="Y77" s="88"/>
      <c r="Z77" s="88">
        <f>T77+W77+Y77</f>
        <v>1000</v>
      </c>
      <c r="AA77" s="88">
        <v>10</v>
      </c>
      <c r="AB77" s="88"/>
      <c r="AC77" s="88"/>
      <c r="AD77" s="88"/>
      <c r="AE77" s="88"/>
      <c r="AF77" s="88"/>
      <c r="AG77" s="304">
        <f t="shared" si="18"/>
        <v>990</v>
      </c>
      <c r="AH77" s="301">
        <v>43957</v>
      </c>
      <c r="AI77" s="123" t="s">
        <v>45</v>
      </c>
      <c r="AJ77" s="132" t="s">
        <v>119</v>
      </c>
    </row>
    <row r="78" spans="1:36" x14ac:dyDescent="0.2">
      <c r="R78" s="292" t="s">
        <v>79</v>
      </c>
      <c r="S78" s="81" t="s">
        <v>91</v>
      </c>
      <c r="T78" s="88">
        <v>1250</v>
      </c>
      <c r="U78" s="88"/>
      <c r="V78" s="88"/>
      <c r="W78" s="88"/>
      <c r="X78" s="88"/>
      <c r="Y78" s="88"/>
      <c r="Z78" s="88">
        <f>T78+W78+Y78</f>
        <v>1250</v>
      </c>
      <c r="AA78" s="88">
        <v>12.5</v>
      </c>
      <c r="AB78" s="88"/>
      <c r="AC78" s="88"/>
      <c r="AD78" s="88"/>
      <c r="AE78" s="88"/>
      <c r="AF78" s="88"/>
      <c r="AG78" s="304">
        <f t="shared" si="18"/>
        <v>1237.5</v>
      </c>
      <c r="AH78" s="301">
        <v>43957</v>
      </c>
      <c r="AI78" s="123" t="s">
        <v>45</v>
      </c>
      <c r="AJ78" s="132" t="s">
        <v>119</v>
      </c>
    </row>
    <row r="79" spans="1:36" x14ac:dyDescent="0.2">
      <c r="R79" s="292" t="s">
        <v>25</v>
      </c>
      <c r="S79" s="81" t="s">
        <v>63</v>
      </c>
      <c r="T79" s="88">
        <v>3966.4</v>
      </c>
      <c r="U79" s="88"/>
      <c r="V79" s="88"/>
      <c r="W79" s="88">
        <v>0</v>
      </c>
      <c r="X79" s="88">
        <v>490</v>
      </c>
      <c r="Y79" s="88">
        <v>624</v>
      </c>
      <c r="Z79" s="88">
        <f>T79+W79+Y79</f>
        <v>4590.3999999999996</v>
      </c>
      <c r="AA79" s="88">
        <v>37.18</v>
      </c>
      <c r="AB79" s="88">
        <v>588</v>
      </c>
      <c r="AC79" s="88">
        <v>-159.5</v>
      </c>
      <c r="AD79" s="88">
        <v>624</v>
      </c>
      <c r="AE79" s="88">
        <v>200.01</v>
      </c>
      <c r="AF79" s="88">
        <v>1125</v>
      </c>
      <c r="AG79" s="304">
        <f t="shared" si="18"/>
        <v>2041.7099999999991</v>
      </c>
      <c r="AH79" s="301">
        <v>43964</v>
      </c>
      <c r="AI79" s="125" t="s">
        <v>46</v>
      </c>
      <c r="AJ79" s="132" t="s">
        <v>119</v>
      </c>
    </row>
    <row r="80" spans="1:36" x14ac:dyDescent="0.2">
      <c r="R80" s="292" t="s">
        <v>26</v>
      </c>
      <c r="S80" s="81" t="s">
        <v>70</v>
      </c>
      <c r="T80" s="88">
        <v>1023.5</v>
      </c>
      <c r="U80" s="88"/>
      <c r="V80" s="88"/>
      <c r="W80" s="88"/>
      <c r="X80" s="88">
        <v>50</v>
      </c>
      <c r="Y80" s="88"/>
      <c r="Z80" s="88">
        <f>T80+W80+Y80</f>
        <v>1023.5</v>
      </c>
      <c r="AA80" s="88">
        <v>10.234999999999999</v>
      </c>
      <c r="AB80" s="88"/>
      <c r="AC80" s="88"/>
      <c r="AD80" s="88"/>
      <c r="AE80" s="88">
        <v>58.14</v>
      </c>
      <c r="AF80" s="88"/>
      <c r="AG80" s="304">
        <f t="shared" si="18"/>
        <v>1005.1250000000001</v>
      </c>
      <c r="AH80" s="301">
        <v>43964</v>
      </c>
      <c r="AI80" s="125" t="s">
        <v>46</v>
      </c>
      <c r="AJ80" s="132" t="s">
        <v>119</v>
      </c>
    </row>
    <row r="81" spans="1:36" x14ac:dyDescent="0.2">
      <c r="R81" s="292" t="s">
        <v>3</v>
      </c>
      <c r="S81" s="81" t="s">
        <v>71</v>
      </c>
      <c r="T81" s="88">
        <v>1343.5</v>
      </c>
      <c r="U81" s="88"/>
      <c r="V81" s="88"/>
      <c r="W81" s="88"/>
      <c r="X81" s="88">
        <v>50</v>
      </c>
      <c r="Y81" s="88"/>
      <c r="Z81" s="88">
        <f>T81+W81+Y81+X81</f>
        <v>1393.5</v>
      </c>
      <c r="AA81" s="88">
        <v>13.44</v>
      </c>
      <c r="AB81" s="88"/>
      <c r="AC81" s="88"/>
      <c r="AD81" s="88"/>
      <c r="AE81" s="88">
        <v>76.295000000000002</v>
      </c>
      <c r="AF81" s="88"/>
      <c r="AG81" s="304">
        <f t="shared" si="18"/>
        <v>1303.7649999999999</v>
      </c>
      <c r="AH81" s="301">
        <v>43964</v>
      </c>
      <c r="AI81" s="125" t="s">
        <v>46</v>
      </c>
      <c r="AJ81" s="132" t="s">
        <v>119</v>
      </c>
    </row>
    <row r="82" spans="1:36" x14ac:dyDescent="0.2">
      <c r="R82" s="292" t="s">
        <v>31</v>
      </c>
      <c r="S82" s="81" t="s">
        <v>72</v>
      </c>
      <c r="T82" s="88">
        <v>1300</v>
      </c>
      <c r="U82" s="88"/>
      <c r="V82" s="88"/>
      <c r="W82" s="88"/>
      <c r="X82" s="88">
        <v>50</v>
      </c>
      <c r="Y82" s="88"/>
      <c r="Z82" s="88">
        <f>T82+W82+Y82+X82</f>
        <v>1350</v>
      </c>
      <c r="AA82" s="88">
        <v>13</v>
      </c>
      <c r="AB82" s="88"/>
      <c r="AC82" s="88"/>
      <c r="AD82" s="88"/>
      <c r="AE82" s="88">
        <v>67.78</v>
      </c>
      <c r="AF82" s="88"/>
      <c r="AG82" s="304">
        <f t="shared" si="18"/>
        <v>1269.22</v>
      </c>
      <c r="AH82" s="301">
        <v>43964</v>
      </c>
      <c r="AI82" s="125" t="s">
        <v>46</v>
      </c>
      <c r="AJ82" s="132" t="s">
        <v>119</v>
      </c>
    </row>
    <row r="83" spans="1:36" x14ac:dyDescent="0.2">
      <c r="R83" s="292" t="s">
        <v>69</v>
      </c>
      <c r="S83" s="81" t="s">
        <v>73</v>
      </c>
      <c r="T83" s="88">
        <v>1000</v>
      </c>
      <c r="U83" s="88"/>
      <c r="V83" s="88"/>
      <c r="W83" s="88"/>
      <c r="X83" s="88"/>
      <c r="Y83" s="88"/>
      <c r="Z83" s="88">
        <f>T83+W83+Y83</f>
        <v>1000</v>
      </c>
      <c r="AA83" s="88">
        <v>10</v>
      </c>
      <c r="AB83" s="88"/>
      <c r="AC83" s="88"/>
      <c r="AD83" s="88"/>
      <c r="AE83" s="88"/>
      <c r="AF83" s="88"/>
      <c r="AG83" s="304">
        <f t="shared" si="18"/>
        <v>990</v>
      </c>
      <c r="AH83" s="301">
        <v>43964</v>
      </c>
      <c r="AI83" s="125" t="s">
        <v>46</v>
      </c>
      <c r="AJ83" s="132" t="s">
        <v>119</v>
      </c>
    </row>
    <row r="84" spans="1:36" x14ac:dyDescent="0.2">
      <c r="R84" s="292" t="s">
        <v>79</v>
      </c>
      <c r="S84" s="81" t="s">
        <v>91</v>
      </c>
      <c r="T84" s="88">
        <v>1250</v>
      </c>
      <c r="U84" s="88"/>
      <c r="V84" s="88"/>
      <c r="W84" s="88"/>
      <c r="X84" s="88"/>
      <c r="Y84" s="88"/>
      <c r="Z84" s="88">
        <f>T84+W84+Y84</f>
        <v>1250</v>
      </c>
      <c r="AA84" s="88">
        <v>12.5</v>
      </c>
      <c r="AB84" s="88"/>
      <c r="AC84" s="88"/>
      <c r="AD84" s="88"/>
      <c r="AE84" s="88"/>
      <c r="AF84" s="88"/>
      <c r="AG84" s="304">
        <f t="shared" si="18"/>
        <v>1237.5</v>
      </c>
      <c r="AH84" s="301">
        <v>43964</v>
      </c>
      <c r="AI84" s="125" t="s">
        <v>46</v>
      </c>
      <c r="AJ84" s="132" t="s">
        <v>119</v>
      </c>
    </row>
    <row r="85" spans="1:36" x14ac:dyDescent="0.2">
      <c r="R85" s="292" t="s">
        <v>25</v>
      </c>
      <c r="S85" s="81" t="s">
        <v>63</v>
      </c>
      <c r="T85" s="88">
        <v>3966.4</v>
      </c>
      <c r="U85" s="88"/>
      <c r="V85" s="88"/>
      <c r="W85" s="88">
        <v>0</v>
      </c>
      <c r="X85" s="88">
        <v>490</v>
      </c>
      <c r="Y85" s="88">
        <v>624</v>
      </c>
      <c r="Z85" s="88">
        <f>T85+W85+Y85</f>
        <v>4590.3999999999996</v>
      </c>
      <c r="AA85" s="88">
        <v>37.18</v>
      </c>
      <c r="AB85" s="88">
        <v>588</v>
      </c>
      <c r="AC85" s="88">
        <v>-159.5</v>
      </c>
      <c r="AD85" s="88">
        <v>624</v>
      </c>
      <c r="AE85" s="88">
        <v>200.01</v>
      </c>
      <c r="AF85" s="88">
        <v>1125</v>
      </c>
      <c r="AG85" s="304">
        <f t="shared" si="18"/>
        <v>2041.7099999999991</v>
      </c>
      <c r="AH85" s="301">
        <v>43971</v>
      </c>
      <c r="AI85" s="124" t="s">
        <v>47</v>
      </c>
      <c r="AJ85" s="132" t="s">
        <v>119</v>
      </c>
    </row>
    <row r="86" spans="1:36" x14ac:dyDescent="0.2">
      <c r="R86" s="292" t="s">
        <v>26</v>
      </c>
      <c r="S86" s="81" t="s">
        <v>70</v>
      </c>
      <c r="T86" s="88">
        <v>1023.5</v>
      </c>
      <c r="U86" s="88"/>
      <c r="V86" s="88"/>
      <c r="W86" s="88"/>
      <c r="X86" s="88">
        <v>50</v>
      </c>
      <c r="Y86" s="88"/>
      <c r="Z86" s="88">
        <f>T86+W86+Y86</f>
        <v>1023.5</v>
      </c>
      <c r="AA86" s="88">
        <v>10.234999999999999</v>
      </c>
      <c r="AB86" s="88"/>
      <c r="AC86" s="88"/>
      <c r="AD86" s="88"/>
      <c r="AE86" s="88">
        <v>58.14</v>
      </c>
      <c r="AF86" s="88"/>
      <c r="AG86" s="304">
        <f t="shared" si="18"/>
        <v>1005.1250000000001</v>
      </c>
      <c r="AH86" s="301">
        <v>43971</v>
      </c>
      <c r="AI86" s="124" t="s">
        <v>47</v>
      </c>
      <c r="AJ86" s="132" t="s">
        <v>119</v>
      </c>
    </row>
    <row r="87" spans="1:36" x14ac:dyDescent="0.2">
      <c r="R87" s="292" t="s">
        <v>3</v>
      </c>
      <c r="S87" s="81" t="s">
        <v>71</v>
      </c>
      <c r="T87" s="88">
        <v>1343.5</v>
      </c>
      <c r="U87" s="88"/>
      <c r="V87" s="88"/>
      <c r="W87" s="88"/>
      <c r="X87" s="88">
        <v>50</v>
      </c>
      <c r="Y87" s="88"/>
      <c r="Z87" s="88">
        <f>T87+W87+Y87+X87</f>
        <v>1393.5</v>
      </c>
      <c r="AA87" s="88">
        <v>13.44</v>
      </c>
      <c r="AB87" s="88"/>
      <c r="AC87" s="88"/>
      <c r="AD87" s="88"/>
      <c r="AE87" s="88">
        <v>76.295000000000002</v>
      </c>
      <c r="AF87" s="88"/>
      <c r="AG87" s="304">
        <f t="shared" si="18"/>
        <v>1303.7649999999999</v>
      </c>
      <c r="AH87" s="301">
        <v>43971</v>
      </c>
      <c r="AI87" s="124" t="s">
        <v>47</v>
      </c>
      <c r="AJ87" s="132" t="s">
        <v>119</v>
      </c>
    </row>
    <row r="88" spans="1:36" x14ac:dyDescent="0.2">
      <c r="R88" s="292" t="s">
        <v>31</v>
      </c>
      <c r="S88" s="81" t="s">
        <v>72</v>
      </c>
      <c r="T88" s="88">
        <v>1300</v>
      </c>
      <c r="U88" s="88"/>
      <c r="V88" s="88"/>
      <c r="W88" s="88"/>
      <c r="X88" s="88">
        <v>50</v>
      </c>
      <c r="Y88" s="88"/>
      <c r="Z88" s="88">
        <f>T88+W88+Y88+X88</f>
        <v>1350</v>
      </c>
      <c r="AA88" s="88">
        <v>13</v>
      </c>
      <c r="AB88" s="88"/>
      <c r="AC88" s="88"/>
      <c r="AD88" s="88"/>
      <c r="AE88" s="88">
        <v>67.78</v>
      </c>
      <c r="AF88" s="88"/>
      <c r="AG88" s="304">
        <f t="shared" si="18"/>
        <v>1269.22</v>
      </c>
      <c r="AH88" s="301">
        <v>43971</v>
      </c>
      <c r="AI88" s="124" t="s">
        <v>47</v>
      </c>
      <c r="AJ88" s="132" t="s">
        <v>119</v>
      </c>
    </row>
    <row r="89" spans="1:36" x14ac:dyDescent="0.2">
      <c r="R89" s="292" t="s">
        <v>69</v>
      </c>
      <c r="S89" s="81" t="s">
        <v>73</v>
      </c>
      <c r="T89" s="88">
        <v>1000</v>
      </c>
      <c r="U89" s="88"/>
      <c r="V89" s="88"/>
      <c r="W89" s="88"/>
      <c r="X89" s="88"/>
      <c r="Y89" s="88"/>
      <c r="Z89" s="88">
        <f>T89+W89+Y89</f>
        <v>1000</v>
      </c>
      <c r="AA89" s="88">
        <v>10</v>
      </c>
      <c r="AB89" s="88"/>
      <c r="AC89" s="88"/>
      <c r="AD89" s="88"/>
      <c r="AE89" s="88"/>
      <c r="AF89" s="88"/>
      <c r="AG89" s="304">
        <f t="shared" si="18"/>
        <v>990</v>
      </c>
      <c r="AH89" s="301">
        <v>43971</v>
      </c>
      <c r="AI89" s="124" t="s">
        <v>47</v>
      </c>
      <c r="AJ89" s="132" t="s">
        <v>119</v>
      </c>
    </row>
    <row r="90" spans="1:36" x14ac:dyDescent="0.2">
      <c r="A90" s="367"/>
      <c r="B90" s="367"/>
      <c r="C90" s="162"/>
      <c r="D90" s="365"/>
      <c r="E90" s="365"/>
      <c r="F90" s="365"/>
      <c r="G90" s="365"/>
      <c r="H90" s="365"/>
      <c r="I90" s="365"/>
      <c r="J90" s="365"/>
      <c r="K90" s="365"/>
      <c r="L90" s="365"/>
      <c r="M90" s="365"/>
      <c r="N90" s="365"/>
      <c r="O90" s="365"/>
      <c r="P90" s="365"/>
      <c r="R90" s="292" t="s">
        <v>79</v>
      </c>
      <c r="S90" s="81" t="s">
        <v>91</v>
      </c>
      <c r="T90" s="88">
        <v>1250</v>
      </c>
      <c r="U90" s="88"/>
      <c r="V90" s="88"/>
      <c r="W90" s="88"/>
      <c r="X90" s="88"/>
      <c r="Y90" s="88"/>
      <c r="Z90" s="88">
        <f>T90+W90+Y90</f>
        <v>1250</v>
      </c>
      <c r="AA90" s="88">
        <v>12.5</v>
      </c>
      <c r="AB90" s="88"/>
      <c r="AC90" s="88"/>
      <c r="AD90" s="88"/>
      <c r="AE90" s="88"/>
      <c r="AF90" s="88"/>
      <c r="AG90" s="304">
        <f t="shared" si="18"/>
        <v>1237.5</v>
      </c>
      <c r="AH90" s="301">
        <v>43971</v>
      </c>
      <c r="AI90" s="124" t="s">
        <v>47</v>
      </c>
      <c r="AJ90" s="132" t="s">
        <v>119</v>
      </c>
    </row>
    <row r="91" spans="1:36" x14ac:dyDescent="0.2">
      <c r="A91" s="367"/>
      <c r="B91" s="367"/>
      <c r="C91" s="162"/>
      <c r="D91" s="365"/>
      <c r="E91" s="365"/>
      <c r="F91" s="365"/>
      <c r="G91" s="365"/>
      <c r="H91" s="365"/>
      <c r="I91" s="365"/>
      <c r="J91" s="365"/>
      <c r="K91" s="365"/>
      <c r="L91" s="365"/>
      <c r="M91" s="365"/>
      <c r="N91" s="365"/>
      <c r="O91" s="365"/>
      <c r="P91" s="365"/>
      <c r="R91" s="292" t="s">
        <v>25</v>
      </c>
      <c r="S91" s="81" t="s">
        <v>63</v>
      </c>
      <c r="T91" s="88">
        <v>3966.4</v>
      </c>
      <c r="U91" s="88"/>
      <c r="V91" s="88"/>
      <c r="W91" s="88">
        <v>0</v>
      </c>
      <c r="X91" s="88">
        <v>490</v>
      </c>
      <c r="Y91" s="88">
        <v>624</v>
      </c>
      <c r="Z91" s="88">
        <f>T91+W91+Y91</f>
        <v>4590.3999999999996</v>
      </c>
      <c r="AA91" s="88">
        <v>37.18</v>
      </c>
      <c r="AB91" s="88">
        <v>588</v>
      </c>
      <c r="AC91" s="88">
        <v>-159.5</v>
      </c>
      <c r="AD91" s="88">
        <v>624</v>
      </c>
      <c r="AE91" s="88">
        <v>200.01</v>
      </c>
      <c r="AF91" s="88">
        <v>1125</v>
      </c>
      <c r="AG91" s="304">
        <f t="shared" si="18"/>
        <v>2041.7099999999991</v>
      </c>
      <c r="AH91" s="301">
        <v>43978</v>
      </c>
      <c r="AI91" s="119" t="s">
        <v>48</v>
      </c>
      <c r="AJ91" s="132" t="s">
        <v>119</v>
      </c>
    </row>
    <row r="92" spans="1:36" x14ac:dyDescent="0.2">
      <c r="A92" s="367"/>
      <c r="B92" s="367"/>
      <c r="C92" s="162"/>
      <c r="D92" s="365"/>
      <c r="E92" s="365"/>
      <c r="F92" s="365"/>
      <c r="G92" s="365"/>
      <c r="H92" s="365"/>
      <c r="I92" s="365"/>
      <c r="J92" s="365"/>
      <c r="K92" s="365"/>
      <c r="L92" s="365"/>
      <c r="M92" s="365"/>
      <c r="N92" s="365"/>
      <c r="O92" s="365"/>
      <c r="P92" s="365"/>
      <c r="R92" s="292" t="s">
        <v>26</v>
      </c>
      <c r="S92" s="81" t="s">
        <v>70</v>
      </c>
      <c r="T92" s="88">
        <v>1023.5</v>
      </c>
      <c r="U92" s="88"/>
      <c r="V92" s="88"/>
      <c r="W92" s="88"/>
      <c r="X92" s="88">
        <v>50</v>
      </c>
      <c r="Y92" s="88"/>
      <c r="Z92" s="88">
        <f>T92+W92+Y92</f>
        <v>1023.5</v>
      </c>
      <c r="AA92" s="88">
        <v>10.234999999999999</v>
      </c>
      <c r="AB92" s="88"/>
      <c r="AC92" s="88"/>
      <c r="AD92" s="88"/>
      <c r="AE92" s="88">
        <v>58.14</v>
      </c>
      <c r="AF92" s="88"/>
      <c r="AG92" s="304">
        <f t="shared" si="18"/>
        <v>1005.1250000000001</v>
      </c>
      <c r="AH92" s="301">
        <v>43978</v>
      </c>
      <c r="AI92" s="119" t="s">
        <v>48</v>
      </c>
      <c r="AJ92" s="132" t="s">
        <v>119</v>
      </c>
    </row>
    <row r="93" spans="1:36" x14ac:dyDescent="0.2">
      <c r="R93" s="292" t="s">
        <v>3</v>
      </c>
      <c r="S93" s="81" t="s">
        <v>71</v>
      </c>
      <c r="T93" s="88">
        <v>1343.5</v>
      </c>
      <c r="U93" s="88"/>
      <c r="V93" s="88"/>
      <c r="W93" s="88"/>
      <c r="X93" s="88">
        <v>50</v>
      </c>
      <c r="Y93" s="88"/>
      <c r="Z93" s="88">
        <f>T93+W93+Y93+X93</f>
        <v>1393.5</v>
      </c>
      <c r="AA93" s="88">
        <v>13.44</v>
      </c>
      <c r="AB93" s="88"/>
      <c r="AC93" s="88"/>
      <c r="AD93" s="88"/>
      <c r="AE93" s="88">
        <v>76.295000000000002</v>
      </c>
      <c r="AF93" s="88"/>
      <c r="AG93" s="304">
        <f t="shared" si="18"/>
        <v>1303.7649999999999</v>
      </c>
      <c r="AH93" s="301">
        <v>43978</v>
      </c>
      <c r="AI93" s="119" t="s">
        <v>48</v>
      </c>
      <c r="AJ93" s="132" t="s">
        <v>119</v>
      </c>
    </row>
    <row r="94" spans="1:36" x14ac:dyDescent="0.2">
      <c r="R94" s="292" t="s">
        <v>31</v>
      </c>
      <c r="S94" s="81" t="s">
        <v>72</v>
      </c>
      <c r="T94" s="88">
        <v>1300</v>
      </c>
      <c r="U94" s="88"/>
      <c r="V94" s="88"/>
      <c r="W94" s="88"/>
      <c r="X94" s="88">
        <v>50</v>
      </c>
      <c r="Y94" s="88"/>
      <c r="Z94" s="88">
        <f>T94+W94+Y94+X94</f>
        <v>1350</v>
      </c>
      <c r="AA94" s="88">
        <v>13</v>
      </c>
      <c r="AB94" s="88"/>
      <c r="AC94" s="88"/>
      <c r="AD94" s="88"/>
      <c r="AE94" s="88">
        <v>67.78</v>
      </c>
      <c r="AF94" s="88"/>
      <c r="AG94" s="304">
        <f t="shared" si="18"/>
        <v>1269.22</v>
      </c>
      <c r="AH94" s="301">
        <v>43978</v>
      </c>
      <c r="AI94" s="119" t="s">
        <v>48</v>
      </c>
      <c r="AJ94" s="132" t="s">
        <v>119</v>
      </c>
    </row>
    <row r="95" spans="1:36" x14ac:dyDescent="0.2">
      <c r="R95" s="292" t="s">
        <v>69</v>
      </c>
      <c r="S95" s="81" t="s">
        <v>73</v>
      </c>
      <c r="T95" s="88">
        <v>1000</v>
      </c>
      <c r="U95" s="88"/>
      <c r="V95" s="88"/>
      <c r="W95" s="88"/>
      <c r="X95" s="88"/>
      <c r="Y95" s="88"/>
      <c r="Z95" s="88">
        <f t="shared" ref="Z95:Z101" si="19">T95+W95+Y95</f>
        <v>1000</v>
      </c>
      <c r="AA95" s="88">
        <v>10</v>
      </c>
      <c r="AB95" s="88"/>
      <c r="AC95" s="88"/>
      <c r="AD95" s="88"/>
      <c r="AE95" s="88"/>
      <c r="AF95" s="88"/>
      <c r="AG95" s="304">
        <f t="shared" si="18"/>
        <v>990</v>
      </c>
      <c r="AH95" s="301">
        <v>43978</v>
      </c>
      <c r="AI95" s="119" t="s">
        <v>48</v>
      </c>
      <c r="AJ95" s="132" t="s">
        <v>119</v>
      </c>
    </row>
    <row r="96" spans="1:36" x14ac:dyDescent="0.2">
      <c r="R96" s="292" t="s">
        <v>79</v>
      </c>
      <c r="S96" s="81" t="s">
        <v>91</v>
      </c>
      <c r="T96" s="88">
        <v>1250</v>
      </c>
      <c r="U96" s="88"/>
      <c r="V96" s="88"/>
      <c r="W96" s="88"/>
      <c r="X96" s="88"/>
      <c r="Y96" s="88"/>
      <c r="Z96" s="88">
        <f t="shared" si="19"/>
        <v>1250</v>
      </c>
      <c r="AA96" s="88">
        <v>12.5</v>
      </c>
      <c r="AB96" s="88"/>
      <c r="AC96" s="88"/>
      <c r="AD96" s="88"/>
      <c r="AE96" s="88"/>
      <c r="AF96" s="88"/>
      <c r="AG96" s="304">
        <f t="shared" si="18"/>
        <v>1237.5</v>
      </c>
      <c r="AH96" s="301">
        <v>43978</v>
      </c>
      <c r="AI96" s="119" t="s">
        <v>48</v>
      </c>
      <c r="AJ96" s="132" t="s">
        <v>119</v>
      </c>
    </row>
    <row r="97" spans="1:36" s="162" customFormat="1" x14ac:dyDescent="0.2">
      <c r="A97" s="350"/>
      <c r="B97" s="350"/>
      <c r="C97" s="77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R97" s="305" t="s">
        <v>8</v>
      </c>
      <c r="S97" s="165" t="s">
        <v>96</v>
      </c>
      <c r="T97" s="163">
        <v>13502</v>
      </c>
      <c r="U97" s="163"/>
      <c r="V97" s="163"/>
      <c r="W97" s="163"/>
      <c r="X97" s="163"/>
      <c r="Y97" s="163">
        <v>5624</v>
      </c>
      <c r="Z97" s="88">
        <f t="shared" si="19"/>
        <v>19126</v>
      </c>
      <c r="AA97" s="163"/>
      <c r="AB97" s="163">
        <v>2355</v>
      </c>
      <c r="AC97" s="163">
        <v>-853</v>
      </c>
      <c r="AD97" s="163"/>
      <c r="AE97" s="163"/>
      <c r="AF97" s="163"/>
      <c r="AG97" s="304">
        <f t="shared" si="18"/>
        <v>12000</v>
      </c>
      <c r="AH97" s="170"/>
      <c r="AI97" s="170"/>
      <c r="AJ97" s="161"/>
    </row>
    <row r="98" spans="1:36" s="162" customFormat="1" x14ac:dyDescent="0.2">
      <c r="A98" s="350"/>
      <c r="B98" s="350"/>
      <c r="C98" s="77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R98" s="305" t="s">
        <v>27</v>
      </c>
      <c r="S98" s="165" t="s">
        <v>97</v>
      </c>
      <c r="T98" s="163">
        <v>13717</v>
      </c>
      <c r="U98" s="163"/>
      <c r="V98" s="163"/>
      <c r="W98" s="163"/>
      <c r="X98" s="163"/>
      <c r="Y98" s="163">
        <v>5409</v>
      </c>
      <c r="Z98" s="88">
        <f t="shared" si="19"/>
        <v>19126</v>
      </c>
      <c r="AA98" s="163"/>
      <c r="AB98" s="163">
        <v>2355</v>
      </c>
      <c r="AC98" s="163">
        <v>-638</v>
      </c>
      <c r="AD98" s="163"/>
      <c r="AE98" s="163"/>
      <c r="AF98" s="163"/>
      <c r="AG98" s="304">
        <f t="shared" si="18"/>
        <v>12000</v>
      </c>
      <c r="AH98" s="170"/>
      <c r="AI98" s="170"/>
      <c r="AJ98" s="161"/>
    </row>
    <row r="99" spans="1:36" s="162" customFormat="1" ht="13.5" thickBot="1" x14ac:dyDescent="0.25">
      <c r="A99" s="350"/>
      <c r="B99" s="350"/>
      <c r="C99" s="77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R99" s="344" t="s">
        <v>6</v>
      </c>
      <c r="S99" s="302" t="s">
        <v>98</v>
      </c>
      <c r="T99" s="164">
        <v>12643.72</v>
      </c>
      <c r="U99" s="164"/>
      <c r="V99" s="164"/>
      <c r="W99" s="164"/>
      <c r="X99" s="164"/>
      <c r="Y99" s="164">
        <v>2812</v>
      </c>
      <c r="Z99" s="244">
        <f t="shared" si="19"/>
        <v>15455.72</v>
      </c>
      <c r="AA99" s="164">
        <v>148.72</v>
      </c>
      <c r="AB99" s="164">
        <v>1536</v>
      </c>
      <c r="AC99" s="164">
        <v>-853</v>
      </c>
      <c r="AD99" s="164">
        <v>2812</v>
      </c>
      <c r="AE99" s="164"/>
      <c r="AF99" s="164"/>
      <c r="AG99" s="346">
        <f t="shared" si="18"/>
        <v>9000</v>
      </c>
      <c r="AH99" s="170"/>
      <c r="AI99" s="170"/>
      <c r="AJ99" s="161"/>
    </row>
    <row r="100" spans="1:36" x14ac:dyDescent="0.2">
      <c r="R100" s="310" t="s">
        <v>25</v>
      </c>
      <c r="S100" s="311" t="s">
        <v>63</v>
      </c>
      <c r="T100" s="312">
        <v>3966.4</v>
      </c>
      <c r="U100" s="312"/>
      <c r="V100" s="312"/>
      <c r="W100" s="312">
        <v>0</v>
      </c>
      <c r="X100" s="312">
        <v>490</v>
      </c>
      <c r="Y100" s="312">
        <v>624</v>
      </c>
      <c r="Z100" s="312">
        <f t="shared" si="19"/>
        <v>4590.3999999999996</v>
      </c>
      <c r="AA100" s="312">
        <v>37.18</v>
      </c>
      <c r="AB100" s="312">
        <v>588</v>
      </c>
      <c r="AC100" s="312">
        <v>-159.5</v>
      </c>
      <c r="AD100" s="312">
        <v>624</v>
      </c>
      <c r="AE100" s="312">
        <v>200.01</v>
      </c>
      <c r="AF100" s="312">
        <v>1125</v>
      </c>
      <c r="AG100" s="313">
        <f t="shared" si="18"/>
        <v>2041.7099999999991</v>
      </c>
      <c r="AH100" s="301">
        <v>43985</v>
      </c>
      <c r="AI100" s="120" t="s">
        <v>49</v>
      </c>
      <c r="AJ100" s="132" t="s">
        <v>136</v>
      </c>
    </row>
    <row r="101" spans="1:36" x14ac:dyDescent="0.2">
      <c r="R101" s="314" t="s">
        <v>26</v>
      </c>
      <c r="S101" s="315" t="s">
        <v>70</v>
      </c>
      <c r="T101" s="316">
        <v>1023.5</v>
      </c>
      <c r="U101" s="316"/>
      <c r="V101" s="316"/>
      <c r="W101" s="316"/>
      <c r="X101" s="316">
        <v>50</v>
      </c>
      <c r="Y101" s="316"/>
      <c r="Z101" s="316">
        <f t="shared" si="19"/>
        <v>1023.5</v>
      </c>
      <c r="AA101" s="316">
        <v>10.234999999999999</v>
      </c>
      <c r="AB101" s="316"/>
      <c r="AC101" s="316"/>
      <c r="AD101" s="316"/>
      <c r="AE101" s="316">
        <v>58.14</v>
      </c>
      <c r="AF101" s="316"/>
      <c r="AG101" s="317">
        <f t="shared" si="18"/>
        <v>1005.1250000000001</v>
      </c>
      <c r="AH101" s="301">
        <v>43985</v>
      </c>
      <c r="AI101" s="120" t="s">
        <v>49</v>
      </c>
      <c r="AJ101" s="132" t="s">
        <v>136</v>
      </c>
    </row>
    <row r="102" spans="1:36" x14ac:dyDescent="0.2">
      <c r="R102" s="314" t="s">
        <v>3</v>
      </c>
      <c r="S102" s="315" t="s">
        <v>71</v>
      </c>
      <c r="T102" s="316">
        <v>1343.5</v>
      </c>
      <c r="U102" s="316"/>
      <c r="V102" s="316"/>
      <c r="W102" s="316"/>
      <c r="X102" s="316">
        <v>50</v>
      </c>
      <c r="Y102" s="316"/>
      <c r="Z102" s="316">
        <f>T102+W102+Y102+X102</f>
        <v>1393.5</v>
      </c>
      <c r="AA102" s="316">
        <v>13.44</v>
      </c>
      <c r="AB102" s="316"/>
      <c r="AC102" s="316"/>
      <c r="AD102" s="316"/>
      <c r="AE102" s="316">
        <v>76.295000000000002</v>
      </c>
      <c r="AF102" s="316"/>
      <c r="AG102" s="317">
        <f t="shared" si="18"/>
        <v>1303.7649999999999</v>
      </c>
      <c r="AH102" s="301">
        <v>43985</v>
      </c>
      <c r="AI102" s="120" t="s">
        <v>49</v>
      </c>
      <c r="AJ102" s="132" t="s">
        <v>136</v>
      </c>
    </row>
    <row r="103" spans="1:36" x14ac:dyDescent="0.2">
      <c r="R103" s="314" t="s">
        <v>31</v>
      </c>
      <c r="S103" s="315" t="s">
        <v>72</v>
      </c>
      <c r="T103" s="316">
        <v>1300</v>
      </c>
      <c r="U103" s="316"/>
      <c r="V103" s="316"/>
      <c r="W103" s="316"/>
      <c r="X103" s="316">
        <v>50</v>
      </c>
      <c r="Y103" s="316"/>
      <c r="Z103" s="316">
        <f>T103+W103+Y103+X103</f>
        <v>1350</v>
      </c>
      <c r="AA103" s="316">
        <v>13</v>
      </c>
      <c r="AB103" s="316"/>
      <c r="AC103" s="316"/>
      <c r="AD103" s="316"/>
      <c r="AE103" s="316">
        <v>67.78</v>
      </c>
      <c r="AF103" s="316"/>
      <c r="AG103" s="317">
        <f t="shared" si="18"/>
        <v>1269.22</v>
      </c>
      <c r="AH103" s="301">
        <v>43985</v>
      </c>
      <c r="AI103" s="120" t="s">
        <v>49</v>
      </c>
      <c r="AJ103" s="132" t="s">
        <v>136</v>
      </c>
    </row>
    <row r="104" spans="1:36" x14ac:dyDescent="0.2">
      <c r="R104" s="314" t="s">
        <v>69</v>
      </c>
      <c r="S104" s="315" t="s">
        <v>73</v>
      </c>
      <c r="T104" s="316">
        <v>1000</v>
      </c>
      <c r="U104" s="316"/>
      <c r="V104" s="316"/>
      <c r="W104" s="316"/>
      <c r="X104" s="316"/>
      <c r="Y104" s="316"/>
      <c r="Z104" s="316">
        <f>T104+W104+Y104</f>
        <v>1000</v>
      </c>
      <c r="AA104" s="316">
        <v>10</v>
      </c>
      <c r="AB104" s="316"/>
      <c r="AC104" s="316"/>
      <c r="AD104" s="316"/>
      <c r="AE104" s="316"/>
      <c r="AF104" s="316"/>
      <c r="AG104" s="317">
        <f t="shared" si="18"/>
        <v>990</v>
      </c>
      <c r="AH104" s="301">
        <v>43985</v>
      </c>
      <c r="AI104" s="120" t="s">
        <v>49</v>
      </c>
      <c r="AJ104" s="132" t="s">
        <v>136</v>
      </c>
    </row>
    <row r="105" spans="1:36" x14ac:dyDescent="0.2">
      <c r="R105" s="314" t="s">
        <v>79</v>
      </c>
      <c r="S105" s="315" t="s">
        <v>91</v>
      </c>
      <c r="T105" s="316">
        <v>1250</v>
      </c>
      <c r="U105" s="316"/>
      <c r="V105" s="316"/>
      <c r="W105" s="316"/>
      <c r="X105" s="316"/>
      <c r="Y105" s="316"/>
      <c r="Z105" s="316">
        <f>T105+W105+Y105</f>
        <v>1250</v>
      </c>
      <c r="AA105" s="316">
        <v>12.5</v>
      </c>
      <c r="AB105" s="316"/>
      <c r="AC105" s="316"/>
      <c r="AD105" s="316"/>
      <c r="AE105" s="316"/>
      <c r="AF105" s="316"/>
      <c r="AG105" s="317">
        <f t="shared" si="18"/>
        <v>1237.5</v>
      </c>
      <c r="AH105" s="301">
        <v>43985</v>
      </c>
      <c r="AI105" s="120" t="s">
        <v>49</v>
      </c>
      <c r="AJ105" s="132" t="s">
        <v>136</v>
      </c>
    </row>
    <row r="106" spans="1:36" x14ac:dyDescent="0.2">
      <c r="R106" s="314" t="s">
        <v>25</v>
      </c>
      <c r="S106" s="315" t="s">
        <v>63</v>
      </c>
      <c r="T106" s="316">
        <v>3966.4</v>
      </c>
      <c r="U106" s="316"/>
      <c r="V106" s="316"/>
      <c r="W106" s="316">
        <v>0</v>
      </c>
      <c r="X106" s="316">
        <v>490</v>
      </c>
      <c r="Y106" s="316">
        <v>624</v>
      </c>
      <c r="Z106" s="316">
        <f>T106+W106+Y106</f>
        <v>4590.3999999999996</v>
      </c>
      <c r="AA106" s="316">
        <v>37.18</v>
      </c>
      <c r="AB106" s="316">
        <v>588</v>
      </c>
      <c r="AC106" s="316">
        <v>-159.5</v>
      </c>
      <c r="AD106" s="316">
        <v>624</v>
      </c>
      <c r="AE106" s="316">
        <v>200.01</v>
      </c>
      <c r="AF106" s="316">
        <v>1125</v>
      </c>
      <c r="AG106" s="317">
        <f t="shared" si="18"/>
        <v>2041.7099999999991</v>
      </c>
      <c r="AH106" s="301">
        <v>43992</v>
      </c>
      <c r="AI106" s="121" t="s">
        <v>50</v>
      </c>
      <c r="AJ106" s="132" t="s">
        <v>136</v>
      </c>
    </row>
    <row r="107" spans="1:36" x14ac:dyDescent="0.2">
      <c r="R107" s="314" t="s">
        <v>26</v>
      </c>
      <c r="S107" s="315" t="s">
        <v>70</v>
      </c>
      <c r="T107" s="316">
        <v>1023.5</v>
      </c>
      <c r="U107" s="316"/>
      <c r="V107" s="316"/>
      <c r="W107" s="316"/>
      <c r="X107" s="316">
        <v>50</v>
      </c>
      <c r="Y107" s="316"/>
      <c r="Z107" s="316">
        <f>T107+W107+Y107</f>
        <v>1023.5</v>
      </c>
      <c r="AA107" s="316">
        <v>10.234999999999999</v>
      </c>
      <c r="AB107" s="316"/>
      <c r="AC107" s="316"/>
      <c r="AD107" s="316"/>
      <c r="AE107" s="316">
        <v>58.14</v>
      </c>
      <c r="AF107" s="316"/>
      <c r="AG107" s="317">
        <f t="shared" si="18"/>
        <v>1005.1250000000001</v>
      </c>
      <c r="AH107" s="301">
        <v>43992</v>
      </c>
      <c r="AI107" s="121" t="s">
        <v>50</v>
      </c>
      <c r="AJ107" s="132" t="s">
        <v>136</v>
      </c>
    </row>
    <row r="108" spans="1:36" x14ac:dyDescent="0.2">
      <c r="R108" s="314" t="s">
        <v>3</v>
      </c>
      <c r="S108" s="315" t="s">
        <v>71</v>
      </c>
      <c r="T108" s="316">
        <v>1343.5</v>
      </c>
      <c r="U108" s="316"/>
      <c r="V108" s="316"/>
      <c r="W108" s="316"/>
      <c r="X108" s="316">
        <v>50</v>
      </c>
      <c r="Y108" s="316"/>
      <c r="Z108" s="316">
        <f>T108+W108+Y108+X108</f>
        <v>1393.5</v>
      </c>
      <c r="AA108" s="316">
        <v>13.44</v>
      </c>
      <c r="AB108" s="316"/>
      <c r="AC108" s="316"/>
      <c r="AD108" s="316"/>
      <c r="AE108" s="316">
        <v>76.295000000000002</v>
      </c>
      <c r="AF108" s="316"/>
      <c r="AG108" s="317">
        <f t="shared" si="18"/>
        <v>1303.7649999999999</v>
      </c>
      <c r="AH108" s="301">
        <v>43992</v>
      </c>
      <c r="AI108" s="121" t="s">
        <v>50</v>
      </c>
      <c r="AJ108" s="132" t="s">
        <v>136</v>
      </c>
    </row>
    <row r="109" spans="1:36" x14ac:dyDescent="0.2">
      <c r="R109" s="314" t="s">
        <v>31</v>
      </c>
      <c r="S109" s="315" t="s">
        <v>72</v>
      </c>
      <c r="T109" s="316">
        <v>1300</v>
      </c>
      <c r="U109" s="316"/>
      <c r="V109" s="316"/>
      <c r="W109" s="316"/>
      <c r="X109" s="316">
        <v>50</v>
      </c>
      <c r="Y109" s="316"/>
      <c r="Z109" s="316">
        <f>T109+W109+Y109+X109</f>
        <v>1350</v>
      </c>
      <c r="AA109" s="316">
        <v>13</v>
      </c>
      <c r="AB109" s="316"/>
      <c r="AC109" s="316"/>
      <c r="AD109" s="316"/>
      <c r="AE109" s="316">
        <v>67.78</v>
      </c>
      <c r="AF109" s="316"/>
      <c r="AG109" s="317">
        <f t="shared" si="18"/>
        <v>1269.22</v>
      </c>
      <c r="AH109" s="301">
        <v>43992</v>
      </c>
      <c r="AI109" s="121" t="s">
        <v>50</v>
      </c>
      <c r="AJ109" s="132" t="s">
        <v>136</v>
      </c>
    </row>
    <row r="110" spans="1:36" x14ac:dyDescent="0.2">
      <c r="R110" s="314" t="s">
        <v>69</v>
      </c>
      <c r="S110" s="315" t="s">
        <v>73</v>
      </c>
      <c r="T110" s="316">
        <v>1000</v>
      </c>
      <c r="U110" s="316"/>
      <c r="V110" s="316"/>
      <c r="W110" s="316"/>
      <c r="X110" s="316"/>
      <c r="Y110" s="316"/>
      <c r="Z110" s="316">
        <f>T110+W110+Y110</f>
        <v>1000</v>
      </c>
      <c r="AA110" s="316">
        <v>10</v>
      </c>
      <c r="AB110" s="316"/>
      <c r="AC110" s="316"/>
      <c r="AD110" s="316"/>
      <c r="AE110" s="316"/>
      <c r="AF110" s="316"/>
      <c r="AG110" s="317">
        <f t="shared" si="18"/>
        <v>990</v>
      </c>
      <c r="AH110" s="301">
        <v>43992</v>
      </c>
      <c r="AI110" s="121" t="s">
        <v>50</v>
      </c>
      <c r="AJ110" s="132" t="s">
        <v>136</v>
      </c>
    </row>
    <row r="111" spans="1:36" x14ac:dyDescent="0.2">
      <c r="R111" s="314" t="s">
        <v>79</v>
      </c>
      <c r="S111" s="315" t="s">
        <v>91</v>
      </c>
      <c r="T111" s="316">
        <v>1250</v>
      </c>
      <c r="U111" s="316"/>
      <c r="V111" s="316"/>
      <c r="W111" s="316"/>
      <c r="X111" s="316"/>
      <c r="Y111" s="316"/>
      <c r="Z111" s="316">
        <f>T111+W111+Y111</f>
        <v>1250</v>
      </c>
      <c r="AA111" s="316">
        <v>12.5</v>
      </c>
      <c r="AB111" s="316"/>
      <c r="AC111" s="316"/>
      <c r="AD111" s="316"/>
      <c r="AE111" s="316"/>
      <c r="AF111" s="316"/>
      <c r="AG111" s="317">
        <f t="shared" si="18"/>
        <v>1237.5</v>
      </c>
      <c r="AH111" s="301">
        <v>43992</v>
      </c>
      <c r="AI111" s="121" t="s">
        <v>50</v>
      </c>
      <c r="AJ111" s="132" t="s">
        <v>136</v>
      </c>
    </row>
    <row r="112" spans="1:36" x14ac:dyDescent="0.2">
      <c r="R112" s="314" t="s">
        <v>25</v>
      </c>
      <c r="S112" s="315" t="s">
        <v>63</v>
      </c>
      <c r="T112" s="316">
        <v>3966.4</v>
      </c>
      <c r="U112" s="316"/>
      <c r="V112" s="316"/>
      <c r="W112" s="316">
        <v>0</v>
      </c>
      <c r="X112" s="316">
        <v>490</v>
      </c>
      <c r="Y112" s="316">
        <v>624</v>
      </c>
      <c r="Z112" s="316">
        <f>T112+W112+Y112</f>
        <v>4590.3999999999996</v>
      </c>
      <c r="AA112" s="316">
        <v>37.18</v>
      </c>
      <c r="AB112" s="316">
        <v>588</v>
      </c>
      <c r="AC112" s="316">
        <v>-159.5</v>
      </c>
      <c r="AD112" s="316">
        <v>624</v>
      </c>
      <c r="AE112" s="316">
        <v>200.01</v>
      </c>
      <c r="AF112" s="316">
        <v>1125</v>
      </c>
      <c r="AG112" s="317">
        <f t="shared" si="18"/>
        <v>2041.7099999999991</v>
      </c>
      <c r="AH112" s="301">
        <v>43999</v>
      </c>
      <c r="AI112" s="123" t="s">
        <v>51</v>
      </c>
      <c r="AJ112" s="132" t="s">
        <v>136</v>
      </c>
    </row>
    <row r="113" spans="1:36" x14ac:dyDescent="0.2">
      <c r="R113" s="314" t="s">
        <v>26</v>
      </c>
      <c r="S113" s="315" t="s">
        <v>70</v>
      </c>
      <c r="T113" s="316">
        <v>1023.5</v>
      </c>
      <c r="U113" s="316"/>
      <c r="V113" s="316"/>
      <c r="W113" s="316"/>
      <c r="X113" s="316">
        <v>50</v>
      </c>
      <c r="Y113" s="316"/>
      <c r="Z113" s="316">
        <f>T113+W113+Y113</f>
        <v>1023.5</v>
      </c>
      <c r="AA113" s="316">
        <v>10.234999999999999</v>
      </c>
      <c r="AB113" s="316"/>
      <c r="AC113" s="316"/>
      <c r="AD113" s="316"/>
      <c r="AE113" s="316">
        <v>58.14</v>
      </c>
      <c r="AF113" s="316"/>
      <c r="AG113" s="317">
        <f t="shared" si="18"/>
        <v>1005.1250000000001</v>
      </c>
      <c r="AH113" s="301">
        <v>43999</v>
      </c>
      <c r="AI113" s="123" t="s">
        <v>51</v>
      </c>
      <c r="AJ113" s="132" t="s">
        <v>136</v>
      </c>
    </row>
    <row r="114" spans="1:36" x14ac:dyDescent="0.2">
      <c r="R114" s="314" t="s">
        <v>3</v>
      </c>
      <c r="S114" s="315" t="s">
        <v>71</v>
      </c>
      <c r="T114" s="316">
        <v>1343.5</v>
      </c>
      <c r="U114" s="316"/>
      <c r="V114" s="316"/>
      <c r="W114" s="316"/>
      <c r="X114" s="316">
        <v>50</v>
      </c>
      <c r="Y114" s="316"/>
      <c r="Z114" s="316">
        <f>T114+W114+Y114+X114</f>
        <v>1393.5</v>
      </c>
      <c r="AA114" s="316">
        <v>13.44</v>
      </c>
      <c r="AB114" s="316"/>
      <c r="AC114" s="316"/>
      <c r="AD114" s="316"/>
      <c r="AE114" s="316">
        <v>76.295000000000002</v>
      </c>
      <c r="AF114" s="316"/>
      <c r="AG114" s="317">
        <f t="shared" si="18"/>
        <v>1303.7649999999999</v>
      </c>
      <c r="AH114" s="301">
        <v>43999</v>
      </c>
      <c r="AI114" s="123" t="s">
        <v>51</v>
      </c>
      <c r="AJ114" s="132" t="s">
        <v>136</v>
      </c>
    </row>
    <row r="115" spans="1:36" x14ac:dyDescent="0.2">
      <c r="R115" s="314" t="s">
        <v>31</v>
      </c>
      <c r="S115" s="315" t="s">
        <v>72</v>
      </c>
      <c r="T115" s="316">
        <v>1300</v>
      </c>
      <c r="U115" s="316"/>
      <c r="V115" s="316"/>
      <c r="W115" s="316"/>
      <c r="X115" s="316">
        <v>50</v>
      </c>
      <c r="Y115" s="316"/>
      <c r="Z115" s="316">
        <f>T115+W115+Y115+X115</f>
        <v>1350</v>
      </c>
      <c r="AA115" s="316">
        <v>13</v>
      </c>
      <c r="AB115" s="316"/>
      <c r="AC115" s="316"/>
      <c r="AD115" s="316"/>
      <c r="AE115" s="316">
        <v>67.78</v>
      </c>
      <c r="AF115" s="316"/>
      <c r="AG115" s="317">
        <f t="shared" si="18"/>
        <v>1269.22</v>
      </c>
      <c r="AH115" s="301">
        <v>43999</v>
      </c>
      <c r="AI115" s="123" t="s">
        <v>51</v>
      </c>
      <c r="AJ115" s="132" t="s">
        <v>136</v>
      </c>
    </row>
    <row r="116" spans="1:36" x14ac:dyDescent="0.2">
      <c r="R116" s="314" t="s">
        <v>69</v>
      </c>
      <c r="S116" s="315" t="s">
        <v>73</v>
      </c>
      <c r="T116" s="316">
        <v>1000</v>
      </c>
      <c r="U116" s="316"/>
      <c r="V116" s="316"/>
      <c r="W116" s="316"/>
      <c r="X116" s="316"/>
      <c r="Y116" s="316"/>
      <c r="Z116" s="316">
        <f>T116+W116+Y116</f>
        <v>1000</v>
      </c>
      <c r="AA116" s="316">
        <v>10</v>
      </c>
      <c r="AB116" s="316"/>
      <c r="AC116" s="316"/>
      <c r="AD116" s="316"/>
      <c r="AE116" s="316"/>
      <c r="AF116" s="316"/>
      <c r="AG116" s="317">
        <f t="shared" si="18"/>
        <v>990</v>
      </c>
      <c r="AH116" s="301">
        <v>43999</v>
      </c>
      <c r="AI116" s="123" t="s">
        <v>51</v>
      </c>
      <c r="AJ116" s="132" t="s">
        <v>136</v>
      </c>
    </row>
    <row r="117" spans="1:36" x14ac:dyDescent="0.2">
      <c r="R117" s="314" t="s">
        <v>79</v>
      </c>
      <c r="S117" s="315" t="s">
        <v>91</v>
      </c>
      <c r="T117" s="316">
        <v>1250</v>
      </c>
      <c r="U117" s="316"/>
      <c r="V117" s="316"/>
      <c r="W117" s="316"/>
      <c r="X117" s="316"/>
      <c r="Y117" s="316"/>
      <c r="Z117" s="316">
        <f>T117+W117+Y117</f>
        <v>1250</v>
      </c>
      <c r="AA117" s="316">
        <v>12.5</v>
      </c>
      <c r="AB117" s="316"/>
      <c r="AC117" s="316"/>
      <c r="AD117" s="316"/>
      <c r="AE117" s="316"/>
      <c r="AF117" s="316"/>
      <c r="AG117" s="317">
        <f t="shared" si="18"/>
        <v>1237.5</v>
      </c>
      <c r="AH117" s="301">
        <v>43999</v>
      </c>
      <c r="AI117" s="123" t="s">
        <v>51</v>
      </c>
      <c r="AJ117" s="132" t="s">
        <v>136</v>
      </c>
    </row>
    <row r="118" spans="1:36" x14ac:dyDescent="0.2">
      <c r="R118" s="314" t="s">
        <v>25</v>
      </c>
      <c r="S118" s="315" t="s">
        <v>63</v>
      </c>
      <c r="T118" s="316">
        <v>3966.4</v>
      </c>
      <c r="U118" s="316"/>
      <c r="V118" s="316"/>
      <c r="W118" s="316">
        <v>0</v>
      </c>
      <c r="X118" s="316">
        <v>490</v>
      </c>
      <c r="Y118" s="316">
        <v>624</v>
      </c>
      <c r="Z118" s="316">
        <f>T118+W118+Y118</f>
        <v>4590.3999999999996</v>
      </c>
      <c r="AA118" s="316">
        <v>37.18</v>
      </c>
      <c r="AB118" s="316">
        <v>588</v>
      </c>
      <c r="AC118" s="316">
        <v>-159.5</v>
      </c>
      <c r="AD118" s="316">
        <v>624</v>
      </c>
      <c r="AE118" s="316">
        <v>200.01</v>
      </c>
      <c r="AF118" s="316">
        <v>1125</v>
      </c>
      <c r="AG118" s="317">
        <f t="shared" si="18"/>
        <v>2041.7099999999991</v>
      </c>
      <c r="AH118" s="301">
        <v>44006</v>
      </c>
      <c r="AI118" s="125" t="s">
        <v>52</v>
      </c>
      <c r="AJ118" s="132" t="s">
        <v>136</v>
      </c>
    </row>
    <row r="119" spans="1:36" x14ac:dyDescent="0.2">
      <c r="A119" s="367"/>
      <c r="B119" s="367"/>
      <c r="C119" s="162"/>
      <c r="D119" s="365"/>
      <c r="E119" s="365"/>
      <c r="F119" s="365"/>
      <c r="G119" s="365"/>
      <c r="H119" s="365"/>
      <c r="I119" s="365"/>
      <c r="J119" s="365"/>
      <c r="K119" s="365"/>
      <c r="L119" s="365"/>
      <c r="M119" s="365"/>
      <c r="N119" s="365"/>
      <c r="O119" s="365"/>
      <c r="P119" s="365"/>
      <c r="R119" s="314" t="s">
        <v>26</v>
      </c>
      <c r="S119" s="315" t="s">
        <v>70</v>
      </c>
      <c r="T119" s="316">
        <v>1023.5</v>
      </c>
      <c r="U119" s="316"/>
      <c r="V119" s="316"/>
      <c r="W119" s="316"/>
      <c r="X119" s="316">
        <v>50</v>
      </c>
      <c r="Y119" s="316"/>
      <c r="Z119" s="316">
        <f>T119+W119+Y119</f>
        <v>1023.5</v>
      </c>
      <c r="AA119" s="316">
        <v>10.234999999999999</v>
      </c>
      <c r="AB119" s="316"/>
      <c r="AC119" s="316"/>
      <c r="AD119" s="316"/>
      <c r="AE119" s="316">
        <v>58.14</v>
      </c>
      <c r="AF119" s="316"/>
      <c r="AG119" s="317">
        <f t="shared" si="18"/>
        <v>1005.1250000000001</v>
      </c>
      <c r="AH119" s="301">
        <v>44006</v>
      </c>
      <c r="AI119" s="125" t="s">
        <v>52</v>
      </c>
      <c r="AJ119" s="132" t="s">
        <v>136</v>
      </c>
    </row>
    <row r="120" spans="1:36" x14ac:dyDescent="0.2">
      <c r="A120" s="367"/>
      <c r="B120" s="367"/>
      <c r="C120" s="162"/>
      <c r="D120" s="365"/>
      <c r="E120" s="365"/>
      <c r="F120" s="365"/>
      <c r="G120" s="365"/>
      <c r="H120" s="365"/>
      <c r="I120" s="365"/>
      <c r="J120" s="365"/>
      <c r="K120" s="365"/>
      <c r="L120" s="365"/>
      <c r="M120" s="365"/>
      <c r="N120" s="365"/>
      <c r="O120" s="365"/>
      <c r="P120" s="365"/>
      <c r="R120" s="314" t="s">
        <v>3</v>
      </c>
      <c r="S120" s="315" t="s">
        <v>71</v>
      </c>
      <c r="T120" s="316">
        <v>1343.5</v>
      </c>
      <c r="U120" s="316"/>
      <c r="V120" s="316"/>
      <c r="W120" s="316"/>
      <c r="X120" s="316">
        <v>50</v>
      </c>
      <c r="Y120" s="316"/>
      <c r="Z120" s="316">
        <f>T120+W120+Y120+X120</f>
        <v>1393.5</v>
      </c>
      <c r="AA120" s="316">
        <v>13.44</v>
      </c>
      <c r="AB120" s="316"/>
      <c r="AC120" s="316"/>
      <c r="AD120" s="316"/>
      <c r="AE120" s="316">
        <v>76.295000000000002</v>
      </c>
      <c r="AF120" s="316"/>
      <c r="AG120" s="317">
        <f t="shared" si="18"/>
        <v>1303.7649999999999</v>
      </c>
      <c r="AH120" s="301">
        <v>44006</v>
      </c>
      <c r="AI120" s="125" t="s">
        <v>52</v>
      </c>
      <c r="AJ120" s="132" t="s">
        <v>136</v>
      </c>
    </row>
    <row r="121" spans="1:36" x14ac:dyDescent="0.2">
      <c r="A121" s="367"/>
      <c r="B121" s="367"/>
      <c r="C121" s="162"/>
      <c r="D121" s="365"/>
      <c r="E121" s="365"/>
      <c r="F121" s="365"/>
      <c r="G121" s="365"/>
      <c r="H121" s="365"/>
      <c r="I121" s="365"/>
      <c r="J121" s="365"/>
      <c r="K121" s="365"/>
      <c r="L121" s="365"/>
      <c r="M121" s="365"/>
      <c r="N121" s="365"/>
      <c r="O121" s="365"/>
      <c r="P121" s="365"/>
      <c r="R121" s="314" t="s">
        <v>31</v>
      </c>
      <c r="S121" s="315" t="s">
        <v>72</v>
      </c>
      <c r="T121" s="316">
        <v>1300</v>
      </c>
      <c r="U121" s="316"/>
      <c r="V121" s="316"/>
      <c r="W121" s="316"/>
      <c r="X121" s="316">
        <v>50</v>
      </c>
      <c r="Y121" s="316"/>
      <c r="Z121" s="316">
        <f>T121+W121+Y121+X121</f>
        <v>1350</v>
      </c>
      <c r="AA121" s="316">
        <v>13</v>
      </c>
      <c r="AB121" s="316"/>
      <c r="AC121" s="316"/>
      <c r="AD121" s="316"/>
      <c r="AE121" s="316">
        <v>67.78</v>
      </c>
      <c r="AF121" s="316"/>
      <c r="AG121" s="317">
        <f t="shared" si="18"/>
        <v>1269.22</v>
      </c>
      <c r="AH121" s="301">
        <v>44006</v>
      </c>
      <c r="AI121" s="125" t="s">
        <v>52</v>
      </c>
      <c r="AJ121" s="132" t="s">
        <v>136</v>
      </c>
    </row>
    <row r="122" spans="1:36" x14ac:dyDescent="0.2">
      <c r="R122" s="314" t="s">
        <v>69</v>
      </c>
      <c r="S122" s="315" t="s">
        <v>73</v>
      </c>
      <c r="T122" s="316">
        <v>1000</v>
      </c>
      <c r="U122" s="316"/>
      <c r="V122" s="316"/>
      <c r="W122" s="316"/>
      <c r="X122" s="316"/>
      <c r="Y122" s="316"/>
      <c r="Z122" s="316">
        <f t="shared" ref="Z122:Z128" si="20">T122+W122+Y122</f>
        <v>1000</v>
      </c>
      <c r="AA122" s="316">
        <v>10</v>
      </c>
      <c r="AB122" s="316"/>
      <c r="AC122" s="316"/>
      <c r="AD122" s="316"/>
      <c r="AE122" s="316"/>
      <c r="AF122" s="316"/>
      <c r="AG122" s="317">
        <f t="shared" si="18"/>
        <v>990</v>
      </c>
      <c r="AH122" s="301">
        <v>44006</v>
      </c>
      <c r="AI122" s="125" t="s">
        <v>52</v>
      </c>
      <c r="AJ122" s="132" t="s">
        <v>136</v>
      </c>
    </row>
    <row r="123" spans="1:36" x14ac:dyDescent="0.2">
      <c r="R123" s="314" t="s">
        <v>79</v>
      </c>
      <c r="S123" s="315" t="s">
        <v>91</v>
      </c>
      <c r="T123" s="316">
        <v>1250</v>
      </c>
      <c r="U123" s="316"/>
      <c r="V123" s="316"/>
      <c r="W123" s="316"/>
      <c r="X123" s="316"/>
      <c r="Y123" s="316"/>
      <c r="Z123" s="316">
        <f t="shared" si="20"/>
        <v>1250</v>
      </c>
      <c r="AA123" s="316">
        <v>12.5</v>
      </c>
      <c r="AB123" s="316"/>
      <c r="AC123" s="316"/>
      <c r="AD123" s="316"/>
      <c r="AE123" s="316"/>
      <c r="AF123" s="316"/>
      <c r="AG123" s="317">
        <f t="shared" si="18"/>
        <v>1237.5</v>
      </c>
      <c r="AH123" s="301">
        <v>44006</v>
      </c>
      <c r="AI123" s="125" t="s">
        <v>52</v>
      </c>
      <c r="AJ123" s="132" t="s">
        <v>136</v>
      </c>
    </row>
    <row r="124" spans="1:36" s="162" customFormat="1" x14ac:dyDescent="0.2">
      <c r="A124" s="350"/>
      <c r="B124" s="350"/>
      <c r="C124" s="77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R124" s="314" t="s">
        <v>8</v>
      </c>
      <c r="S124" s="318" t="s">
        <v>96</v>
      </c>
      <c r="T124" s="316">
        <v>13502</v>
      </c>
      <c r="U124" s="316"/>
      <c r="V124" s="316"/>
      <c r="W124" s="316"/>
      <c r="X124" s="316"/>
      <c r="Y124" s="316">
        <v>5624</v>
      </c>
      <c r="Z124" s="316">
        <f t="shared" si="20"/>
        <v>19126</v>
      </c>
      <c r="AA124" s="316"/>
      <c r="AB124" s="316">
        <v>2355</v>
      </c>
      <c r="AC124" s="316">
        <v>-853</v>
      </c>
      <c r="AD124" s="316"/>
      <c r="AE124" s="316"/>
      <c r="AF124" s="316"/>
      <c r="AG124" s="317">
        <f t="shared" si="18"/>
        <v>12000</v>
      </c>
      <c r="AH124" s="170"/>
      <c r="AI124" s="170"/>
      <c r="AJ124" s="172"/>
    </row>
    <row r="125" spans="1:36" s="162" customFormat="1" x14ac:dyDescent="0.2">
      <c r="A125" s="350"/>
      <c r="B125" s="350"/>
      <c r="C125" s="77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R125" s="314" t="s">
        <v>27</v>
      </c>
      <c r="S125" s="318" t="s">
        <v>97</v>
      </c>
      <c r="T125" s="316">
        <v>13717</v>
      </c>
      <c r="U125" s="316"/>
      <c r="V125" s="316"/>
      <c r="W125" s="316"/>
      <c r="X125" s="316"/>
      <c r="Y125" s="316">
        <v>5409</v>
      </c>
      <c r="Z125" s="316">
        <f t="shared" si="20"/>
        <v>19126</v>
      </c>
      <c r="AA125" s="316"/>
      <c r="AB125" s="316">
        <v>2355</v>
      </c>
      <c r="AC125" s="316">
        <v>-638</v>
      </c>
      <c r="AD125" s="316"/>
      <c r="AE125" s="316"/>
      <c r="AF125" s="316"/>
      <c r="AG125" s="317">
        <f t="shared" si="18"/>
        <v>12000</v>
      </c>
      <c r="AH125" s="170"/>
      <c r="AI125" s="170"/>
      <c r="AJ125" s="172"/>
    </row>
    <row r="126" spans="1:36" s="162" customFormat="1" ht="13.5" thickBot="1" x14ac:dyDescent="0.25">
      <c r="A126" s="350"/>
      <c r="B126" s="350"/>
      <c r="C126" s="77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R126" s="319" t="s">
        <v>6</v>
      </c>
      <c r="S126" s="320" t="s">
        <v>98</v>
      </c>
      <c r="T126" s="321">
        <v>12643.72</v>
      </c>
      <c r="U126" s="321"/>
      <c r="V126" s="321"/>
      <c r="W126" s="321"/>
      <c r="X126" s="321"/>
      <c r="Y126" s="321">
        <v>2812</v>
      </c>
      <c r="Z126" s="321">
        <f t="shared" si="20"/>
        <v>15455.72</v>
      </c>
      <c r="AA126" s="321">
        <v>148.72</v>
      </c>
      <c r="AB126" s="321">
        <v>1536</v>
      </c>
      <c r="AC126" s="321">
        <v>-853</v>
      </c>
      <c r="AD126" s="321">
        <v>2812</v>
      </c>
      <c r="AE126" s="321"/>
      <c r="AF126" s="321"/>
      <c r="AG126" s="322">
        <f t="shared" si="18"/>
        <v>9000</v>
      </c>
      <c r="AH126" s="170"/>
      <c r="AI126" s="170"/>
      <c r="AJ126" s="172"/>
    </row>
    <row r="127" spans="1:36" x14ac:dyDescent="0.2">
      <c r="R127" s="331" t="s">
        <v>25</v>
      </c>
      <c r="S127" s="83" t="s">
        <v>63</v>
      </c>
      <c r="T127" s="87">
        <v>3966.4</v>
      </c>
      <c r="U127" s="87"/>
      <c r="V127" s="87"/>
      <c r="W127" s="87">
        <v>0</v>
      </c>
      <c r="X127" s="87">
        <v>490</v>
      </c>
      <c r="Y127" s="87">
        <v>624</v>
      </c>
      <c r="Z127" s="87">
        <f t="shared" si="20"/>
        <v>4590.3999999999996</v>
      </c>
      <c r="AA127" s="87">
        <v>37.18</v>
      </c>
      <c r="AB127" s="87">
        <v>588</v>
      </c>
      <c r="AC127" s="87">
        <v>-159.5</v>
      </c>
      <c r="AD127" s="87">
        <v>624</v>
      </c>
      <c r="AE127" s="87">
        <v>200.01</v>
      </c>
      <c r="AF127" s="87">
        <v>1125</v>
      </c>
      <c r="AG127" s="330">
        <f t="shared" si="18"/>
        <v>2041.7099999999991</v>
      </c>
      <c r="AH127" s="301">
        <v>44013</v>
      </c>
      <c r="AI127" s="120" t="s">
        <v>53</v>
      </c>
      <c r="AJ127" s="132" t="s">
        <v>142</v>
      </c>
    </row>
    <row r="128" spans="1:36" x14ac:dyDescent="0.2">
      <c r="R128" s="292" t="s">
        <v>26</v>
      </c>
      <c r="S128" s="81" t="s">
        <v>70</v>
      </c>
      <c r="T128" s="88">
        <v>1023.5</v>
      </c>
      <c r="U128" s="88"/>
      <c r="V128" s="88"/>
      <c r="W128" s="88"/>
      <c r="X128" s="88">
        <v>50</v>
      </c>
      <c r="Y128" s="88"/>
      <c r="Z128" s="88">
        <f t="shared" si="20"/>
        <v>1023.5</v>
      </c>
      <c r="AA128" s="88">
        <v>10.234999999999999</v>
      </c>
      <c r="AB128" s="88"/>
      <c r="AC128" s="88"/>
      <c r="AD128" s="88"/>
      <c r="AE128" s="88">
        <v>58.14</v>
      </c>
      <c r="AF128" s="88"/>
      <c r="AG128" s="304">
        <f t="shared" si="18"/>
        <v>1005.1250000000001</v>
      </c>
      <c r="AH128" s="301">
        <v>44013</v>
      </c>
      <c r="AI128" s="120" t="s">
        <v>53</v>
      </c>
      <c r="AJ128" s="132" t="s">
        <v>142</v>
      </c>
    </row>
    <row r="129" spans="18:36" x14ac:dyDescent="0.2">
      <c r="R129" s="292" t="s">
        <v>3</v>
      </c>
      <c r="S129" s="81" t="s">
        <v>71</v>
      </c>
      <c r="T129" s="88">
        <v>1343.5</v>
      </c>
      <c r="U129" s="88"/>
      <c r="V129" s="88"/>
      <c r="W129" s="88"/>
      <c r="X129" s="88">
        <v>50</v>
      </c>
      <c r="Y129" s="88"/>
      <c r="Z129" s="88">
        <f>T129+W129+Y129+X129</f>
        <v>1393.5</v>
      </c>
      <c r="AA129" s="88">
        <v>13.44</v>
      </c>
      <c r="AB129" s="88"/>
      <c r="AC129" s="88"/>
      <c r="AD129" s="88"/>
      <c r="AE129" s="88">
        <v>76.295000000000002</v>
      </c>
      <c r="AF129" s="88"/>
      <c r="AG129" s="304">
        <f t="shared" si="18"/>
        <v>1303.7649999999999</v>
      </c>
      <c r="AH129" s="301">
        <v>44013</v>
      </c>
      <c r="AI129" s="120" t="s">
        <v>53</v>
      </c>
      <c r="AJ129" s="132" t="s">
        <v>142</v>
      </c>
    </row>
    <row r="130" spans="18:36" x14ac:dyDescent="0.2">
      <c r="R130" s="292" t="s">
        <v>31</v>
      </c>
      <c r="S130" s="81" t="s">
        <v>72</v>
      </c>
      <c r="T130" s="88">
        <v>1300</v>
      </c>
      <c r="U130" s="88"/>
      <c r="V130" s="88"/>
      <c r="W130" s="88"/>
      <c r="X130" s="88">
        <v>50</v>
      </c>
      <c r="Y130" s="88"/>
      <c r="Z130" s="88">
        <f>T130+W130+Y130+X130</f>
        <v>1350</v>
      </c>
      <c r="AA130" s="88">
        <v>13</v>
      </c>
      <c r="AB130" s="88"/>
      <c r="AC130" s="88"/>
      <c r="AD130" s="88"/>
      <c r="AE130" s="88">
        <v>67.78</v>
      </c>
      <c r="AF130" s="88"/>
      <c r="AG130" s="304">
        <f t="shared" si="18"/>
        <v>1269.22</v>
      </c>
      <c r="AH130" s="301">
        <v>44013</v>
      </c>
      <c r="AI130" s="120" t="s">
        <v>53</v>
      </c>
      <c r="AJ130" s="132" t="s">
        <v>142</v>
      </c>
    </row>
    <row r="131" spans="18:36" x14ac:dyDescent="0.2">
      <c r="R131" s="292" t="s">
        <v>69</v>
      </c>
      <c r="S131" s="81" t="s">
        <v>73</v>
      </c>
      <c r="T131" s="88">
        <v>1000</v>
      </c>
      <c r="U131" s="88"/>
      <c r="V131" s="88"/>
      <c r="W131" s="88"/>
      <c r="X131" s="88"/>
      <c r="Y131" s="88"/>
      <c r="Z131" s="88">
        <f>T131+W131+Y131</f>
        <v>1000</v>
      </c>
      <c r="AA131" s="88">
        <v>10</v>
      </c>
      <c r="AB131" s="88"/>
      <c r="AC131" s="88"/>
      <c r="AD131" s="88"/>
      <c r="AE131" s="88"/>
      <c r="AF131" s="88"/>
      <c r="AG131" s="304">
        <f t="shared" si="18"/>
        <v>990</v>
      </c>
      <c r="AH131" s="301">
        <v>44013</v>
      </c>
      <c r="AI131" s="120" t="s">
        <v>53</v>
      </c>
      <c r="AJ131" s="132" t="s">
        <v>142</v>
      </c>
    </row>
    <row r="132" spans="18:36" x14ac:dyDescent="0.2">
      <c r="R132" s="292" t="s">
        <v>79</v>
      </c>
      <c r="S132" s="81" t="s">
        <v>91</v>
      </c>
      <c r="T132" s="88">
        <v>1250</v>
      </c>
      <c r="U132" s="88"/>
      <c r="V132" s="88"/>
      <c r="W132" s="88"/>
      <c r="X132" s="88"/>
      <c r="Y132" s="88"/>
      <c r="Z132" s="88">
        <f>T132+W132+Y132</f>
        <v>1250</v>
      </c>
      <c r="AA132" s="88">
        <v>12.5</v>
      </c>
      <c r="AB132" s="88"/>
      <c r="AC132" s="88"/>
      <c r="AD132" s="88"/>
      <c r="AE132" s="88"/>
      <c r="AF132" s="88"/>
      <c r="AG132" s="304">
        <f t="shared" ref="AG132:AG195" si="21">T132+W132+X132-AA132-AB132-AC132-AD132-AE132-AF132</f>
        <v>1237.5</v>
      </c>
      <c r="AH132" s="301">
        <v>44013</v>
      </c>
      <c r="AI132" s="120" t="s">
        <v>53</v>
      </c>
      <c r="AJ132" s="132" t="s">
        <v>142</v>
      </c>
    </row>
    <row r="133" spans="18:36" x14ac:dyDescent="0.2">
      <c r="R133" s="292" t="s">
        <v>25</v>
      </c>
      <c r="S133" s="81" t="s">
        <v>63</v>
      </c>
      <c r="T133" s="88">
        <v>3966.4</v>
      </c>
      <c r="U133" s="88"/>
      <c r="V133" s="88"/>
      <c r="W133" s="88">
        <v>0</v>
      </c>
      <c r="X133" s="88">
        <v>490</v>
      </c>
      <c r="Y133" s="88">
        <v>624</v>
      </c>
      <c r="Z133" s="88">
        <f>T133+W133+Y133</f>
        <v>4590.3999999999996</v>
      </c>
      <c r="AA133" s="88">
        <v>37.18</v>
      </c>
      <c r="AB133" s="88">
        <v>588</v>
      </c>
      <c r="AC133" s="88">
        <v>-159.5</v>
      </c>
      <c r="AD133" s="88">
        <v>624</v>
      </c>
      <c r="AE133" s="88">
        <v>200.01</v>
      </c>
      <c r="AF133" s="88">
        <v>1125</v>
      </c>
      <c r="AG133" s="304">
        <f t="shared" si="21"/>
        <v>2041.7099999999991</v>
      </c>
      <c r="AH133" s="301">
        <v>44020</v>
      </c>
      <c r="AI133" s="151" t="s">
        <v>54</v>
      </c>
      <c r="AJ133" s="132" t="s">
        <v>142</v>
      </c>
    </row>
    <row r="134" spans="18:36" x14ac:dyDescent="0.2">
      <c r="R134" s="292" t="s">
        <v>26</v>
      </c>
      <c r="S134" s="81" t="s">
        <v>70</v>
      </c>
      <c r="T134" s="88">
        <v>1023.5</v>
      </c>
      <c r="U134" s="88"/>
      <c r="V134" s="88"/>
      <c r="W134" s="88"/>
      <c r="X134" s="88">
        <v>50</v>
      </c>
      <c r="Y134" s="88"/>
      <c r="Z134" s="88">
        <f>T134+W134+Y134</f>
        <v>1023.5</v>
      </c>
      <c r="AA134" s="88">
        <v>10.234999999999999</v>
      </c>
      <c r="AB134" s="88"/>
      <c r="AC134" s="88"/>
      <c r="AD134" s="88"/>
      <c r="AE134" s="88">
        <v>58.14</v>
      </c>
      <c r="AF134" s="88"/>
      <c r="AG134" s="304">
        <f t="shared" si="21"/>
        <v>1005.1250000000001</v>
      </c>
      <c r="AH134" s="301">
        <v>44020</v>
      </c>
      <c r="AI134" s="151" t="s">
        <v>54</v>
      </c>
      <c r="AJ134" s="132" t="s">
        <v>142</v>
      </c>
    </row>
    <row r="135" spans="18:36" x14ac:dyDescent="0.2">
      <c r="R135" s="292" t="s">
        <v>3</v>
      </c>
      <c r="S135" s="81" t="s">
        <v>71</v>
      </c>
      <c r="T135" s="88">
        <v>1343.5</v>
      </c>
      <c r="U135" s="88"/>
      <c r="V135" s="88"/>
      <c r="W135" s="88"/>
      <c r="X135" s="88">
        <v>50</v>
      </c>
      <c r="Y135" s="88"/>
      <c r="Z135" s="88">
        <f>T135+W135+Y135+X135</f>
        <v>1393.5</v>
      </c>
      <c r="AA135" s="88">
        <v>13.44</v>
      </c>
      <c r="AB135" s="88"/>
      <c r="AC135" s="88"/>
      <c r="AD135" s="88"/>
      <c r="AE135" s="88">
        <v>76.295000000000002</v>
      </c>
      <c r="AF135" s="88"/>
      <c r="AG135" s="304">
        <f t="shared" si="21"/>
        <v>1303.7649999999999</v>
      </c>
      <c r="AH135" s="301">
        <v>44020</v>
      </c>
      <c r="AI135" s="151" t="s">
        <v>54</v>
      </c>
      <c r="AJ135" s="132" t="s">
        <v>142</v>
      </c>
    </row>
    <row r="136" spans="18:36" x14ac:dyDescent="0.2">
      <c r="R136" s="292" t="s">
        <v>31</v>
      </c>
      <c r="S136" s="81" t="s">
        <v>72</v>
      </c>
      <c r="T136" s="88">
        <v>1300</v>
      </c>
      <c r="U136" s="88"/>
      <c r="V136" s="88"/>
      <c r="W136" s="88"/>
      <c r="X136" s="88">
        <v>50</v>
      </c>
      <c r="Y136" s="88"/>
      <c r="Z136" s="88">
        <f>T136+W136+Y136+X136</f>
        <v>1350</v>
      </c>
      <c r="AA136" s="88">
        <v>13</v>
      </c>
      <c r="AB136" s="88"/>
      <c r="AC136" s="88"/>
      <c r="AD136" s="88"/>
      <c r="AE136" s="88">
        <v>67.78</v>
      </c>
      <c r="AF136" s="88"/>
      <c r="AG136" s="304">
        <f t="shared" si="21"/>
        <v>1269.22</v>
      </c>
      <c r="AH136" s="301">
        <v>44020</v>
      </c>
      <c r="AI136" s="151" t="s">
        <v>54</v>
      </c>
      <c r="AJ136" s="132" t="s">
        <v>142</v>
      </c>
    </row>
    <row r="137" spans="18:36" x14ac:dyDescent="0.2">
      <c r="R137" s="292" t="s">
        <v>69</v>
      </c>
      <c r="S137" s="81" t="s">
        <v>73</v>
      </c>
      <c r="T137" s="88">
        <v>1000</v>
      </c>
      <c r="U137" s="88"/>
      <c r="V137" s="88"/>
      <c r="W137" s="88"/>
      <c r="X137" s="88"/>
      <c r="Y137" s="88"/>
      <c r="Z137" s="88">
        <f>T137+W137+Y137</f>
        <v>1000</v>
      </c>
      <c r="AA137" s="88">
        <v>10</v>
      </c>
      <c r="AB137" s="88"/>
      <c r="AC137" s="88"/>
      <c r="AD137" s="88"/>
      <c r="AE137" s="88"/>
      <c r="AF137" s="88"/>
      <c r="AG137" s="304">
        <f t="shared" si="21"/>
        <v>990</v>
      </c>
      <c r="AH137" s="301">
        <v>44020</v>
      </c>
      <c r="AI137" s="151" t="s">
        <v>54</v>
      </c>
      <c r="AJ137" s="132" t="s">
        <v>142</v>
      </c>
    </row>
    <row r="138" spans="18:36" x14ac:dyDescent="0.2">
      <c r="R138" s="292" t="s">
        <v>79</v>
      </c>
      <c r="S138" s="81" t="s">
        <v>91</v>
      </c>
      <c r="T138" s="88">
        <v>1250</v>
      </c>
      <c r="U138" s="88"/>
      <c r="V138" s="88"/>
      <c r="W138" s="88"/>
      <c r="X138" s="88"/>
      <c r="Y138" s="88"/>
      <c r="Z138" s="88">
        <f>T138+W138+Y138</f>
        <v>1250</v>
      </c>
      <c r="AA138" s="88">
        <v>12.5</v>
      </c>
      <c r="AB138" s="88"/>
      <c r="AC138" s="88"/>
      <c r="AD138" s="88"/>
      <c r="AE138" s="88"/>
      <c r="AF138" s="88"/>
      <c r="AG138" s="304">
        <f t="shared" si="21"/>
        <v>1237.5</v>
      </c>
      <c r="AH138" s="301">
        <v>44020</v>
      </c>
      <c r="AI138" s="151" t="s">
        <v>54</v>
      </c>
      <c r="AJ138" s="132" t="s">
        <v>142</v>
      </c>
    </row>
    <row r="139" spans="18:36" x14ac:dyDescent="0.2">
      <c r="R139" s="292" t="s">
        <v>25</v>
      </c>
      <c r="S139" s="81" t="s">
        <v>63</v>
      </c>
      <c r="T139" s="88">
        <v>3966.4</v>
      </c>
      <c r="U139" s="88"/>
      <c r="V139" s="88"/>
      <c r="W139" s="88">
        <v>0</v>
      </c>
      <c r="X139" s="88">
        <v>490</v>
      </c>
      <c r="Y139" s="88">
        <v>624</v>
      </c>
      <c r="Z139" s="88">
        <f>T139+W139+Y139</f>
        <v>4590.3999999999996</v>
      </c>
      <c r="AA139" s="88">
        <v>37.18</v>
      </c>
      <c r="AB139" s="88">
        <v>588</v>
      </c>
      <c r="AC139" s="88">
        <v>-159.5</v>
      </c>
      <c r="AD139" s="88">
        <v>624</v>
      </c>
      <c r="AE139" s="88">
        <v>200.01</v>
      </c>
      <c r="AF139" s="88">
        <v>1125</v>
      </c>
      <c r="AG139" s="304">
        <f t="shared" si="21"/>
        <v>2041.7099999999991</v>
      </c>
      <c r="AH139" s="301">
        <v>44027</v>
      </c>
      <c r="AI139" s="123" t="s">
        <v>55</v>
      </c>
      <c r="AJ139" s="132" t="s">
        <v>142</v>
      </c>
    </row>
    <row r="140" spans="18:36" x14ac:dyDescent="0.2">
      <c r="R140" s="292" t="s">
        <v>26</v>
      </c>
      <c r="S140" s="81" t="s">
        <v>70</v>
      </c>
      <c r="T140" s="88">
        <v>1023.5</v>
      </c>
      <c r="U140" s="88"/>
      <c r="V140" s="88"/>
      <c r="W140" s="88"/>
      <c r="X140" s="88">
        <v>50</v>
      </c>
      <c r="Y140" s="88"/>
      <c r="Z140" s="88">
        <f>T140+W140+Y140</f>
        <v>1023.5</v>
      </c>
      <c r="AA140" s="88">
        <v>10.234999999999999</v>
      </c>
      <c r="AB140" s="88"/>
      <c r="AC140" s="88"/>
      <c r="AD140" s="88"/>
      <c r="AE140" s="88">
        <v>58.14</v>
      </c>
      <c r="AF140" s="88"/>
      <c r="AG140" s="304">
        <f t="shared" si="21"/>
        <v>1005.1250000000001</v>
      </c>
      <c r="AH140" s="301">
        <v>44027</v>
      </c>
      <c r="AI140" s="123" t="s">
        <v>55</v>
      </c>
      <c r="AJ140" s="132" t="s">
        <v>142</v>
      </c>
    </row>
    <row r="141" spans="18:36" x14ac:dyDescent="0.2">
      <c r="R141" s="292" t="s">
        <v>3</v>
      </c>
      <c r="S141" s="81" t="s">
        <v>71</v>
      </c>
      <c r="T141" s="88">
        <v>1343.5</v>
      </c>
      <c r="U141" s="88"/>
      <c r="V141" s="88"/>
      <c r="W141" s="88"/>
      <c r="X141" s="88">
        <v>50</v>
      </c>
      <c r="Y141" s="88"/>
      <c r="Z141" s="88">
        <f>T141+W141+Y141+X141</f>
        <v>1393.5</v>
      </c>
      <c r="AA141" s="88">
        <v>13.44</v>
      </c>
      <c r="AB141" s="88"/>
      <c r="AC141" s="88"/>
      <c r="AD141" s="88"/>
      <c r="AE141" s="88">
        <v>76.295000000000002</v>
      </c>
      <c r="AF141" s="88"/>
      <c r="AG141" s="304">
        <f t="shared" si="21"/>
        <v>1303.7649999999999</v>
      </c>
      <c r="AH141" s="301">
        <v>44027</v>
      </c>
      <c r="AI141" s="123" t="s">
        <v>55</v>
      </c>
      <c r="AJ141" s="132" t="s">
        <v>142</v>
      </c>
    </row>
    <row r="142" spans="18:36" x14ac:dyDescent="0.2">
      <c r="R142" s="292" t="s">
        <v>31</v>
      </c>
      <c r="S142" s="81" t="s">
        <v>72</v>
      </c>
      <c r="T142" s="88">
        <v>1300</v>
      </c>
      <c r="U142" s="88"/>
      <c r="V142" s="88"/>
      <c r="W142" s="88"/>
      <c r="X142" s="88">
        <v>50</v>
      </c>
      <c r="Y142" s="88"/>
      <c r="Z142" s="88">
        <f>T142+W142+Y142+X142</f>
        <v>1350</v>
      </c>
      <c r="AA142" s="88">
        <v>13</v>
      </c>
      <c r="AB142" s="88"/>
      <c r="AC142" s="88"/>
      <c r="AD142" s="88"/>
      <c r="AE142" s="88">
        <v>67.78</v>
      </c>
      <c r="AF142" s="88"/>
      <c r="AG142" s="304">
        <f t="shared" si="21"/>
        <v>1269.22</v>
      </c>
      <c r="AH142" s="301">
        <v>44027</v>
      </c>
      <c r="AI142" s="123" t="s">
        <v>55</v>
      </c>
      <c r="AJ142" s="132" t="s">
        <v>142</v>
      </c>
    </row>
    <row r="143" spans="18:36" x14ac:dyDescent="0.2">
      <c r="R143" s="292" t="s">
        <v>69</v>
      </c>
      <c r="S143" s="81" t="s">
        <v>73</v>
      </c>
      <c r="T143" s="88">
        <v>1000</v>
      </c>
      <c r="U143" s="88"/>
      <c r="V143" s="88"/>
      <c r="W143" s="88"/>
      <c r="X143" s="88"/>
      <c r="Y143" s="88"/>
      <c r="Z143" s="88">
        <f>T143+W143+Y143</f>
        <v>1000</v>
      </c>
      <c r="AA143" s="88">
        <v>10</v>
      </c>
      <c r="AB143" s="88"/>
      <c r="AC143" s="88"/>
      <c r="AD143" s="88"/>
      <c r="AE143" s="88"/>
      <c r="AF143" s="88"/>
      <c r="AG143" s="304">
        <f t="shared" si="21"/>
        <v>990</v>
      </c>
      <c r="AH143" s="301">
        <v>44027</v>
      </c>
      <c r="AI143" s="123" t="s">
        <v>55</v>
      </c>
      <c r="AJ143" s="132" t="s">
        <v>142</v>
      </c>
    </row>
    <row r="144" spans="18:36" x14ac:dyDescent="0.2">
      <c r="R144" s="292" t="s">
        <v>79</v>
      </c>
      <c r="S144" s="81" t="s">
        <v>91</v>
      </c>
      <c r="T144" s="88">
        <v>1250</v>
      </c>
      <c r="U144" s="88"/>
      <c r="V144" s="88"/>
      <c r="W144" s="88"/>
      <c r="X144" s="88"/>
      <c r="Y144" s="88"/>
      <c r="Z144" s="88">
        <f>T144+W144+Y144</f>
        <v>1250</v>
      </c>
      <c r="AA144" s="88">
        <v>12.5</v>
      </c>
      <c r="AB144" s="88"/>
      <c r="AC144" s="88"/>
      <c r="AD144" s="88"/>
      <c r="AE144" s="88"/>
      <c r="AF144" s="88"/>
      <c r="AG144" s="304">
        <f t="shared" si="21"/>
        <v>1237.5</v>
      </c>
      <c r="AH144" s="301">
        <v>44027</v>
      </c>
      <c r="AI144" s="123" t="s">
        <v>55</v>
      </c>
      <c r="AJ144" s="132" t="s">
        <v>142</v>
      </c>
    </row>
    <row r="145" spans="1:36" x14ac:dyDescent="0.2">
      <c r="R145" s="292" t="s">
        <v>25</v>
      </c>
      <c r="S145" s="81" t="s">
        <v>63</v>
      </c>
      <c r="T145" s="88">
        <v>3966.4</v>
      </c>
      <c r="U145" s="88"/>
      <c r="V145" s="88"/>
      <c r="W145" s="88">
        <v>0</v>
      </c>
      <c r="X145" s="88">
        <v>490</v>
      </c>
      <c r="Y145" s="88">
        <v>624</v>
      </c>
      <c r="Z145" s="88">
        <f>T145+W145+Y145</f>
        <v>4590.3999999999996</v>
      </c>
      <c r="AA145" s="88">
        <v>37.18</v>
      </c>
      <c r="AB145" s="88">
        <v>588</v>
      </c>
      <c r="AC145" s="88">
        <v>-159.5</v>
      </c>
      <c r="AD145" s="88">
        <v>624</v>
      </c>
      <c r="AE145" s="88">
        <v>200.01</v>
      </c>
      <c r="AF145" s="88">
        <v>1125</v>
      </c>
      <c r="AG145" s="304">
        <f t="shared" si="21"/>
        <v>2041.7099999999991</v>
      </c>
      <c r="AH145" s="301">
        <v>44034</v>
      </c>
      <c r="AI145" s="149" t="s">
        <v>75</v>
      </c>
      <c r="AJ145" s="132" t="s">
        <v>142</v>
      </c>
    </row>
    <row r="146" spans="1:36" x14ac:dyDescent="0.2">
      <c r="R146" s="292" t="s">
        <v>26</v>
      </c>
      <c r="S146" s="81" t="s">
        <v>70</v>
      </c>
      <c r="T146" s="88">
        <v>1023.5</v>
      </c>
      <c r="U146" s="88"/>
      <c r="V146" s="88"/>
      <c r="W146" s="88"/>
      <c r="X146" s="88">
        <v>50</v>
      </c>
      <c r="Y146" s="88"/>
      <c r="Z146" s="88">
        <f>T146+W146+Y146</f>
        <v>1023.5</v>
      </c>
      <c r="AA146" s="88">
        <v>10.234999999999999</v>
      </c>
      <c r="AB146" s="88"/>
      <c r="AC146" s="88"/>
      <c r="AD146" s="88"/>
      <c r="AE146" s="88">
        <v>58.14</v>
      </c>
      <c r="AF146" s="88"/>
      <c r="AG146" s="304">
        <f t="shared" si="21"/>
        <v>1005.1250000000001</v>
      </c>
      <c r="AH146" s="301">
        <v>44034</v>
      </c>
      <c r="AI146" s="149" t="s">
        <v>75</v>
      </c>
      <c r="AJ146" s="132" t="s">
        <v>142</v>
      </c>
    </row>
    <row r="147" spans="1:36" x14ac:dyDescent="0.2">
      <c r="R147" s="292" t="s">
        <v>3</v>
      </c>
      <c r="S147" s="81" t="s">
        <v>71</v>
      </c>
      <c r="T147" s="88">
        <v>1343.5</v>
      </c>
      <c r="U147" s="88"/>
      <c r="V147" s="88"/>
      <c r="W147" s="88"/>
      <c r="X147" s="88">
        <v>50</v>
      </c>
      <c r="Y147" s="88"/>
      <c r="Z147" s="88">
        <f>T147+W147+Y147+X147</f>
        <v>1393.5</v>
      </c>
      <c r="AA147" s="88">
        <v>13.44</v>
      </c>
      <c r="AB147" s="88"/>
      <c r="AC147" s="88"/>
      <c r="AD147" s="88"/>
      <c r="AE147" s="88">
        <v>76.295000000000002</v>
      </c>
      <c r="AF147" s="88"/>
      <c r="AG147" s="304">
        <f t="shared" si="21"/>
        <v>1303.7649999999999</v>
      </c>
      <c r="AH147" s="301">
        <v>44034</v>
      </c>
      <c r="AI147" s="149" t="s">
        <v>75</v>
      </c>
      <c r="AJ147" s="132" t="s">
        <v>142</v>
      </c>
    </row>
    <row r="148" spans="1:36" x14ac:dyDescent="0.2">
      <c r="R148" s="292" t="s">
        <v>31</v>
      </c>
      <c r="S148" s="81" t="s">
        <v>72</v>
      </c>
      <c r="T148" s="88">
        <v>1300</v>
      </c>
      <c r="U148" s="88"/>
      <c r="V148" s="88"/>
      <c r="W148" s="88"/>
      <c r="X148" s="88">
        <v>50</v>
      </c>
      <c r="Y148" s="88"/>
      <c r="Z148" s="88">
        <f>T148+W148+Y148+X148</f>
        <v>1350</v>
      </c>
      <c r="AA148" s="88">
        <v>13</v>
      </c>
      <c r="AB148" s="88"/>
      <c r="AC148" s="88"/>
      <c r="AD148" s="88"/>
      <c r="AE148" s="88">
        <v>67.78</v>
      </c>
      <c r="AF148" s="88"/>
      <c r="AG148" s="304">
        <f t="shared" si="21"/>
        <v>1269.22</v>
      </c>
      <c r="AH148" s="301">
        <v>44034</v>
      </c>
      <c r="AI148" s="149" t="s">
        <v>75</v>
      </c>
      <c r="AJ148" s="132" t="s">
        <v>142</v>
      </c>
    </row>
    <row r="149" spans="1:36" x14ac:dyDescent="0.2">
      <c r="R149" s="292" t="s">
        <v>69</v>
      </c>
      <c r="S149" s="81" t="s">
        <v>73</v>
      </c>
      <c r="T149" s="88">
        <v>1000</v>
      </c>
      <c r="U149" s="88"/>
      <c r="V149" s="88"/>
      <c r="W149" s="88"/>
      <c r="X149" s="88"/>
      <c r="Y149" s="88"/>
      <c r="Z149" s="88">
        <f>T149+W149+Y149</f>
        <v>1000</v>
      </c>
      <c r="AA149" s="88">
        <v>10</v>
      </c>
      <c r="AB149" s="88"/>
      <c r="AC149" s="88"/>
      <c r="AD149" s="88"/>
      <c r="AE149" s="88"/>
      <c r="AF149" s="88"/>
      <c r="AG149" s="304">
        <f t="shared" si="21"/>
        <v>990</v>
      </c>
      <c r="AH149" s="301">
        <v>44034</v>
      </c>
      <c r="AI149" s="149" t="s">
        <v>75</v>
      </c>
      <c r="AJ149" s="132" t="s">
        <v>142</v>
      </c>
    </row>
    <row r="150" spans="1:36" x14ac:dyDescent="0.2">
      <c r="R150" s="292" t="s">
        <v>79</v>
      </c>
      <c r="S150" s="81" t="s">
        <v>91</v>
      </c>
      <c r="T150" s="88">
        <v>1250</v>
      </c>
      <c r="U150" s="88"/>
      <c r="V150" s="88"/>
      <c r="W150" s="88"/>
      <c r="X150" s="88"/>
      <c r="Y150" s="88"/>
      <c r="Z150" s="88">
        <f>T150+W150+Y150</f>
        <v>1250</v>
      </c>
      <c r="AA150" s="88">
        <v>12.5</v>
      </c>
      <c r="AB150" s="88"/>
      <c r="AC150" s="88"/>
      <c r="AD150" s="88"/>
      <c r="AE150" s="88"/>
      <c r="AF150" s="88"/>
      <c r="AG150" s="304">
        <f t="shared" si="21"/>
        <v>1237.5</v>
      </c>
      <c r="AH150" s="301">
        <v>44034</v>
      </c>
      <c r="AI150" s="149" t="s">
        <v>75</v>
      </c>
      <c r="AJ150" s="132" t="s">
        <v>142</v>
      </c>
    </row>
    <row r="151" spans="1:36" x14ac:dyDescent="0.2">
      <c r="R151" s="292" t="s">
        <v>25</v>
      </c>
      <c r="S151" s="81" t="s">
        <v>63</v>
      </c>
      <c r="T151" s="88">
        <v>3966.4</v>
      </c>
      <c r="U151" s="88"/>
      <c r="V151" s="88"/>
      <c r="W151" s="88"/>
      <c r="X151" s="88"/>
      <c r="Y151" s="88"/>
      <c r="Z151" s="88">
        <f>T151+W151+Y151</f>
        <v>3966.4</v>
      </c>
      <c r="AA151" s="88">
        <v>37.18</v>
      </c>
      <c r="AB151" s="88">
        <v>426</v>
      </c>
      <c r="AC151" s="88"/>
      <c r="AD151" s="88"/>
      <c r="AE151" s="88">
        <v>200.01</v>
      </c>
      <c r="AF151" s="88"/>
      <c r="AG151" s="304">
        <f t="shared" si="21"/>
        <v>3303.21</v>
      </c>
      <c r="AH151" s="301">
        <v>44041</v>
      </c>
      <c r="AI151" s="149" t="s">
        <v>76</v>
      </c>
      <c r="AJ151" s="132" t="s">
        <v>142</v>
      </c>
    </row>
    <row r="152" spans="1:36" x14ac:dyDescent="0.2">
      <c r="R152" s="292" t="s">
        <v>26</v>
      </c>
      <c r="S152" s="81" t="s">
        <v>70</v>
      </c>
      <c r="T152" s="88">
        <v>1023.5</v>
      </c>
      <c r="U152" s="88"/>
      <c r="V152" s="88"/>
      <c r="W152" s="88"/>
      <c r="X152" s="88">
        <v>50</v>
      </c>
      <c r="Y152" s="88"/>
      <c r="Z152" s="88">
        <f>T152+W152+Y152</f>
        <v>1023.5</v>
      </c>
      <c r="AA152" s="88">
        <v>10.234999999999999</v>
      </c>
      <c r="AB152" s="88"/>
      <c r="AC152" s="88"/>
      <c r="AD152" s="88"/>
      <c r="AE152" s="88">
        <v>58.14</v>
      </c>
      <c r="AF152" s="88"/>
      <c r="AG152" s="304">
        <f t="shared" si="21"/>
        <v>1005.1250000000001</v>
      </c>
      <c r="AH152" s="301">
        <v>44041</v>
      </c>
      <c r="AI152" s="149" t="s">
        <v>76</v>
      </c>
      <c r="AJ152" s="132" t="s">
        <v>142</v>
      </c>
    </row>
    <row r="153" spans="1:36" x14ac:dyDescent="0.2">
      <c r="R153" s="292" t="s">
        <v>3</v>
      </c>
      <c r="S153" s="81" t="s">
        <v>71</v>
      </c>
      <c r="T153" s="88">
        <v>1343.5</v>
      </c>
      <c r="U153" s="88"/>
      <c r="V153" s="88"/>
      <c r="W153" s="88"/>
      <c r="X153" s="88">
        <v>50</v>
      </c>
      <c r="Y153" s="88"/>
      <c r="Z153" s="88">
        <f>T153+W153+Y153+X153</f>
        <v>1393.5</v>
      </c>
      <c r="AA153" s="88">
        <v>13.44</v>
      </c>
      <c r="AB153" s="88"/>
      <c r="AC153" s="88"/>
      <c r="AD153" s="88"/>
      <c r="AE153" s="88">
        <v>76.295000000000002</v>
      </c>
      <c r="AF153" s="88"/>
      <c r="AG153" s="304">
        <f t="shared" si="21"/>
        <v>1303.7649999999999</v>
      </c>
      <c r="AH153" s="301">
        <v>44041</v>
      </c>
      <c r="AI153" s="149" t="s">
        <v>76</v>
      </c>
      <c r="AJ153" s="132" t="s">
        <v>142</v>
      </c>
    </row>
    <row r="154" spans="1:36" x14ac:dyDescent="0.2">
      <c r="R154" s="292" t="s">
        <v>31</v>
      </c>
      <c r="S154" s="81" t="s">
        <v>72</v>
      </c>
      <c r="T154" s="88">
        <v>1300</v>
      </c>
      <c r="U154" s="88"/>
      <c r="V154" s="88"/>
      <c r="W154" s="88"/>
      <c r="X154" s="88">
        <v>50</v>
      </c>
      <c r="Y154" s="88"/>
      <c r="Z154" s="88">
        <f>T154+W154+Y154+X154</f>
        <v>1350</v>
      </c>
      <c r="AA154" s="88">
        <v>13</v>
      </c>
      <c r="AB154" s="88"/>
      <c r="AC154" s="88"/>
      <c r="AD154" s="88"/>
      <c r="AE154" s="88">
        <v>67.78</v>
      </c>
      <c r="AF154" s="88"/>
      <c r="AG154" s="304">
        <f t="shared" si="21"/>
        <v>1269.22</v>
      </c>
      <c r="AH154" s="301">
        <v>44041</v>
      </c>
      <c r="AI154" s="149" t="s">
        <v>76</v>
      </c>
      <c r="AJ154" s="132" t="s">
        <v>142</v>
      </c>
    </row>
    <row r="155" spans="1:36" x14ac:dyDescent="0.2">
      <c r="R155" s="292" t="s">
        <v>69</v>
      </c>
      <c r="S155" s="81" t="s">
        <v>73</v>
      </c>
      <c r="T155" s="88">
        <v>1000</v>
      </c>
      <c r="U155" s="88"/>
      <c r="V155" s="88"/>
      <c r="W155" s="88"/>
      <c r="X155" s="88"/>
      <c r="Y155" s="88"/>
      <c r="Z155" s="88">
        <f t="shared" ref="Z155:Z161" si="22">T155+W155+Y155</f>
        <v>1000</v>
      </c>
      <c r="AA155" s="88">
        <v>10</v>
      </c>
      <c r="AB155" s="88"/>
      <c r="AC155" s="88"/>
      <c r="AD155" s="88"/>
      <c r="AE155" s="88"/>
      <c r="AF155" s="88"/>
      <c r="AG155" s="304">
        <f t="shared" si="21"/>
        <v>990</v>
      </c>
      <c r="AH155" s="301">
        <v>44041</v>
      </c>
      <c r="AI155" s="149" t="s">
        <v>76</v>
      </c>
      <c r="AJ155" s="132" t="s">
        <v>142</v>
      </c>
    </row>
    <row r="156" spans="1:36" x14ac:dyDescent="0.2">
      <c r="R156" s="292" t="s">
        <v>79</v>
      </c>
      <c r="S156" s="81" t="s">
        <v>91</v>
      </c>
      <c r="T156" s="88">
        <v>1250</v>
      </c>
      <c r="U156" s="88"/>
      <c r="V156" s="88"/>
      <c r="W156" s="88"/>
      <c r="X156" s="88"/>
      <c r="Y156" s="88"/>
      <c r="Z156" s="88">
        <f t="shared" si="22"/>
        <v>1250</v>
      </c>
      <c r="AA156" s="88">
        <v>12.5</v>
      </c>
      <c r="AB156" s="88"/>
      <c r="AC156" s="88"/>
      <c r="AD156" s="88"/>
      <c r="AE156" s="88"/>
      <c r="AF156" s="88"/>
      <c r="AG156" s="304">
        <f t="shared" si="21"/>
        <v>1237.5</v>
      </c>
      <c r="AH156" s="301">
        <v>44041</v>
      </c>
      <c r="AI156" s="149" t="s">
        <v>76</v>
      </c>
      <c r="AJ156" s="132" t="s">
        <v>142</v>
      </c>
    </row>
    <row r="157" spans="1:36" s="162" customFormat="1" x14ac:dyDescent="0.2">
      <c r="A157" s="367"/>
      <c r="B157" s="367"/>
      <c r="D157" s="365"/>
      <c r="E157" s="365"/>
      <c r="F157" s="365"/>
      <c r="G157" s="365"/>
      <c r="H157" s="365"/>
      <c r="I157" s="365"/>
      <c r="J157" s="365"/>
      <c r="K157" s="365"/>
      <c r="L157" s="365"/>
      <c r="M157" s="365"/>
      <c r="N157" s="365"/>
      <c r="O157" s="365"/>
      <c r="P157" s="365"/>
      <c r="R157" s="305" t="s">
        <v>8</v>
      </c>
      <c r="S157" s="165" t="s">
        <v>96</v>
      </c>
      <c r="T157" s="163">
        <v>13502</v>
      </c>
      <c r="U157" s="163"/>
      <c r="V157" s="163"/>
      <c r="W157" s="163"/>
      <c r="X157" s="163"/>
      <c r="Y157" s="163">
        <v>5624</v>
      </c>
      <c r="Z157" s="88">
        <f t="shared" si="22"/>
        <v>19126</v>
      </c>
      <c r="AA157" s="163"/>
      <c r="AB157" s="163">
        <v>2355</v>
      </c>
      <c r="AC157" s="163">
        <v>-853</v>
      </c>
      <c r="AD157" s="163"/>
      <c r="AE157" s="163"/>
      <c r="AF157" s="163"/>
      <c r="AG157" s="304">
        <f t="shared" si="21"/>
        <v>12000</v>
      </c>
      <c r="AH157" s="170"/>
      <c r="AI157" s="170"/>
      <c r="AJ157" s="161"/>
    </row>
    <row r="158" spans="1:36" s="162" customFormat="1" x14ac:dyDescent="0.2">
      <c r="A158" s="367"/>
      <c r="B158" s="367"/>
      <c r="D158" s="365"/>
      <c r="E158" s="365"/>
      <c r="F158" s="365"/>
      <c r="G158" s="365"/>
      <c r="H158" s="365"/>
      <c r="I158" s="365"/>
      <c r="J158" s="365"/>
      <c r="K158" s="365"/>
      <c r="L158" s="365"/>
      <c r="M158" s="365"/>
      <c r="N158" s="365"/>
      <c r="O158" s="365"/>
      <c r="P158" s="365"/>
      <c r="R158" s="305" t="s">
        <v>27</v>
      </c>
      <c r="S158" s="165" t="s">
        <v>97</v>
      </c>
      <c r="T158" s="163">
        <v>13717</v>
      </c>
      <c r="U158" s="163"/>
      <c r="V158" s="163"/>
      <c r="W158" s="163"/>
      <c r="X158" s="163"/>
      <c r="Y158" s="163">
        <v>5409</v>
      </c>
      <c r="Z158" s="88">
        <f t="shared" si="22"/>
        <v>19126</v>
      </c>
      <c r="AA158" s="163"/>
      <c r="AB158" s="163">
        <v>2355</v>
      </c>
      <c r="AC158" s="163">
        <v>-638</v>
      </c>
      <c r="AD158" s="163"/>
      <c r="AE158" s="163"/>
      <c r="AF158" s="163"/>
      <c r="AG158" s="304">
        <f t="shared" si="21"/>
        <v>12000</v>
      </c>
      <c r="AH158" s="170"/>
      <c r="AI158" s="170"/>
      <c r="AJ158" s="161"/>
    </row>
    <row r="159" spans="1:36" s="162" customFormat="1" ht="13.5" thickBot="1" x14ac:dyDescent="0.25">
      <c r="A159" s="367"/>
      <c r="B159" s="367"/>
      <c r="D159" s="365"/>
      <c r="E159" s="365"/>
      <c r="F159" s="365"/>
      <c r="G159" s="365"/>
      <c r="H159" s="365"/>
      <c r="I159" s="365"/>
      <c r="J159" s="365"/>
      <c r="K159" s="365"/>
      <c r="L159" s="365"/>
      <c r="M159" s="365"/>
      <c r="N159" s="365"/>
      <c r="O159" s="365"/>
      <c r="P159" s="365"/>
      <c r="R159" s="344" t="s">
        <v>6</v>
      </c>
      <c r="S159" s="302" t="s">
        <v>98</v>
      </c>
      <c r="T159" s="164">
        <v>12643.72</v>
      </c>
      <c r="U159" s="164"/>
      <c r="V159" s="164"/>
      <c r="W159" s="164"/>
      <c r="X159" s="164"/>
      <c r="Y159" s="164">
        <v>2812</v>
      </c>
      <c r="Z159" s="244">
        <f t="shared" si="22"/>
        <v>15455.72</v>
      </c>
      <c r="AA159" s="164">
        <v>148.72</v>
      </c>
      <c r="AB159" s="164">
        <v>1536</v>
      </c>
      <c r="AC159" s="164">
        <v>-853</v>
      </c>
      <c r="AD159" s="164">
        <v>2812</v>
      </c>
      <c r="AE159" s="164"/>
      <c r="AF159" s="164"/>
      <c r="AG159" s="346">
        <f t="shared" si="21"/>
        <v>9000</v>
      </c>
      <c r="AH159" s="170"/>
      <c r="AI159" s="170"/>
      <c r="AJ159" s="161"/>
    </row>
    <row r="160" spans="1:36" x14ac:dyDescent="0.2">
      <c r="R160" s="310" t="s">
        <v>25</v>
      </c>
      <c r="S160" s="311" t="s">
        <v>63</v>
      </c>
      <c r="T160" s="312">
        <v>3966.4</v>
      </c>
      <c r="U160" s="312"/>
      <c r="V160" s="312"/>
      <c r="W160" s="312">
        <v>0</v>
      </c>
      <c r="X160" s="312">
        <v>490</v>
      </c>
      <c r="Y160" s="312">
        <v>624</v>
      </c>
      <c r="Z160" s="312">
        <f t="shared" si="22"/>
        <v>4590.3999999999996</v>
      </c>
      <c r="AA160" s="312">
        <v>37.18</v>
      </c>
      <c r="AB160" s="312">
        <v>588</v>
      </c>
      <c r="AC160" s="312">
        <v>-159.5</v>
      </c>
      <c r="AD160" s="312">
        <v>624</v>
      </c>
      <c r="AE160" s="312">
        <v>200.01</v>
      </c>
      <c r="AF160" s="312">
        <v>1225</v>
      </c>
      <c r="AG160" s="313">
        <f t="shared" si="21"/>
        <v>1941.7099999999991</v>
      </c>
      <c r="AH160" s="301">
        <v>44048</v>
      </c>
      <c r="AI160" s="120" t="s">
        <v>77</v>
      </c>
      <c r="AJ160" s="132" t="s">
        <v>150</v>
      </c>
    </row>
    <row r="161" spans="18:36" x14ac:dyDescent="0.2">
      <c r="R161" s="314" t="s">
        <v>26</v>
      </c>
      <c r="S161" s="315" t="s">
        <v>70</v>
      </c>
      <c r="T161" s="316">
        <v>1023.5</v>
      </c>
      <c r="U161" s="316"/>
      <c r="V161" s="316"/>
      <c r="W161" s="316"/>
      <c r="X161" s="316">
        <v>50</v>
      </c>
      <c r="Y161" s="316"/>
      <c r="Z161" s="316">
        <f t="shared" si="22"/>
        <v>1023.5</v>
      </c>
      <c r="AA161" s="316">
        <v>10.234999999999999</v>
      </c>
      <c r="AB161" s="316"/>
      <c r="AC161" s="316"/>
      <c r="AD161" s="316"/>
      <c r="AE161" s="316">
        <v>58.14</v>
      </c>
      <c r="AF161" s="316"/>
      <c r="AG161" s="317">
        <f t="shared" si="21"/>
        <v>1005.1250000000001</v>
      </c>
      <c r="AH161" s="301">
        <v>44048</v>
      </c>
      <c r="AI161" s="120" t="s">
        <v>77</v>
      </c>
      <c r="AJ161" s="132" t="s">
        <v>150</v>
      </c>
    </row>
    <row r="162" spans="18:36" x14ac:dyDescent="0.2">
      <c r="R162" s="314" t="s">
        <v>3</v>
      </c>
      <c r="S162" s="315" t="s">
        <v>71</v>
      </c>
      <c r="T162" s="316">
        <v>1343.5</v>
      </c>
      <c r="U162" s="316"/>
      <c r="V162" s="316"/>
      <c r="W162" s="316"/>
      <c r="X162" s="316">
        <v>50</v>
      </c>
      <c r="Y162" s="316"/>
      <c r="Z162" s="316">
        <f>T162+W162+Y162+X162</f>
        <v>1393.5</v>
      </c>
      <c r="AA162" s="316">
        <v>13.44</v>
      </c>
      <c r="AB162" s="316"/>
      <c r="AC162" s="316"/>
      <c r="AD162" s="316"/>
      <c r="AE162" s="316">
        <v>76.295000000000002</v>
      </c>
      <c r="AF162" s="316"/>
      <c r="AG162" s="317">
        <f t="shared" si="21"/>
        <v>1303.7649999999999</v>
      </c>
      <c r="AH162" s="301">
        <v>44048</v>
      </c>
      <c r="AI162" s="120" t="s">
        <v>77</v>
      </c>
      <c r="AJ162" s="132" t="s">
        <v>150</v>
      </c>
    </row>
    <row r="163" spans="18:36" x14ac:dyDescent="0.2">
      <c r="R163" s="314" t="s">
        <v>31</v>
      </c>
      <c r="S163" s="315" t="s">
        <v>72</v>
      </c>
      <c r="T163" s="316">
        <v>1300</v>
      </c>
      <c r="U163" s="316"/>
      <c r="V163" s="316"/>
      <c r="W163" s="316"/>
      <c r="X163" s="316">
        <v>50</v>
      </c>
      <c r="Y163" s="316"/>
      <c r="Z163" s="316">
        <f>T163+W163+Y163+X163</f>
        <v>1350</v>
      </c>
      <c r="AA163" s="316">
        <v>13</v>
      </c>
      <c r="AB163" s="316"/>
      <c r="AC163" s="316"/>
      <c r="AD163" s="316"/>
      <c r="AE163" s="316">
        <v>67.78</v>
      </c>
      <c r="AF163" s="316"/>
      <c r="AG163" s="317">
        <f t="shared" si="21"/>
        <v>1269.22</v>
      </c>
      <c r="AH163" s="301">
        <v>44048</v>
      </c>
      <c r="AI163" s="120" t="s">
        <v>77</v>
      </c>
      <c r="AJ163" s="132" t="s">
        <v>150</v>
      </c>
    </row>
    <row r="164" spans="18:36" x14ac:dyDescent="0.2">
      <c r="R164" s="314" t="s">
        <v>69</v>
      </c>
      <c r="S164" s="315" t="s">
        <v>73</v>
      </c>
      <c r="T164" s="316">
        <v>1000</v>
      </c>
      <c r="U164" s="316"/>
      <c r="V164" s="316"/>
      <c r="W164" s="316"/>
      <c r="X164" s="316"/>
      <c r="Y164" s="316"/>
      <c r="Z164" s="316">
        <f>T164+W164+Y164</f>
        <v>1000</v>
      </c>
      <c r="AA164" s="316">
        <v>10</v>
      </c>
      <c r="AB164" s="316"/>
      <c r="AC164" s="316"/>
      <c r="AD164" s="316"/>
      <c r="AE164" s="316"/>
      <c r="AF164" s="316"/>
      <c r="AG164" s="317">
        <f t="shared" si="21"/>
        <v>990</v>
      </c>
      <c r="AH164" s="301">
        <v>44048</v>
      </c>
      <c r="AI164" s="120" t="s">
        <v>77</v>
      </c>
      <c r="AJ164" s="132" t="s">
        <v>150</v>
      </c>
    </row>
    <row r="165" spans="18:36" x14ac:dyDescent="0.2">
      <c r="R165" s="314" t="s">
        <v>146</v>
      </c>
      <c r="S165" s="315" t="s">
        <v>151</v>
      </c>
      <c r="T165" s="316">
        <v>250</v>
      </c>
      <c r="U165" s="316"/>
      <c r="V165" s="316"/>
      <c r="W165" s="316"/>
      <c r="X165" s="316"/>
      <c r="Y165" s="316"/>
      <c r="Z165" s="316">
        <f>T165+W165+X165+Y165</f>
        <v>250</v>
      </c>
      <c r="AA165" s="316">
        <v>2.5</v>
      </c>
      <c r="AB165" s="316"/>
      <c r="AC165" s="316"/>
      <c r="AD165" s="316"/>
      <c r="AE165" s="316"/>
      <c r="AF165" s="316"/>
      <c r="AG165" s="317">
        <f t="shared" si="21"/>
        <v>247.5</v>
      </c>
      <c r="AH165" s="301">
        <v>44048</v>
      </c>
      <c r="AI165" s="120" t="s">
        <v>77</v>
      </c>
      <c r="AJ165" s="132" t="s">
        <v>150</v>
      </c>
    </row>
    <row r="166" spans="18:36" x14ac:dyDescent="0.2">
      <c r="R166" s="314" t="s">
        <v>25</v>
      </c>
      <c r="S166" s="315" t="s">
        <v>63</v>
      </c>
      <c r="T166" s="316">
        <v>3966.4</v>
      </c>
      <c r="U166" s="316"/>
      <c r="V166" s="316"/>
      <c r="W166" s="316">
        <v>0</v>
      </c>
      <c r="X166" s="316">
        <v>490</v>
      </c>
      <c r="Y166" s="316">
        <v>624</v>
      </c>
      <c r="Z166" s="316">
        <f>T166+W166+Y166</f>
        <v>4590.3999999999996</v>
      </c>
      <c r="AA166" s="316">
        <v>37.18</v>
      </c>
      <c r="AB166" s="316">
        <v>588</v>
      </c>
      <c r="AC166" s="316">
        <v>-159.5</v>
      </c>
      <c r="AD166" s="316">
        <v>624</v>
      </c>
      <c r="AE166" s="316">
        <v>200.01</v>
      </c>
      <c r="AF166" s="316">
        <v>1225</v>
      </c>
      <c r="AG166" s="317">
        <f t="shared" si="21"/>
        <v>1941.7099999999991</v>
      </c>
      <c r="AH166" s="301">
        <v>44055</v>
      </c>
      <c r="AI166" s="151" t="s">
        <v>78</v>
      </c>
      <c r="AJ166" s="132" t="s">
        <v>150</v>
      </c>
    </row>
    <row r="167" spans="18:36" x14ac:dyDescent="0.2">
      <c r="R167" s="314" t="s">
        <v>26</v>
      </c>
      <c r="S167" s="315" t="s">
        <v>70</v>
      </c>
      <c r="T167" s="316">
        <v>1023.5</v>
      </c>
      <c r="U167" s="316"/>
      <c r="V167" s="316"/>
      <c r="W167" s="316"/>
      <c r="X167" s="316">
        <v>50</v>
      </c>
      <c r="Y167" s="316"/>
      <c r="Z167" s="316">
        <f>T167+W167+Y167</f>
        <v>1023.5</v>
      </c>
      <c r="AA167" s="316">
        <v>10.234999999999999</v>
      </c>
      <c r="AB167" s="316"/>
      <c r="AC167" s="316"/>
      <c r="AD167" s="316"/>
      <c r="AE167" s="316">
        <v>58.14</v>
      </c>
      <c r="AF167" s="316"/>
      <c r="AG167" s="317">
        <f t="shared" si="21"/>
        <v>1005.1250000000001</v>
      </c>
      <c r="AH167" s="301">
        <v>44055</v>
      </c>
      <c r="AI167" s="151" t="s">
        <v>78</v>
      </c>
      <c r="AJ167" s="132" t="s">
        <v>150</v>
      </c>
    </row>
    <row r="168" spans="18:36" x14ac:dyDescent="0.2">
      <c r="R168" s="314" t="s">
        <v>3</v>
      </c>
      <c r="S168" s="315" t="s">
        <v>71</v>
      </c>
      <c r="T168" s="316">
        <v>1343.5</v>
      </c>
      <c r="U168" s="316"/>
      <c r="V168" s="316"/>
      <c r="W168" s="316"/>
      <c r="X168" s="316">
        <v>50</v>
      </c>
      <c r="Y168" s="316"/>
      <c r="Z168" s="316">
        <f>T168+W168+Y168+X168</f>
        <v>1393.5</v>
      </c>
      <c r="AA168" s="316">
        <v>13.44</v>
      </c>
      <c r="AB168" s="316"/>
      <c r="AC168" s="316"/>
      <c r="AD168" s="316"/>
      <c r="AE168" s="316">
        <v>76.295000000000002</v>
      </c>
      <c r="AF168" s="316"/>
      <c r="AG168" s="317">
        <f t="shared" si="21"/>
        <v>1303.7649999999999</v>
      </c>
      <c r="AH168" s="301">
        <v>44055</v>
      </c>
      <c r="AI168" s="151" t="s">
        <v>78</v>
      </c>
      <c r="AJ168" s="132" t="s">
        <v>150</v>
      </c>
    </row>
    <row r="169" spans="18:36" x14ac:dyDescent="0.2">
      <c r="R169" s="314" t="s">
        <v>31</v>
      </c>
      <c r="S169" s="315" t="s">
        <v>72</v>
      </c>
      <c r="T169" s="316">
        <v>1300</v>
      </c>
      <c r="U169" s="316"/>
      <c r="V169" s="316"/>
      <c r="W169" s="316"/>
      <c r="X169" s="316">
        <v>50</v>
      </c>
      <c r="Y169" s="316"/>
      <c r="Z169" s="316">
        <f>T169+W169+Y169+X169</f>
        <v>1350</v>
      </c>
      <c r="AA169" s="316">
        <v>13</v>
      </c>
      <c r="AB169" s="316"/>
      <c r="AC169" s="316"/>
      <c r="AD169" s="316"/>
      <c r="AE169" s="316">
        <v>67.78</v>
      </c>
      <c r="AF169" s="316"/>
      <c r="AG169" s="317">
        <f t="shared" si="21"/>
        <v>1269.22</v>
      </c>
      <c r="AH169" s="301">
        <v>44055</v>
      </c>
      <c r="AI169" s="151" t="s">
        <v>78</v>
      </c>
      <c r="AJ169" s="132" t="s">
        <v>150</v>
      </c>
    </row>
    <row r="170" spans="18:36" x14ac:dyDescent="0.2">
      <c r="R170" s="314" t="s">
        <v>69</v>
      </c>
      <c r="S170" s="315" t="s">
        <v>73</v>
      </c>
      <c r="T170" s="316">
        <v>1000</v>
      </c>
      <c r="U170" s="316"/>
      <c r="V170" s="316"/>
      <c r="W170" s="316"/>
      <c r="X170" s="316"/>
      <c r="Y170" s="316"/>
      <c r="Z170" s="316">
        <f>T170+W170+Y170</f>
        <v>1000</v>
      </c>
      <c r="AA170" s="316">
        <v>10</v>
      </c>
      <c r="AB170" s="316"/>
      <c r="AC170" s="316"/>
      <c r="AD170" s="316"/>
      <c r="AE170" s="316"/>
      <c r="AF170" s="316"/>
      <c r="AG170" s="317">
        <f t="shared" si="21"/>
        <v>990</v>
      </c>
      <c r="AH170" s="301">
        <v>44055</v>
      </c>
      <c r="AI170" s="151" t="s">
        <v>78</v>
      </c>
      <c r="AJ170" s="132" t="s">
        <v>150</v>
      </c>
    </row>
    <row r="171" spans="18:36" x14ac:dyDescent="0.2">
      <c r="R171" s="314" t="s">
        <v>146</v>
      </c>
      <c r="S171" s="315" t="s">
        <v>151</v>
      </c>
      <c r="T171" s="316">
        <v>1250</v>
      </c>
      <c r="U171" s="316"/>
      <c r="V171" s="316"/>
      <c r="W171" s="316">
        <f>375+250</f>
        <v>625</v>
      </c>
      <c r="X171" s="316"/>
      <c r="Y171" s="316"/>
      <c r="Z171" s="316">
        <f>T171+W171+X171+Y171</f>
        <v>1875</v>
      </c>
      <c r="AA171" s="316">
        <v>18.75</v>
      </c>
      <c r="AB171" s="316">
        <v>49</v>
      </c>
      <c r="AC171" s="316"/>
      <c r="AD171" s="316"/>
      <c r="AE171" s="316"/>
      <c r="AF171" s="316"/>
      <c r="AG171" s="317">
        <f t="shared" si="21"/>
        <v>1807.25</v>
      </c>
      <c r="AH171" s="301">
        <v>44055</v>
      </c>
      <c r="AI171" s="151" t="s">
        <v>78</v>
      </c>
      <c r="AJ171" s="132"/>
    </row>
    <row r="172" spans="18:36" x14ac:dyDescent="0.2">
      <c r="R172" s="314" t="s">
        <v>25</v>
      </c>
      <c r="S172" s="315" t="s">
        <v>63</v>
      </c>
      <c r="T172" s="316">
        <v>3966.4</v>
      </c>
      <c r="U172" s="316"/>
      <c r="V172" s="316"/>
      <c r="W172" s="316">
        <v>0</v>
      </c>
      <c r="X172" s="316">
        <v>490</v>
      </c>
      <c r="Y172" s="316">
        <v>624</v>
      </c>
      <c r="Z172" s="316">
        <f>T172+W172+Y172</f>
        <v>4590.3999999999996</v>
      </c>
      <c r="AA172" s="316">
        <v>37.18</v>
      </c>
      <c r="AB172" s="316">
        <v>588</v>
      </c>
      <c r="AC172" s="316">
        <v>-159.5</v>
      </c>
      <c r="AD172" s="316">
        <v>624</v>
      </c>
      <c r="AE172" s="316">
        <v>200.01</v>
      </c>
      <c r="AF172" s="316">
        <v>1225</v>
      </c>
      <c r="AG172" s="317">
        <f t="shared" si="21"/>
        <v>1941.7099999999991</v>
      </c>
      <c r="AH172" s="301">
        <v>44062</v>
      </c>
      <c r="AI172" s="123" t="s">
        <v>99</v>
      </c>
      <c r="AJ172" s="132" t="s">
        <v>150</v>
      </c>
    </row>
    <row r="173" spans="18:36" x14ac:dyDescent="0.2">
      <c r="R173" s="314" t="s">
        <v>26</v>
      </c>
      <c r="S173" s="315" t="s">
        <v>70</v>
      </c>
      <c r="T173" s="316">
        <v>1023.5</v>
      </c>
      <c r="U173" s="316"/>
      <c r="V173" s="316"/>
      <c r="W173" s="316"/>
      <c r="X173" s="316">
        <v>50</v>
      </c>
      <c r="Y173" s="316"/>
      <c r="Z173" s="316">
        <f>T173+W173+Y173</f>
        <v>1023.5</v>
      </c>
      <c r="AA173" s="316">
        <v>10.234999999999999</v>
      </c>
      <c r="AB173" s="316"/>
      <c r="AC173" s="316"/>
      <c r="AD173" s="316"/>
      <c r="AE173" s="316">
        <v>58.14</v>
      </c>
      <c r="AF173" s="316"/>
      <c r="AG173" s="317">
        <f t="shared" si="21"/>
        <v>1005.1250000000001</v>
      </c>
      <c r="AH173" s="301">
        <v>44062</v>
      </c>
      <c r="AI173" s="123" t="s">
        <v>99</v>
      </c>
      <c r="AJ173" s="132" t="s">
        <v>150</v>
      </c>
    </row>
    <row r="174" spans="18:36" x14ac:dyDescent="0.2">
      <c r="R174" s="314" t="s">
        <v>3</v>
      </c>
      <c r="S174" s="315" t="s">
        <v>71</v>
      </c>
      <c r="T174" s="316">
        <v>1343.5</v>
      </c>
      <c r="U174" s="316"/>
      <c r="V174" s="316"/>
      <c r="W174" s="316"/>
      <c r="X174" s="316">
        <v>50</v>
      </c>
      <c r="Y174" s="316"/>
      <c r="Z174" s="316">
        <f>T174+W174+Y174+X174</f>
        <v>1393.5</v>
      </c>
      <c r="AA174" s="316">
        <v>13.44</v>
      </c>
      <c r="AB174" s="316"/>
      <c r="AC174" s="316"/>
      <c r="AD174" s="316"/>
      <c r="AE174" s="316">
        <v>76.295000000000002</v>
      </c>
      <c r="AF174" s="316"/>
      <c r="AG174" s="317">
        <f t="shared" si="21"/>
        <v>1303.7649999999999</v>
      </c>
      <c r="AH174" s="301">
        <v>44062</v>
      </c>
      <c r="AI174" s="123" t="s">
        <v>99</v>
      </c>
      <c r="AJ174" s="132" t="s">
        <v>150</v>
      </c>
    </row>
    <row r="175" spans="18:36" x14ac:dyDescent="0.2">
      <c r="R175" s="314" t="s">
        <v>31</v>
      </c>
      <c r="S175" s="315" t="s">
        <v>72</v>
      </c>
      <c r="T175" s="316">
        <v>1300</v>
      </c>
      <c r="U175" s="316"/>
      <c r="V175" s="316"/>
      <c r="W175" s="316"/>
      <c r="X175" s="316">
        <v>50</v>
      </c>
      <c r="Y175" s="316"/>
      <c r="Z175" s="316">
        <f>T175+W175+Y175+X175</f>
        <v>1350</v>
      </c>
      <c r="AA175" s="316">
        <v>13</v>
      </c>
      <c r="AB175" s="316"/>
      <c r="AC175" s="316"/>
      <c r="AD175" s="316"/>
      <c r="AE175" s="316">
        <v>67.78</v>
      </c>
      <c r="AF175" s="316"/>
      <c r="AG175" s="317">
        <f t="shared" si="21"/>
        <v>1269.22</v>
      </c>
      <c r="AH175" s="301">
        <v>44062</v>
      </c>
      <c r="AI175" s="123" t="s">
        <v>99</v>
      </c>
      <c r="AJ175" s="132" t="s">
        <v>150</v>
      </c>
    </row>
    <row r="176" spans="18:36" x14ac:dyDescent="0.2">
      <c r="R176" s="314" t="s">
        <v>69</v>
      </c>
      <c r="S176" s="315" t="s">
        <v>73</v>
      </c>
      <c r="T176" s="316">
        <v>1000</v>
      </c>
      <c r="U176" s="316"/>
      <c r="V176" s="316"/>
      <c r="W176" s="316"/>
      <c r="X176" s="316"/>
      <c r="Y176" s="316"/>
      <c r="Z176" s="316">
        <f>T176+W176+Y176</f>
        <v>1000</v>
      </c>
      <c r="AA176" s="316">
        <v>10</v>
      </c>
      <c r="AB176" s="316"/>
      <c r="AC176" s="316"/>
      <c r="AD176" s="316"/>
      <c r="AE176" s="316"/>
      <c r="AF176" s="316"/>
      <c r="AG176" s="317">
        <f t="shared" si="21"/>
        <v>990</v>
      </c>
      <c r="AH176" s="301">
        <v>44062</v>
      </c>
      <c r="AI176" s="123" t="s">
        <v>99</v>
      </c>
      <c r="AJ176" s="132" t="s">
        <v>150</v>
      </c>
    </row>
    <row r="177" spans="1:36" x14ac:dyDescent="0.2">
      <c r="R177" s="314" t="s">
        <v>146</v>
      </c>
      <c r="S177" s="315" t="s">
        <v>151</v>
      </c>
      <c r="T177" s="316">
        <v>1250</v>
      </c>
      <c r="U177" s="316"/>
      <c r="V177" s="316"/>
      <c r="W177" s="316">
        <v>375</v>
      </c>
      <c r="X177" s="316"/>
      <c r="Y177" s="316"/>
      <c r="Z177" s="316">
        <f>T177+W177+X177+Y177</f>
        <v>1625</v>
      </c>
      <c r="AA177" s="316">
        <v>16.25</v>
      </c>
      <c r="AB177" s="316">
        <v>5</v>
      </c>
      <c r="AC177" s="316"/>
      <c r="AD177" s="316"/>
      <c r="AE177" s="316"/>
      <c r="AF177" s="316"/>
      <c r="AG177" s="317">
        <f t="shared" si="21"/>
        <v>1603.75</v>
      </c>
      <c r="AH177" s="301">
        <v>44062</v>
      </c>
      <c r="AI177" s="123" t="s">
        <v>99</v>
      </c>
      <c r="AJ177" s="132"/>
    </row>
    <row r="178" spans="1:36" x14ac:dyDescent="0.2">
      <c r="R178" s="314" t="s">
        <v>25</v>
      </c>
      <c r="S178" s="315" t="s">
        <v>63</v>
      </c>
      <c r="T178" s="316">
        <v>3966.4</v>
      </c>
      <c r="U178" s="316"/>
      <c r="V178" s="316"/>
      <c r="W178" s="316">
        <v>0</v>
      </c>
      <c r="X178" s="316">
        <v>490</v>
      </c>
      <c r="Y178" s="316">
        <v>624</v>
      </c>
      <c r="Z178" s="316">
        <f>T178+W178+Y178</f>
        <v>4590.3999999999996</v>
      </c>
      <c r="AA178" s="316">
        <v>37.18</v>
      </c>
      <c r="AB178" s="316">
        <v>588</v>
      </c>
      <c r="AC178" s="316">
        <v>-159.5</v>
      </c>
      <c r="AD178" s="316">
        <v>624</v>
      </c>
      <c r="AE178" s="316">
        <v>200.01</v>
      </c>
      <c r="AF178" s="316">
        <v>1225</v>
      </c>
      <c r="AG178" s="317">
        <f t="shared" si="21"/>
        <v>1941.7099999999991</v>
      </c>
      <c r="AH178" s="301">
        <v>44069</v>
      </c>
      <c r="AI178" s="149" t="s">
        <v>81</v>
      </c>
      <c r="AJ178" s="132" t="s">
        <v>150</v>
      </c>
    </row>
    <row r="179" spans="1:36" x14ac:dyDescent="0.2">
      <c r="R179" s="314" t="s">
        <v>26</v>
      </c>
      <c r="S179" s="315" t="s">
        <v>70</v>
      </c>
      <c r="T179" s="316">
        <v>1023.5</v>
      </c>
      <c r="U179" s="316"/>
      <c r="V179" s="316"/>
      <c r="W179" s="316"/>
      <c r="X179" s="316">
        <v>50</v>
      </c>
      <c r="Y179" s="316"/>
      <c r="Z179" s="316">
        <f>T179+W179+Y179</f>
        <v>1023.5</v>
      </c>
      <c r="AA179" s="316">
        <v>10.234999999999999</v>
      </c>
      <c r="AB179" s="316"/>
      <c r="AC179" s="316"/>
      <c r="AD179" s="316"/>
      <c r="AE179" s="316">
        <v>58.14</v>
      </c>
      <c r="AF179" s="316"/>
      <c r="AG179" s="317">
        <f t="shared" si="21"/>
        <v>1005.1250000000001</v>
      </c>
      <c r="AH179" s="301">
        <v>44069</v>
      </c>
      <c r="AI179" s="149" t="s">
        <v>81</v>
      </c>
      <c r="AJ179" s="132" t="s">
        <v>150</v>
      </c>
    </row>
    <row r="180" spans="1:36" x14ac:dyDescent="0.2">
      <c r="R180" s="314" t="s">
        <v>3</v>
      </c>
      <c r="S180" s="315" t="s">
        <v>71</v>
      </c>
      <c r="T180" s="316">
        <v>1343.5</v>
      </c>
      <c r="U180" s="316"/>
      <c r="V180" s="316"/>
      <c r="W180" s="316"/>
      <c r="X180" s="316">
        <v>50</v>
      </c>
      <c r="Y180" s="316"/>
      <c r="Z180" s="316">
        <f>T180+W180+Y180+X180</f>
        <v>1393.5</v>
      </c>
      <c r="AA180" s="316">
        <v>13.44</v>
      </c>
      <c r="AB180" s="316"/>
      <c r="AC180" s="316"/>
      <c r="AD180" s="316"/>
      <c r="AE180" s="316">
        <v>76.295000000000002</v>
      </c>
      <c r="AF180" s="316"/>
      <c r="AG180" s="317">
        <f t="shared" si="21"/>
        <v>1303.7649999999999</v>
      </c>
      <c r="AH180" s="301">
        <v>44069</v>
      </c>
      <c r="AI180" s="149" t="s">
        <v>81</v>
      </c>
      <c r="AJ180" s="132" t="s">
        <v>150</v>
      </c>
    </row>
    <row r="181" spans="1:36" x14ac:dyDescent="0.2">
      <c r="R181" s="314" t="s">
        <v>31</v>
      </c>
      <c r="S181" s="315" t="s">
        <v>72</v>
      </c>
      <c r="T181" s="316">
        <v>1300</v>
      </c>
      <c r="U181" s="316"/>
      <c r="V181" s="316"/>
      <c r="W181" s="316"/>
      <c r="X181" s="316">
        <v>50</v>
      </c>
      <c r="Y181" s="316"/>
      <c r="Z181" s="316">
        <f>T181+W181+Y181+X181</f>
        <v>1350</v>
      </c>
      <c r="AA181" s="316">
        <v>13</v>
      </c>
      <c r="AB181" s="316"/>
      <c r="AC181" s="316"/>
      <c r="AD181" s="316"/>
      <c r="AE181" s="316">
        <v>67.78</v>
      </c>
      <c r="AF181" s="316"/>
      <c r="AG181" s="317">
        <f t="shared" si="21"/>
        <v>1269.22</v>
      </c>
      <c r="AH181" s="301">
        <v>44069</v>
      </c>
      <c r="AI181" s="149" t="s">
        <v>81</v>
      </c>
      <c r="AJ181" s="132" t="s">
        <v>150</v>
      </c>
    </row>
    <row r="182" spans="1:36" x14ac:dyDescent="0.2">
      <c r="R182" s="314" t="s">
        <v>69</v>
      </c>
      <c r="S182" s="315" t="s">
        <v>73</v>
      </c>
      <c r="T182" s="316">
        <v>1000</v>
      </c>
      <c r="U182" s="316"/>
      <c r="V182" s="316"/>
      <c r="W182" s="316"/>
      <c r="X182" s="316"/>
      <c r="Y182" s="316"/>
      <c r="Z182" s="316">
        <f>T182+W182+Y182</f>
        <v>1000</v>
      </c>
      <c r="AA182" s="316">
        <v>10</v>
      </c>
      <c r="AB182" s="316"/>
      <c r="AC182" s="316"/>
      <c r="AD182" s="316"/>
      <c r="AE182" s="316"/>
      <c r="AF182" s="316"/>
      <c r="AG182" s="317">
        <f t="shared" si="21"/>
        <v>990</v>
      </c>
      <c r="AH182" s="301">
        <v>44069</v>
      </c>
      <c r="AI182" s="149" t="s">
        <v>81</v>
      </c>
      <c r="AJ182" s="132" t="s">
        <v>150</v>
      </c>
    </row>
    <row r="183" spans="1:36" x14ac:dyDescent="0.2">
      <c r="R183" s="314" t="s">
        <v>146</v>
      </c>
      <c r="S183" s="315" t="s">
        <v>151</v>
      </c>
      <c r="T183" s="316">
        <v>1250</v>
      </c>
      <c r="U183" s="316"/>
      <c r="V183" s="316"/>
      <c r="W183" s="316">
        <v>750</v>
      </c>
      <c r="X183" s="316"/>
      <c r="Y183" s="316"/>
      <c r="Z183" s="316">
        <f>T183+W183+X183+Y183</f>
        <v>2000</v>
      </c>
      <c r="AA183" s="316">
        <v>20</v>
      </c>
      <c r="AB183" s="316">
        <v>72</v>
      </c>
      <c r="AC183" s="316"/>
      <c r="AD183" s="316"/>
      <c r="AE183" s="316"/>
      <c r="AF183" s="316"/>
      <c r="AG183" s="317">
        <f t="shared" si="21"/>
        <v>1908</v>
      </c>
      <c r="AH183" s="301">
        <v>44069</v>
      </c>
      <c r="AI183" s="149" t="s">
        <v>81</v>
      </c>
      <c r="AJ183" s="132"/>
    </row>
    <row r="184" spans="1:36" s="162" customFormat="1" x14ac:dyDescent="0.2">
      <c r="A184" s="350"/>
      <c r="B184" s="350"/>
      <c r="C184" s="77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R184" s="314" t="s">
        <v>8</v>
      </c>
      <c r="S184" s="318" t="s">
        <v>96</v>
      </c>
      <c r="T184" s="316">
        <v>13502</v>
      </c>
      <c r="U184" s="316"/>
      <c r="V184" s="316"/>
      <c r="W184" s="316"/>
      <c r="X184" s="316"/>
      <c r="Y184" s="316">
        <v>5624</v>
      </c>
      <c r="Z184" s="316">
        <f>T184+W184+Y184</f>
        <v>19126</v>
      </c>
      <c r="AA184" s="316"/>
      <c r="AB184" s="316">
        <v>2355</v>
      </c>
      <c r="AC184" s="316">
        <v>-853</v>
      </c>
      <c r="AD184" s="316"/>
      <c r="AE184" s="316"/>
      <c r="AF184" s="316"/>
      <c r="AG184" s="317">
        <f t="shared" si="21"/>
        <v>12000</v>
      </c>
      <c r="AH184" s="170"/>
      <c r="AI184" s="170"/>
      <c r="AJ184" s="161"/>
    </row>
    <row r="185" spans="1:36" s="162" customFormat="1" x14ac:dyDescent="0.2">
      <c r="A185" s="350"/>
      <c r="B185" s="350"/>
      <c r="C185" s="77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R185" s="314" t="s">
        <v>27</v>
      </c>
      <c r="S185" s="318" t="s">
        <v>97</v>
      </c>
      <c r="T185" s="316">
        <v>13717</v>
      </c>
      <c r="U185" s="316"/>
      <c r="V185" s="316"/>
      <c r="W185" s="316"/>
      <c r="X185" s="316"/>
      <c r="Y185" s="316">
        <v>5409</v>
      </c>
      <c r="Z185" s="316">
        <f>T185+W185+Y185</f>
        <v>19126</v>
      </c>
      <c r="AA185" s="316"/>
      <c r="AB185" s="316">
        <v>2355</v>
      </c>
      <c r="AC185" s="316">
        <v>-638</v>
      </c>
      <c r="AD185" s="316"/>
      <c r="AE185" s="316"/>
      <c r="AF185" s="316"/>
      <c r="AG185" s="317">
        <f t="shared" si="21"/>
        <v>12000</v>
      </c>
      <c r="AH185" s="170"/>
      <c r="AI185" s="170"/>
      <c r="AJ185" s="161"/>
    </row>
    <row r="186" spans="1:36" s="162" customFormat="1" ht="13.5" thickBot="1" x14ac:dyDescent="0.25">
      <c r="A186" s="350"/>
      <c r="B186" s="350"/>
      <c r="C186" s="77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R186" s="319" t="s">
        <v>6</v>
      </c>
      <c r="S186" s="320" t="s">
        <v>98</v>
      </c>
      <c r="T186" s="321">
        <v>12643.72</v>
      </c>
      <c r="U186" s="321"/>
      <c r="V186" s="321"/>
      <c r="W186" s="321"/>
      <c r="X186" s="321"/>
      <c r="Y186" s="321">
        <v>2812</v>
      </c>
      <c r="Z186" s="321">
        <f>T186+W186+Y186</f>
        <v>15455.72</v>
      </c>
      <c r="AA186" s="321">
        <v>148.72</v>
      </c>
      <c r="AB186" s="321">
        <v>1536</v>
      </c>
      <c r="AC186" s="321">
        <v>-853</v>
      </c>
      <c r="AD186" s="321">
        <v>2812</v>
      </c>
      <c r="AE186" s="321"/>
      <c r="AF186" s="321"/>
      <c r="AG186" s="322">
        <f t="shared" si="21"/>
        <v>9000</v>
      </c>
      <c r="AH186" s="170"/>
      <c r="AI186" s="170"/>
      <c r="AJ186" s="161"/>
    </row>
    <row r="187" spans="1:36" x14ac:dyDescent="0.2">
      <c r="R187" s="331" t="s">
        <v>25</v>
      </c>
      <c r="S187" s="83" t="s">
        <v>63</v>
      </c>
      <c r="T187" s="87">
        <v>3966.4</v>
      </c>
      <c r="U187" s="87"/>
      <c r="V187" s="87"/>
      <c r="W187" s="87">
        <v>0</v>
      </c>
      <c r="X187" s="87">
        <v>490</v>
      </c>
      <c r="Y187" s="87">
        <v>624</v>
      </c>
      <c r="Z187" s="87">
        <f>T187+W187+Y187</f>
        <v>4590.3999999999996</v>
      </c>
      <c r="AA187" s="87">
        <v>37.18</v>
      </c>
      <c r="AB187" s="87">
        <v>588</v>
      </c>
      <c r="AC187" s="87">
        <v>-159.5</v>
      </c>
      <c r="AD187" s="87">
        <v>624</v>
      </c>
      <c r="AE187" s="87">
        <v>200.01</v>
      </c>
      <c r="AF187" s="87">
        <v>1225</v>
      </c>
      <c r="AG187" s="330">
        <f t="shared" si="21"/>
        <v>1941.7099999999991</v>
      </c>
      <c r="AH187" s="301">
        <v>44076</v>
      </c>
      <c r="AI187" s="120" t="s">
        <v>82</v>
      </c>
      <c r="AJ187" s="132" t="s">
        <v>165</v>
      </c>
    </row>
    <row r="188" spans="1:36" x14ac:dyDescent="0.2">
      <c r="R188" s="292" t="s">
        <v>26</v>
      </c>
      <c r="S188" s="81" t="s">
        <v>70</v>
      </c>
      <c r="T188" s="88">
        <v>1023.5</v>
      </c>
      <c r="U188" s="88"/>
      <c r="V188" s="88"/>
      <c r="W188" s="88"/>
      <c r="X188" s="88">
        <v>50</v>
      </c>
      <c r="Y188" s="88"/>
      <c r="Z188" s="88">
        <f>T188+W188+Y188</f>
        <v>1023.5</v>
      </c>
      <c r="AA188" s="88">
        <v>10.234999999999999</v>
      </c>
      <c r="AB188" s="88"/>
      <c r="AC188" s="88"/>
      <c r="AD188" s="88"/>
      <c r="AE188" s="88">
        <v>58.14</v>
      </c>
      <c r="AF188" s="88">
        <v>100</v>
      </c>
      <c r="AG188" s="304">
        <f t="shared" si="21"/>
        <v>905.12500000000011</v>
      </c>
      <c r="AH188" s="301">
        <v>44076</v>
      </c>
      <c r="AI188" s="120" t="s">
        <v>82</v>
      </c>
      <c r="AJ188" s="132" t="s">
        <v>165</v>
      </c>
    </row>
    <row r="189" spans="1:36" x14ac:dyDescent="0.2">
      <c r="R189" s="292" t="s">
        <v>3</v>
      </c>
      <c r="S189" s="81" t="s">
        <v>71</v>
      </c>
      <c r="T189" s="88">
        <v>1343.5</v>
      </c>
      <c r="U189" s="88"/>
      <c r="V189" s="88"/>
      <c r="W189" s="88"/>
      <c r="X189" s="88">
        <v>50</v>
      </c>
      <c r="Y189" s="88"/>
      <c r="Z189" s="88">
        <f>T189+W189+Y189+X189</f>
        <v>1393.5</v>
      </c>
      <c r="AA189" s="88">
        <v>13.44</v>
      </c>
      <c r="AB189" s="88"/>
      <c r="AC189" s="88"/>
      <c r="AD189" s="88"/>
      <c r="AE189" s="88">
        <v>76.295000000000002</v>
      </c>
      <c r="AF189" s="88"/>
      <c r="AG189" s="304">
        <f t="shared" si="21"/>
        <v>1303.7649999999999</v>
      </c>
      <c r="AH189" s="301">
        <v>44076</v>
      </c>
      <c r="AI189" s="120" t="s">
        <v>82</v>
      </c>
      <c r="AJ189" s="132" t="s">
        <v>165</v>
      </c>
    </row>
    <row r="190" spans="1:36" x14ac:dyDescent="0.2">
      <c r="R190" s="292" t="s">
        <v>31</v>
      </c>
      <c r="S190" s="81" t="s">
        <v>72</v>
      </c>
      <c r="T190" s="88">
        <v>1300</v>
      </c>
      <c r="U190" s="88"/>
      <c r="V190" s="88"/>
      <c r="W190" s="88"/>
      <c r="X190" s="88">
        <v>50</v>
      </c>
      <c r="Y190" s="88"/>
      <c r="Z190" s="88">
        <f>T190+W190+Y190+X190</f>
        <v>1350</v>
      </c>
      <c r="AA190" s="88">
        <v>13</v>
      </c>
      <c r="AB190" s="88"/>
      <c r="AC190" s="88"/>
      <c r="AD190" s="88"/>
      <c r="AE190" s="88">
        <v>67.78</v>
      </c>
      <c r="AF190" s="88"/>
      <c r="AG190" s="304">
        <f t="shared" si="21"/>
        <v>1269.22</v>
      </c>
      <c r="AH190" s="301">
        <v>44076</v>
      </c>
      <c r="AI190" s="120" t="s">
        <v>82</v>
      </c>
      <c r="AJ190" s="132" t="s">
        <v>165</v>
      </c>
    </row>
    <row r="191" spans="1:36" x14ac:dyDescent="0.2">
      <c r="A191" s="367"/>
      <c r="B191" s="367"/>
      <c r="C191" s="162"/>
      <c r="D191" s="365"/>
      <c r="E191" s="365"/>
      <c r="F191" s="365"/>
      <c r="G191" s="365"/>
      <c r="H191" s="365"/>
      <c r="I191" s="365"/>
      <c r="J191" s="365"/>
      <c r="K191" s="365"/>
      <c r="L191" s="365"/>
      <c r="M191" s="365"/>
      <c r="N191" s="365"/>
      <c r="O191" s="365"/>
      <c r="P191" s="365"/>
      <c r="R191" s="292" t="s">
        <v>69</v>
      </c>
      <c r="S191" s="81" t="s">
        <v>73</v>
      </c>
      <c r="T191" s="88">
        <v>1000</v>
      </c>
      <c r="U191" s="88"/>
      <c r="V191" s="88"/>
      <c r="W191" s="88"/>
      <c r="X191" s="88"/>
      <c r="Y191" s="88"/>
      <c r="Z191" s="88">
        <f>T191+W191+Y191</f>
        <v>1000</v>
      </c>
      <c r="AA191" s="88">
        <v>10</v>
      </c>
      <c r="AB191" s="88"/>
      <c r="AC191" s="88"/>
      <c r="AD191" s="88"/>
      <c r="AE191" s="88"/>
      <c r="AF191" s="88"/>
      <c r="AG191" s="304">
        <f t="shared" si="21"/>
        <v>990</v>
      </c>
      <c r="AH191" s="301">
        <v>44076</v>
      </c>
      <c r="AI191" s="120" t="s">
        <v>82</v>
      </c>
      <c r="AJ191" s="132" t="s">
        <v>165</v>
      </c>
    </row>
    <row r="192" spans="1:36" x14ac:dyDescent="0.2">
      <c r="A192" s="367"/>
      <c r="B192" s="367"/>
      <c r="C192" s="162"/>
      <c r="D192" s="365"/>
      <c r="E192" s="365"/>
      <c r="F192" s="365"/>
      <c r="G192" s="365"/>
      <c r="H192" s="365"/>
      <c r="I192" s="365"/>
      <c r="J192" s="365"/>
      <c r="K192" s="365"/>
      <c r="L192" s="365"/>
      <c r="M192" s="365"/>
      <c r="N192" s="365"/>
      <c r="O192" s="365"/>
      <c r="P192" s="365"/>
      <c r="R192" s="292" t="s">
        <v>146</v>
      </c>
      <c r="S192" s="81" t="s">
        <v>151</v>
      </c>
      <c r="T192" s="88">
        <v>1250</v>
      </c>
      <c r="U192" s="88"/>
      <c r="V192" s="88"/>
      <c r="W192" s="88">
        <v>539.05999999999995</v>
      </c>
      <c r="X192" s="88"/>
      <c r="Y192" s="88"/>
      <c r="Z192" s="88">
        <f>T192+W192+X192+Y192</f>
        <v>1789.06</v>
      </c>
      <c r="AA192" s="88">
        <v>17.89</v>
      </c>
      <c r="AB192" s="88">
        <v>34</v>
      </c>
      <c r="AC192" s="88"/>
      <c r="AD192" s="88"/>
      <c r="AE192" s="88"/>
      <c r="AF192" s="88"/>
      <c r="AG192" s="304">
        <f t="shared" si="21"/>
        <v>1737.1699999999998</v>
      </c>
      <c r="AH192" s="301">
        <v>44069</v>
      </c>
      <c r="AI192" s="240" t="s">
        <v>82</v>
      </c>
      <c r="AJ192" s="132" t="s">
        <v>165</v>
      </c>
    </row>
    <row r="193" spans="1:36" x14ac:dyDescent="0.2">
      <c r="A193" s="367"/>
      <c r="B193" s="367"/>
      <c r="C193" s="162"/>
      <c r="D193" s="365"/>
      <c r="E193" s="365"/>
      <c r="F193" s="365"/>
      <c r="G193" s="365"/>
      <c r="H193" s="365"/>
      <c r="I193" s="365"/>
      <c r="J193" s="365"/>
      <c r="K193" s="365"/>
      <c r="L193" s="365"/>
      <c r="M193" s="365"/>
      <c r="N193" s="365"/>
      <c r="O193" s="365"/>
      <c r="P193" s="365"/>
      <c r="R193" s="292" t="s">
        <v>154</v>
      </c>
      <c r="S193" s="81" t="s">
        <v>101</v>
      </c>
      <c r="T193" s="88">
        <v>500</v>
      </c>
      <c r="U193" s="88"/>
      <c r="V193" s="88"/>
      <c r="W193" s="88"/>
      <c r="X193" s="88"/>
      <c r="Y193" s="88"/>
      <c r="Z193" s="88">
        <f>T193+W193+X193+Y193</f>
        <v>500</v>
      </c>
      <c r="AA193" s="88">
        <v>5</v>
      </c>
      <c r="AB193" s="88"/>
      <c r="AC193" s="88"/>
      <c r="AD193" s="88"/>
      <c r="AE193" s="88"/>
      <c r="AF193" s="88"/>
      <c r="AG193" s="304">
        <f t="shared" si="21"/>
        <v>495</v>
      </c>
      <c r="AH193" s="301">
        <v>44076</v>
      </c>
      <c r="AI193" s="120" t="s">
        <v>82</v>
      </c>
      <c r="AJ193" s="132" t="s">
        <v>165</v>
      </c>
    </row>
    <row r="194" spans="1:36" x14ac:dyDescent="0.2">
      <c r="R194" s="292" t="s">
        <v>25</v>
      </c>
      <c r="S194" s="81" t="s">
        <v>63</v>
      </c>
      <c r="T194" s="88">
        <v>3966.4</v>
      </c>
      <c r="U194" s="88"/>
      <c r="V194" s="88"/>
      <c r="W194" s="88">
        <v>1189.92</v>
      </c>
      <c r="X194" s="88">
        <v>490</v>
      </c>
      <c r="Y194" s="88">
        <v>624</v>
      </c>
      <c r="Z194" s="88">
        <f>T194+W194+Y194</f>
        <v>5780.32</v>
      </c>
      <c r="AA194" s="88">
        <v>37.18</v>
      </c>
      <c r="AB194" s="88">
        <v>901</v>
      </c>
      <c r="AC194" s="88">
        <v>-159.5</v>
      </c>
      <c r="AD194" s="88">
        <v>624</v>
      </c>
      <c r="AE194" s="88">
        <v>200.01</v>
      </c>
      <c r="AF194" s="88">
        <v>1225</v>
      </c>
      <c r="AG194" s="304">
        <f t="shared" si="21"/>
        <v>2818.6299999999992</v>
      </c>
      <c r="AH194" s="301">
        <v>44083</v>
      </c>
      <c r="AI194" s="151" t="s">
        <v>83</v>
      </c>
      <c r="AJ194" s="132" t="s">
        <v>165</v>
      </c>
    </row>
    <row r="195" spans="1:36" x14ac:dyDescent="0.2">
      <c r="R195" s="292" t="s">
        <v>26</v>
      </c>
      <c r="S195" s="81" t="s">
        <v>70</v>
      </c>
      <c r="T195" s="88">
        <v>1023.5</v>
      </c>
      <c r="U195" s="88"/>
      <c r="V195" s="88"/>
      <c r="W195" s="88"/>
      <c r="X195" s="88">
        <v>50</v>
      </c>
      <c r="Y195" s="88"/>
      <c r="Z195" s="88">
        <f>T195+W195+Y195</f>
        <v>1023.5</v>
      </c>
      <c r="AA195" s="88">
        <v>10.234999999999999</v>
      </c>
      <c r="AB195" s="88"/>
      <c r="AC195" s="88"/>
      <c r="AD195" s="88"/>
      <c r="AE195" s="88">
        <v>58.14</v>
      </c>
      <c r="AF195" s="88"/>
      <c r="AG195" s="304">
        <f t="shared" si="21"/>
        <v>1005.1250000000001</v>
      </c>
      <c r="AH195" s="301">
        <v>44083</v>
      </c>
      <c r="AI195" s="151" t="s">
        <v>83</v>
      </c>
      <c r="AJ195" s="132" t="s">
        <v>165</v>
      </c>
    </row>
    <row r="196" spans="1:36" x14ac:dyDescent="0.2">
      <c r="R196" s="292" t="s">
        <v>3</v>
      </c>
      <c r="S196" s="81" t="s">
        <v>71</v>
      </c>
      <c r="T196" s="88">
        <v>1343.5</v>
      </c>
      <c r="U196" s="88"/>
      <c r="V196" s="88"/>
      <c r="W196" s="88"/>
      <c r="X196" s="88">
        <v>50</v>
      </c>
      <c r="Y196" s="88"/>
      <c r="Z196" s="88">
        <f>T196+W196+Y196+X196</f>
        <v>1393.5</v>
      </c>
      <c r="AA196" s="88">
        <v>13.44</v>
      </c>
      <c r="AB196" s="88"/>
      <c r="AC196" s="88"/>
      <c r="AD196" s="88"/>
      <c r="AE196" s="88">
        <v>76.295000000000002</v>
      </c>
      <c r="AF196" s="88"/>
      <c r="AG196" s="304">
        <f t="shared" ref="AG196:AG259" si="23">T196+W196+X196-AA196-AB196-AC196-AD196-AE196-AF196</f>
        <v>1303.7649999999999</v>
      </c>
      <c r="AH196" s="301">
        <v>44083</v>
      </c>
      <c r="AI196" s="151" t="s">
        <v>83</v>
      </c>
      <c r="AJ196" s="132" t="s">
        <v>165</v>
      </c>
    </row>
    <row r="197" spans="1:36" x14ac:dyDescent="0.2">
      <c r="R197" s="292" t="s">
        <v>31</v>
      </c>
      <c r="S197" s="81" t="s">
        <v>72</v>
      </c>
      <c r="T197" s="88">
        <v>1300</v>
      </c>
      <c r="U197" s="88"/>
      <c r="V197" s="88"/>
      <c r="W197" s="88"/>
      <c r="X197" s="88">
        <v>50</v>
      </c>
      <c r="Y197" s="88"/>
      <c r="Z197" s="88">
        <f>T197+W197+Y197+X197</f>
        <v>1350</v>
      </c>
      <c r="AA197" s="88">
        <v>13</v>
      </c>
      <c r="AB197" s="88"/>
      <c r="AC197" s="88"/>
      <c r="AD197" s="88"/>
      <c r="AE197" s="88">
        <v>67.78</v>
      </c>
      <c r="AF197" s="88"/>
      <c r="AG197" s="304">
        <f t="shared" si="23"/>
        <v>1269.22</v>
      </c>
      <c r="AH197" s="301">
        <v>44083</v>
      </c>
      <c r="AI197" s="151" t="s">
        <v>83</v>
      </c>
      <c r="AJ197" s="132" t="s">
        <v>165</v>
      </c>
    </row>
    <row r="198" spans="1:36" x14ac:dyDescent="0.2">
      <c r="R198" s="292" t="s">
        <v>69</v>
      </c>
      <c r="S198" s="81" t="s">
        <v>73</v>
      </c>
      <c r="T198" s="88">
        <v>1000</v>
      </c>
      <c r="U198" s="88"/>
      <c r="V198" s="88"/>
      <c r="W198" s="88"/>
      <c r="X198" s="88"/>
      <c r="Y198" s="88"/>
      <c r="Z198" s="88">
        <f>T198+W198+Y198</f>
        <v>1000</v>
      </c>
      <c r="AA198" s="88">
        <v>10</v>
      </c>
      <c r="AB198" s="88"/>
      <c r="AC198" s="88"/>
      <c r="AD198" s="88"/>
      <c r="AE198" s="88"/>
      <c r="AF198" s="88"/>
      <c r="AG198" s="304">
        <f t="shared" si="23"/>
        <v>990</v>
      </c>
      <c r="AH198" s="301">
        <v>44083</v>
      </c>
      <c r="AI198" s="151" t="s">
        <v>83</v>
      </c>
      <c r="AJ198" s="132" t="s">
        <v>165</v>
      </c>
    </row>
    <row r="199" spans="1:36" x14ac:dyDescent="0.2">
      <c r="R199" s="292" t="s">
        <v>146</v>
      </c>
      <c r="S199" s="81" t="s">
        <v>151</v>
      </c>
      <c r="T199" s="88">
        <v>1250</v>
      </c>
      <c r="U199" s="88"/>
      <c r="V199" s="88"/>
      <c r="W199" s="88">
        <v>609.38</v>
      </c>
      <c r="X199" s="88"/>
      <c r="Y199" s="88"/>
      <c r="Z199" s="88">
        <f>T199+W199+X199+Y199</f>
        <v>1859.38</v>
      </c>
      <c r="AA199" s="88">
        <v>18.593800000000002</v>
      </c>
      <c r="AB199" s="88">
        <v>47</v>
      </c>
      <c r="AC199" s="88"/>
      <c r="AD199" s="88"/>
      <c r="AE199" s="88"/>
      <c r="AF199" s="88"/>
      <c r="AG199" s="304">
        <f t="shared" si="23"/>
        <v>1793.7862</v>
      </c>
      <c r="AH199" s="301">
        <v>44083</v>
      </c>
      <c r="AI199" s="151" t="s">
        <v>83</v>
      </c>
      <c r="AJ199" s="132" t="s">
        <v>165</v>
      </c>
    </row>
    <row r="200" spans="1:36" x14ac:dyDescent="0.2">
      <c r="R200" s="292" t="s">
        <v>154</v>
      </c>
      <c r="S200" s="81" t="s">
        <v>101</v>
      </c>
      <c r="T200" s="88">
        <v>1250</v>
      </c>
      <c r="U200" s="88"/>
      <c r="V200" s="88"/>
      <c r="W200" s="88">
        <v>375</v>
      </c>
      <c r="X200" s="88"/>
      <c r="Y200" s="88"/>
      <c r="Z200" s="88">
        <f>T200+W200+X200+Y200</f>
        <v>1625</v>
      </c>
      <c r="AA200" s="88">
        <v>16.25</v>
      </c>
      <c r="AB200" s="88">
        <v>5</v>
      </c>
      <c r="AC200" s="88"/>
      <c r="AD200" s="88"/>
      <c r="AE200" s="88"/>
      <c r="AF200" s="88"/>
      <c r="AG200" s="304">
        <f t="shared" si="23"/>
        <v>1603.75</v>
      </c>
      <c r="AH200" s="301">
        <v>44083</v>
      </c>
      <c r="AI200" s="151" t="s">
        <v>83</v>
      </c>
      <c r="AJ200" s="132" t="s">
        <v>165</v>
      </c>
    </row>
    <row r="201" spans="1:36" x14ac:dyDescent="0.2">
      <c r="R201" s="292" t="s">
        <v>25</v>
      </c>
      <c r="S201" s="81" t="s">
        <v>63</v>
      </c>
      <c r="T201" s="88">
        <v>3966.4</v>
      </c>
      <c r="U201" s="88"/>
      <c r="V201" s="88"/>
      <c r="W201" s="88">
        <v>1784.88</v>
      </c>
      <c r="X201" s="88">
        <v>490</v>
      </c>
      <c r="Y201" s="88">
        <v>624</v>
      </c>
      <c r="Z201" s="88">
        <f>T201+W201+Y201</f>
        <v>6375.2800000000007</v>
      </c>
      <c r="AA201" s="88">
        <v>37.18</v>
      </c>
      <c r="AB201" s="88">
        <v>1063</v>
      </c>
      <c r="AC201" s="88">
        <v>-159.5</v>
      </c>
      <c r="AD201" s="88">
        <v>624</v>
      </c>
      <c r="AE201" s="88">
        <v>200.01</v>
      </c>
      <c r="AF201" s="88">
        <v>1225</v>
      </c>
      <c r="AG201" s="304">
        <f t="shared" si="23"/>
        <v>3251.59</v>
      </c>
      <c r="AH201" s="301">
        <v>44090</v>
      </c>
      <c r="AI201" s="123" t="s">
        <v>84</v>
      </c>
      <c r="AJ201" s="132" t="s">
        <v>165</v>
      </c>
    </row>
    <row r="202" spans="1:36" x14ac:dyDescent="0.2">
      <c r="R202" s="292" t="s">
        <v>26</v>
      </c>
      <c r="S202" s="81" t="s">
        <v>70</v>
      </c>
      <c r="T202" s="88">
        <v>1023.5</v>
      </c>
      <c r="U202" s="88"/>
      <c r="V202" s="88"/>
      <c r="W202" s="88"/>
      <c r="X202" s="88">
        <v>50</v>
      </c>
      <c r="Y202" s="88"/>
      <c r="Z202" s="88">
        <f>T202+W202+Y202</f>
        <v>1023.5</v>
      </c>
      <c r="AA202" s="88">
        <v>10.234999999999999</v>
      </c>
      <c r="AB202" s="88"/>
      <c r="AC202" s="88"/>
      <c r="AD202" s="88"/>
      <c r="AE202" s="88">
        <v>58.14</v>
      </c>
      <c r="AF202" s="88">
        <v>100</v>
      </c>
      <c r="AG202" s="304">
        <f t="shared" si="23"/>
        <v>905.12500000000011</v>
      </c>
      <c r="AH202" s="301">
        <v>44090</v>
      </c>
      <c r="AI202" s="123" t="s">
        <v>84</v>
      </c>
      <c r="AJ202" s="132" t="s">
        <v>165</v>
      </c>
    </row>
    <row r="203" spans="1:36" x14ac:dyDescent="0.2">
      <c r="R203" s="292" t="s">
        <v>3</v>
      </c>
      <c r="S203" s="81" t="s">
        <v>71</v>
      </c>
      <c r="T203" s="88">
        <v>1343.5</v>
      </c>
      <c r="U203" s="88"/>
      <c r="V203" s="88"/>
      <c r="W203" s="88"/>
      <c r="X203" s="88">
        <v>50</v>
      </c>
      <c r="Y203" s="88"/>
      <c r="Z203" s="88">
        <f>T203+W203+Y203+X203</f>
        <v>1393.5</v>
      </c>
      <c r="AA203" s="88">
        <v>13.44</v>
      </c>
      <c r="AB203" s="88"/>
      <c r="AC203" s="88"/>
      <c r="AD203" s="88"/>
      <c r="AE203" s="88">
        <v>76.295000000000002</v>
      </c>
      <c r="AF203" s="88"/>
      <c r="AG203" s="304">
        <f t="shared" si="23"/>
        <v>1303.7649999999999</v>
      </c>
      <c r="AH203" s="301">
        <v>44090</v>
      </c>
      <c r="AI203" s="123" t="s">
        <v>84</v>
      </c>
      <c r="AJ203" s="132" t="s">
        <v>165</v>
      </c>
    </row>
    <row r="204" spans="1:36" x14ac:dyDescent="0.2">
      <c r="R204" s="292" t="s">
        <v>31</v>
      </c>
      <c r="S204" s="81" t="s">
        <v>72</v>
      </c>
      <c r="T204" s="88">
        <v>1300</v>
      </c>
      <c r="U204" s="88"/>
      <c r="V204" s="88"/>
      <c r="W204" s="88">
        <v>146.25</v>
      </c>
      <c r="X204" s="88">
        <v>50</v>
      </c>
      <c r="Y204" s="88"/>
      <c r="Z204" s="88">
        <f>T204+W204+Y204+X204</f>
        <v>1496.25</v>
      </c>
      <c r="AA204" s="88">
        <v>13</v>
      </c>
      <c r="AB204" s="88"/>
      <c r="AC204" s="88"/>
      <c r="AD204" s="88"/>
      <c r="AE204" s="88">
        <v>67.78</v>
      </c>
      <c r="AF204" s="88"/>
      <c r="AG204" s="304">
        <f t="shared" si="23"/>
        <v>1415.47</v>
      </c>
      <c r="AH204" s="301">
        <v>44090</v>
      </c>
      <c r="AI204" s="123" t="s">
        <v>84</v>
      </c>
      <c r="AJ204" s="132" t="s">
        <v>165</v>
      </c>
    </row>
    <row r="205" spans="1:36" x14ac:dyDescent="0.2">
      <c r="R205" s="292" t="s">
        <v>69</v>
      </c>
      <c r="S205" s="81" t="s">
        <v>73</v>
      </c>
      <c r="T205" s="88">
        <v>1000</v>
      </c>
      <c r="U205" s="88"/>
      <c r="V205" s="88"/>
      <c r="W205" s="88">
        <v>28.13</v>
      </c>
      <c r="X205" s="88"/>
      <c r="Y205" s="88"/>
      <c r="Z205" s="88">
        <f>T205+W205+Y205</f>
        <v>1028.1300000000001</v>
      </c>
      <c r="AA205" s="88">
        <v>10</v>
      </c>
      <c r="AB205" s="88"/>
      <c r="AC205" s="88"/>
      <c r="AD205" s="88"/>
      <c r="AE205" s="88"/>
      <c r="AF205" s="88"/>
      <c r="AG205" s="304">
        <f t="shared" si="23"/>
        <v>1018.1300000000001</v>
      </c>
      <c r="AH205" s="301">
        <v>44090</v>
      </c>
      <c r="AI205" s="123" t="s">
        <v>84</v>
      </c>
      <c r="AJ205" s="132" t="s">
        <v>165</v>
      </c>
    </row>
    <row r="206" spans="1:36" x14ac:dyDescent="0.2">
      <c r="R206" s="292" t="s">
        <v>95</v>
      </c>
      <c r="S206" s="81" t="s">
        <v>94</v>
      </c>
      <c r="T206" s="88">
        <v>320</v>
      </c>
      <c r="U206" s="88"/>
      <c r="V206" s="88"/>
      <c r="W206" s="88"/>
      <c r="X206" s="88"/>
      <c r="Y206" s="88"/>
      <c r="Z206" s="88">
        <f>T206+W206+Y206</f>
        <v>320</v>
      </c>
      <c r="AA206" s="88">
        <v>3.2</v>
      </c>
      <c r="AB206" s="88"/>
      <c r="AC206" s="88"/>
      <c r="AD206" s="88"/>
      <c r="AE206" s="88"/>
      <c r="AF206" s="88"/>
      <c r="AG206" s="304">
        <f t="shared" si="23"/>
        <v>316.8</v>
      </c>
      <c r="AH206" s="301">
        <v>44090</v>
      </c>
      <c r="AI206" s="123" t="s">
        <v>84</v>
      </c>
      <c r="AJ206" s="132" t="s">
        <v>165</v>
      </c>
    </row>
    <row r="207" spans="1:36" x14ac:dyDescent="0.2">
      <c r="R207" s="292" t="s">
        <v>146</v>
      </c>
      <c r="S207" s="81" t="s">
        <v>151</v>
      </c>
      <c r="T207" s="88">
        <v>1250</v>
      </c>
      <c r="U207" s="88"/>
      <c r="V207" s="88"/>
      <c r="W207" s="88">
        <v>515.63</v>
      </c>
      <c r="X207" s="88"/>
      <c r="Y207" s="88"/>
      <c r="Z207" s="88">
        <f>T207+W207+X207+Y207</f>
        <v>1765.63</v>
      </c>
      <c r="AA207" s="88">
        <v>17.656300000000002</v>
      </c>
      <c r="AB207" s="88">
        <v>30</v>
      </c>
      <c r="AC207" s="88"/>
      <c r="AD207" s="88"/>
      <c r="AE207" s="88"/>
      <c r="AF207" s="88"/>
      <c r="AG207" s="304">
        <f t="shared" si="23"/>
        <v>1717.9737</v>
      </c>
      <c r="AH207" s="301">
        <v>44090</v>
      </c>
      <c r="AI207" s="123" t="s">
        <v>84</v>
      </c>
      <c r="AJ207" s="132" t="s">
        <v>165</v>
      </c>
    </row>
    <row r="208" spans="1:36" x14ac:dyDescent="0.2">
      <c r="R208" s="292" t="s">
        <v>154</v>
      </c>
      <c r="S208" s="81" t="s">
        <v>101</v>
      </c>
      <c r="T208" s="88">
        <v>1250</v>
      </c>
      <c r="U208" s="88"/>
      <c r="V208" s="88"/>
      <c r="W208" s="88">
        <v>515.63</v>
      </c>
      <c r="X208" s="88"/>
      <c r="Y208" s="88"/>
      <c r="Z208" s="88">
        <f>T208+W208+X208+Y208</f>
        <v>1765.63</v>
      </c>
      <c r="AA208" s="88">
        <v>17.656300000000002</v>
      </c>
      <c r="AB208" s="88">
        <v>30</v>
      </c>
      <c r="AC208" s="88"/>
      <c r="AD208" s="88"/>
      <c r="AE208" s="88"/>
      <c r="AF208" s="88"/>
      <c r="AG208" s="304">
        <f t="shared" si="23"/>
        <v>1717.9737</v>
      </c>
      <c r="AH208" s="301">
        <v>44090</v>
      </c>
      <c r="AI208" s="123" t="s">
        <v>84</v>
      </c>
      <c r="AJ208" s="132" t="s">
        <v>165</v>
      </c>
    </row>
    <row r="209" spans="18:36" x14ac:dyDescent="0.2">
      <c r="R209" s="292" t="s">
        <v>25</v>
      </c>
      <c r="S209" s="81" t="s">
        <v>63</v>
      </c>
      <c r="T209" s="88">
        <v>3966.4</v>
      </c>
      <c r="U209" s="88"/>
      <c r="V209" s="88"/>
      <c r="W209" s="88">
        <v>2974.8</v>
      </c>
      <c r="X209" s="88">
        <v>490</v>
      </c>
      <c r="Y209" s="88">
        <v>624</v>
      </c>
      <c r="Z209" s="88">
        <f>T209+W209+Y209</f>
        <v>7565.2000000000007</v>
      </c>
      <c r="AA209" s="88">
        <v>37.18</v>
      </c>
      <c r="AB209" s="88">
        <v>1434</v>
      </c>
      <c r="AC209" s="88">
        <v>-159.5</v>
      </c>
      <c r="AD209" s="88">
        <v>624</v>
      </c>
      <c r="AE209" s="88">
        <v>200.01</v>
      </c>
      <c r="AF209" s="88">
        <v>1225</v>
      </c>
      <c r="AG209" s="304">
        <f t="shared" si="23"/>
        <v>4070.51</v>
      </c>
      <c r="AH209" s="301">
        <v>44097</v>
      </c>
      <c r="AI209" s="239" t="s">
        <v>85</v>
      </c>
      <c r="AJ209" s="132" t="s">
        <v>165</v>
      </c>
    </row>
    <row r="210" spans="18:36" x14ac:dyDescent="0.2">
      <c r="R210" s="292" t="s">
        <v>26</v>
      </c>
      <c r="S210" s="81" t="s">
        <v>70</v>
      </c>
      <c r="T210" s="88">
        <v>1023.5</v>
      </c>
      <c r="U210" s="88"/>
      <c r="V210" s="88"/>
      <c r="W210" s="88"/>
      <c r="X210" s="88">
        <v>50</v>
      </c>
      <c r="Y210" s="88"/>
      <c r="Z210" s="88">
        <f>T210+W210+Y210</f>
        <v>1023.5</v>
      </c>
      <c r="AA210" s="88">
        <v>10.234999999999999</v>
      </c>
      <c r="AB210" s="88"/>
      <c r="AC210" s="88"/>
      <c r="AD210" s="88"/>
      <c r="AE210" s="88">
        <v>58.14</v>
      </c>
      <c r="AF210" s="88">
        <v>100</v>
      </c>
      <c r="AG210" s="304">
        <f t="shared" si="23"/>
        <v>905.12500000000011</v>
      </c>
      <c r="AH210" s="301">
        <v>44097</v>
      </c>
      <c r="AI210" s="239" t="s">
        <v>85</v>
      </c>
      <c r="AJ210" s="132" t="s">
        <v>165</v>
      </c>
    </row>
    <row r="211" spans="18:36" x14ac:dyDescent="0.2">
      <c r="R211" s="292" t="s">
        <v>3</v>
      </c>
      <c r="S211" s="81" t="s">
        <v>71</v>
      </c>
      <c r="T211" s="88">
        <v>1343.5</v>
      </c>
      <c r="U211" s="88"/>
      <c r="V211" s="88"/>
      <c r="W211" s="88"/>
      <c r="X211" s="88">
        <v>50</v>
      </c>
      <c r="Y211" s="88"/>
      <c r="Z211" s="88">
        <f>T211+W211+Y211+X211</f>
        <v>1393.5</v>
      </c>
      <c r="AA211" s="88">
        <v>13.44</v>
      </c>
      <c r="AB211" s="88"/>
      <c r="AC211" s="88"/>
      <c r="AD211" s="88"/>
      <c r="AE211" s="88">
        <v>76.295000000000002</v>
      </c>
      <c r="AF211" s="88"/>
      <c r="AG211" s="304">
        <f t="shared" si="23"/>
        <v>1303.7649999999999</v>
      </c>
      <c r="AH211" s="301">
        <v>44097</v>
      </c>
      <c r="AI211" s="239" t="s">
        <v>85</v>
      </c>
      <c r="AJ211" s="132" t="s">
        <v>165</v>
      </c>
    </row>
    <row r="212" spans="18:36" x14ac:dyDescent="0.2">
      <c r="R212" s="292" t="s">
        <v>31</v>
      </c>
      <c r="S212" s="81" t="s">
        <v>72</v>
      </c>
      <c r="T212" s="88">
        <v>1300</v>
      </c>
      <c r="U212" s="88"/>
      <c r="V212" s="88"/>
      <c r="W212" s="88">
        <v>585</v>
      </c>
      <c r="X212" s="88">
        <v>50</v>
      </c>
      <c r="Y212" s="88"/>
      <c r="Z212" s="88">
        <f>T212+W212+Y212+X212</f>
        <v>1935</v>
      </c>
      <c r="AA212" s="88">
        <v>13</v>
      </c>
      <c r="AB212" s="88">
        <v>60</v>
      </c>
      <c r="AC212" s="88"/>
      <c r="AD212" s="88"/>
      <c r="AE212" s="88">
        <v>67.78</v>
      </c>
      <c r="AF212" s="88"/>
      <c r="AG212" s="304">
        <f t="shared" si="23"/>
        <v>1794.22</v>
      </c>
      <c r="AH212" s="301">
        <v>44097</v>
      </c>
      <c r="AI212" s="239" t="s">
        <v>85</v>
      </c>
      <c r="AJ212" s="132" t="s">
        <v>165</v>
      </c>
    </row>
    <row r="213" spans="18:36" x14ac:dyDescent="0.2">
      <c r="R213" s="292" t="s">
        <v>69</v>
      </c>
      <c r="S213" s="81" t="s">
        <v>73</v>
      </c>
      <c r="T213" s="88">
        <v>1000</v>
      </c>
      <c r="U213" s="88"/>
      <c r="V213" s="88"/>
      <c r="W213" s="88">
        <v>750</v>
      </c>
      <c r="X213" s="88"/>
      <c r="Y213" s="88"/>
      <c r="Z213" s="88">
        <f>T213+W213+Y213</f>
        <v>1750</v>
      </c>
      <c r="AA213" s="88">
        <v>10</v>
      </c>
      <c r="AB213" s="88">
        <v>28</v>
      </c>
      <c r="AC213" s="88"/>
      <c r="AD213" s="88"/>
      <c r="AE213" s="88"/>
      <c r="AF213" s="88"/>
      <c r="AG213" s="304">
        <f t="shared" si="23"/>
        <v>1712</v>
      </c>
      <c r="AH213" s="301">
        <v>44097</v>
      </c>
      <c r="AI213" s="239" t="s">
        <v>85</v>
      </c>
      <c r="AJ213" s="132" t="s">
        <v>165</v>
      </c>
    </row>
    <row r="214" spans="18:36" x14ac:dyDescent="0.2">
      <c r="R214" s="292" t="s">
        <v>95</v>
      </c>
      <c r="S214" s="81" t="s">
        <v>94</v>
      </c>
      <c r="T214" s="88">
        <v>800</v>
      </c>
      <c r="U214" s="88"/>
      <c r="V214" s="88"/>
      <c r="W214" s="88">
        <v>600</v>
      </c>
      <c r="X214" s="88"/>
      <c r="Y214" s="88"/>
      <c r="Z214" s="88">
        <f>T214+W214+Y214</f>
        <v>1400</v>
      </c>
      <c r="AA214" s="88">
        <v>14</v>
      </c>
      <c r="AB214" s="88"/>
      <c r="AC214" s="88"/>
      <c r="AD214" s="88"/>
      <c r="AE214" s="88"/>
      <c r="AF214" s="88"/>
      <c r="AG214" s="304">
        <f t="shared" si="23"/>
        <v>1386</v>
      </c>
      <c r="AH214" s="301">
        <v>44097</v>
      </c>
      <c r="AI214" s="239" t="s">
        <v>85</v>
      </c>
      <c r="AJ214" s="132" t="s">
        <v>165</v>
      </c>
    </row>
    <row r="215" spans="18:36" x14ac:dyDescent="0.2">
      <c r="R215" s="292" t="s">
        <v>146</v>
      </c>
      <c r="S215" s="81" t="s">
        <v>151</v>
      </c>
      <c r="T215" s="88">
        <v>1250</v>
      </c>
      <c r="U215" s="88"/>
      <c r="V215" s="88"/>
      <c r="W215" s="88">
        <v>937.5</v>
      </c>
      <c r="X215" s="88"/>
      <c r="Y215" s="88"/>
      <c r="Z215" s="88">
        <f>T215+W215+X215+Y215</f>
        <v>2187.5</v>
      </c>
      <c r="AA215" s="88">
        <v>21.875</v>
      </c>
      <c r="AB215" s="88">
        <v>106</v>
      </c>
      <c r="AC215" s="88"/>
      <c r="AD215" s="88"/>
      <c r="AE215" s="88"/>
      <c r="AF215" s="88"/>
      <c r="AG215" s="304">
        <f t="shared" si="23"/>
        <v>2059.625</v>
      </c>
      <c r="AH215" s="301">
        <v>44097</v>
      </c>
      <c r="AI215" s="239" t="s">
        <v>85</v>
      </c>
      <c r="AJ215" s="132" t="s">
        <v>165</v>
      </c>
    </row>
    <row r="216" spans="18:36" x14ac:dyDescent="0.2">
      <c r="R216" s="292" t="s">
        <v>154</v>
      </c>
      <c r="S216" s="81" t="s">
        <v>101</v>
      </c>
      <c r="T216" s="88">
        <v>1250</v>
      </c>
      <c r="U216" s="88"/>
      <c r="V216" s="88"/>
      <c r="W216" s="88">
        <v>937.5</v>
      </c>
      <c r="X216" s="88"/>
      <c r="Y216" s="88"/>
      <c r="Z216" s="88">
        <f>T216+W216+X216+Y216</f>
        <v>2187.5</v>
      </c>
      <c r="AA216" s="88">
        <v>21.875</v>
      </c>
      <c r="AB216" s="88">
        <v>106</v>
      </c>
      <c r="AC216" s="88"/>
      <c r="AD216" s="88"/>
      <c r="AE216" s="88"/>
      <c r="AF216" s="88"/>
      <c r="AG216" s="304">
        <f t="shared" si="23"/>
        <v>2059.625</v>
      </c>
      <c r="AH216" s="301">
        <v>44097</v>
      </c>
      <c r="AI216" s="239" t="s">
        <v>85</v>
      </c>
      <c r="AJ216" s="132" t="s">
        <v>165</v>
      </c>
    </row>
    <row r="217" spans="18:36" x14ac:dyDescent="0.2">
      <c r="R217" s="292" t="s">
        <v>25</v>
      </c>
      <c r="S217" s="81" t="s">
        <v>63</v>
      </c>
      <c r="T217" s="88">
        <v>3966.4</v>
      </c>
      <c r="U217" s="88"/>
      <c r="V217" s="88"/>
      <c r="W217" s="88">
        <f>3346.65+793.28</f>
        <v>4139.93</v>
      </c>
      <c r="X217" s="88">
        <v>0</v>
      </c>
      <c r="Y217" s="88">
        <v>0</v>
      </c>
      <c r="Z217" s="88">
        <f>T217+W217+Y217</f>
        <v>8106.33</v>
      </c>
      <c r="AA217" s="88">
        <v>37.18</v>
      </c>
      <c r="AB217" s="88">
        <v>1603</v>
      </c>
      <c r="AC217" s="88">
        <v>0</v>
      </c>
      <c r="AD217" s="88">
        <v>0</v>
      </c>
      <c r="AE217" s="88">
        <v>200.01</v>
      </c>
      <c r="AF217" s="88">
        <v>1000</v>
      </c>
      <c r="AG217" s="304">
        <f t="shared" si="23"/>
        <v>5266.1399999999994</v>
      </c>
      <c r="AH217" s="301">
        <v>44104</v>
      </c>
      <c r="AI217" s="240" t="s">
        <v>86</v>
      </c>
      <c r="AJ217" s="132" t="s">
        <v>165</v>
      </c>
    </row>
    <row r="218" spans="18:36" x14ac:dyDescent="0.2">
      <c r="R218" s="292" t="s">
        <v>26</v>
      </c>
      <c r="S218" s="81" t="s">
        <v>70</v>
      </c>
      <c r="T218" s="88">
        <v>1023.5</v>
      </c>
      <c r="U218" s="88"/>
      <c r="V218" s="88"/>
      <c r="W218" s="88"/>
      <c r="X218" s="88">
        <v>50</v>
      </c>
      <c r="Y218" s="88"/>
      <c r="Z218" s="88">
        <f>T218+W218+Y218</f>
        <v>1023.5</v>
      </c>
      <c r="AA218" s="88">
        <v>10.234999999999999</v>
      </c>
      <c r="AB218" s="88"/>
      <c r="AC218" s="88"/>
      <c r="AD218" s="88"/>
      <c r="AE218" s="88">
        <v>58.14</v>
      </c>
      <c r="AF218" s="88">
        <v>100</v>
      </c>
      <c r="AG218" s="304">
        <f t="shared" si="23"/>
        <v>905.12500000000011</v>
      </c>
      <c r="AH218" s="301">
        <v>44104</v>
      </c>
      <c r="AI218" s="240" t="s">
        <v>86</v>
      </c>
      <c r="AJ218" s="132" t="s">
        <v>165</v>
      </c>
    </row>
    <row r="219" spans="18:36" x14ac:dyDescent="0.2">
      <c r="R219" s="292" t="s">
        <v>3</v>
      </c>
      <c r="S219" s="81" t="s">
        <v>71</v>
      </c>
      <c r="T219" s="88">
        <v>1343.5</v>
      </c>
      <c r="U219" s="88"/>
      <c r="V219" s="88"/>
      <c r="W219" s="88">
        <v>856.48</v>
      </c>
      <c r="X219" s="88">
        <v>50</v>
      </c>
      <c r="Y219" s="88"/>
      <c r="Z219" s="88">
        <f>T219+W219+Y219+X219</f>
        <v>2249.98</v>
      </c>
      <c r="AA219" s="88">
        <v>22</v>
      </c>
      <c r="AB219" s="88">
        <v>108</v>
      </c>
      <c r="AC219" s="88"/>
      <c r="AD219" s="88"/>
      <c r="AE219" s="88">
        <v>76.295000000000002</v>
      </c>
      <c r="AF219" s="88"/>
      <c r="AG219" s="304">
        <f t="shared" si="23"/>
        <v>2043.6849999999999</v>
      </c>
      <c r="AH219" s="301">
        <v>44104</v>
      </c>
      <c r="AI219" s="240" t="s">
        <v>86</v>
      </c>
      <c r="AJ219" s="132" t="s">
        <v>165</v>
      </c>
    </row>
    <row r="220" spans="18:36" x14ac:dyDescent="0.2">
      <c r="R220" s="292" t="s">
        <v>31</v>
      </c>
      <c r="S220" s="81" t="s">
        <v>72</v>
      </c>
      <c r="T220" s="88">
        <v>1300</v>
      </c>
      <c r="U220" s="88"/>
      <c r="V220" s="88"/>
      <c r="W220" s="88">
        <v>585</v>
      </c>
      <c r="X220" s="88">
        <v>50</v>
      </c>
      <c r="Y220" s="88"/>
      <c r="Z220" s="88">
        <f>T220+W220+Y220+X220</f>
        <v>1935</v>
      </c>
      <c r="AA220" s="88">
        <v>13</v>
      </c>
      <c r="AB220" s="88">
        <v>52</v>
      </c>
      <c r="AC220" s="88"/>
      <c r="AD220" s="88"/>
      <c r="AE220" s="88">
        <v>67.78</v>
      </c>
      <c r="AF220" s="88"/>
      <c r="AG220" s="304">
        <f t="shared" si="23"/>
        <v>1802.22</v>
      </c>
      <c r="AH220" s="301">
        <v>44104</v>
      </c>
      <c r="AI220" s="240" t="s">
        <v>86</v>
      </c>
      <c r="AJ220" s="132" t="s">
        <v>165</v>
      </c>
    </row>
    <row r="221" spans="18:36" x14ac:dyDescent="0.2">
      <c r="R221" s="292" t="s">
        <v>69</v>
      </c>
      <c r="S221" s="81" t="s">
        <v>73</v>
      </c>
      <c r="T221" s="88">
        <v>1000</v>
      </c>
      <c r="U221" s="88"/>
      <c r="V221" s="88"/>
      <c r="W221" s="88">
        <f>637.5+200</f>
        <v>837.5</v>
      </c>
      <c r="X221" s="88"/>
      <c r="Y221" s="88"/>
      <c r="Z221" s="88">
        <f>T221+W221+Y221</f>
        <v>1837.5</v>
      </c>
      <c r="AA221" s="88">
        <v>12</v>
      </c>
      <c r="AB221" s="88">
        <v>43</v>
      </c>
      <c r="AC221" s="88"/>
      <c r="AD221" s="88"/>
      <c r="AE221" s="88"/>
      <c r="AF221" s="88"/>
      <c r="AG221" s="304">
        <f t="shared" si="23"/>
        <v>1782.5</v>
      </c>
      <c r="AH221" s="301">
        <v>44104</v>
      </c>
      <c r="AI221" s="240" t="s">
        <v>86</v>
      </c>
      <c r="AJ221" s="132" t="s">
        <v>165</v>
      </c>
    </row>
    <row r="222" spans="18:36" x14ac:dyDescent="0.2">
      <c r="R222" s="292" t="s">
        <v>79</v>
      </c>
      <c r="S222" s="81" t="s">
        <v>91</v>
      </c>
      <c r="T222" s="88">
        <v>250</v>
      </c>
      <c r="U222" s="88"/>
      <c r="V222" s="88"/>
      <c r="W222" s="88">
        <v>140.63</v>
      </c>
      <c r="X222" s="88"/>
      <c r="Y222" s="88"/>
      <c r="Z222" s="88">
        <f>T222+W222+Y222</f>
        <v>390.63</v>
      </c>
      <c r="AA222" s="88">
        <v>3.91</v>
      </c>
      <c r="AB222" s="88"/>
      <c r="AC222" s="88"/>
      <c r="AD222" s="88"/>
      <c r="AE222" s="88"/>
      <c r="AF222" s="88"/>
      <c r="AG222" s="304">
        <f t="shared" si="23"/>
        <v>386.71999999999997</v>
      </c>
      <c r="AH222" s="301">
        <v>44104</v>
      </c>
      <c r="AI222" s="240" t="s">
        <v>86</v>
      </c>
      <c r="AJ222" s="132" t="s">
        <v>165</v>
      </c>
    </row>
    <row r="223" spans="18:36" x14ac:dyDescent="0.2">
      <c r="R223" s="292" t="s">
        <v>95</v>
      </c>
      <c r="S223" s="81" t="s">
        <v>94</v>
      </c>
      <c r="T223" s="88">
        <v>800</v>
      </c>
      <c r="U223" s="88"/>
      <c r="V223" s="88"/>
      <c r="W223" s="88">
        <f>510+160</f>
        <v>670</v>
      </c>
      <c r="X223" s="88"/>
      <c r="Y223" s="88"/>
      <c r="Z223" s="88">
        <f>T223+W223+Y223</f>
        <v>1470</v>
      </c>
      <c r="AA223" s="88">
        <v>13.1</v>
      </c>
      <c r="AB223" s="88"/>
      <c r="AC223" s="88"/>
      <c r="AD223" s="88"/>
      <c r="AE223" s="88"/>
      <c r="AF223" s="88"/>
      <c r="AG223" s="304">
        <f t="shared" si="23"/>
        <v>1456.9</v>
      </c>
      <c r="AH223" s="301">
        <v>44104</v>
      </c>
      <c r="AI223" s="240" t="s">
        <v>86</v>
      </c>
      <c r="AJ223" s="132" t="s">
        <v>165</v>
      </c>
    </row>
    <row r="224" spans="18:36" x14ac:dyDescent="0.2">
      <c r="R224" s="292" t="s">
        <v>102</v>
      </c>
      <c r="S224" s="81" t="s">
        <v>104</v>
      </c>
      <c r="T224" s="88">
        <v>250</v>
      </c>
      <c r="U224" s="88"/>
      <c r="V224" s="88"/>
      <c r="W224" s="88">
        <v>140.63</v>
      </c>
      <c r="X224" s="88"/>
      <c r="Y224" s="88"/>
      <c r="Z224" s="88">
        <f>T224+W224+Y224</f>
        <v>390.63</v>
      </c>
      <c r="AA224" s="88">
        <v>3.91</v>
      </c>
      <c r="AB224" s="88"/>
      <c r="AC224" s="88"/>
      <c r="AD224" s="88"/>
      <c r="AE224" s="88"/>
      <c r="AF224" s="88"/>
      <c r="AG224" s="304">
        <f t="shared" si="23"/>
        <v>386.71999999999997</v>
      </c>
      <c r="AH224" s="301">
        <v>44104</v>
      </c>
      <c r="AI224" s="240" t="s">
        <v>86</v>
      </c>
      <c r="AJ224" s="132" t="s">
        <v>165</v>
      </c>
    </row>
    <row r="225" spans="1:36" x14ac:dyDescent="0.2">
      <c r="R225" s="292" t="s">
        <v>146</v>
      </c>
      <c r="S225" s="81" t="s">
        <v>151</v>
      </c>
      <c r="T225" s="88">
        <v>1250</v>
      </c>
      <c r="U225" s="88"/>
      <c r="V225" s="88"/>
      <c r="W225" s="88">
        <f>1054.69+250</f>
        <v>1304.69</v>
      </c>
      <c r="X225" s="88"/>
      <c r="Y225" s="88"/>
      <c r="Z225" s="88">
        <f>T225+W225+X225+Y225</f>
        <v>2554.69</v>
      </c>
      <c r="AA225" s="88">
        <v>25.546900000000001</v>
      </c>
      <c r="AB225" s="88">
        <v>173</v>
      </c>
      <c r="AC225" s="88"/>
      <c r="AD225" s="88"/>
      <c r="AE225" s="88"/>
      <c r="AF225" s="88"/>
      <c r="AG225" s="304">
        <f t="shared" si="23"/>
        <v>2356.1431000000002</v>
      </c>
      <c r="AH225" s="301">
        <v>44104</v>
      </c>
      <c r="AI225" s="240" t="s">
        <v>86</v>
      </c>
      <c r="AJ225" s="132" t="s">
        <v>165</v>
      </c>
    </row>
    <row r="226" spans="1:36" x14ac:dyDescent="0.2">
      <c r="R226" s="292" t="s">
        <v>154</v>
      </c>
      <c r="S226" s="81" t="s">
        <v>101</v>
      </c>
      <c r="T226" s="88">
        <v>1250</v>
      </c>
      <c r="U226" s="88"/>
      <c r="V226" s="88"/>
      <c r="W226" s="88">
        <f>375+250</f>
        <v>625</v>
      </c>
      <c r="X226" s="88"/>
      <c r="Y226" s="88"/>
      <c r="Z226" s="88">
        <f>T226+W226+X226+Y226</f>
        <v>1875</v>
      </c>
      <c r="AA226" s="88">
        <v>18.75</v>
      </c>
      <c r="AB226" s="88">
        <v>49</v>
      </c>
      <c r="AC226" s="88"/>
      <c r="AD226" s="88"/>
      <c r="AE226" s="88"/>
      <c r="AF226" s="88"/>
      <c r="AG226" s="304">
        <f t="shared" si="23"/>
        <v>1807.25</v>
      </c>
      <c r="AH226" s="301">
        <v>44104</v>
      </c>
      <c r="AI226" s="240" t="s">
        <v>86</v>
      </c>
      <c r="AJ226" s="132"/>
    </row>
    <row r="227" spans="1:36" s="162" customFormat="1" x14ac:dyDescent="0.2">
      <c r="A227" s="350"/>
      <c r="B227" s="350"/>
      <c r="C227" s="77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R227" s="305" t="s">
        <v>8</v>
      </c>
      <c r="S227" s="165" t="s">
        <v>96</v>
      </c>
      <c r="T227" s="163">
        <v>13502</v>
      </c>
      <c r="U227" s="163"/>
      <c r="V227" s="163"/>
      <c r="W227" s="163"/>
      <c r="X227" s="163"/>
      <c r="Y227" s="163">
        <v>5624</v>
      </c>
      <c r="Z227" s="88">
        <f>T227+W227+Y227</f>
        <v>19126</v>
      </c>
      <c r="AA227" s="163"/>
      <c r="AB227" s="163">
        <v>2355</v>
      </c>
      <c r="AC227" s="163">
        <v>-853</v>
      </c>
      <c r="AD227" s="163"/>
      <c r="AE227" s="163"/>
      <c r="AF227" s="163"/>
      <c r="AG227" s="304">
        <f t="shared" si="23"/>
        <v>12000</v>
      </c>
      <c r="AH227" s="170"/>
      <c r="AI227" s="170"/>
      <c r="AJ227" s="161"/>
    </row>
    <row r="228" spans="1:36" s="162" customFormat="1" x14ac:dyDescent="0.2">
      <c r="A228" s="350"/>
      <c r="B228" s="350"/>
      <c r="C228" s="77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R228" s="305" t="s">
        <v>27</v>
      </c>
      <c r="S228" s="165" t="s">
        <v>97</v>
      </c>
      <c r="T228" s="163">
        <v>13717</v>
      </c>
      <c r="U228" s="163"/>
      <c r="V228" s="163"/>
      <c r="W228" s="163"/>
      <c r="X228" s="163"/>
      <c r="Y228" s="163">
        <v>5409</v>
      </c>
      <c r="Z228" s="88">
        <f>T228+W228+Y228</f>
        <v>19126</v>
      </c>
      <c r="AA228" s="163"/>
      <c r="AB228" s="163">
        <v>2355</v>
      </c>
      <c r="AC228" s="163">
        <v>-638</v>
      </c>
      <c r="AD228" s="163"/>
      <c r="AE228" s="163"/>
      <c r="AF228" s="163"/>
      <c r="AG228" s="304">
        <f t="shared" si="23"/>
        <v>12000</v>
      </c>
      <c r="AH228" s="170"/>
      <c r="AI228" s="170"/>
      <c r="AJ228" s="161"/>
    </row>
    <row r="229" spans="1:36" s="162" customFormat="1" ht="13.5" thickBot="1" x14ac:dyDescent="0.25">
      <c r="A229" s="367"/>
      <c r="B229" s="367"/>
      <c r="D229" s="365"/>
      <c r="E229" s="365"/>
      <c r="F229" s="365"/>
      <c r="G229" s="365"/>
      <c r="H229" s="365"/>
      <c r="I229" s="365"/>
      <c r="J229" s="365"/>
      <c r="K229" s="365"/>
      <c r="L229" s="365"/>
      <c r="M229" s="365"/>
      <c r="N229" s="365"/>
      <c r="O229" s="365"/>
      <c r="P229" s="365"/>
      <c r="R229" s="344" t="s">
        <v>6</v>
      </c>
      <c r="S229" s="302" t="s">
        <v>98</v>
      </c>
      <c r="T229" s="164">
        <v>12643.72</v>
      </c>
      <c r="U229" s="164"/>
      <c r="V229" s="164"/>
      <c r="W229" s="164"/>
      <c r="X229" s="164"/>
      <c r="Y229" s="164">
        <v>2812</v>
      </c>
      <c r="Z229" s="244">
        <f>T229+W229+Y229</f>
        <v>15455.72</v>
      </c>
      <c r="AA229" s="164">
        <v>148.72</v>
      </c>
      <c r="AB229" s="164">
        <v>1536</v>
      </c>
      <c r="AC229" s="164">
        <v>-853</v>
      </c>
      <c r="AD229" s="164">
        <v>2812</v>
      </c>
      <c r="AE229" s="164"/>
      <c r="AF229" s="164"/>
      <c r="AG229" s="346">
        <f t="shared" si="23"/>
        <v>9000</v>
      </c>
      <c r="AH229" s="170"/>
      <c r="AI229" s="170"/>
      <c r="AJ229" s="161"/>
    </row>
    <row r="230" spans="1:36" x14ac:dyDescent="0.2">
      <c r="A230" s="367"/>
      <c r="B230" s="367"/>
      <c r="C230" s="162"/>
      <c r="D230" s="365"/>
      <c r="E230" s="365"/>
      <c r="F230" s="365"/>
      <c r="G230" s="365"/>
      <c r="H230" s="365"/>
      <c r="I230" s="365"/>
      <c r="J230" s="365"/>
      <c r="K230" s="365"/>
      <c r="L230" s="365"/>
      <c r="M230" s="365"/>
      <c r="N230" s="365"/>
      <c r="O230" s="365"/>
      <c r="P230" s="365"/>
      <c r="R230" s="310" t="s">
        <v>25</v>
      </c>
      <c r="S230" s="311" t="s">
        <v>63</v>
      </c>
      <c r="T230" s="312">
        <v>3966.4</v>
      </c>
      <c r="U230" s="312"/>
      <c r="V230" s="312"/>
      <c r="W230" s="312">
        <v>3049.17</v>
      </c>
      <c r="X230" s="312">
        <v>490</v>
      </c>
      <c r="Y230" s="312">
        <v>624</v>
      </c>
      <c r="Z230" s="312">
        <f>T230+W230+Y230</f>
        <v>7639.57</v>
      </c>
      <c r="AA230" s="312">
        <v>37.18</v>
      </c>
      <c r="AB230" s="312">
        <v>1458</v>
      </c>
      <c r="AC230" s="312">
        <v>-159.5</v>
      </c>
      <c r="AD230" s="312">
        <v>624</v>
      </c>
      <c r="AE230" s="312">
        <v>200.01</v>
      </c>
      <c r="AF230" s="312">
        <f>1125+500</f>
        <v>1625</v>
      </c>
      <c r="AG230" s="313">
        <f t="shared" si="23"/>
        <v>3720.8799999999992</v>
      </c>
      <c r="AH230" s="301">
        <v>44111</v>
      </c>
      <c r="AI230" s="241" t="s">
        <v>160</v>
      </c>
      <c r="AJ230" s="132" t="s">
        <v>169</v>
      </c>
    </row>
    <row r="231" spans="1:36" x14ac:dyDescent="0.2">
      <c r="A231" s="367"/>
      <c r="B231" s="367"/>
      <c r="C231" s="162"/>
      <c r="D231" s="365"/>
      <c r="E231" s="365"/>
      <c r="F231" s="365"/>
      <c r="G231" s="365"/>
      <c r="H231" s="365"/>
      <c r="I231" s="365"/>
      <c r="J231" s="365"/>
      <c r="K231" s="365"/>
      <c r="L231" s="365"/>
      <c r="M231" s="365"/>
      <c r="N231" s="365"/>
      <c r="O231" s="365"/>
      <c r="P231" s="365"/>
      <c r="R231" s="314" t="s">
        <v>26</v>
      </c>
      <c r="S231" s="315" t="s">
        <v>70</v>
      </c>
      <c r="T231" s="316">
        <v>1023.5</v>
      </c>
      <c r="U231" s="316"/>
      <c r="V231" s="316"/>
      <c r="W231" s="316"/>
      <c r="X231" s="316">
        <v>50</v>
      </c>
      <c r="Y231" s="316"/>
      <c r="Z231" s="316">
        <f>T231+W231+Y231</f>
        <v>1023.5</v>
      </c>
      <c r="AA231" s="316">
        <v>10.234999999999999</v>
      </c>
      <c r="AB231" s="316"/>
      <c r="AC231" s="316"/>
      <c r="AD231" s="316"/>
      <c r="AE231" s="316">
        <v>58.14</v>
      </c>
      <c r="AF231" s="316">
        <v>100</v>
      </c>
      <c r="AG231" s="317">
        <f t="shared" si="23"/>
        <v>905.12500000000011</v>
      </c>
      <c r="AH231" s="301">
        <v>44111</v>
      </c>
      <c r="AI231" s="241" t="s">
        <v>160</v>
      </c>
      <c r="AJ231" s="132" t="s">
        <v>169</v>
      </c>
    </row>
    <row r="232" spans="1:36" x14ac:dyDescent="0.2">
      <c r="R232" s="314" t="s">
        <v>3</v>
      </c>
      <c r="S232" s="315" t="s">
        <v>71</v>
      </c>
      <c r="T232" s="316">
        <v>1343.5</v>
      </c>
      <c r="U232" s="316"/>
      <c r="V232" s="316"/>
      <c r="W232" s="316">
        <v>554.19000000000005</v>
      </c>
      <c r="X232" s="316">
        <v>50</v>
      </c>
      <c r="Y232" s="316"/>
      <c r="Z232" s="316">
        <f>T232+W232+Y232+X232</f>
        <v>1947.69</v>
      </c>
      <c r="AA232" s="316">
        <v>18.98</v>
      </c>
      <c r="AB232" s="316">
        <v>54</v>
      </c>
      <c r="AC232" s="316"/>
      <c r="AD232" s="316"/>
      <c r="AE232" s="316">
        <v>76.295000000000002</v>
      </c>
      <c r="AF232" s="316"/>
      <c r="AG232" s="317">
        <f t="shared" si="23"/>
        <v>1798.415</v>
      </c>
      <c r="AH232" s="301">
        <v>44111</v>
      </c>
      <c r="AI232" s="241" t="s">
        <v>160</v>
      </c>
      <c r="AJ232" s="132" t="s">
        <v>169</v>
      </c>
    </row>
    <row r="233" spans="1:36" x14ac:dyDescent="0.2">
      <c r="R233" s="314" t="s">
        <v>31</v>
      </c>
      <c r="S233" s="315" t="s">
        <v>72</v>
      </c>
      <c r="T233" s="316">
        <v>1300</v>
      </c>
      <c r="U233" s="316"/>
      <c r="V233" s="316"/>
      <c r="W233" s="316">
        <v>536.25</v>
      </c>
      <c r="X233" s="316">
        <v>50</v>
      </c>
      <c r="Y233" s="316"/>
      <c r="Z233" s="316">
        <f>T233+W233+Y233+X233</f>
        <v>1886.25</v>
      </c>
      <c r="AA233" s="316">
        <v>13</v>
      </c>
      <c r="AB233" s="316">
        <v>43</v>
      </c>
      <c r="AC233" s="316"/>
      <c r="AD233" s="316"/>
      <c r="AE233" s="316">
        <v>67.78</v>
      </c>
      <c r="AF233" s="316"/>
      <c r="AG233" s="317">
        <f t="shared" si="23"/>
        <v>1762.47</v>
      </c>
      <c r="AH233" s="301">
        <v>44111</v>
      </c>
      <c r="AI233" s="241" t="s">
        <v>160</v>
      </c>
      <c r="AJ233" s="132" t="s">
        <v>169</v>
      </c>
    </row>
    <row r="234" spans="1:36" x14ac:dyDescent="0.2">
      <c r="R234" s="314" t="s">
        <v>69</v>
      </c>
      <c r="S234" s="315" t="s">
        <v>73</v>
      </c>
      <c r="T234" s="316">
        <v>1000</v>
      </c>
      <c r="U234" s="316"/>
      <c r="V234" s="316"/>
      <c r="W234" s="316">
        <v>412.5</v>
      </c>
      <c r="X234" s="316"/>
      <c r="Y234" s="316"/>
      <c r="Z234" s="316">
        <f>T234+W234+Y234</f>
        <v>1412.5</v>
      </c>
      <c r="AA234" s="316">
        <v>14.13</v>
      </c>
      <c r="AB234" s="316"/>
      <c r="AC234" s="316"/>
      <c r="AD234" s="316"/>
      <c r="AE234" s="316"/>
      <c r="AF234" s="316"/>
      <c r="AG234" s="317">
        <f t="shared" si="23"/>
        <v>1398.37</v>
      </c>
      <c r="AH234" s="301">
        <v>44111</v>
      </c>
      <c r="AI234" s="241" t="s">
        <v>160</v>
      </c>
      <c r="AJ234" s="132" t="s">
        <v>169</v>
      </c>
    </row>
    <row r="235" spans="1:36" x14ac:dyDescent="0.2">
      <c r="R235" s="314" t="s">
        <v>79</v>
      </c>
      <c r="S235" s="315" t="s">
        <v>91</v>
      </c>
      <c r="T235" s="316">
        <v>1250</v>
      </c>
      <c r="U235" s="316"/>
      <c r="V235" s="316"/>
      <c r="W235" s="316">
        <v>281.25</v>
      </c>
      <c r="X235" s="316"/>
      <c r="Y235" s="316"/>
      <c r="Z235" s="316">
        <f>T235+W235+Y235</f>
        <v>1531.25</v>
      </c>
      <c r="AA235" s="316">
        <v>15.31</v>
      </c>
      <c r="AB235" s="316"/>
      <c r="AC235" s="316"/>
      <c r="AD235" s="316"/>
      <c r="AE235" s="316"/>
      <c r="AF235" s="316"/>
      <c r="AG235" s="317">
        <f t="shared" si="23"/>
        <v>1515.94</v>
      </c>
      <c r="AH235" s="301">
        <v>44111</v>
      </c>
      <c r="AI235" s="241" t="s">
        <v>160</v>
      </c>
      <c r="AJ235" s="132" t="s">
        <v>169</v>
      </c>
    </row>
    <row r="236" spans="1:36" x14ac:dyDescent="0.2">
      <c r="R236" s="314" t="s">
        <v>95</v>
      </c>
      <c r="S236" s="315" t="s">
        <v>94</v>
      </c>
      <c r="T236" s="316">
        <v>800</v>
      </c>
      <c r="U236" s="316"/>
      <c r="V236" s="316"/>
      <c r="W236" s="316">
        <v>330</v>
      </c>
      <c r="X236" s="316"/>
      <c r="Y236" s="316"/>
      <c r="Z236" s="316">
        <f>T236+W236+Y236</f>
        <v>1130</v>
      </c>
      <c r="AA236" s="316">
        <v>11.3</v>
      </c>
      <c r="AB236" s="316"/>
      <c r="AC236" s="316"/>
      <c r="AD236" s="316"/>
      <c r="AE236" s="316"/>
      <c r="AF236" s="316"/>
      <c r="AG236" s="317">
        <f t="shared" si="23"/>
        <v>1118.7</v>
      </c>
      <c r="AH236" s="301">
        <v>44111</v>
      </c>
      <c r="AI236" s="241" t="s">
        <v>160</v>
      </c>
      <c r="AJ236" s="132" t="s">
        <v>169</v>
      </c>
    </row>
    <row r="237" spans="1:36" x14ac:dyDescent="0.2">
      <c r="R237" s="314" t="s">
        <v>102</v>
      </c>
      <c r="S237" s="315" t="s">
        <v>104</v>
      </c>
      <c r="T237" s="316">
        <v>1250</v>
      </c>
      <c r="U237" s="316"/>
      <c r="V237" s="316"/>
      <c r="W237" s="316">
        <v>515.63</v>
      </c>
      <c r="X237" s="316"/>
      <c r="Y237" s="316"/>
      <c r="Z237" s="316">
        <f>T237+W237+Y237</f>
        <v>1765.63</v>
      </c>
      <c r="AA237" s="316">
        <v>17.66</v>
      </c>
      <c r="AB237" s="316">
        <v>30</v>
      </c>
      <c r="AC237" s="316"/>
      <c r="AD237" s="316"/>
      <c r="AE237" s="316"/>
      <c r="AF237" s="316">
        <v>300</v>
      </c>
      <c r="AG237" s="317">
        <f t="shared" si="23"/>
        <v>1417.97</v>
      </c>
      <c r="AH237" s="301">
        <v>44111</v>
      </c>
      <c r="AI237" s="241" t="s">
        <v>160</v>
      </c>
      <c r="AJ237" s="132" t="s">
        <v>169</v>
      </c>
    </row>
    <row r="238" spans="1:36" x14ac:dyDescent="0.2">
      <c r="R238" s="314" t="s">
        <v>146</v>
      </c>
      <c r="S238" s="315" t="s">
        <v>151</v>
      </c>
      <c r="T238" s="316">
        <v>1250</v>
      </c>
      <c r="U238" s="316"/>
      <c r="V238" s="316"/>
      <c r="W238" s="316">
        <v>960.94</v>
      </c>
      <c r="X238" s="316"/>
      <c r="Y238" s="316"/>
      <c r="Z238" s="316">
        <f>T238+W238+X238+Y238</f>
        <v>2210.94</v>
      </c>
      <c r="AA238" s="316">
        <v>22.109400000000001</v>
      </c>
      <c r="AB238" s="316">
        <v>110</v>
      </c>
      <c r="AC238" s="316"/>
      <c r="AD238" s="316"/>
      <c r="AE238" s="316"/>
      <c r="AF238" s="316"/>
      <c r="AG238" s="317">
        <f t="shared" si="23"/>
        <v>2078.8306000000002</v>
      </c>
      <c r="AH238" s="301">
        <v>44111</v>
      </c>
      <c r="AI238" s="241" t="s">
        <v>160</v>
      </c>
      <c r="AJ238" s="132" t="s">
        <v>169</v>
      </c>
    </row>
    <row r="239" spans="1:36" x14ac:dyDescent="0.2">
      <c r="R239" s="314" t="s">
        <v>154</v>
      </c>
      <c r="S239" s="315" t="s">
        <v>101</v>
      </c>
      <c r="T239" s="316">
        <v>1250</v>
      </c>
      <c r="U239" s="316"/>
      <c r="V239" s="316"/>
      <c r="W239" s="316">
        <v>515.63</v>
      </c>
      <c r="X239" s="316"/>
      <c r="Y239" s="316"/>
      <c r="Z239" s="316">
        <f>T239+W239+X239+Y239</f>
        <v>1765.63</v>
      </c>
      <c r="AA239" s="316">
        <v>17.656300000000002</v>
      </c>
      <c r="AB239" s="316">
        <v>30</v>
      </c>
      <c r="AC239" s="316"/>
      <c r="AD239" s="316"/>
      <c r="AE239" s="316"/>
      <c r="AF239" s="316"/>
      <c r="AG239" s="317">
        <f t="shared" si="23"/>
        <v>1717.9737</v>
      </c>
      <c r="AH239" s="323">
        <v>44111</v>
      </c>
      <c r="AI239" s="241" t="s">
        <v>160</v>
      </c>
      <c r="AJ239" s="132" t="s">
        <v>169</v>
      </c>
    </row>
    <row r="240" spans="1:36" x14ac:dyDescent="0.2">
      <c r="R240" s="314" t="s">
        <v>164</v>
      </c>
      <c r="S240" s="315" t="s">
        <v>170</v>
      </c>
      <c r="T240" s="316">
        <v>1250</v>
      </c>
      <c r="U240" s="316"/>
      <c r="V240" s="316"/>
      <c r="W240" s="316">
        <v>515.63</v>
      </c>
      <c r="X240" s="316"/>
      <c r="Y240" s="316"/>
      <c r="Z240" s="316">
        <f>T240+W240+X240+Y240</f>
        <v>1765.63</v>
      </c>
      <c r="AA240" s="316">
        <v>17.656300000000002</v>
      </c>
      <c r="AB240" s="316">
        <v>30</v>
      </c>
      <c r="AC240" s="316"/>
      <c r="AD240" s="316"/>
      <c r="AE240" s="316"/>
      <c r="AF240" s="316"/>
      <c r="AG240" s="317">
        <f t="shared" si="23"/>
        <v>1717.9737</v>
      </c>
      <c r="AH240" s="323">
        <v>44111</v>
      </c>
      <c r="AI240" s="241" t="s">
        <v>160</v>
      </c>
      <c r="AJ240" s="132" t="s">
        <v>169</v>
      </c>
    </row>
    <row r="241" spans="18:36" x14ac:dyDescent="0.2">
      <c r="R241" s="314" t="s">
        <v>25</v>
      </c>
      <c r="S241" s="315" t="s">
        <v>63</v>
      </c>
      <c r="T241" s="316">
        <v>3966.4</v>
      </c>
      <c r="U241" s="316"/>
      <c r="V241" s="316"/>
      <c r="W241" s="316">
        <v>3197.91</v>
      </c>
      <c r="X241" s="316">
        <v>490</v>
      </c>
      <c r="Y241" s="316">
        <v>624</v>
      </c>
      <c r="Z241" s="316">
        <f>T241+W241+Y241</f>
        <v>7788.3099999999995</v>
      </c>
      <c r="AA241" s="316">
        <v>37.18</v>
      </c>
      <c r="AB241" s="316">
        <v>1498</v>
      </c>
      <c r="AC241" s="316">
        <v>-159.5</v>
      </c>
      <c r="AD241" s="316">
        <v>624</v>
      </c>
      <c r="AE241" s="316">
        <v>200.01</v>
      </c>
      <c r="AF241" s="316">
        <f>1125+500</f>
        <v>1625</v>
      </c>
      <c r="AG241" s="317">
        <f t="shared" si="23"/>
        <v>3829.619999999999</v>
      </c>
      <c r="AH241" s="301">
        <v>44118</v>
      </c>
      <c r="AI241" s="242" t="s">
        <v>161</v>
      </c>
      <c r="AJ241" s="132" t="s">
        <v>169</v>
      </c>
    </row>
    <row r="242" spans="18:36" x14ac:dyDescent="0.2">
      <c r="R242" s="314" t="s">
        <v>26</v>
      </c>
      <c r="S242" s="315" t="s">
        <v>70</v>
      </c>
      <c r="T242" s="316">
        <v>1023.5</v>
      </c>
      <c r="U242" s="316"/>
      <c r="V242" s="316"/>
      <c r="W242" s="316"/>
      <c r="X242" s="316">
        <v>50</v>
      </c>
      <c r="Y242" s="316"/>
      <c r="Z242" s="316">
        <f>T242+W242+Y242</f>
        <v>1023.5</v>
      </c>
      <c r="AA242" s="316">
        <v>10.234999999999999</v>
      </c>
      <c r="AB242" s="316"/>
      <c r="AC242" s="316"/>
      <c r="AD242" s="316"/>
      <c r="AE242" s="316">
        <v>58.14</v>
      </c>
      <c r="AF242" s="316">
        <v>100</v>
      </c>
      <c r="AG242" s="317">
        <f t="shared" si="23"/>
        <v>905.12500000000011</v>
      </c>
      <c r="AH242" s="301">
        <v>44118</v>
      </c>
      <c r="AI242" s="242" t="s">
        <v>161</v>
      </c>
      <c r="AJ242" s="132" t="s">
        <v>169</v>
      </c>
    </row>
    <row r="243" spans="18:36" x14ac:dyDescent="0.2">
      <c r="R243" s="314" t="s">
        <v>3</v>
      </c>
      <c r="S243" s="315" t="s">
        <v>71</v>
      </c>
      <c r="T243" s="316">
        <v>1343.5</v>
      </c>
      <c r="U243" s="316"/>
      <c r="V243" s="316"/>
      <c r="W243" s="316">
        <v>856.48</v>
      </c>
      <c r="X243" s="316">
        <v>50</v>
      </c>
      <c r="Y243" s="316"/>
      <c r="Z243" s="316">
        <f>T243+W243+Y243+X243</f>
        <v>2249.98</v>
      </c>
      <c r="AA243" s="316">
        <v>22</v>
      </c>
      <c r="AB243" s="316">
        <v>108</v>
      </c>
      <c r="AC243" s="316"/>
      <c r="AD243" s="316"/>
      <c r="AE243" s="316">
        <v>76.295000000000002</v>
      </c>
      <c r="AF243" s="316"/>
      <c r="AG243" s="317">
        <f t="shared" si="23"/>
        <v>2043.6849999999999</v>
      </c>
      <c r="AH243" s="301">
        <v>44118</v>
      </c>
      <c r="AI243" s="242" t="s">
        <v>161</v>
      </c>
      <c r="AJ243" s="132" t="s">
        <v>169</v>
      </c>
    </row>
    <row r="244" spans="18:36" x14ac:dyDescent="0.2">
      <c r="R244" s="314" t="s">
        <v>31</v>
      </c>
      <c r="S244" s="315" t="s">
        <v>72</v>
      </c>
      <c r="T244" s="316">
        <v>1300</v>
      </c>
      <c r="U244" s="316"/>
      <c r="V244" s="316"/>
      <c r="W244" s="316">
        <v>828.75</v>
      </c>
      <c r="X244" s="316">
        <v>50</v>
      </c>
      <c r="Y244" s="316"/>
      <c r="Z244" s="316">
        <f>T244+W244+Y244+X244</f>
        <v>2178.75</v>
      </c>
      <c r="AA244" s="316">
        <v>13</v>
      </c>
      <c r="AB244" s="316">
        <v>96</v>
      </c>
      <c r="AC244" s="316"/>
      <c r="AD244" s="316"/>
      <c r="AE244" s="316">
        <v>67.78</v>
      </c>
      <c r="AF244" s="316"/>
      <c r="AG244" s="317">
        <f t="shared" si="23"/>
        <v>2001.97</v>
      </c>
      <c r="AH244" s="301">
        <v>44118</v>
      </c>
      <c r="AI244" s="242" t="s">
        <v>161</v>
      </c>
      <c r="AJ244" s="132" t="s">
        <v>169</v>
      </c>
    </row>
    <row r="245" spans="18:36" x14ac:dyDescent="0.2">
      <c r="R245" s="314" t="s">
        <v>69</v>
      </c>
      <c r="S245" s="315" t="s">
        <v>73</v>
      </c>
      <c r="T245" s="316">
        <v>1000</v>
      </c>
      <c r="U245" s="316"/>
      <c r="V245" s="316"/>
      <c r="W245" s="316">
        <v>637.5</v>
      </c>
      <c r="X245" s="316"/>
      <c r="Y245" s="316"/>
      <c r="Z245" s="316">
        <f>T245+W245+Y245</f>
        <v>1637.5</v>
      </c>
      <c r="AA245" s="316">
        <v>16.38</v>
      </c>
      <c r="AB245" s="316">
        <v>7</v>
      </c>
      <c r="AC245" s="316"/>
      <c r="AD245" s="316"/>
      <c r="AE245" s="316"/>
      <c r="AF245" s="316"/>
      <c r="AG245" s="317">
        <f t="shared" si="23"/>
        <v>1614.12</v>
      </c>
      <c r="AH245" s="301">
        <v>44118</v>
      </c>
      <c r="AI245" s="242" t="s">
        <v>161</v>
      </c>
      <c r="AJ245" s="132" t="s">
        <v>169</v>
      </c>
    </row>
    <row r="246" spans="18:36" x14ac:dyDescent="0.2">
      <c r="R246" s="314" t="s">
        <v>79</v>
      </c>
      <c r="S246" s="315" t="s">
        <v>91</v>
      </c>
      <c r="T246" s="316">
        <v>1250</v>
      </c>
      <c r="U246" s="316"/>
      <c r="V246" s="316"/>
      <c r="W246" s="316">
        <v>796.88</v>
      </c>
      <c r="X246" s="316"/>
      <c r="Y246" s="316"/>
      <c r="Z246" s="316">
        <f>T246+W246+Y246</f>
        <v>2046.88</v>
      </c>
      <c r="AA246" s="316">
        <v>20.47</v>
      </c>
      <c r="AB246" s="316">
        <v>81</v>
      </c>
      <c r="AC246" s="316"/>
      <c r="AD246" s="316"/>
      <c r="AE246" s="316"/>
      <c r="AF246" s="316"/>
      <c r="AG246" s="317">
        <f t="shared" si="23"/>
        <v>1945.41</v>
      </c>
      <c r="AH246" s="301">
        <v>44118</v>
      </c>
      <c r="AI246" s="242" t="s">
        <v>161</v>
      </c>
      <c r="AJ246" s="132" t="s">
        <v>169</v>
      </c>
    </row>
    <row r="247" spans="18:36" x14ac:dyDescent="0.2">
      <c r="R247" s="314" t="s">
        <v>92</v>
      </c>
      <c r="S247" s="315" t="s">
        <v>93</v>
      </c>
      <c r="T247" s="316">
        <v>500</v>
      </c>
      <c r="U247" s="316"/>
      <c r="V247" s="316"/>
      <c r="W247" s="316">
        <v>281.25</v>
      </c>
      <c r="X247" s="316"/>
      <c r="Y247" s="316"/>
      <c r="Z247" s="316">
        <f>T247+W247+Y247</f>
        <v>781.25</v>
      </c>
      <c r="AA247" s="316">
        <v>7.81</v>
      </c>
      <c r="AB247" s="316"/>
      <c r="AC247" s="316"/>
      <c r="AD247" s="316"/>
      <c r="AE247" s="316"/>
      <c r="AF247" s="316"/>
      <c r="AG247" s="317">
        <f t="shared" si="23"/>
        <v>773.44</v>
      </c>
      <c r="AH247" s="301">
        <v>44118</v>
      </c>
      <c r="AI247" s="242" t="s">
        <v>161</v>
      </c>
      <c r="AJ247" s="132" t="s">
        <v>169</v>
      </c>
    </row>
    <row r="248" spans="18:36" x14ac:dyDescent="0.2">
      <c r="R248" s="314" t="s">
        <v>95</v>
      </c>
      <c r="S248" s="315" t="s">
        <v>94</v>
      </c>
      <c r="T248" s="316">
        <v>800</v>
      </c>
      <c r="U248" s="316"/>
      <c r="V248" s="316"/>
      <c r="W248" s="316">
        <v>510</v>
      </c>
      <c r="X248" s="316"/>
      <c r="Y248" s="316"/>
      <c r="Z248" s="316">
        <f>T248+W248+Y248</f>
        <v>1310</v>
      </c>
      <c r="AA248" s="316">
        <v>13.1</v>
      </c>
      <c r="AB248" s="316"/>
      <c r="AC248" s="316"/>
      <c r="AD248" s="316"/>
      <c r="AE248" s="316"/>
      <c r="AF248" s="316"/>
      <c r="AG248" s="317">
        <f t="shared" si="23"/>
        <v>1296.9000000000001</v>
      </c>
      <c r="AH248" s="301">
        <v>44118</v>
      </c>
      <c r="AI248" s="242" t="s">
        <v>161</v>
      </c>
      <c r="AJ248" s="132" t="s">
        <v>169</v>
      </c>
    </row>
    <row r="249" spans="18:36" x14ac:dyDescent="0.2">
      <c r="R249" s="314" t="s">
        <v>102</v>
      </c>
      <c r="S249" s="315" t="s">
        <v>104</v>
      </c>
      <c r="T249" s="316">
        <v>1250</v>
      </c>
      <c r="U249" s="316"/>
      <c r="V249" s="316"/>
      <c r="W249" s="316">
        <v>796.88</v>
      </c>
      <c r="X249" s="316"/>
      <c r="Y249" s="316"/>
      <c r="Z249" s="316">
        <f>T249+W249+Y249</f>
        <v>2046.88</v>
      </c>
      <c r="AA249" s="316">
        <v>20.468</v>
      </c>
      <c r="AB249" s="316">
        <v>81</v>
      </c>
      <c r="AC249" s="316"/>
      <c r="AD249" s="316"/>
      <c r="AE249" s="316"/>
      <c r="AF249" s="316">
        <v>300</v>
      </c>
      <c r="AG249" s="317">
        <f t="shared" si="23"/>
        <v>1645.412</v>
      </c>
      <c r="AH249" s="301">
        <v>44118</v>
      </c>
      <c r="AI249" s="242" t="s">
        <v>161</v>
      </c>
      <c r="AJ249" s="132" t="s">
        <v>169</v>
      </c>
    </row>
    <row r="250" spans="18:36" x14ac:dyDescent="0.2">
      <c r="R250" s="314" t="s">
        <v>146</v>
      </c>
      <c r="S250" s="315" t="s">
        <v>151</v>
      </c>
      <c r="T250" s="316">
        <v>1250</v>
      </c>
      <c r="U250" s="316"/>
      <c r="V250" s="316"/>
      <c r="W250" s="316">
        <v>796.88</v>
      </c>
      <c r="X250" s="316"/>
      <c r="Y250" s="316"/>
      <c r="Z250" s="316">
        <f>T250+W250+X250+Y250</f>
        <v>2046.88</v>
      </c>
      <c r="AA250" s="316">
        <v>20.468800000000002</v>
      </c>
      <c r="AB250" s="316">
        <v>81</v>
      </c>
      <c r="AC250" s="316"/>
      <c r="AD250" s="316"/>
      <c r="AE250" s="316"/>
      <c r="AF250" s="316"/>
      <c r="AG250" s="317">
        <f t="shared" si="23"/>
        <v>1945.4112</v>
      </c>
      <c r="AH250" s="301">
        <v>44118</v>
      </c>
      <c r="AI250" s="242" t="s">
        <v>161</v>
      </c>
      <c r="AJ250" s="132" t="s">
        <v>169</v>
      </c>
    </row>
    <row r="251" spans="18:36" x14ac:dyDescent="0.2">
      <c r="R251" s="314" t="s">
        <v>154</v>
      </c>
      <c r="S251" s="315" t="s">
        <v>101</v>
      </c>
      <c r="T251" s="316">
        <v>1250</v>
      </c>
      <c r="U251" s="316"/>
      <c r="V251" s="316"/>
      <c r="W251" s="316">
        <v>796.88</v>
      </c>
      <c r="X251" s="316"/>
      <c r="Y251" s="316"/>
      <c r="Z251" s="316">
        <f>T251+W251+X251+Y251</f>
        <v>2046.88</v>
      </c>
      <c r="AA251" s="316">
        <v>20.468800000000002</v>
      </c>
      <c r="AB251" s="316">
        <v>81</v>
      </c>
      <c r="AC251" s="316"/>
      <c r="AD251" s="316"/>
      <c r="AE251" s="316"/>
      <c r="AF251" s="316"/>
      <c r="AG251" s="317">
        <f t="shared" si="23"/>
        <v>1945.4112</v>
      </c>
      <c r="AH251" s="301">
        <v>44118</v>
      </c>
      <c r="AI251" s="242" t="s">
        <v>161</v>
      </c>
      <c r="AJ251" s="132" t="s">
        <v>169</v>
      </c>
    </row>
    <row r="252" spans="18:36" x14ac:dyDescent="0.2">
      <c r="R252" s="314" t="s">
        <v>164</v>
      </c>
      <c r="S252" s="315" t="s">
        <v>170</v>
      </c>
      <c r="T252" s="316">
        <v>1250</v>
      </c>
      <c r="U252" s="316"/>
      <c r="V252" s="316"/>
      <c r="W252" s="316">
        <v>796.88</v>
      </c>
      <c r="X252" s="316"/>
      <c r="Y252" s="316"/>
      <c r="Z252" s="316">
        <f>T252+W252+X252+Y252</f>
        <v>2046.88</v>
      </c>
      <c r="AA252" s="316">
        <v>20.468800000000002</v>
      </c>
      <c r="AB252" s="316">
        <v>81</v>
      </c>
      <c r="AC252" s="316"/>
      <c r="AD252" s="316"/>
      <c r="AE252" s="316"/>
      <c r="AF252" s="316"/>
      <c r="AG252" s="317">
        <f t="shared" si="23"/>
        <v>1945.4112</v>
      </c>
      <c r="AH252" s="301">
        <v>44118</v>
      </c>
      <c r="AI252" s="242" t="s">
        <v>161</v>
      </c>
      <c r="AJ252" s="132" t="s">
        <v>169</v>
      </c>
    </row>
    <row r="253" spans="18:36" x14ac:dyDescent="0.2">
      <c r="R253" s="314" t="s">
        <v>25</v>
      </c>
      <c r="S253" s="315" t="s">
        <v>63</v>
      </c>
      <c r="T253" s="316">
        <v>3966.4</v>
      </c>
      <c r="U253" s="316"/>
      <c r="V253" s="316"/>
      <c r="W253" s="316">
        <v>3197.91</v>
      </c>
      <c r="X253" s="316">
        <v>490</v>
      </c>
      <c r="Y253" s="316">
        <v>624</v>
      </c>
      <c r="Z253" s="316">
        <f>T253+W253+Y253</f>
        <v>7788.3099999999995</v>
      </c>
      <c r="AA253" s="316">
        <v>37.18</v>
      </c>
      <c r="AB253" s="316">
        <v>1498</v>
      </c>
      <c r="AC253" s="316">
        <v>-159.5</v>
      </c>
      <c r="AD253" s="316">
        <v>624</v>
      </c>
      <c r="AE253" s="316">
        <v>200.01</v>
      </c>
      <c r="AF253" s="316">
        <f>1125+500</f>
        <v>1625</v>
      </c>
      <c r="AG253" s="317">
        <f t="shared" si="23"/>
        <v>3829.619999999999</v>
      </c>
      <c r="AH253" s="301">
        <v>44125</v>
      </c>
      <c r="AI253" s="239" t="s">
        <v>162</v>
      </c>
      <c r="AJ253" s="132" t="s">
        <v>169</v>
      </c>
    </row>
    <row r="254" spans="18:36" x14ac:dyDescent="0.2">
      <c r="R254" s="314" t="s">
        <v>26</v>
      </c>
      <c r="S254" s="315" t="s">
        <v>70</v>
      </c>
      <c r="T254" s="316">
        <v>1023.5</v>
      </c>
      <c r="U254" s="316"/>
      <c r="V254" s="316"/>
      <c r="W254" s="316"/>
      <c r="X254" s="316">
        <v>50</v>
      </c>
      <c r="Y254" s="316"/>
      <c r="Z254" s="316">
        <f>T254+W254+Y254</f>
        <v>1023.5</v>
      </c>
      <c r="AA254" s="316">
        <v>10.234999999999999</v>
      </c>
      <c r="AB254" s="316"/>
      <c r="AC254" s="316"/>
      <c r="AD254" s="316"/>
      <c r="AE254" s="316">
        <v>58.14</v>
      </c>
      <c r="AF254" s="316">
        <v>100</v>
      </c>
      <c r="AG254" s="317">
        <f t="shared" si="23"/>
        <v>905.12500000000011</v>
      </c>
      <c r="AH254" s="301">
        <v>44125</v>
      </c>
      <c r="AI254" s="239" t="s">
        <v>162</v>
      </c>
      <c r="AJ254" s="132" t="s">
        <v>169</v>
      </c>
    </row>
    <row r="255" spans="18:36" x14ac:dyDescent="0.2">
      <c r="R255" s="314" t="s">
        <v>3</v>
      </c>
      <c r="S255" s="315" t="s">
        <v>71</v>
      </c>
      <c r="T255" s="316">
        <v>1343.5</v>
      </c>
      <c r="U255" s="316"/>
      <c r="V255" s="316"/>
      <c r="W255" s="316">
        <v>856.48</v>
      </c>
      <c r="X255" s="316">
        <v>50</v>
      </c>
      <c r="Y255" s="316"/>
      <c r="Z255" s="316">
        <f>T255+W255+Y255+X255</f>
        <v>2249.98</v>
      </c>
      <c r="AA255" s="316">
        <v>22</v>
      </c>
      <c r="AB255" s="316">
        <v>108</v>
      </c>
      <c r="AC255" s="316"/>
      <c r="AD255" s="316"/>
      <c r="AE255" s="316">
        <v>76.295000000000002</v>
      </c>
      <c r="AF255" s="316"/>
      <c r="AG255" s="317">
        <f t="shared" si="23"/>
        <v>2043.6849999999999</v>
      </c>
      <c r="AH255" s="301">
        <v>44125</v>
      </c>
      <c r="AI255" s="239" t="s">
        <v>162</v>
      </c>
      <c r="AJ255" s="132" t="s">
        <v>169</v>
      </c>
    </row>
    <row r="256" spans="18:36" x14ac:dyDescent="0.2">
      <c r="R256" s="314" t="s">
        <v>31</v>
      </c>
      <c r="S256" s="315" t="s">
        <v>72</v>
      </c>
      <c r="T256" s="316">
        <v>1300</v>
      </c>
      <c r="U256" s="316"/>
      <c r="V256" s="316"/>
      <c r="W256" s="316">
        <v>828.75</v>
      </c>
      <c r="X256" s="316">
        <v>50</v>
      </c>
      <c r="Y256" s="316"/>
      <c r="Z256" s="316">
        <f>T256+W256+Y256+X256</f>
        <v>2178.75</v>
      </c>
      <c r="AA256" s="316">
        <v>13</v>
      </c>
      <c r="AB256" s="316">
        <v>96</v>
      </c>
      <c r="AC256" s="316"/>
      <c r="AD256" s="316"/>
      <c r="AE256" s="316">
        <v>67.78</v>
      </c>
      <c r="AF256" s="316"/>
      <c r="AG256" s="317">
        <f t="shared" si="23"/>
        <v>2001.97</v>
      </c>
      <c r="AH256" s="301">
        <v>44125</v>
      </c>
      <c r="AI256" s="239" t="s">
        <v>162</v>
      </c>
      <c r="AJ256" s="132" t="s">
        <v>169</v>
      </c>
    </row>
    <row r="257" spans="18:36" x14ac:dyDescent="0.2">
      <c r="R257" s="314" t="s">
        <v>69</v>
      </c>
      <c r="S257" s="315" t="s">
        <v>73</v>
      </c>
      <c r="T257" s="316">
        <v>1000</v>
      </c>
      <c r="U257" s="316"/>
      <c r="V257" s="316"/>
      <c r="W257" s="316">
        <v>637.5</v>
      </c>
      <c r="X257" s="316"/>
      <c r="Y257" s="316"/>
      <c r="Z257" s="316">
        <f>T257+W257+Y257</f>
        <v>1637.5</v>
      </c>
      <c r="AA257" s="316">
        <v>16.38</v>
      </c>
      <c r="AB257" s="316">
        <v>7</v>
      </c>
      <c r="AC257" s="316"/>
      <c r="AD257" s="316"/>
      <c r="AE257" s="316"/>
      <c r="AF257" s="316"/>
      <c r="AG257" s="317">
        <f t="shared" si="23"/>
        <v>1614.12</v>
      </c>
      <c r="AH257" s="301">
        <v>44125</v>
      </c>
      <c r="AI257" s="239" t="s">
        <v>162</v>
      </c>
      <c r="AJ257" s="132" t="s">
        <v>169</v>
      </c>
    </row>
    <row r="258" spans="18:36" x14ac:dyDescent="0.2">
      <c r="R258" s="314" t="s">
        <v>79</v>
      </c>
      <c r="S258" s="315" t="s">
        <v>91</v>
      </c>
      <c r="T258" s="316">
        <v>1250</v>
      </c>
      <c r="U258" s="316"/>
      <c r="V258" s="316"/>
      <c r="W258" s="316">
        <v>421.88</v>
      </c>
      <c r="X258" s="316"/>
      <c r="Y258" s="316"/>
      <c r="Z258" s="316">
        <f>T258+W258+Y258</f>
        <v>1671.88</v>
      </c>
      <c r="AA258" s="316">
        <v>16.72</v>
      </c>
      <c r="AB258" s="316">
        <v>13</v>
      </c>
      <c r="AC258" s="316"/>
      <c r="AD258" s="316"/>
      <c r="AE258" s="316"/>
      <c r="AF258" s="316"/>
      <c r="AG258" s="317">
        <f t="shared" si="23"/>
        <v>1642.16</v>
      </c>
      <c r="AH258" s="301">
        <v>44125</v>
      </c>
      <c r="AI258" s="239" t="s">
        <v>162</v>
      </c>
      <c r="AJ258" s="132" t="s">
        <v>169</v>
      </c>
    </row>
    <row r="259" spans="18:36" x14ac:dyDescent="0.2">
      <c r="R259" s="314" t="s">
        <v>92</v>
      </c>
      <c r="S259" s="315" t="s">
        <v>93</v>
      </c>
      <c r="T259" s="316">
        <v>1250</v>
      </c>
      <c r="U259" s="316"/>
      <c r="V259" s="316"/>
      <c r="W259" s="316">
        <v>796.88</v>
      </c>
      <c r="X259" s="316"/>
      <c r="Y259" s="316"/>
      <c r="Z259" s="316">
        <f>T259+W259+Y259</f>
        <v>2046.88</v>
      </c>
      <c r="AA259" s="316">
        <v>20.47</v>
      </c>
      <c r="AB259" s="316">
        <v>81</v>
      </c>
      <c r="AC259" s="316"/>
      <c r="AD259" s="316"/>
      <c r="AE259" s="316"/>
      <c r="AF259" s="316"/>
      <c r="AG259" s="317">
        <f t="shared" si="23"/>
        <v>1945.41</v>
      </c>
      <c r="AH259" s="301">
        <v>44125</v>
      </c>
      <c r="AI259" s="239" t="s">
        <v>162</v>
      </c>
      <c r="AJ259" s="132" t="s">
        <v>169</v>
      </c>
    </row>
    <row r="260" spans="18:36" x14ac:dyDescent="0.2">
      <c r="R260" s="314" t="s">
        <v>95</v>
      </c>
      <c r="S260" s="315" t="s">
        <v>94</v>
      </c>
      <c r="T260" s="316">
        <v>800</v>
      </c>
      <c r="U260" s="316"/>
      <c r="V260" s="316"/>
      <c r="W260" s="316">
        <v>510</v>
      </c>
      <c r="X260" s="316"/>
      <c r="Y260" s="316"/>
      <c r="Z260" s="316">
        <f>T260+W260+Y260</f>
        <v>1310</v>
      </c>
      <c r="AA260" s="316">
        <v>13.1</v>
      </c>
      <c r="AB260" s="316"/>
      <c r="AC260" s="316"/>
      <c r="AD260" s="316"/>
      <c r="AE260" s="316"/>
      <c r="AF260" s="316"/>
      <c r="AG260" s="317">
        <f t="shared" ref="AG260:AG323" si="24">T260+W260+X260-AA260-AB260-AC260-AD260-AE260-AF260</f>
        <v>1296.9000000000001</v>
      </c>
      <c r="AH260" s="301">
        <v>44125</v>
      </c>
      <c r="AI260" s="239" t="s">
        <v>162</v>
      </c>
      <c r="AJ260" s="132" t="s">
        <v>169</v>
      </c>
    </row>
    <row r="261" spans="18:36" x14ac:dyDescent="0.2">
      <c r="R261" s="314" t="s">
        <v>102</v>
      </c>
      <c r="S261" s="315" t="s">
        <v>104</v>
      </c>
      <c r="T261" s="316">
        <v>1250</v>
      </c>
      <c r="U261" s="316"/>
      <c r="V261" s="316"/>
      <c r="W261" s="316">
        <v>750</v>
      </c>
      <c r="X261" s="316"/>
      <c r="Y261" s="316"/>
      <c r="Z261" s="316">
        <f>T261+W261+Y261</f>
        <v>2000</v>
      </c>
      <c r="AA261" s="316">
        <v>20</v>
      </c>
      <c r="AB261" s="316">
        <v>81</v>
      </c>
      <c r="AC261" s="316"/>
      <c r="AD261" s="316"/>
      <c r="AE261" s="316"/>
      <c r="AF261" s="316">
        <v>300</v>
      </c>
      <c r="AG261" s="317">
        <f t="shared" si="24"/>
        <v>1599</v>
      </c>
      <c r="AH261" s="301">
        <v>44125</v>
      </c>
      <c r="AI261" s="239" t="s">
        <v>162</v>
      </c>
      <c r="AJ261" s="132" t="s">
        <v>169</v>
      </c>
    </row>
    <row r="262" spans="18:36" x14ac:dyDescent="0.2">
      <c r="R262" s="314" t="s">
        <v>146</v>
      </c>
      <c r="S262" s="315" t="s">
        <v>151</v>
      </c>
      <c r="T262" s="316">
        <v>1250</v>
      </c>
      <c r="U262" s="316"/>
      <c r="V262" s="316"/>
      <c r="W262" s="316">
        <v>796.88</v>
      </c>
      <c r="X262" s="316"/>
      <c r="Y262" s="316"/>
      <c r="Z262" s="316">
        <f>T262+W262+X262+Y262</f>
        <v>2046.88</v>
      </c>
      <c r="AA262" s="316">
        <v>20.468800000000002</v>
      </c>
      <c r="AB262" s="316">
        <v>81</v>
      </c>
      <c r="AC262" s="316"/>
      <c r="AD262" s="316"/>
      <c r="AE262" s="316"/>
      <c r="AF262" s="316"/>
      <c r="AG262" s="317">
        <f t="shared" si="24"/>
        <v>1945.4112</v>
      </c>
      <c r="AH262" s="301">
        <v>44125</v>
      </c>
      <c r="AI262" s="239" t="s">
        <v>162</v>
      </c>
      <c r="AJ262" s="132" t="s">
        <v>169</v>
      </c>
    </row>
    <row r="263" spans="18:36" x14ac:dyDescent="0.2">
      <c r="R263" s="314" t="s">
        <v>154</v>
      </c>
      <c r="S263" s="315" t="s">
        <v>101</v>
      </c>
      <c r="T263" s="316">
        <v>1250</v>
      </c>
      <c r="U263" s="316"/>
      <c r="V263" s="316"/>
      <c r="W263" s="316">
        <v>796.88</v>
      </c>
      <c r="X263" s="316"/>
      <c r="Y263" s="316"/>
      <c r="Z263" s="316">
        <f>T263+W263+X263+Y263</f>
        <v>2046.88</v>
      </c>
      <c r="AA263" s="316">
        <v>20.468800000000002</v>
      </c>
      <c r="AB263" s="316">
        <v>81</v>
      </c>
      <c r="AC263" s="316"/>
      <c r="AD263" s="316"/>
      <c r="AE263" s="316"/>
      <c r="AF263" s="316"/>
      <c r="AG263" s="317">
        <f t="shared" si="24"/>
        <v>1945.4112</v>
      </c>
      <c r="AH263" s="301">
        <v>44125</v>
      </c>
      <c r="AI263" s="239" t="s">
        <v>162</v>
      </c>
      <c r="AJ263" s="132" t="s">
        <v>169</v>
      </c>
    </row>
    <row r="264" spans="18:36" x14ac:dyDescent="0.2">
      <c r="R264" s="314" t="s">
        <v>164</v>
      </c>
      <c r="S264" s="315" t="s">
        <v>170</v>
      </c>
      <c r="T264" s="316">
        <v>1000</v>
      </c>
      <c r="U264" s="316"/>
      <c r="V264" s="316"/>
      <c r="W264" s="316">
        <v>656.25</v>
      </c>
      <c r="X264" s="316"/>
      <c r="Y264" s="316"/>
      <c r="Z264" s="316">
        <f>T264+W264+X264+Y264</f>
        <v>1656.25</v>
      </c>
      <c r="AA264" s="316">
        <v>16.5625</v>
      </c>
      <c r="AB264" s="316">
        <v>11</v>
      </c>
      <c r="AC264" s="316"/>
      <c r="AD264" s="316"/>
      <c r="AE264" s="316"/>
      <c r="AF264" s="316">
        <v>300</v>
      </c>
      <c r="AG264" s="317">
        <f t="shared" si="24"/>
        <v>1328.6875</v>
      </c>
      <c r="AH264" s="301">
        <v>44125</v>
      </c>
      <c r="AI264" s="239" t="s">
        <v>162</v>
      </c>
      <c r="AJ264" s="132" t="s">
        <v>169</v>
      </c>
    </row>
    <row r="265" spans="18:36" x14ac:dyDescent="0.2">
      <c r="R265" s="314" t="s">
        <v>25</v>
      </c>
      <c r="S265" s="315" t="s">
        <v>63</v>
      </c>
      <c r="T265" s="316">
        <v>3966.4</v>
      </c>
      <c r="U265" s="316"/>
      <c r="V265" s="316"/>
      <c r="W265" s="316">
        <v>4387.83</v>
      </c>
      <c r="X265" s="316">
        <v>490</v>
      </c>
      <c r="Y265" s="316">
        <v>624</v>
      </c>
      <c r="Z265" s="316">
        <f>T265+W265+Y265</f>
        <v>8978.23</v>
      </c>
      <c r="AA265" s="316">
        <v>37.18</v>
      </c>
      <c r="AB265" s="316">
        <v>1890</v>
      </c>
      <c r="AC265" s="316">
        <v>-159.5</v>
      </c>
      <c r="AD265" s="316">
        <v>624</v>
      </c>
      <c r="AE265" s="316">
        <v>200.01</v>
      </c>
      <c r="AF265" s="316">
        <f>1125+500</f>
        <v>1625</v>
      </c>
      <c r="AG265" s="317">
        <f t="shared" si="24"/>
        <v>4627.5399999999991</v>
      </c>
      <c r="AH265" s="301">
        <v>44132</v>
      </c>
      <c r="AI265" s="240" t="s">
        <v>163</v>
      </c>
      <c r="AJ265" s="132" t="s">
        <v>169</v>
      </c>
    </row>
    <row r="266" spans="18:36" x14ac:dyDescent="0.2">
      <c r="R266" s="314" t="s">
        <v>26</v>
      </c>
      <c r="S266" s="315" t="s">
        <v>70</v>
      </c>
      <c r="T266" s="316">
        <v>1023.5</v>
      </c>
      <c r="U266" s="316"/>
      <c r="V266" s="316"/>
      <c r="W266" s="316"/>
      <c r="X266" s="316">
        <v>50</v>
      </c>
      <c r="Y266" s="316"/>
      <c r="Z266" s="316">
        <f>T266+W266+Y266</f>
        <v>1023.5</v>
      </c>
      <c r="AA266" s="316">
        <v>10.234999999999999</v>
      </c>
      <c r="AB266" s="316"/>
      <c r="AC266" s="316"/>
      <c r="AD266" s="316"/>
      <c r="AE266" s="316">
        <v>58.14</v>
      </c>
      <c r="AF266" s="316"/>
      <c r="AG266" s="317">
        <f t="shared" si="24"/>
        <v>1005.1250000000001</v>
      </c>
      <c r="AH266" s="301">
        <v>44132</v>
      </c>
      <c r="AI266" s="240" t="s">
        <v>163</v>
      </c>
      <c r="AJ266" s="132" t="s">
        <v>169</v>
      </c>
    </row>
    <row r="267" spans="18:36" x14ac:dyDescent="0.2">
      <c r="R267" s="314" t="s">
        <v>3</v>
      </c>
      <c r="S267" s="315" t="s">
        <v>71</v>
      </c>
      <c r="T267" s="316">
        <v>1343.5</v>
      </c>
      <c r="U267" s="316"/>
      <c r="V267" s="316"/>
      <c r="W267" s="316">
        <v>1007.63</v>
      </c>
      <c r="X267" s="316">
        <v>50</v>
      </c>
      <c r="Y267" s="316"/>
      <c r="Z267" s="316">
        <f>T267+W267+Y267+X267</f>
        <v>2401.13</v>
      </c>
      <c r="AA267" s="316">
        <v>23.51</v>
      </c>
      <c r="AB267" s="316">
        <v>135</v>
      </c>
      <c r="AC267" s="316"/>
      <c r="AD267" s="316"/>
      <c r="AE267" s="316">
        <v>76.295000000000002</v>
      </c>
      <c r="AF267" s="316"/>
      <c r="AG267" s="317">
        <f t="shared" si="24"/>
        <v>2166.3249999999998</v>
      </c>
      <c r="AH267" s="301">
        <v>44132</v>
      </c>
      <c r="AI267" s="240" t="s">
        <v>163</v>
      </c>
      <c r="AJ267" s="132" t="s">
        <v>169</v>
      </c>
    </row>
    <row r="268" spans="18:36" x14ac:dyDescent="0.2">
      <c r="R268" s="314" t="s">
        <v>31</v>
      </c>
      <c r="S268" s="315" t="s">
        <v>72</v>
      </c>
      <c r="T268" s="316">
        <v>1300</v>
      </c>
      <c r="U268" s="316"/>
      <c r="V268" s="316"/>
      <c r="W268" s="316">
        <v>975</v>
      </c>
      <c r="X268" s="316">
        <v>50</v>
      </c>
      <c r="Y268" s="316"/>
      <c r="Z268" s="316">
        <f>T268+W268+Y268+X268</f>
        <v>2325</v>
      </c>
      <c r="AA268" s="316">
        <v>22.75</v>
      </c>
      <c r="AB268" s="316">
        <v>122</v>
      </c>
      <c r="AC268" s="316"/>
      <c r="AD268" s="316"/>
      <c r="AE268" s="316">
        <v>67.78</v>
      </c>
      <c r="AF268" s="316"/>
      <c r="AG268" s="317">
        <f t="shared" si="24"/>
        <v>2112.4699999999998</v>
      </c>
      <c r="AH268" s="301">
        <v>44132</v>
      </c>
      <c r="AI268" s="240" t="s">
        <v>163</v>
      </c>
      <c r="AJ268" s="132" t="s">
        <v>169</v>
      </c>
    </row>
    <row r="269" spans="18:36" x14ac:dyDescent="0.2">
      <c r="R269" s="314" t="s">
        <v>69</v>
      </c>
      <c r="S269" s="315" t="s">
        <v>73</v>
      </c>
      <c r="T269" s="316">
        <v>1000</v>
      </c>
      <c r="U269" s="316"/>
      <c r="V269" s="316"/>
      <c r="W269" s="316">
        <v>750</v>
      </c>
      <c r="X269" s="316"/>
      <c r="Y269" s="316"/>
      <c r="Z269" s="316">
        <f>T269+W269+Y269</f>
        <v>1750</v>
      </c>
      <c r="AA269" s="316">
        <v>17.5</v>
      </c>
      <c r="AB269" s="316">
        <v>28</v>
      </c>
      <c r="AC269" s="316"/>
      <c r="AD269" s="316"/>
      <c r="AE269" s="316"/>
      <c r="AF269" s="316"/>
      <c r="AG269" s="317">
        <f t="shared" si="24"/>
        <v>1704.5</v>
      </c>
      <c r="AH269" s="301">
        <v>44132</v>
      </c>
      <c r="AI269" s="240" t="s">
        <v>163</v>
      </c>
      <c r="AJ269" s="132" t="s">
        <v>169</v>
      </c>
    </row>
    <row r="270" spans="18:36" x14ac:dyDescent="0.2">
      <c r="R270" s="314" t="s">
        <v>79</v>
      </c>
      <c r="S270" s="315" t="s">
        <v>91</v>
      </c>
      <c r="T270" s="316">
        <v>1250</v>
      </c>
      <c r="U270" s="316"/>
      <c r="V270" s="316"/>
      <c r="W270" s="316">
        <v>937.5</v>
      </c>
      <c r="X270" s="316"/>
      <c r="Y270" s="316"/>
      <c r="Z270" s="316">
        <f>T270+W270+Y270</f>
        <v>2187.5</v>
      </c>
      <c r="AA270" s="316">
        <v>21.875</v>
      </c>
      <c r="AB270" s="316">
        <v>106</v>
      </c>
      <c r="AC270" s="316"/>
      <c r="AD270" s="316"/>
      <c r="AE270" s="316"/>
      <c r="AF270" s="316"/>
      <c r="AG270" s="317">
        <f t="shared" si="24"/>
        <v>2059.625</v>
      </c>
      <c r="AH270" s="301">
        <v>44132</v>
      </c>
      <c r="AI270" s="240" t="s">
        <v>163</v>
      </c>
      <c r="AJ270" s="132" t="s">
        <v>169</v>
      </c>
    </row>
    <row r="271" spans="18:36" x14ac:dyDescent="0.2">
      <c r="R271" s="314" t="s">
        <v>92</v>
      </c>
      <c r="S271" s="315" t="s">
        <v>93</v>
      </c>
      <c r="T271" s="316">
        <v>1250</v>
      </c>
      <c r="U271" s="316"/>
      <c r="V271" s="316"/>
      <c r="W271" s="316">
        <v>937.5</v>
      </c>
      <c r="X271" s="316"/>
      <c r="Y271" s="316"/>
      <c r="Z271" s="316">
        <f>T271+W271+Y271</f>
        <v>2187.5</v>
      </c>
      <c r="AA271" s="316">
        <v>21.875</v>
      </c>
      <c r="AB271" s="316">
        <v>106</v>
      </c>
      <c r="AC271" s="316"/>
      <c r="AD271" s="316"/>
      <c r="AE271" s="316"/>
      <c r="AF271" s="316"/>
      <c r="AG271" s="317">
        <f t="shared" si="24"/>
        <v>2059.625</v>
      </c>
      <c r="AH271" s="301">
        <v>44132</v>
      </c>
      <c r="AI271" s="240" t="s">
        <v>163</v>
      </c>
      <c r="AJ271" s="132" t="s">
        <v>169</v>
      </c>
    </row>
    <row r="272" spans="18:36" x14ac:dyDescent="0.2">
      <c r="R272" s="314" t="s">
        <v>95</v>
      </c>
      <c r="S272" s="315" t="s">
        <v>94</v>
      </c>
      <c r="T272" s="316">
        <v>800</v>
      </c>
      <c r="U272" s="316"/>
      <c r="V272" s="316"/>
      <c r="W272" s="316">
        <v>600</v>
      </c>
      <c r="X272" s="316"/>
      <c r="Y272" s="316"/>
      <c r="Z272" s="316">
        <f>T272+W272+Y272</f>
        <v>1400</v>
      </c>
      <c r="AA272" s="316">
        <v>14</v>
      </c>
      <c r="AB272" s="316"/>
      <c r="AC272" s="316"/>
      <c r="AD272" s="316"/>
      <c r="AE272" s="316"/>
      <c r="AF272" s="316"/>
      <c r="AG272" s="317">
        <f t="shared" si="24"/>
        <v>1386</v>
      </c>
      <c r="AH272" s="301">
        <v>44132</v>
      </c>
      <c r="AI272" s="240" t="s">
        <v>163</v>
      </c>
      <c r="AJ272" s="132" t="s">
        <v>169</v>
      </c>
    </row>
    <row r="273" spans="1:36" x14ac:dyDescent="0.2">
      <c r="R273" s="314" t="s">
        <v>102</v>
      </c>
      <c r="S273" s="315" t="s">
        <v>104</v>
      </c>
      <c r="T273" s="316">
        <v>1250</v>
      </c>
      <c r="U273" s="316"/>
      <c r="V273" s="316"/>
      <c r="W273" s="316">
        <v>937.5</v>
      </c>
      <c r="X273" s="316"/>
      <c r="Y273" s="316"/>
      <c r="Z273" s="316">
        <f>T273+W273+Y273</f>
        <v>2187.5</v>
      </c>
      <c r="AA273" s="316">
        <v>21.875</v>
      </c>
      <c r="AB273" s="316">
        <v>106</v>
      </c>
      <c r="AC273" s="316"/>
      <c r="AD273" s="316"/>
      <c r="AE273" s="316"/>
      <c r="AF273" s="316">
        <v>300</v>
      </c>
      <c r="AG273" s="317">
        <f t="shared" si="24"/>
        <v>1759.625</v>
      </c>
      <c r="AH273" s="301">
        <v>44132</v>
      </c>
      <c r="AI273" s="240" t="s">
        <v>163</v>
      </c>
      <c r="AJ273" s="132" t="s">
        <v>169</v>
      </c>
    </row>
    <row r="274" spans="1:36" x14ac:dyDescent="0.2">
      <c r="R274" s="314" t="s">
        <v>146</v>
      </c>
      <c r="S274" s="315" t="s">
        <v>151</v>
      </c>
      <c r="T274" s="316">
        <v>1250</v>
      </c>
      <c r="U274" s="316"/>
      <c r="V274" s="316"/>
      <c r="W274" s="316">
        <v>937.5</v>
      </c>
      <c r="X274" s="316"/>
      <c r="Y274" s="316"/>
      <c r="Z274" s="316">
        <f>T274+W274+X274+Y274</f>
        <v>2187.5</v>
      </c>
      <c r="AA274" s="316">
        <v>21.875</v>
      </c>
      <c r="AB274" s="316">
        <v>106</v>
      </c>
      <c r="AC274" s="316"/>
      <c r="AD274" s="316"/>
      <c r="AE274" s="316"/>
      <c r="AF274" s="316"/>
      <c r="AG274" s="317">
        <f t="shared" si="24"/>
        <v>2059.625</v>
      </c>
      <c r="AH274" s="301">
        <v>44132</v>
      </c>
      <c r="AI274" s="240" t="s">
        <v>163</v>
      </c>
      <c r="AJ274" s="132" t="s">
        <v>169</v>
      </c>
    </row>
    <row r="275" spans="1:36" x14ac:dyDescent="0.2">
      <c r="R275" s="314" t="s">
        <v>154</v>
      </c>
      <c r="S275" s="315" t="s">
        <v>101</v>
      </c>
      <c r="T275" s="316">
        <v>1250</v>
      </c>
      <c r="U275" s="316"/>
      <c r="V275" s="316"/>
      <c r="W275" s="316">
        <v>796.88</v>
      </c>
      <c r="X275" s="316"/>
      <c r="Y275" s="316"/>
      <c r="Z275" s="316">
        <f>T275+W275+X275+Y275</f>
        <v>2046.88</v>
      </c>
      <c r="AA275" s="316">
        <v>20.468800000000002</v>
      </c>
      <c r="AB275" s="316">
        <v>81</v>
      </c>
      <c r="AC275" s="316"/>
      <c r="AD275" s="316"/>
      <c r="AE275" s="316"/>
      <c r="AF275" s="316"/>
      <c r="AG275" s="317">
        <f t="shared" si="24"/>
        <v>1945.4112</v>
      </c>
      <c r="AH275" s="301">
        <v>44132</v>
      </c>
      <c r="AI275" s="240" t="s">
        <v>163</v>
      </c>
      <c r="AJ275" s="132" t="s">
        <v>169</v>
      </c>
    </row>
    <row r="276" spans="1:36" x14ac:dyDescent="0.2">
      <c r="R276" s="314" t="s">
        <v>164</v>
      </c>
      <c r="S276" s="315" t="s">
        <v>170</v>
      </c>
      <c r="T276" s="316">
        <v>1250</v>
      </c>
      <c r="U276" s="316"/>
      <c r="V276" s="316"/>
      <c r="W276" s="316">
        <v>937.5</v>
      </c>
      <c r="X276" s="316"/>
      <c r="Y276" s="316"/>
      <c r="Z276" s="316">
        <f>T276+W276+X276+Y276</f>
        <v>2187.5</v>
      </c>
      <c r="AA276" s="316">
        <v>21.875</v>
      </c>
      <c r="AB276" s="316">
        <v>106</v>
      </c>
      <c r="AC276" s="316"/>
      <c r="AD276" s="316"/>
      <c r="AE276" s="316"/>
      <c r="AF276" s="316">
        <v>300</v>
      </c>
      <c r="AG276" s="317">
        <f t="shared" si="24"/>
        <v>1759.625</v>
      </c>
      <c r="AH276" s="301">
        <v>44132</v>
      </c>
      <c r="AI276" s="240" t="s">
        <v>163</v>
      </c>
      <c r="AJ276" s="132" t="s">
        <v>169</v>
      </c>
    </row>
    <row r="277" spans="1:36" s="162" customFormat="1" x14ac:dyDescent="0.2">
      <c r="A277" s="350"/>
      <c r="B277" s="350"/>
      <c r="C277" s="77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R277" s="314" t="s">
        <v>8</v>
      </c>
      <c r="S277" s="318" t="s">
        <v>96</v>
      </c>
      <c r="T277" s="316">
        <v>13502</v>
      </c>
      <c r="U277" s="316"/>
      <c r="V277" s="316"/>
      <c r="W277" s="316"/>
      <c r="X277" s="316"/>
      <c r="Y277" s="316">
        <v>5624</v>
      </c>
      <c r="Z277" s="316">
        <f>T277+W277+Y277</f>
        <v>19126</v>
      </c>
      <c r="AA277" s="316"/>
      <c r="AB277" s="316">
        <v>2355</v>
      </c>
      <c r="AC277" s="316">
        <v>-853</v>
      </c>
      <c r="AD277" s="316"/>
      <c r="AE277" s="316"/>
      <c r="AF277" s="316"/>
      <c r="AG277" s="317">
        <f t="shared" si="24"/>
        <v>12000</v>
      </c>
      <c r="AH277" s="170"/>
      <c r="AI277" s="170"/>
      <c r="AJ277" s="161"/>
    </row>
    <row r="278" spans="1:36" s="162" customFormat="1" x14ac:dyDescent="0.2">
      <c r="A278" s="350"/>
      <c r="B278" s="350"/>
      <c r="C278" s="77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R278" s="314" t="s">
        <v>27</v>
      </c>
      <c r="S278" s="318" t="s">
        <v>97</v>
      </c>
      <c r="T278" s="316">
        <v>13717</v>
      </c>
      <c r="U278" s="316"/>
      <c r="V278" s="316"/>
      <c r="W278" s="316"/>
      <c r="X278" s="316"/>
      <c r="Y278" s="316">
        <v>5409</v>
      </c>
      <c r="Z278" s="316">
        <f>T278+W278+Y278</f>
        <v>19126</v>
      </c>
      <c r="AA278" s="316"/>
      <c r="AB278" s="316">
        <v>2355</v>
      </c>
      <c r="AC278" s="316">
        <v>-638</v>
      </c>
      <c r="AD278" s="316"/>
      <c r="AE278" s="316"/>
      <c r="AF278" s="316"/>
      <c r="AG278" s="317">
        <f t="shared" si="24"/>
        <v>12000</v>
      </c>
      <c r="AH278" s="170"/>
      <c r="AI278" s="170"/>
      <c r="AJ278" s="161"/>
    </row>
    <row r="279" spans="1:36" s="162" customFormat="1" ht="13.5" thickBot="1" x14ac:dyDescent="0.25">
      <c r="A279" s="367"/>
      <c r="B279" s="367"/>
      <c r="D279" s="365"/>
      <c r="E279" s="365"/>
      <c r="F279" s="365"/>
      <c r="G279" s="365"/>
      <c r="H279" s="365"/>
      <c r="I279" s="365"/>
      <c r="J279" s="365"/>
      <c r="K279" s="365"/>
      <c r="L279" s="365"/>
      <c r="M279" s="365"/>
      <c r="N279" s="365"/>
      <c r="O279" s="365"/>
      <c r="P279" s="365"/>
      <c r="R279" s="319" t="s">
        <v>6</v>
      </c>
      <c r="S279" s="320" t="s">
        <v>98</v>
      </c>
      <c r="T279" s="321">
        <v>12643.72</v>
      </c>
      <c r="U279" s="321"/>
      <c r="V279" s="321"/>
      <c r="W279" s="321"/>
      <c r="X279" s="321"/>
      <c r="Y279" s="321">
        <v>2812</v>
      </c>
      <c r="Z279" s="321">
        <f>T279+W279+Y279</f>
        <v>15455.72</v>
      </c>
      <c r="AA279" s="321">
        <v>148.72</v>
      </c>
      <c r="AB279" s="321">
        <v>1536</v>
      </c>
      <c r="AC279" s="321">
        <v>-853</v>
      </c>
      <c r="AD279" s="321">
        <v>2812</v>
      </c>
      <c r="AE279" s="321"/>
      <c r="AF279" s="321"/>
      <c r="AG279" s="322">
        <f t="shared" si="24"/>
        <v>9000</v>
      </c>
      <c r="AH279" s="170"/>
      <c r="AI279" s="170"/>
      <c r="AJ279" s="161"/>
    </row>
    <row r="280" spans="1:36" x14ac:dyDescent="0.2">
      <c r="A280" s="367"/>
      <c r="B280" s="367"/>
      <c r="C280" s="162"/>
      <c r="D280" s="365"/>
      <c r="E280" s="365"/>
      <c r="F280" s="365"/>
      <c r="G280" s="365"/>
      <c r="H280" s="365"/>
      <c r="I280" s="365"/>
      <c r="J280" s="365"/>
      <c r="K280" s="365"/>
      <c r="L280" s="365"/>
      <c r="M280" s="365"/>
      <c r="N280" s="365"/>
      <c r="O280" s="365"/>
      <c r="P280" s="365"/>
      <c r="R280" s="331" t="s">
        <v>25</v>
      </c>
      <c r="S280" s="83" t="s">
        <v>63</v>
      </c>
      <c r="T280" s="87">
        <v>3966.4</v>
      </c>
      <c r="U280" s="87"/>
      <c r="V280" s="87"/>
      <c r="W280" s="87">
        <v>4722.5</v>
      </c>
      <c r="X280" s="87">
        <v>490</v>
      </c>
      <c r="Y280" s="87">
        <v>624</v>
      </c>
      <c r="Z280" s="87">
        <f>T280+W280+Y280</f>
        <v>9312.9</v>
      </c>
      <c r="AA280" s="87">
        <v>37.18</v>
      </c>
      <c r="AB280" s="87">
        <v>2012</v>
      </c>
      <c r="AC280" s="87">
        <v>-159.5</v>
      </c>
      <c r="AD280" s="87">
        <v>624</v>
      </c>
      <c r="AE280" s="87">
        <v>200.01</v>
      </c>
      <c r="AF280" s="87">
        <f>1125+200</f>
        <v>1325</v>
      </c>
      <c r="AG280" s="330">
        <f t="shared" si="24"/>
        <v>5140.2099999999991</v>
      </c>
      <c r="AH280" s="301">
        <v>44139</v>
      </c>
      <c r="AI280" s="120" t="s">
        <v>175</v>
      </c>
      <c r="AJ280" s="132" t="s">
        <v>181</v>
      </c>
    </row>
    <row r="281" spans="1:36" x14ac:dyDescent="0.2">
      <c r="A281" s="367"/>
      <c r="B281" s="367"/>
      <c r="C281" s="162"/>
      <c r="D281" s="365"/>
      <c r="E281" s="365"/>
      <c r="F281" s="365"/>
      <c r="G281" s="365"/>
      <c r="H281" s="365"/>
      <c r="I281" s="365"/>
      <c r="J281" s="365"/>
      <c r="K281" s="365"/>
      <c r="L281" s="365"/>
      <c r="M281" s="365"/>
      <c r="N281" s="365"/>
      <c r="O281" s="365"/>
      <c r="P281" s="365"/>
      <c r="R281" s="292" t="s">
        <v>26</v>
      </c>
      <c r="S281" s="81" t="s">
        <v>70</v>
      </c>
      <c r="T281" s="88">
        <v>1023.5</v>
      </c>
      <c r="U281" s="88"/>
      <c r="V281" s="88"/>
      <c r="W281" s="88">
        <v>0</v>
      </c>
      <c r="X281" s="88">
        <v>50</v>
      </c>
      <c r="Y281" s="88"/>
      <c r="Z281" s="88">
        <f>T281+W281+Y281</f>
        <v>1023.5</v>
      </c>
      <c r="AA281" s="88">
        <v>10.234999999999999</v>
      </c>
      <c r="AB281" s="88"/>
      <c r="AC281" s="88"/>
      <c r="AD281" s="88"/>
      <c r="AE281" s="88">
        <v>58.14</v>
      </c>
      <c r="AF281" s="88"/>
      <c r="AG281" s="304">
        <f t="shared" si="24"/>
        <v>1005.1250000000001</v>
      </c>
      <c r="AH281" s="301">
        <v>44139</v>
      </c>
      <c r="AI281" s="120" t="s">
        <v>175</v>
      </c>
      <c r="AJ281" s="132" t="s">
        <v>181</v>
      </c>
    </row>
    <row r="282" spans="1:36" x14ac:dyDescent="0.2">
      <c r="R282" s="292" t="s">
        <v>3</v>
      </c>
      <c r="S282" s="81" t="s">
        <v>71</v>
      </c>
      <c r="T282" s="88">
        <v>1343.5</v>
      </c>
      <c r="U282" s="88"/>
      <c r="V282" s="88"/>
      <c r="W282" s="88">
        <v>856.48</v>
      </c>
      <c r="X282" s="88">
        <v>50</v>
      </c>
      <c r="Y282" s="88"/>
      <c r="Z282" s="88">
        <f>T282+W282+Y282+X282</f>
        <v>2249.98</v>
      </c>
      <c r="AA282" s="88">
        <v>22</v>
      </c>
      <c r="AB282" s="88">
        <v>108</v>
      </c>
      <c r="AC282" s="88"/>
      <c r="AD282" s="88"/>
      <c r="AE282" s="88">
        <v>76.295000000000002</v>
      </c>
      <c r="AF282" s="88"/>
      <c r="AG282" s="304">
        <f t="shared" si="24"/>
        <v>2043.6849999999999</v>
      </c>
      <c r="AH282" s="301">
        <v>44139</v>
      </c>
      <c r="AI282" s="120" t="s">
        <v>175</v>
      </c>
      <c r="AJ282" s="132" t="s">
        <v>181</v>
      </c>
    </row>
    <row r="283" spans="1:36" x14ac:dyDescent="0.2">
      <c r="R283" s="292" t="s">
        <v>31</v>
      </c>
      <c r="S283" s="81" t="s">
        <v>72</v>
      </c>
      <c r="T283" s="88">
        <v>1300</v>
      </c>
      <c r="U283" s="88"/>
      <c r="V283" s="88"/>
      <c r="W283" s="88">
        <v>828.75</v>
      </c>
      <c r="X283" s="88">
        <v>50</v>
      </c>
      <c r="Y283" s="88"/>
      <c r="Z283" s="88">
        <f>T283+W283+Y283+X283</f>
        <v>2178.75</v>
      </c>
      <c r="AA283" s="88">
        <v>21.29</v>
      </c>
      <c r="AB283" s="88">
        <v>96</v>
      </c>
      <c r="AC283" s="88"/>
      <c r="AD283" s="88"/>
      <c r="AE283" s="88">
        <v>67.78</v>
      </c>
      <c r="AF283" s="88"/>
      <c r="AG283" s="304">
        <f t="shared" si="24"/>
        <v>1993.68</v>
      </c>
      <c r="AH283" s="301">
        <v>44139</v>
      </c>
      <c r="AI283" s="120" t="s">
        <v>175</v>
      </c>
      <c r="AJ283" s="132" t="s">
        <v>181</v>
      </c>
    </row>
    <row r="284" spans="1:36" x14ac:dyDescent="0.2">
      <c r="R284" s="292" t="s">
        <v>69</v>
      </c>
      <c r="S284" s="81" t="s">
        <v>73</v>
      </c>
      <c r="T284" s="88">
        <v>1000</v>
      </c>
      <c r="U284" s="88"/>
      <c r="V284" s="88"/>
      <c r="W284" s="88">
        <v>637.5</v>
      </c>
      <c r="X284" s="88"/>
      <c r="Y284" s="88"/>
      <c r="Z284" s="88">
        <f>T284+W284+Y284</f>
        <v>1637.5</v>
      </c>
      <c r="AA284" s="88">
        <v>16.375</v>
      </c>
      <c r="AB284" s="88">
        <v>7</v>
      </c>
      <c r="AC284" s="88"/>
      <c r="AD284" s="88"/>
      <c r="AE284" s="88"/>
      <c r="AF284" s="88"/>
      <c r="AG284" s="304">
        <f t="shared" si="24"/>
        <v>1614.125</v>
      </c>
      <c r="AH284" s="301">
        <v>44139</v>
      </c>
      <c r="AI284" s="120" t="s">
        <v>175</v>
      </c>
      <c r="AJ284" s="132" t="s">
        <v>181</v>
      </c>
    </row>
    <row r="285" spans="1:36" x14ac:dyDescent="0.2">
      <c r="R285" s="292" t="s">
        <v>79</v>
      </c>
      <c r="S285" s="81" t="s">
        <v>91</v>
      </c>
      <c r="T285" s="88">
        <v>1250</v>
      </c>
      <c r="U285" s="88"/>
      <c r="V285" s="88"/>
      <c r="W285" s="88">
        <v>1148.44</v>
      </c>
      <c r="X285" s="88"/>
      <c r="Y285" s="88"/>
      <c r="Z285" s="88">
        <f>T285+W285+Y285</f>
        <v>2398.44</v>
      </c>
      <c r="AA285" s="88">
        <v>23.984400000000001</v>
      </c>
      <c r="AB285" s="88">
        <v>143</v>
      </c>
      <c r="AC285" s="88"/>
      <c r="AD285" s="88"/>
      <c r="AE285" s="88"/>
      <c r="AF285" s="88"/>
      <c r="AG285" s="304">
        <f t="shared" si="24"/>
        <v>2231.4556000000002</v>
      </c>
      <c r="AH285" s="301">
        <v>44139</v>
      </c>
      <c r="AI285" s="120" t="s">
        <v>175</v>
      </c>
      <c r="AJ285" s="132" t="s">
        <v>181</v>
      </c>
    </row>
    <row r="286" spans="1:36" x14ac:dyDescent="0.2">
      <c r="R286" s="292" t="s">
        <v>92</v>
      </c>
      <c r="S286" s="81" t="s">
        <v>93</v>
      </c>
      <c r="T286" s="88">
        <v>1250</v>
      </c>
      <c r="U286" s="88"/>
      <c r="V286" s="88"/>
      <c r="W286" s="88">
        <v>867.19</v>
      </c>
      <c r="X286" s="88"/>
      <c r="Y286" s="88"/>
      <c r="Z286" s="88">
        <f>T286+W286+Y286</f>
        <v>2117.19</v>
      </c>
      <c r="AA286" s="88">
        <v>21.171900000000001</v>
      </c>
      <c r="AB286" s="88">
        <v>94</v>
      </c>
      <c r="AC286" s="88"/>
      <c r="AD286" s="88"/>
      <c r="AE286" s="88"/>
      <c r="AF286" s="88"/>
      <c r="AG286" s="304">
        <f t="shared" si="24"/>
        <v>2002.0181000000002</v>
      </c>
      <c r="AH286" s="301">
        <v>44139</v>
      </c>
      <c r="AI286" s="120" t="s">
        <v>175</v>
      </c>
      <c r="AJ286" s="132" t="s">
        <v>181</v>
      </c>
    </row>
    <row r="287" spans="1:36" x14ac:dyDescent="0.2">
      <c r="R287" s="292" t="s">
        <v>95</v>
      </c>
      <c r="S287" s="81" t="s">
        <v>94</v>
      </c>
      <c r="T287" s="88">
        <v>800</v>
      </c>
      <c r="U287" s="88"/>
      <c r="V287" s="88"/>
      <c r="W287" s="88">
        <v>510</v>
      </c>
      <c r="X287" s="88"/>
      <c r="Y287" s="88"/>
      <c r="Z287" s="88">
        <f>T287+W287+Y287</f>
        <v>1310</v>
      </c>
      <c r="AA287" s="88">
        <v>13.1</v>
      </c>
      <c r="AB287" s="88"/>
      <c r="AC287" s="88"/>
      <c r="AD287" s="88"/>
      <c r="AE287" s="88"/>
      <c r="AF287" s="88"/>
      <c r="AG287" s="304">
        <f t="shared" si="24"/>
        <v>1296.9000000000001</v>
      </c>
      <c r="AH287" s="301">
        <v>44139</v>
      </c>
      <c r="AI287" s="120" t="s">
        <v>175</v>
      </c>
      <c r="AJ287" s="132" t="s">
        <v>181</v>
      </c>
    </row>
    <row r="288" spans="1:36" x14ac:dyDescent="0.2">
      <c r="R288" s="292" t="s">
        <v>102</v>
      </c>
      <c r="S288" s="81" t="s">
        <v>104</v>
      </c>
      <c r="T288" s="88">
        <v>1250</v>
      </c>
      <c r="U288" s="88"/>
      <c r="V288" s="88"/>
      <c r="W288" s="88">
        <v>1078.1300000000001</v>
      </c>
      <c r="X288" s="88"/>
      <c r="Y288" s="88"/>
      <c r="Z288" s="88">
        <f>T288+W288+Y288</f>
        <v>2328.13</v>
      </c>
      <c r="AA288" s="88">
        <v>23.281300000000002</v>
      </c>
      <c r="AB288" s="88">
        <v>131</v>
      </c>
      <c r="AC288" s="88"/>
      <c r="AD288" s="88"/>
      <c r="AE288" s="88"/>
      <c r="AF288" s="88">
        <v>400</v>
      </c>
      <c r="AG288" s="304">
        <f t="shared" si="24"/>
        <v>1773.8487</v>
      </c>
      <c r="AH288" s="301">
        <v>44139</v>
      </c>
      <c r="AI288" s="120" t="s">
        <v>175</v>
      </c>
      <c r="AJ288" s="132" t="s">
        <v>181</v>
      </c>
    </row>
    <row r="289" spans="18:36" x14ac:dyDescent="0.2">
      <c r="R289" s="292" t="s">
        <v>146</v>
      </c>
      <c r="S289" s="81" t="s">
        <v>151</v>
      </c>
      <c r="T289" s="88">
        <v>1250</v>
      </c>
      <c r="U289" s="88"/>
      <c r="V289" s="88"/>
      <c r="W289" s="88">
        <v>867.19</v>
      </c>
      <c r="X289" s="88"/>
      <c r="Y289" s="88"/>
      <c r="Z289" s="88">
        <f>T289+W289+X289+Y289</f>
        <v>2117.19</v>
      </c>
      <c r="AA289" s="88">
        <v>21.171900000000001</v>
      </c>
      <c r="AB289" s="88">
        <v>94</v>
      </c>
      <c r="AC289" s="88"/>
      <c r="AD289" s="88"/>
      <c r="AE289" s="88"/>
      <c r="AF289" s="88"/>
      <c r="AG289" s="304">
        <f t="shared" si="24"/>
        <v>2002.0181000000002</v>
      </c>
      <c r="AH289" s="301">
        <v>44139</v>
      </c>
      <c r="AI289" s="120" t="s">
        <v>175</v>
      </c>
      <c r="AJ289" s="132" t="s">
        <v>181</v>
      </c>
    </row>
    <row r="290" spans="18:36" x14ac:dyDescent="0.2">
      <c r="R290" s="292" t="s">
        <v>154</v>
      </c>
      <c r="S290" s="81" t="s">
        <v>101</v>
      </c>
      <c r="T290" s="88">
        <v>1125</v>
      </c>
      <c r="U290" s="88"/>
      <c r="V290" s="88"/>
      <c r="W290" s="88">
        <v>726.56</v>
      </c>
      <c r="X290" s="88"/>
      <c r="Y290" s="88"/>
      <c r="Z290" s="88">
        <f>T290+W290+X290+Y290</f>
        <v>1851.56</v>
      </c>
      <c r="AA290" s="88">
        <v>18.515599999999999</v>
      </c>
      <c r="AB290" s="88">
        <v>45</v>
      </c>
      <c r="AC290" s="88"/>
      <c r="AD290" s="88"/>
      <c r="AE290" s="88"/>
      <c r="AF290" s="88"/>
      <c r="AG290" s="304">
        <f t="shared" si="24"/>
        <v>1788.0444</v>
      </c>
      <c r="AH290" s="301">
        <v>44139</v>
      </c>
      <c r="AI290" s="120" t="s">
        <v>175</v>
      </c>
      <c r="AJ290" s="132" t="s">
        <v>181</v>
      </c>
    </row>
    <row r="291" spans="18:36" x14ac:dyDescent="0.2">
      <c r="R291" s="292" t="s">
        <v>164</v>
      </c>
      <c r="S291" s="81" t="s">
        <v>170</v>
      </c>
      <c r="T291" s="88">
        <v>1250</v>
      </c>
      <c r="U291" s="88"/>
      <c r="V291" s="88"/>
      <c r="W291" s="88">
        <v>867.19</v>
      </c>
      <c r="X291" s="88"/>
      <c r="Y291" s="88"/>
      <c r="Z291" s="88">
        <f>T291+W291+X291+Y291</f>
        <v>2117.19</v>
      </c>
      <c r="AA291" s="88">
        <v>21.171900000000001</v>
      </c>
      <c r="AB291" s="88">
        <v>94</v>
      </c>
      <c r="AC291" s="88"/>
      <c r="AD291" s="88"/>
      <c r="AE291" s="88"/>
      <c r="AF291" s="88"/>
      <c r="AG291" s="304">
        <f t="shared" si="24"/>
        <v>2002.0181000000002</v>
      </c>
      <c r="AH291" s="301">
        <v>44139</v>
      </c>
      <c r="AI291" s="120" t="s">
        <v>175</v>
      </c>
      <c r="AJ291" s="132" t="s">
        <v>181</v>
      </c>
    </row>
    <row r="292" spans="18:36" x14ac:dyDescent="0.2">
      <c r="R292" s="292" t="s">
        <v>25</v>
      </c>
      <c r="S292" s="81" t="s">
        <v>63</v>
      </c>
      <c r="T292" s="88">
        <v>3966.4</v>
      </c>
      <c r="U292" s="88"/>
      <c r="V292" s="88"/>
      <c r="W292" s="88">
        <v>5057.16</v>
      </c>
      <c r="X292" s="88">
        <v>490</v>
      </c>
      <c r="Y292" s="88">
        <v>624</v>
      </c>
      <c r="Z292" s="88">
        <f>T292+W292+Y292</f>
        <v>9647.56</v>
      </c>
      <c r="AA292" s="88">
        <v>37.18</v>
      </c>
      <c r="AB292" s="88">
        <v>2133</v>
      </c>
      <c r="AC292" s="88">
        <v>-159.5</v>
      </c>
      <c r="AD292" s="88">
        <v>624</v>
      </c>
      <c r="AE292" s="88">
        <v>200.01</v>
      </c>
      <c r="AF292" s="88">
        <f>1125</f>
        <v>1125</v>
      </c>
      <c r="AG292" s="304">
        <f t="shared" si="24"/>
        <v>5553.869999999999</v>
      </c>
      <c r="AH292" s="301">
        <v>44146</v>
      </c>
      <c r="AI292" s="151" t="s">
        <v>176</v>
      </c>
      <c r="AJ292" s="132" t="s">
        <v>181</v>
      </c>
    </row>
    <row r="293" spans="18:36" x14ac:dyDescent="0.2">
      <c r="R293" s="292" t="s">
        <v>26</v>
      </c>
      <c r="S293" s="81" t="s">
        <v>70</v>
      </c>
      <c r="T293" s="88">
        <v>1023.5</v>
      </c>
      <c r="U293" s="88"/>
      <c r="V293" s="88"/>
      <c r="W293" s="88"/>
      <c r="X293" s="88">
        <v>50</v>
      </c>
      <c r="Y293" s="88"/>
      <c r="Z293" s="88">
        <f>T293+W293+Y293</f>
        <v>1023.5</v>
      </c>
      <c r="AA293" s="88">
        <v>10.234999999999999</v>
      </c>
      <c r="AB293" s="88"/>
      <c r="AC293" s="88"/>
      <c r="AD293" s="88"/>
      <c r="AE293" s="88">
        <v>58.14</v>
      </c>
      <c r="AF293" s="88"/>
      <c r="AG293" s="304">
        <f t="shared" si="24"/>
        <v>1005.1250000000001</v>
      </c>
      <c r="AH293" s="301">
        <v>44146</v>
      </c>
      <c r="AI293" s="151" t="s">
        <v>176</v>
      </c>
      <c r="AJ293" s="132" t="s">
        <v>181</v>
      </c>
    </row>
    <row r="294" spans="18:36" x14ac:dyDescent="0.2">
      <c r="R294" s="292" t="s">
        <v>3</v>
      </c>
      <c r="S294" s="81" t="s">
        <v>71</v>
      </c>
      <c r="T294" s="88">
        <v>1343.5</v>
      </c>
      <c r="U294" s="88"/>
      <c r="V294" s="88"/>
      <c r="W294" s="88">
        <v>0</v>
      </c>
      <c r="X294" s="88">
        <v>50</v>
      </c>
      <c r="Y294" s="88"/>
      <c r="Z294" s="88">
        <f>T294+W294+Y294+X294</f>
        <v>1393.5</v>
      </c>
      <c r="AA294" s="88">
        <v>13.44</v>
      </c>
      <c r="AB294" s="88"/>
      <c r="AC294" s="88"/>
      <c r="AD294" s="88"/>
      <c r="AE294" s="88">
        <v>76.295000000000002</v>
      </c>
      <c r="AF294" s="88"/>
      <c r="AG294" s="304">
        <f t="shared" si="24"/>
        <v>1303.7649999999999</v>
      </c>
      <c r="AH294" s="301">
        <v>44146</v>
      </c>
      <c r="AI294" s="151" t="s">
        <v>176</v>
      </c>
      <c r="AJ294" s="132" t="s">
        <v>181</v>
      </c>
    </row>
    <row r="295" spans="18:36" x14ac:dyDescent="0.2">
      <c r="R295" s="292" t="s">
        <v>31</v>
      </c>
      <c r="S295" s="81" t="s">
        <v>72</v>
      </c>
      <c r="T295" s="88">
        <v>1300</v>
      </c>
      <c r="U295" s="88"/>
      <c r="V295" s="88"/>
      <c r="W295" s="88">
        <v>0</v>
      </c>
      <c r="X295" s="88">
        <v>50</v>
      </c>
      <c r="Y295" s="88"/>
      <c r="Z295" s="88">
        <f>T295+W295+Y295+X295</f>
        <v>1350</v>
      </c>
      <c r="AA295" s="88">
        <v>13</v>
      </c>
      <c r="AB295" s="88"/>
      <c r="AC295" s="88"/>
      <c r="AD295" s="88"/>
      <c r="AE295" s="88">
        <v>67.78</v>
      </c>
      <c r="AF295" s="88"/>
      <c r="AG295" s="304">
        <f t="shared" si="24"/>
        <v>1269.22</v>
      </c>
      <c r="AH295" s="301">
        <v>44146</v>
      </c>
      <c r="AI295" s="151" t="s">
        <v>176</v>
      </c>
      <c r="AJ295" s="132" t="s">
        <v>181</v>
      </c>
    </row>
    <row r="296" spans="18:36" x14ac:dyDescent="0.2">
      <c r="R296" s="292" t="s">
        <v>69</v>
      </c>
      <c r="S296" s="81" t="s">
        <v>73</v>
      </c>
      <c r="T296" s="88">
        <v>1000</v>
      </c>
      <c r="U296" s="88"/>
      <c r="V296" s="88"/>
      <c r="W296" s="88">
        <v>0</v>
      </c>
      <c r="X296" s="88"/>
      <c r="Y296" s="88"/>
      <c r="Z296" s="88">
        <f>T296+W296+Y296</f>
        <v>1000</v>
      </c>
      <c r="AA296" s="88">
        <v>10</v>
      </c>
      <c r="AB296" s="88"/>
      <c r="AC296" s="88"/>
      <c r="AD296" s="88"/>
      <c r="AE296" s="88"/>
      <c r="AF296" s="88"/>
      <c r="AG296" s="304">
        <f t="shared" si="24"/>
        <v>990</v>
      </c>
      <c r="AH296" s="301">
        <v>44146</v>
      </c>
      <c r="AI296" s="151" t="s">
        <v>176</v>
      </c>
      <c r="AJ296" s="132" t="s">
        <v>181</v>
      </c>
    </row>
    <row r="297" spans="18:36" x14ac:dyDescent="0.2">
      <c r="R297" s="292" t="s">
        <v>79</v>
      </c>
      <c r="S297" s="81" t="s">
        <v>91</v>
      </c>
      <c r="T297" s="88">
        <v>1250</v>
      </c>
      <c r="U297" s="88"/>
      <c r="V297" s="88"/>
      <c r="W297" s="88">
        <v>492.19</v>
      </c>
      <c r="X297" s="88"/>
      <c r="Y297" s="88"/>
      <c r="Z297" s="88">
        <f>T297+W297+Y297</f>
        <v>1742.19</v>
      </c>
      <c r="AA297" s="88">
        <v>17.421900000000001</v>
      </c>
      <c r="AB297" s="88">
        <v>26</v>
      </c>
      <c r="AC297" s="88"/>
      <c r="AD297" s="88"/>
      <c r="AE297" s="88"/>
      <c r="AF297" s="88"/>
      <c r="AG297" s="304">
        <f t="shared" si="24"/>
        <v>1698.7681</v>
      </c>
      <c r="AH297" s="301">
        <v>44146</v>
      </c>
      <c r="AI297" s="151" t="s">
        <v>176</v>
      </c>
      <c r="AJ297" s="132" t="s">
        <v>181</v>
      </c>
    </row>
    <row r="298" spans="18:36" x14ac:dyDescent="0.2">
      <c r="R298" s="292" t="s">
        <v>92</v>
      </c>
      <c r="S298" s="81" t="s">
        <v>93</v>
      </c>
      <c r="T298" s="88">
        <v>1250</v>
      </c>
      <c r="U298" s="88"/>
      <c r="V298" s="88"/>
      <c r="W298" s="88">
        <v>492.19</v>
      </c>
      <c r="X298" s="88"/>
      <c r="Y298" s="88"/>
      <c r="Z298" s="88">
        <f>T298+W298+Y298</f>
        <v>1742.19</v>
      </c>
      <c r="AA298" s="88">
        <v>17.421900000000001</v>
      </c>
      <c r="AB298" s="88">
        <v>26</v>
      </c>
      <c r="AC298" s="88"/>
      <c r="AD298" s="88"/>
      <c r="AE298" s="88"/>
      <c r="AF298" s="88"/>
      <c r="AG298" s="304">
        <f t="shared" si="24"/>
        <v>1698.7681</v>
      </c>
      <c r="AH298" s="301">
        <v>44146</v>
      </c>
      <c r="AI298" s="151" t="s">
        <v>176</v>
      </c>
      <c r="AJ298" s="132" t="s">
        <v>181</v>
      </c>
    </row>
    <row r="299" spans="18:36" x14ac:dyDescent="0.2">
      <c r="R299" s="292" t="s">
        <v>95</v>
      </c>
      <c r="S299" s="81" t="s">
        <v>94</v>
      </c>
      <c r="T299" s="88">
        <v>800</v>
      </c>
      <c r="U299" s="88"/>
      <c r="V299" s="88"/>
      <c r="W299" s="88"/>
      <c r="X299" s="88"/>
      <c r="Y299" s="88"/>
      <c r="Z299" s="88">
        <f>T299+W299+Y299</f>
        <v>800</v>
      </c>
      <c r="AA299" s="88">
        <v>8</v>
      </c>
      <c r="AB299" s="88"/>
      <c r="AC299" s="88"/>
      <c r="AD299" s="88"/>
      <c r="AE299" s="88"/>
      <c r="AF299" s="88"/>
      <c r="AG299" s="304">
        <f t="shared" si="24"/>
        <v>792</v>
      </c>
      <c r="AH299" s="301">
        <v>44146</v>
      </c>
      <c r="AI299" s="151" t="s">
        <v>176</v>
      </c>
      <c r="AJ299" s="132" t="s">
        <v>181</v>
      </c>
    </row>
    <row r="300" spans="18:36" x14ac:dyDescent="0.2">
      <c r="R300" s="292" t="s">
        <v>102</v>
      </c>
      <c r="S300" s="81" t="s">
        <v>104</v>
      </c>
      <c r="T300" s="88">
        <v>1250</v>
      </c>
      <c r="U300" s="88"/>
      <c r="V300" s="88"/>
      <c r="W300" s="88">
        <v>1242.19</v>
      </c>
      <c r="X300" s="88"/>
      <c r="Y300" s="88"/>
      <c r="Z300" s="88">
        <f>T300+W300+Y300</f>
        <v>2492.19</v>
      </c>
      <c r="AA300" s="88">
        <v>24.921900000000001</v>
      </c>
      <c r="AB300" s="88">
        <v>161</v>
      </c>
      <c r="AC300" s="88"/>
      <c r="AD300" s="88"/>
      <c r="AE300" s="88"/>
      <c r="AF300" s="88">
        <v>0</v>
      </c>
      <c r="AG300" s="304">
        <f t="shared" si="24"/>
        <v>2306.2681000000002</v>
      </c>
      <c r="AH300" s="301">
        <v>44146</v>
      </c>
      <c r="AI300" s="151" t="s">
        <v>176</v>
      </c>
      <c r="AJ300" s="132" t="s">
        <v>181</v>
      </c>
    </row>
    <row r="301" spans="18:36" x14ac:dyDescent="0.2">
      <c r="R301" s="292" t="s">
        <v>146</v>
      </c>
      <c r="S301" s="81" t="s">
        <v>151</v>
      </c>
      <c r="T301" s="88">
        <v>1250</v>
      </c>
      <c r="U301" s="88"/>
      <c r="V301" s="88"/>
      <c r="W301" s="88">
        <v>890.63</v>
      </c>
      <c r="X301" s="88"/>
      <c r="Y301" s="88"/>
      <c r="Z301" s="88">
        <f>T301+W301+X301+Y301</f>
        <v>2140.63</v>
      </c>
      <c r="AA301" s="88">
        <v>21.406300000000002</v>
      </c>
      <c r="AB301" s="88">
        <v>98</v>
      </c>
      <c r="AC301" s="88"/>
      <c r="AD301" s="88"/>
      <c r="AE301" s="88"/>
      <c r="AF301" s="88"/>
      <c r="AG301" s="304">
        <f t="shared" si="24"/>
        <v>2021.2237</v>
      </c>
      <c r="AH301" s="301">
        <v>44146</v>
      </c>
      <c r="AI301" s="151" t="s">
        <v>176</v>
      </c>
      <c r="AJ301" s="132" t="s">
        <v>181</v>
      </c>
    </row>
    <row r="302" spans="18:36" x14ac:dyDescent="0.2">
      <c r="R302" s="292" t="s">
        <v>154</v>
      </c>
      <c r="S302" s="81" t="s">
        <v>101</v>
      </c>
      <c r="T302" s="88">
        <v>1125</v>
      </c>
      <c r="U302" s="88"/>
      <c r="V302" s="88"/>
      <c r="W302" s="88">
        <v>468.75</v>
      </c>
      <c r="X302" s="88"/>
      <c r="Y302" s="88"/>
      <c r="Z302" s="88">
        <f>T302+W302+X302+Y302</f>
        <v>1593.75</v>
      </c>
      <c r="AA302" s="88">
        <v>15.9375</v>
      </c>
      <c r="AB302" s="88"/>
      <c r="AC302" s="88"/>
      <c r="AD302" s="88"/>
      <c r="AE302" s="88"/>
      <c r="AF302" s="88"/>
      <c r="AG302" s="304">
        <f t="shared" si="24"/>
        <v>1577.8125</v>
      </c>
      <c r="AH302" s="301">
        <v>44146</v>
      </c>
      <c r="AI302" s="151" t="s">
        <v>176</v>
      </c>
      <c r="AJ302" s="132" t="s">
        <v>181</v>
      </c>
    </row>
    <row r="303" spans="18:36" x14ac:dyDescent="0.2">
      <c r="R303" s="292" t="s">
        <v>164</v>
      </c>
      <c r="S303" s="81" t="s">
        <v>170</v>
      </c>
      <c r="T303" s="88">
        <v>1250</v>
      </c>
      <c r="U303" s="88"/>
      <c r="V303" s="88"/>
      <c r="W303" s="88">
        <v>468.75</v>
      </c>
      <c r="X303" s="88"/>
      <c r="Y303" s="88"/>
      <c r="Z303" s="88">
        <f>T303+W303+X303+Y303</f>
        <v>1718.75</v>
      </c>
      <c r="AA303" s="88">
        <v>17.1875</v>
      </c>
      <c r="AB303" s="88">
        <v>21</v>
      </c>
      <c r="AC303" s="88"/>
      <c r="AD303" s="88"/>
      <c r="AE303" s="88"/>
      <c r="AF303" s="88"/>
      <c r="AG303" s="304">
        <f t="shared" si="24"/>
        <v>1680.5625</v>
      </c>
      <c r="AH303" s="301">
        <v>44146</v>
      </c>
      <c r="AI303" s="151" t="s">
        <v>176</v>
      </c>
      <c r="AJ303" s="132" t="s">
        <v>181</v>
      </c>
    </row>
    <row r="304" spans="18:36" x14ac:dyDescent="0.2">
      <c r="R304" s="292" t="s">
        <v>25</v>
      </c>
      <c r="S304" s="81" t="s">
        <v>63</v>
      </c>
      <c r="T304" s="88">
        <v>3966.4</v>
      </c>
      <c r="U304" s="88"/>
      <c r="V304" s="88"/>
      <c r="W304" s="88">
        <v>4536.57</v>
      </c>
      <c r="X304" s="88">
        <v>490</v>
      </c>
      <c r="Y304" s="88">
        <v>624</v>
      </c>
      <c r="Z304" s="88">
        <f>T304+W304+Y304</f>
        <v>9126.9699999999993</v>
      </c>
      <c r="AA304" s="88">
        <v>37.18</v>
      </c>
      <c r="AB304" s="88">
        <v>1946</v>
      </c>
      <c r="AC304" s="88">
        <v>-159.5</v>
      </c>
      <c r="AD304" s="88">
        <v>624</v>
      </c>
      <c r="AE304" s="88">
        <v>200.01</v>
      </c>
      <c r="AF304" s="88">
        <f>1125</f>
        <v>1125</v>
      </c>
      <c r="AG304" s="304">
        <f t="shared" si="24"/>
        <v>5220.2799999999988</v>
      </c>
      <c r="AH304" s="301">
        <v>44153</v>
      </c>
      <c r="AI304" s="239" t="s">
        <v>177</v>
      </c>
      <c r="AJ304" s="132" t="s">
        <v>181</v>
      </c>
    </row>
    <row r="305" spans="18:36" x14ac:dyDescent="0.2">
      <c r="R305" s="292" t="s">
        <v>26</v>
      </c>
      <c r="S305" s="81" t="s">
        <v>70</v>
      </c>
      <c r="T305" s="88">
        <v>1023.5</v>
      </c>
      <c r="U305" s="88"/>
      <c r="V305" s="88"/>
      <c r="W305" s="88"/>
      <c r="X305" s="88">
        <v>50</v>
      </c>
      <c r="Y305" s="88"/>
      <c r="Z305" s="88">
        <f>T305+W305+Y305</f>
        <v>1023.5</v>
      </c>
      <c r="AA305" s="88">
        <v>10.234999999999999</v>
      </c>
      <c r="AB305" s="88"/>
      <c r="AC305" s="88"/>
      <c r="AD305" s="88"/>
      <c r="AE305" s="88">
        <v>58.14</v>
      </c>
      <c r="AF305" s="88">
        <v>100</v>
      </c>
      <c r="AG305" s="304">
        <f t="shared" si="24"/>
        <v>905.12500000000011</v>
      </c>
      <c r="AH305" s="301">
        <v>44153</v>
      </c>
      <c r="AI305" s="239" t="s">
        <v>177</v>
      </c>
      <c r="AJ305" s="132" t="s">
        <v>181</v>
      </c>
    </row>
    <row r="306" spans="18:36" x14ac:dyDescent="0.2">
      <c r="R306" s="292" t="s">
        <v>3</v>
      </c>
      <c r="S306" s="81" t="s">
        <v>71</v>
      </c>
      <c r="T306" s="88">
        <v>1343.5</v>
      </c>
      <c r="U306" s="88"/>
      <c r="V306" s="88"/>
      <c r="W306" s="88">
        <v>0</v>
      </c>
      <c r="X306" s="88">
        <v>50</v>
      </c>
      <c r="Y306" s="88"/>
      <c r="Z306" s="88">
        <f>T306+W306+Y306+X306</f>
        <v>1393.5</v>
      </c>
      <c r="AA306" s="88">
        <v>13.44</v>
      </c>
      <c r="AB306" s="88"/>
      <c r="AC306" s="88"/>
      <c r="AD306" s="88"/>
      <c r="AE306" s="88">
        <v>76.295000000000002</v>
      </c>
      <c r="AF306" s="88"/>
      <c r="AG306" s="304">
        <f t="shared" si="24"/>
        <v>1303.7649999999999</v>
      </c>
      <c r="AH306" s="301">
        <v>44153</v>
      </c>
      <c r="AI306" s="239" t="s">
        <v>177</v>
      </c>
      <c r="AJ306" s="132" t="s">
        <v>181</v>
      </c>
    </row>
    <row r="307" spans="18:36" x14ac:dyDescent="0.2">
      <c r="R307" s="292" t="s">
        <v>31</v>
      </c>
      <c r="S307" s="81" t="s">
        <v>72</v>
      </c>
      <c r="T307" s="88">
        <v>1300</v>
      </c>
      <c r="U307" s="88"/>
      <c r="V307" s="88"/>
      <c r="W307" s="88">
        <v>0</v>
      </c>
      <c r="X307" s="88">
        <v>50</v>
      </c>
      <c r="Y307" s="88"/>
      <c r="Z307" s="88">
        <f>T307+W307+Y307+X307</f>
        <v>1350</v>
      </c>
      <c r="AA307" s="88">
        <v>13</v>
      </c>
      <c r="AB307" s="88"/>
      <c r="AC307" s="88"/>
      <c r="AD307" s="88"/>
      <c r="AE307" s="88">
        <v>67.78</v>
      </c>
      <c r="AF307" s="88"/>
      <c r="AG307" s="304">
        <f t="shared" si="24"/>
        <v>1269.22</v>
      </c>
      <c r="AH307" s="301">
        <v>44153</v>
      </c>
      <c r="AI307" s="239" t="s">
        <v>177</v>
      </c>
      <c r="AJ307" s="132" t="s">
        <v>181</v>
      </c>
    </row>
    <row r="308" spans="18:36" x14ac:dyDescent="0.2">
      <c r="R308" s="292" t="s">
        <v>69</v>
      </c>
      <c r="S308" s="81" t="s">
        <v>73</v>
      </c>
      <c r="T308" s="88">
        <v>1000</v>
      </c>
      <c r="U308" s="88"/>
      <c r="V308" s="88"/>
      <c r="W308" s="88">
        <v>0</v>
      </c>
      <c r="X308" s="88"/>
      <c r="Y308" s="88"/>
      <c r="Z308" s="88">
        <f>T308+W308+Y308</f>
        <v>1000</v>
      </c>
      <c r="AA308" s="88">
        <v>10</v>
      </c>
      <c r="AB308" s="88"/>
      <c r="AC308" s="88"/>
      <c r="AD308" s="88"/>
      <c r="AE308" s="88"/>
      <c r="AF308" s="88"/>
      <c r="AG308" s="304">
        <f t="shared" si="24"/>
        <v>990</v>
      </c>
      <c r="AH308" s="301">
        <v>44153</v>
      </c>
      <c r="AI308" s="239" t="s">
        <v>177</v>
      </c>
      <c r="AJ308" s="132" t="s">
        <v>181</v>
      </c>
    </row>
    <row r="309" spans="18:36" x14ac:dyDescent="0.2">
      <c r="R309" s="292" t="s">
        <v>79</v>
      </c>
      <c r="S309" s="81" t="s">
        <v>91</v>
      </c>
      <c r="T309" s="88">
        <v>1250</v>
      </c>
      <c r="U309" s="88"/>
      <c r="V309" s="88"/>
      <c r="W309" s="88">
        <v>35.159999999999997</v>
      </c>
      <c r="X309" s="88"/>
      <c r="Y309" s="88"/>
      <c r="Z309" s="88">
        <f>T309+W309+Y309</f>
        <v>1285.1600000000001</v>
      </c>
      <c r="AA309" s="88">
        <v>12.851599999999999</v>
      </c>
      <c r="AB309" s="88">
        <v>0</v>
      </c>
      <c r="AC309" s="88"/>
      <c r="AD309" s="88"/>
      <c r="AE309" s="88"/>
      <c r="AF309" s="88"/>
      <c r="AG309" s="304">
        <f t="shared" si="24"/>
        <v>1272.3084000000001</v>
      </c>
      <c r="AH309" s="301">
        <v>44153</v>
      </c>
      <c r="AI309" s="239" t="s">
        <v>177</v>
      </c>
      <c r="AJ309" s="132" t="s">
        <v>181</v>
      </c>
    </row>
    <row r="310" spans="18:36" x14ac:dyDescent="0.2">
      <c r="R310" s="292" t="s">
        <v>92</v>
      </c>
      <c r="S310" s="81" t="s">
        <v>93</v>
      </c>
      <c r="T310" s="88">
        <v>1250</v>
      </c>
      <c r="U310" s="88"/>
      <c r="V310" s="88"/>
      <c r="W310" s="88">
        <v>23.44</v>
      </c>
      <c r="X310" s="88"/>
      <c r="Y310" s="88"/>
      <c r="Z310" s="88">
        <f>T310+W310+Y310</f>
        <v>1273.44</v>
      </c>
      <c r="AA310" s="88">
        <v>12.734400000000001</v>
      </c>
      <c r="AB310" s="88">
        <v>0</v>
      </c>
      <c r="AC310" s="88"/>
      <c r="AD310" s="88"/>
      <c r="AE310" s="88"/>
      <c r="AF310" s="88"/>
      <c r="AG310" s="304">
        <f t="shared" si="24"/>
        <v>1260.7056</v>
      </c>
      <c r="AH310" s="301">
        <v>44153</v>
      </c>
      <c r="AI310" s="239" t="s">
        <v>177</v>
      </c>
      <c r="AJ310" s="132" t="s">
        <v>181</v>
      </c>
    </row>
    <row r="311" spans="18:36" x14ac:dyDescent="0.2">
      <c r="R311" s="292" t="s">
        <v>95</v>
      </c>
      <c r="S311" s="81" t="s">
        <v>94</v>
      </c>
      <c r="T311" s="88">
        <v>800</v>
      </c>
      <c r="U311" s="88"/>
      <c r="V311" s="88"/>
      <c r="W311" s="88"/>
      <c r="X311" s="88"/>
      <c r="Y311" s="88"/>
      <c r="Z311" s="88">
        <f>T311+W311+Y311</f>
        <v>800</v>
      </c>
      <c r="AA311" s="88">
        <v>8</v>
      </c>
      <c r="AB311" s="88"/>
      <c r="AC311" s="88"/>
      <c r="AD311" s="88"/>
      <c r="AE311" s="88"/>
      <c r="AF311" s="88"/>
      <c r="AG311" s="304">
        <f t="shared" si="24"/>
        <v>792</v>
      </c>
      <c r="AH311" s="301">
        <v>44153</v>
      </c>
      <c r="AI311" s="239" t="s">
        <v>177</v>
      </c>
      <c r="AJ311" s="132" t="s">
        <v>181</v>
      </c>
    </row>
    <row r="312" spans="18:36" x14ac:dyDescent="0.2">
      <c r="R312" s="292" t="s">
        <v>102</v>
      </c>
      <c r="S312" s="81" t="s">
        <v>104</v>
      </c>
      <c r="T312" s="88">
        <v>1250</v>
      </c>
      <c r="U312" s="88"/>
      <c r="V312" s="88"/>
      <c r="W312" s="88">
        <v>375</v>
      </c>
      <c r="X312" s="88"/>
      <c r="Y312" s="88"/>
      <c r="Z312" s="88">
        <f>T312+W312+Y312</f>
        <v>1625</v>
      </c>
      <c r="AA312" s="88">
        <v>16.25</v>
      </c>
      <c r="AB312" s="88">
        <v>0</v>
      </c>
      <c r="AC312" s="88"/>
      <c r="AD312" s="88"/>
      <c r="AE312" s="88"/>
      <c r="AF312" s="88">
        <v>0</v>
      </c>
      <c r="AG312" s="304">
        <f t="shared" si="24"/>
        <v>1608.75</v>
      </c>
      <c r="AH312" s="301">
        <v>44153</v>
      </c>
      <c r="AI312" s="239" t="s">
        <v>177</v>
      </c>
      <c r="AJ312" s="132" t="s">
        <v>181</v>
      </c>
    </row>
    <row r="313" spans="18:36" x14ac:dyDescent="0.2">
      <c r="R313" s="292" t="s">
        <v>146</v>
      </c>
      <c r="S313" s="81" t="s">
        <v>151</v>
      </c>
      <c r="T313" s="88">
        <v>1250</v>
      </c>
      <c r="U313" s="88"/>
      <c r="V313" s="88"/>
      <c r="W313" s="88">
        <v>23.44</v>
      </c>
      <c r="X313" s="88"/>
      <c r="Y313" s="88"/>
      <c r="Z313" s="88">
        <f>T313+W313+X313+Y313</f>
        <v>1273.44</v>
      </c>
      <c r="AA313" s="88">
        <v>12.734400000000001</v>
      </c>
      <c r="AB313" s="88">
        <v>0</v>
      </c>
      <c r="AC313" s="88"/>
      <c r="AD313" s="88"/>
      <c r="AE313" s="88"/>
      <c r="AF313" s="88"/>
      <c r="AG313" s="304">
        <f t="shared" si="24"/>
        <v>1260.7056</v>
      </c>
      <c r="AH313" s="301">
        <v>44153</v>
      </c>
      <c r="AI313" s="239" t="s">
        <v>177</v>
      </c>
      <c r="AJ313" s="132" t="s">
        <v>181</v>
      </c>
    </row>
    <row r="314" spans="18:36" x14ac:dyDescent="0.2">
      <c r="R314" s="292" t="s">
        <v>154</v>
      </c>
      <c r="S314" s="81" t="s">
        <v>101</v>
      </c>
      <c r="T314" s="88">
        <v>1250</v>
      </c>
      <c r="U314" s="88"/>
      <c r="V314" s="88"/>
      <c r="W314" s="88">
        <v>23.44</v>
      </c>
      <c r="X314" s="88"/>
      <c r="Y314" s="88"/>
      <c r="Z314" s="88">
        <f>T314+W314+X314+Y314</f>
        <v>1273.44</v>
      </c>
      <c r="AA314" s="88">
        <v>12.734400000000001</v>
      </c>
      <c r="AB314" s="88">
        <v>0</v>
      </c>
      <c r="AC314" s="88"/>
      <c r="AD314" s="88"/>
      <c r="AE314" s="88"/>
      <c r="AF314" s="88"/>
      <c r="AG314" s="304">
        <f t="shared" si="24"/>
        <v>1260.7056</v>
      </c>
      <c r="AH314" s="301">
        <v>44153</v>
      </c>
      <c r="AI314" s="239" t="s">
        <v>177</v>
      </c>
      <c r="AJ314" s="132" t="s">
        <v>181</v>
      </c>
    </row>
    <row r="315" spans="18:36" x14ac:dyDescent="0.2">
      <c r="R315" s="292" t="s">
        <v>164</v>
      </c>
      <c r="S315" s="81" t="s">
        <v>170</v>
      </c>
      <c r="T315" s="88">
        <v>1000</v>
      </c>
      <c r="U315" s="88"/>
      <c r="V315" s="88"/>
      <c r="W315" s="88">
        <v>23.44</v>
      </c>
      <c r="X315" s="88"/>
      <c r="Y315" s="88"/>
      <c r="Z315" s="88">
        <f>T315+W315+X315+Y315</f>
        <v>1023.44</v>
      </c>
      <c r="AA315" s="88">
        <v>10.234400000000001</v>
      </c>
      <c r="AB315" s="88">
        <v>0</v>
      </c>
      <c r="AC315" s="88"/>
      <c r="AD315" s="88"/>
      <c r="AE315" s="88"/>
      <c r="AF315" s="88"/>
      <c r="AG315" s="304">
        <f t="shared" si="24"/>
        <v>1013.2056</v>
      </c>
      <c r="AH315" s="301">
        <v>44153</v>
      </c>
      <c r="AI315" s="239" t="s">
        <v>177</v>
      </c>
      <c r="AJ315" s="132" t="s">
        <v>181</v>
      </c>
    </row>
    <row r="316" spans="18:36" x14ac:dyDescent="0.2">
      <c r="R316" s="292" t="s">
        <v>25</v>
      </c>
      <c r="S316" s="81" t="s">
        <v>63</v>
      </c>
      <c r="T316" s="88">
        <v>3966.4</v>
      </c>
      <c r="U316" s="88"/>
      <c r="V316" s="88"/>
      <c r="W316" s="88">
        <v>5280.27</v>
      </c>
      <c r="X316" s="88">
        <v>490</v>
      </c>
      <c r="Y316" s="88">
        <v>624</v>
      </c>
      <c r="Z316" s="88">
        <f>T316+W316+Y316</f>
        <v>9870.67</v>
      </c>
      <c r="AA316" s="88">
        <v>37.18</v>
      </c>
      <c r="AB316" s="88">
        <v>2216</v>
      </c>
      <c r="AC316" s="88">
        <v>-159.5</v>
      </c>
      <c r="AD316" s="88">
        <v>624</v>
      </c>
      <c r="AE316" s="88">
        <v>200.01</v>
      </c>
      <c r="AF316" s="88">
        <f>1125</f>
        <v>1125</v>
      </c>
      <c r="AG316" s="304">
        <f t="shared" si="24"/>
        <v>5693.98</v>
      </c>
      <c r="AH316" s="301">
        <v>44160</v>
      </c>
      <c r="AI316" s="240" t="s">
        <v>178</v>
      </c>
      <c r="AJ316" s="132" t="s">
        <v>181</v>
      </c>
    </row>
    <row r="317" spans="18:36" x14ac:dyDescent="0.2">
      <c r="R317" s="292" t="s">
        <v>26</v>
      </c>
      <c r="S317" s="81" t="s">
        <v>70</v>
      </c>
      <c r="T317" s="88">
        <v>1023.5</v>
      </c>
      <c r="U317" s="88"/>
      <c r="V317" s="88"/>
      <c r="W317" s="88"/>
      <c r="X317" s="88">
        <v>50</v>
      </c>
      <c r="Y317" s="88"/>
      <c r="Z317" s="88">
        <f>T317+W317+Y317</f>
        <v>1023.5</v>
      </c>
      <c r="AA317" s="88">
        <v>10.234999999999999</v>
      </c>
      <c r="AB317" s="88"/>
      <c r="AC317" s="88"/>
      <c r="AD317" s="88"/>
      <c r="AE317" s="88">
        <v>58.14</v>
      </c>
      <c r="AF317" s="88">
        <v>100</v>
      </c>
      <c r="AG317" s="304">
        <f t="shared" si="24"/>
        <v>905.12500000000011</v>
      </c>
      <c r="AH317" s="301">
        <v>44160</v>
      </c>
      <c r="AI317" s="240" t="s">
        <v>178</v>
      </c>
      <c r="AJ317" s="132" t="s">
        <v>181</v>
      </c>
    </row>
    <row r="318" spans="18:36" x14ac:dyDescent="0.2">
      <c r="R318" s="292" t="s">
        <v>3</v>
      </c>
      <c r="S318" s="81" t="s">
        <v>71</v>
      </c>
      <c r="T318" s="88">
        <v>1343.5</v>
      </c>
      <c r="U318" s="88"/>
      <c r="V318" s="88"/>
      <c r="W318" s="88">
        <v>0</v>
      </c>
      <c r="X318" s="88">
        <v>50</v>
      </c>
      <c r="Y318" s="88"/>
      <c r="Z318" s="88">
        <f>T318+W318+Y318+X318</f>
        <v>1393.5</v>
      </c>
      <c r="AA318" s="88">
        <v>13.44</v>
      </c>
      <c r="AB318" s="88"/>
      <c r="AC318" s="88"/>
      <c r="AD318" s="88"/>
      <c r="AE318" s="88">
        <v>76.295000000000002</v>
      </c>
      <c r="AF318" s="88"/>
      <c r="AG318" s="304">
        <f t="shared" si="24"/>
        <v>1303.7649999999999</v>
      </c>
      <c r="AH318" s="301">
        <v>44160</v>
      </c>
      <c r="AI318" s="240" t="s">
        <v>178</v>
      </c>
      <c r="AJ318" s="132" t="s">
        <v>181</v>
      </c>
    </row>
    <row r="319" spans="18:36" x14ac:dyDescent="0.2">
      <c r="R319" s="292" t="s">
        <v>31</v>
      </c>
      <c r="S319" s="81" t="s">
        <v>72</v>
      </c>
      <c r="T319" s="88">
        <v>1300</v>
      </c>
      <c r="U319" s="88"/>
      <c r="V319" s="88"/>
      <c r="W319" s="88">
        <v>0</v>
      </c>
      <c r="X319" s="88">
        <v>50</v>
      </c>
      <c r="Y319" s="88"/>
      <c r="Z319" s="88">
        <f>T319+W319+Y319+X319</f>
        <v>1350</v>
      </c>
      <c r="AA319" s="88">
        <v>13</v>
      </c>
      <c r="AB319" s="88"/>
      <c r="AC319" s="88"/>
      <c r="AD319" s="88"/>
      <c r="AE319" s="88">
        <v>67.78</v>
      </c>
      <c r="AF319" s="88"/>
      <c r="AG319" s="304">
        <f t="shared" si="24"/>
        <v>1269.22</v>
      </c>
      <c r="AH319" s="301">
        <v>44160</v>
      </c>
      <c r="AI319" s="240" t="s">
        <v>178</v>
      </c>
      <c r="AJ319" s="132" t="s">
        <v>181</v>
      </c>
    </row>
    <row r="320" spans="18:36" x14ac:dyDescent="0.2">
      <c r="R320" s="292" t="s">
        <v>69</v>
      </c>
      <c r="S320" s="81" t="s">
        <v>73</v>
      </c>
      <c r="T320" s="88">
        <v>1000</v>
      </c>
      <c r="U320" s="88"/>
      <c r="V320" s="88"/>
      <c r="W320" s="88">
        <v>0</v>
      </c>
      <c r="X320" s="88"/>
      <c r="Y320" s="88"/>
      <c r="Z320" s="88">
        <f>T320+W320+Y320</f>
        <v>1000</v>
      </c>
      <c r="AA320" s="88">
        <v>10</v>
      </c>
      <c r="AB320" s="88"/>
      <c r="AC320" s="88"/>
      <c r="AD320" s="88"/>
      <c r="AE320" s="88"/>
      <c r="AF320" s="88"/>
      <c r="AG320" s="304">
        <f t="shared" si="24"/>
        <v>990</v>
      </c>
      <c r="AH320" s="301">
        <v>44160</v>
      </c>
      <c r="AI320" s="240" t="s">
        <v>178</v>
      </c>
      <c r="AJ320" s="132" t="s">
        <v>181</v>
      </c>
    </row>
    <row r="321" spans="1:36" x14ac:dyDescent="0.2">
      <c r="A321" s="367"/>
      <c r="B321" s="367"/>
      <c r="C321" s="162"/>
      <c r="D321" s="365"/>
      <c r="E321" s="365"/>
      <c r="F321" s="365"/>
      <c r="G321" s="365"/>
      <c r="H321" s="365"/>
      <c r="I321" s="365"/>
      <c r="J321" s="365"/>
      <c r="K321" s="365"/>
      <c r="L321" s="365"/>
      <c r="M321" s="365"/>
      <c r="N321" s="365"/>
      <c r="O321" s="365"/>
      <c r="P321" s="365"/>
      <c r="R321" s="292" t="s">
        <v>79</v>
      </c>
      <c r="S321" s="81" t="s">
        <v>91</v>
      </c>
      <c r="T321" s="88">
        <v>1250</v>
      </c>
      <c r="U321" s="88"/>
      <c r="V321" s="88"/>
      <c r="W321" s="88">
        <v>117.19</v>
      </c>
      <c r="X321" s="88"/>
      <c r="Y321" s="88"/>
      <c r="Z321" s="88">
        <f>T321+W321+Y321</f>
        <v>1367.19</v>
      </c>
      <c r="AA321" s="88">
        <v>13.671900000000001</v>
      </c>
      <c r="AB321" s="88">
        <v>0</v>
      </c>
      <c r="AC321" s="88"/>
      <c r="AD321" s="88"/>
      <c r="AE321" s="88"/>
      <c r="AF321" s="88"/>
      <c r="AG321" s="304">
        <f t="shared" si="24"/>
        <v>1353.5181</v>
      </c>
      <c r="AH321" s="301">
        <v>44160</v>
      </c>
      <c r="AI321" s="240" t="s">
        <v>178</v>
      </c>
      <c r="AJ321" s="132" t="s">
        <v>181</v>
      </c>
    </row>
    <row r="322" spans="1:36" x14ac:dyDescent="0.2">
      <c r="A322" s="367"/>
      <c r="B322" s="367"/>
      <c r="C322" s="162"/>
      <c r="D322" s="365"/>
      <c r="E322" s="365"/>
      <c r="F322" s="365"/>
      <c r="G322" s="365"/>
      <c r="H322" s="365"/>
      <c r="I322" s="365"/>
      <c r="J322" s="365"/>
      <c r="K322" s="365"/>
      <c r="L322" s="365"/>
      <c r="M322" s="365"/>
      <c r="N322" s="365"/>
      <c r="O322" s="365"/>
      <c r="P322" s="365"/>
      <c r="R322" s="292" t="s">
        <v>92</v>
      </c>
      <c r="S322" s="81" t="s">
        <v>93</v>
      </c>
      <c r="T322" s="88">
        <v>1250</v>
      </c>
      <c r="U322" s="88"/>
      <c r="V322" s="88"/>
      <c r="W322" s="88">
        <v>117.19</v>
      </c>
      <c r="X322" s="88"/>
      <c r="Y322" s="88"/>
      <c r="Z322" s="88">
        <f>T322+W322+Y322</f>
        <v>1367.19</v>
      </c>
      <c r="AA322" s="88">
        <v>13.671900000000001</v>
      </c>
      <c r="AB322" s="88">
        <v>0</v>
      </c>
      <c r="AC322" s="88"/>
      <c r="AD322" s="88"/>
      <c r="AE322" s="88"/>
      <c r="AF322" s="88"/>
      <c r="AG322" s="304">
        <f t="shared" si="24"/>
        <v>1353.5181</v>
      </c>
      <c r="AH322" s="301">
        <v>44160</v>
      </c>
      <c r="AI322" s="240" t="s">
        <v>178</v>
      </c>
      <c r="AJ322" s="132" t="s">
        <v>181</v>
      </c>
    </row>
    <row r="323" spans="1:36" x14ac:dyDescent="0.2">
      <c r="A323" s="367"/>
      <c r="B323" s="367"/>
      <c r="C323" s="162"/>
      <c r="D323" s="365"/>
      <c r="E323" s="365"/>
      <c r="F323" s="365"/>
      <c r="G323" s="365"/>
      <c r="H323" s="365"/>
      <c r="I323" s="365"/>
      <c r="J323" s="365"/>
      <c r="K323" s="365"/>
      <c r="L323" s="365"/>
      <c r="M323" s="365"/>
      <c r="N323" s="365"/>
      <c r="O323" s="365"/>
      <c r="P323" s="365"/>
      <c r="R323" s="292" t="s">
        <v>95</v>
      </c>
      <c r="S323" s="81" t="s">
        <v>94</v>
      </c>
      <c r="T323" s="88">
        <v>800</v>
      </c>
      <c r="U323" s="88"/>
      <c r="V323" s="88"/>
      <c r="W323" s="88"/>
      <c r="X323" s="88"/>
      <c r="Y323" s="88"/>
      <c r="Z323" s="88">
        <f>T323+W323+Y323</f>
        <v>800</v>
      </c>
      <c r="AA323" s="88">
        <v>8</v>
      </c>
      <c r="AB323" s="88"/>
      <c r="AC323" s="88"/>
      <c r="AD323" s="88"/>
      <c r="AE323" s="88"/>
      <c r="AF323" s="88"/>
      <c r="AG323" s="304">
        <f t="shared" si="24"/>
        <v>792</v>
      </c>
      <c r="AH323" s="301">
        <v>44160</v>
      </c>
      <c r="AI323" s="240" t="s">
        <v>178</v>
      </c>
      <c r="AJ323" s="132" t="s">
        <v>181</v>
      </c>
    </row>
    <row r="324" spans="1:36" x14ac:dyDescent="0.2">
      <c r="R324" s="292" t="s">
        <v>102</v>
      </c>
      <c r="S324" s="81" t="s">
        <v>104</v>
      </c>
      <c r="T324" s="88">
        <v>1250</v>
      </c>
      <c r="U324" s="88"/>
      <c r="V324" s="88"/>
      <c r="W324" s="88">
        <v>1359.38</v>
      </c>
      <c r="X324" s="88"/>
      <c r="Y324" s="88"/>
      <c r="Z324" s="88">
        <f>T324+W324+Y324</f>
        <v>2609.38</v>
      </c>
      <c r="AA324" s="88">
        <v>26.093800000000002</v>
      </c>
      <c r="AB324" s="88">
        <v>183</v>
      </c>
      <c r="AC324" s="88"/>
      <c r="AD324" s="88"/>
      <c r="AE324" s="88"/>
      <c r="AF324" s="88">
        <v>0</v>
      </c>
      <c r="AG324" s="304">
        <f t="shared" ref="AG324:AG330" si="25">T324+W324+X324-AA324-AB324-AC324-AD324-AE324-AF324</f>
        <v>2400.2862</v>
      </c>
      <c r="AH324" s="301">
        <v>44160</v>
      </c>
      <c r="AI324" s="240" t="s">
        <v>178</v>
      </c>
      <c r="AJ324" s="132" t="s">
        <v>181</v>
      </c>
    </row>
    <row r="325" spans="1:36" x14ac:dyDescent="0.2">
      <c r="R325" s="292" t="s">
        <v>146</v>
      </c>
      <c r="S325" s="81" t="s">
        <v>151</v>
      </c>
      <c r="T325" s="88">
        <v>1250</v>
      </c>
      <c r="U325" s="88"/>
      <c r="V325" s="88"/>
      <c r="W325" s="88">
        <v>46.88</v>
      </c>
      <c r="X325" s="88"/>
      <c r="Y325" s="88"/>
      <c r="Z325" s="88">
        <f>T325+W325+X325+Y325</f>
        <v>1296.8800000000001</v>
      </c>
      <c r="AA325" s="88">
        <v>12.9688</v>
      </c>
      <c r="AB325" s="88">
        <v>0</v>
      </c>
      <c r="AC325" s="88"/>
      <c r="AD325" s="88"/>
      <c r="AE325" s="88"/>
      <c r="AF325" s="88"/>
      <c r="AG325" s="304">
        <f t="shared" si="25"/>
        <v>1283.9112</v>
      </c>
      <c r="AH325" s="301">
        <v>44160</v>
      </c>
      <c r="AI325" s="240" t="s">
        <v>178</v>
      </c>
      <c r="AJ325" s="132" t="s">
        <v>181</v>
      </c>
    </row>
    <row r="326" spans="1:36" x14ac:dyDescent="0.2">
      <c r="R326" s="292" t="s">
        <v>154</v>
      </c>
      <c r="S326" s="81" t="s">
        <v>101</v>
      </c>
      <c r="T326" s="88">
        <v>1250</v>
      </c>
      <c r="U326" s="88"/>
      <c r="V326" s="88"/>
      <c r="W326" s="88">
        <v>0</v>
      </c>
      <c r="X326" s="88"/>
      <c r="Y326" s="88"/>
      <c r="Z326" s="88">
        <f>T326+W326+X326+Y326</f>
        <v>1250</v>
      </c>
      <c r="AA326" s="88">
        <v>12.5</v>
      </c>
      <c r="AB326" s="88">
        <v>0</v>
      </c>
      <c r="AC326" s="88"/>
      <c r="AD326" s="88"/>
      <c r="AE326" s="88"/>
      <c r="AF326" s="88"/>
      <c r="AG326" s="304">
        <f t="shared" si="25"/>
        <v>1237.5</v>
      </c>
      <c r="AH326" s="301">
        <v>44160</v>
      </c>
      <c r="AI326" s="240" t="s">
        <v>178</v>
      </c>
      <c r="AJ326" s="132" t="s">
        <v>181</v>
      </c>
    </row>
    <row r="327" spans="1:36" x14ac:dyDescent="0.2">
      <c r="R327" s="292" t="s">
        <v>164</v>
      </c>
      <c r="S327" s="81" t="s">
        <v>170</v>
      </c>
      <c r="T327" s="88">
        <v>1000</v>
      </c>
      <c r="U327" s="88"/>
      <c r="V327" s="88"/>
      <c r="W327" s="88">
        <v>0</v>
      </c>
      <c r="X327" s="88"/>
      <c r="Y327" s="88"/>
      <c r="Z327" s="88">
        <f>T327+W327+X327+Y327</f>
        <v>1000</v>
      </c>
      <c r="AA327" s="88">
        <v>10</v>
      </c>
      <c r="AB327" s="88">
        <v>0</v>
      </c>
      <c r="AC327" s="88"/>
      <c r="AD327" s="88"/>
      <c r="AE327" s="88"/>
      <c r="AF327" s="88"/>
      <c r="AG327" s="304">
        <f t="shared" si="25"/>
        <v>990</v>
      </c>
      <c r="AH327" s="301">
        <v>44160</v>
      </c>
      <c r="AI327" s="240" t="s">
        <v>178</v>
      </c>
      <c r="AJ327" s="132" t="s">
        <v>181</v>
      </c>
    </row>
    <row r="328" spans="1:36" s="162" customFormat="1" x14ac:dyDescent="0.2">
      <c r="A328" s="350"/>
      <c r="B328" s="350"/>
      <c r="C328" s="77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R328" s="305" t="s">
        <v>8</v>
      </c>
      <c r="S328" s="165" t="s">
        <v>96</v>
      </c>
      <c r="T328" s="163">
        <v>13502</v>
      </c>
      <c r="U328" s="163"/>
      <c r="V328" s="163"/>
      <c r="W328" s="163"/>
      <c r="X328" s="163"/>
      <c r="Y328" s="163">
        <v>5624</v>
      </c>
      <c r="Z328" s="88">
        <f>T328+W328+Y328</f>
        <v>19126</v>
      </c>
      <c r="AA328" s="163"/>
      <c r="AB328" s="163">
        <v>2355</v>
      </c>
      <c r="AC328" s="163">
        <v>-853</v>
      </c>
      <c r="AD328" s="163"/>
      <c r="AE328" s="163"/>
      <c r="AF328" s="163"/>
      <c r="AG328" s="304">
        <f t="shared" si="25"/>
        <v>12000</v>
      </c>
      <c r="AH328" s="170"/>
      <c r="AI328" s="170"/>
      <c r="AJ328" s="161"/>
    </row>
    <row r="329" spans="1:36" s="162" customFormat="1" x14ac:dyDescent="0.2">
      <c r="A329" s="350"/>
      <c r="B329" s="350"/>
      <c r="C329" s="77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R329" s="305" t="s">
        <v>27</v>
      </c>
      <c r="S329" s="165" t="s">
        <v>97</v>
      </c>
      <c r="T329" s="163">
        <v>13717</v>
      </c>
      <c r="U329" s="163"/>
      <c r="V329" s="163"/>
      <c r="W329" s="163"/>
      <c r="X329" s="163"/>
      <c r="Y329" s="163">
        <v>5409</v>
      </c>
      <c r="Z329" s="88">
        <f>T329+W329+Y329</f>
        <v>19126</v>
      </c>
      <c r="AA329" s="163"/>
      <c r="AB329" s="163">
        <v>2355</v>
      </c>
      <c r="AC329" s="163">
        <v>-638</v>
      </c>
      <c r="AD329" s="163"/>
      <c r="AE329" s="163"/>
      <c r="AF329" s="163"/>
      <c r="AG329" s="304">
        <f t="shared" si="25"/>
        <v>12000</v>
      </c>
      <c r="AH329" s="170"/>
      <c r="AI329" s="170"/>
      <c r="AJ329" s="161"/>
    </row>
    <row r="330" spans="1:36" s="162" customFormat="1" ht="13.5" thickBot="1" x14ac:dyDescent="0.25">
      <c r="A330" s="350"/>
      <c r="B330" s="350"/>
      <c r="C330" s="77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R330" s="344" t="s">
        <v>6</v>
      </c>
      <c r="S330" s="302" t="s">
        <v>98</v>
      </c>
      <c r="T330" s="164">
        <v>12643.72</v>
      </c>
      <c r="U330" s="164"/>
      <c r="V330" s="164"/>
      <c r="W330" s="164"/>
      <c r="X330" s="164"/>
      <c r="Y330" s="164">
        <v>2812</v>
      </c>
      <c r="Z330" s="244">
        <f>T330+W330+Y330</f>
        <v>15455.72</v>
      </c>
      <c r="AA330" s="164">
        <v>148.72</v>
      </c>
      <c r="AB330" s="164">
        <v>1536</v>
      </c>
      <c r="AC330" s="164">
        <v>-853</v>
      </c>
      <c r="AD330" s="164">
        <v>2812</v>
      </c>
      <c r="AE330" s="164"/>
      <c r="AF330" s="164"/>
      <c r="AG330" s="346">
        <f t="shared" si="25"/>
        <v>9000</v>
      </c>
      <c r="AH330" s="170"/>
      <c r="AI330" s="170"/>
      <c r="AJ330" s="161"/>
    </row>
    <row r="331" spans="1:36" x14ac:dyDescent="0.2">
      <c r="R331" s="310" t="s">
        <v>25</v>
      </c>
      <c r="S331" s="311" t="s">
        <v>63</v>
      </c>
      <c r="T331" s="312">
        <v>3966.4</v>
      </c>
      <c r="U331" s="312"/>
      <c r="V331" s="312"/>
      <c r="W331" s="312">
        <v>4387.83</v>
      </c>
      <c r="X331" s="312">
        <v>490</v>
      </c>
      <c r="Y331" s="312">
        <v>624</v>
      </c>
      <c r="Z331" s="312">
        <f>T331+W331+Y331</f>
        <v>8978.23</v>
      </c>
      <c r="AA331" s="312">
        <v>37.18</v>
      </c>
      <c r="AB331" s="312">
        <v>1890</v>
      </c>
      <c r="AC331" s="312">
        <v>-159.5</v>
      </c>
      <c r="AD331" s="312">
        <v>624</v>
      </c>
      <c r="AE331" s="312">
        <v>200.01</v>
      </c>
      <c r="AF331" s="312">
        <f>1125</f>
        <v>1125</v>
      </c>
      <c r="AG331" s="313">
        <f t="shared" ref="AG331:AG342" si="26">T331+W331+X331-AA331-AB331-AC331-AD331-AE331-AF331</f>
        <v>5127.5399999999991</v>
      </c>
      <c r="AH331" s="301">
        <v>44167</v>
      </c>
      <c r="AI331" s="120" t="s">
        <v>183</v>
      </c>
      <c r="AJ331" s="132" t="s">
        <v>185</v>
      </c>
    </row>
    <row r="332" spans="1:36" x14ac:dyDescent="0.2">
      <c r="R332" s="314" t="s">
        <v>26</v>
      </c>
      <c r="S332" s="315" t="s">
        <v>70</v>
      </c>
      <c r="T332" s="316">
        <v>1023.5</v>
      </c>
      <c r="U332" s="316"/>
      <c r="V332" s="316"/>
      <c r="W332" s="316"/>
      <c r="X332" s="316">
        <v>50</v>
      </c>
      <c r="Y332" s="316"/>
      <c r="Z332" s="316">
        <f>T332+W332+Y332</f>
        <v>1023.5</v>
      </c>
      <c r="AA332" s="316">
        <v>10.234999999999999</v>
      </c>
      <c r="AB332" s="316"/>
      <c r="AC332" s="316"/>
      <c r="AD332" s="316"/>
      <c r="AE332" s="316">
        <v>58.14</v>
      </c>
      <c r="AF332" s="316">
        <v>100</v>
      </c>
      <c r="AG332" s="317">
        <f t="shared" si="26"/>
        <v>905.12500000000011</v>
      </c>
      <c r="AH332" s="301">
        <v>44167</v>
      </c>
      <c r="AI332" s="120" t="s">
        <v>183</v>
      </c>
      <c r="AJ332" s="132" t="s">
        <v>185</v>
      </c>
    </row>
    <row r="333" spans="1:36" x14ac:dyDescent="0.2">
      <c r="R333" s="314" t="s">
        <v>3</v>
      </c>
      <c r="S333" s="315" t="s">
        <v>71</v>
      </c>
      <c r="T333" s="316">
        <v>1343.5</v>
      </c>
      <c r="U333" s="316"/>
      <c r="V333" s="316"/>
      <c r="W333" s="316">
        <v>0</v>
      </c>
      <c r="X333" s="316">
        <v>50</v>
      </c>
      <c r="Y333" s="316"/>
      <c r="Z333" s="316">
        <f>T333+W333+Y333+X333</f>
        <v>1393.5</v>
      </c>
      <c r="AA333" s="316">
        <v>13.44</v>
      </c>
      <c r="AB333" s="316"/>
      <c r="AC333" s="316"/>
      <c r="AD333" s="316"/>
      <c r="AE333" s="316">
        <v>76.295000000000002</v>
      </c>
      <c r="AF333" s="316"/>
      <c r="AG333" s="317">
        <f t="shared" si="26"/>
        <v>1303.7649999999999</v>
      </c>
      <c r="AH333" s="301">
        <v>44167</v>
      </c>
      <c r="AI333" s="120" t="s">
        <v>183</v>
      </c>
      <c r="AJ333" s="132" t="s">
        <v>185</v>
      </c>
    </row>
    <row r="334" spans="1:36" x14ac:dyDescent="0.2">
      <c r="R334" s="314" t="s">
        <v>31</v>
      </c>
      <c r="S334" s="315" t="s">
        <v>72</v>
      </c>
      <c r="T334" s="316">
        <v>1300</v>
      </c>
      <c r="U334" s="316"/>
      <c r="V334" s="316"/>
      <c r="W334" s="316">
        <v>0</v>
      </c>
      <c r="X334" s="316">
        <v>50</v>
      </c>
      <c r="Y334" s="316"/>
      <c r="Z334" s="316">
        <f>T334+W334+Y334+X334</f>
        <v>1350</v>
      </c>
      <c r="AA334" s="316">
        <v>13</v>
      </c>
      <c r="AB334" s="316"/>
      <c r="AC334" s="316"/>
      <c r="AD334" s="316"/>
      <c r="AE334" s="316">
        <v>67.78</v>
      </c>
      <c r="AF334" s="316"/>
      <c r="AG334" s="317">
        <f t="shared" si="26"/>
        <v>1269.22</v>
      </c>
      <c r="AH334" s="301">
        <v>44167</v>
      </c>
      <c r="AI334" s="120" t="s">
        <v>183</v>
      </c>
      <c r="AJ334" s="132" t="s">
        <v>185</v>
      </c>
    </row>
    <row r="335" spans="1:36" x14ac:dyDescent="0.2">
      <c r="R335" s="314" t="s">
        <v>69</v>
      </c>
      <c r="S335" s="315" t="s">
        <v>73</v>
      </c>
      <c r="T335" s="316">
        <v>1000</v>
      </c>
      <c r="U335" s="316"/>
      <c r="V335" s="316"/>
      <c r="W335" s="316">
        <v>0</v>
      </c>
      <c r="X335" s="316"/>
      <c r="Y335" s="316"/>
      <c r="Z335" s="316">
        <f>T335+W335+Y335</f>
        <v>1000</v>
      </c>
      <c r="AA335" s="316">
        <v>10</v>
      </c>
      <c r="AB335" s="316"/>
      <c r="AC335" s="316"/>
      <c r="AD335" s="316"/>
      <c r="AE335" s="316"/>
      <c r="AF335" s="316"/>
      <c r="AG335" s="317">
        <f t="shared" si="26"/>
        <v>990</v>
      </c>
      <c r="AH335" s="301">
        <v>44167</v>
      </c>
      <c r="AI335" s="120" t="s">
        <v>183</v>
      </c>
      <c r="AJ335" s="132" t="s">
        <v>185</v>
      </c>
    </row>
    <row r="336" spans="1:36" x14ac:dyDescent="0.2">
      <c r="R336" s="314" t="s">
        <v>79</v>
      </c>
      <c r="S336" s="315" t="s">
        <v>91</v>
      </c>
      <c r="T336" s="316">
        <v>1000</v>
      </c>
      <c r="U336" s="316"/>
      <c r="V336" s="316"/>
      <c r="W336" s="316">
        <v>0</v>
      </c>
      <c r="X336" s="316"/>
      <c r="Y336" s="316"/>
      <c r="Z336" s="316">
        <f>T336+W336+Y336</f>
        <v>1000</v>
      </c>
      <c r="AA336" s="316">
        <v>10</v>
      </c>
      <c r="AB336" s="316">
        <v>0</v>
      </c>
      <c r="AC336" s="316"/>
      <c r="AD336" s="316"/>
      <c r="AE336" s="316"/>
      <c r="AF336" s="316"/>
      <c r="AG336" s="317">
        <f t="shared" si="26"/>
        <v>990</v>
      </c>
      <c r="AH336" s="301">
        <v>44167</v>
      </c>
      <c r="AI336" s="120" t="s">
        <v>183</v>
      </c>
      <c r="AJ336" s="132" t="s">
        <v>185</v>
      </c>
    </row>
    <row r="337" spans="1:36" x14ac:dyDescent="0.2">
      <c r="R337" s="314" t="s">
        <v>92</v>
      </c>
      <c r="S337" s="315" t="s">
        <v>93</v>
      </c>
      <c r="T337" s="316">
        <v>1250</v>
      </c>
      <c r="U337" s="316"/>
      <c r="V337" s="316"/>
      <c r="W337" s="316">
        <v>0</v>
      </c>
      <c r="X337" s="316"/>
      <c r="Y337" s="316"/>
      <c r="Z337" s="316">
        <f>T337+W337+Y337</f>
        <v>1250</v>
      </c>
      <c r="AA337" s="316">
        <v>12.5</v>
      </c>
      <c r="AB337" s="316">
        <v>0</v>
      </c>
      <c r="AC337" s="316"/>
      <c r="AD337" s="316"/>
      <c r="AE337" s="316"/>
      <c r="AF337" s="316"/>
      <c r="AG337" s="317">
        <f t="shared" si="26"/>
        <v>1237.5</v>
      </c>
      <c r="AH337" s="301">
        <v>44167</v>
      </c>
      <c r="AI337" s="120" t="s">
        <v>183</v>
      </c>
      <c r="AJ337" s="132" t="s">
        <v>185</v>
      </c>
    </row>
    <row r="338" spans="1:36" x14ac:dyDescent="0.2">
      <c r="R338" s="314" t="s">
        <v>95</v>
      </c>
      <c r="S338" s="315" t="s">
        <v>94</v>
      </c>
      <c r="T338" s="316">
        <v>800</v>
      </c>
      <c r="U338" s="316"/>
      <c r="V338" s="316"/>
      <c r="W338" s="316"/>
      <c r="X338" s="316"/>
      <c r="Y338" s="316"/>
      <c r="Z338" s="316">
        <f>T338+W338+Y338</f>
        <v>800</v>
      </c>
      <c r="AA338" s="316">
        <v>8</v>
      </c>
      <c r="AB338" s="316"/>
      <c r="AC338" s="316"/>
      <c r="AD338" s="316"/>
      <c r="AE338" s="316"/>
      <c r="AF338" s="316"/>
      <c r="AG338" s="317">
        <f t="shared" si="26"/>
        <v>792</v>
      </c>
      <c r="AH338" s="301">
        <v>44167</v>
      </c>
      <c r="AI338" s="120" t="s">
        <v>183</v>
      </c>
      <c r="AJ338" s="132" t="s">
        <v>185</v>
      </c>
    </row>
    <row r="339" spans="1:36" x14ac:dyDescent="0.2">
      <c r="R339" s="314" t="s">
        <v>102</v>
      </c>
      <c r="S339" s="315" t="s">
        <v>104</v>
      </c>
      <c r="T339" s="316">
        <v>1250</v>
      </c>
      <c r="U339" s="316"/>
      <c r="V339" s="316"/>
      <c r="W339" s="316">
        <v>187.5</v>
      </c>
      <c r="X339" s="316"/>
      <c r="Y339" s="316"/>
      <c r="Z339" s="316">
        <f>T339+W339+Y339</f>
        <v>1437.5</v>
      </c>
      <c r="AA339" s="316">
        <v>14.375</v>
      </c>
      <c r="AB339" s="316">
        <v>0</v>
      </c>
      <c r="AC339" s="316"/>
      <c r="AD339" s="316"/>
      <c r="AE339" s="316"/>
      <c r="AF339" s="316">
        <v>0</v>
      </c>
      <c r="AG339" s="317">
        <f t="shared" si="26"/>
        <v>1423.125</v>
      </c>
      <c r="AH339" s="301">
        <v>44167</v>
      </c>
      <c r="AI339" s="120" t="s">
        <v>183</v>
      </c>
      <c r="AJ339" s="132" t="s">
        <v>185</v>
      </c>
    </row>
    <row r="340" spans="1:36" x14ac:dyDescent="0.2">
      <c r="R340" s="314" t="s">
        <v>146</v>
      </c>
      <c r="S340" s="315" t="s">
        <v>151</v>
      </c>
      <c r="T340" s="316">
        <v>1062.5</v>
      </c>
      <c r="U340" s="316"/>
      <c r="V340" s="316"/>
      <c r="W340" s="316">
        <v>351.56</v>
      </c>
      <c r="X340" s="316"/>
      <c r="Y340" s="316"/>
      <c r="Z340" s="316">
        <f>T340+W340+X340+Y340</f>
        <v>1414.06</v>
      </c>
      <c r="AA340" s="316">
        <v>14.140599999999999</v>
      </c>
      <c r="AB340" s="316">
        <v>0</v>
      </c>
      <c r="AC340" s="316"/>
      <c r="AD340" s="316"/>
      <c r="AE340" s="316"/>
      <c r="AF340" s="316"/>
      <c r="AG340" s="317">
        <f t="shared" si="26"/>
        <v>1399.9194</v>
      </c>
      <c r="AH340" s="301">
        <v>44167</v>
      </c>
      <c r="AI340" s="120" t="s">
        <v>183</v>
      </c>
      <c r="AJ340" s="132" t="s">
        <v>185</v>
      </c>
    </row>
    <row r="341" spans="1:36" x14ac:dyDescent="0.2">
      <c r="R341" s="314" t="s">
        <v>154</v>
      </c>
      <c r="S341" s="315" t="s">
        <v>101</v>
      </c>
      <c r="T341" s="316">
        <v>750</v>
      </c>
      <c r="U341" s="316"/>
      <c r="V341" s="316"/>
      <c r="W341" s="316">
        <v>0</v>
      </c>
      <c r="X341" s="316"/>
      <c r="Y341" s="316"/>
      <c r="Z341" s="316">
        <f>T341+W341+X341+Y341</f>
        <v>750</v>
      </c>
      <c r="AA341" s="316">
        <v>7.5</v>
      </c>
      <c r="AB341" s="316">
        <v>0</v>
      </c>
      <c r="AC341" s="316"/>
      <c r="AD341" s="316"/>
      <c r="AE341" s="316"/>
      <c r="AF341" s="316"/>
      <c r="AG341" s="317">
        <f t="shared" si="26"/>
        <v>742.5</v>
      </c>
      <c r="AH341" s="301">
        <v>44167</v>
      </c>
      <c r="AI341" s="120" t="s">
        <v>183</v>
      </c>
      <c r="AJ341" s="132" t="s">
        <v>185</v>
      </c>
    </row>
    <row r="342" spans="1:36" x14ac:dyDescent="0.2">
      <c r="A342" s="367"/>
      <c r="B342" s="367"/>
      <c r="C342" s="162"/>
      <c r="D342" s="365"/>
      <c r="E342" s="365"/>
      <c r="F342" s="365"/>
      <c r="G342" s="365"/>
      <c r="H342" s="365"/>
      <c r="I342" s="365"/>
      <c r="J342" s="365"/>
      <c r="K342" s="365"/>
      <c r="L342" s="365"/>
      <c r="M342" s="365"/>
      <c r="N342" s="365"/>
      <c r="O342" s="365"/>
      <c r="P342" s="365"/>
      <c r="R342" s="314" t="s">
        <v>164</v>
      </c>
      <c r="S342" s="315" t="s">
        <v>170</v>
      </c>
      <c r="T342" s="316">
        <v>750</v>
      </c>
      <c r="U342" s="316"/>
      <c r="V342" s="316"/>
      <c r="W342" s="316">
        <v>0</v>
      </c>
      <c r="X342" s="316"/>
      <c r="Y342" s="316"/>
      <c r="Z342" s="316">
        <f>T342+W342+X342+Y342</f>
        <v>750</v>
      </c>
      <c r="AA342" s="316">
        <v>7.5</v>
      </c>
      <c r="AB342" s="316">
        <v>0</v>
      </c>
      <c r="AC342" s="316"/>
      <c r="AD342" s="316"/>
      <c r="AE342" s="316"/>
      <c r="AF342" s="316"/>
      <c r="AG342" s="317">
        <f t="shared" si="26"/>
        <v>742.5</v>
      </c>
      <c r="AH342" s="301">
        <v>44167</v>
      </c>
      <c r="AI342" s="120" t="s">
        <v>183</v>
      </c>
      <c r="AJ342" s="132" t="s">
        <v>185</v>
      </c>
    </row>
    <row r="343" spans="1:36" x14ac:dyDescent="0.2">
      <c r="A343" s="367"/>
      <c r="B343" s="367"/>
      <c r="C343" s="162"/>
      <c r="D343" s="365"/>
      <c r="E343" s="365"/>
      <c r="F343" s="365"/>
      <c r="G343" s="365"/>
      <c r="H343" s="365"/>
      <c r="I343" s="365"/>
      <c r="J343" s="365"/>
      <c r="K343" s="365"/>
      <c r="L343" s="365"/>
      <c r="M343" s="365"/>
      <c r="N343" s="365"/>
      <c r="O343" s="365"/>
      <c r="P343" s="365"/>
      <c r="R343" s="314" t="s">
        <v>25</v>
      </c>
      <c r="S343" s="315" t="s">
        <v>63</v>
      </c>
      <c r="T343" s="316">
        <v>3966.4</v>
      </c>
      <c r="U343" s="316">
        <v>11899.2</v>
      </c>
      <c r="V343" s="316">
        <v>17180.86</v>
      </c>
      <c r="W343" s="316">
        <v>3421.02</v>
      </c>
      <c r="X343" s="316">
        <v>1960</v>
      </c>
      <c r="Y343" s="316">
        <v>2496</v>
      </c>
      <c r="Z343" s="316">
        <f>T343+W343+Y343</f>
        <v>9883.42</v>
      </c>
      <c r="AA343" s="316">
        <v>594.88</v>
      </c>
      <c r="AB343" s="316">
        <v>5335</v>
      </c>
      <c r="AC343" s="316">
        <v>-638</v>
      </c>
      <c r="AD343" s="316">
        <v>2496</v>
      </c>
      <c r="AE343" s="316">
        <v>800.04</v>
      </c>
      <c r="AF343" s="316">
        <v>4500</v>
      </c>
      <c r="AG343" s="317">
        <f>T343+W343+X343-AA343-AB343-AC343-AD343-AE343-AF343+U343+V343</f>
        <v>25339.56</v>
      </c>
      <c r="AH343" s="301">
        <v>44174</v>
      </c>
      <c r="AI343" s="242" t="s">
        <v>184</v>
      </c>
      <c r="AJ343" s="132" t="s">
        <v>185</v>
      </c>
    </row>
    <row r="344" spans="1:36" x14ac:dyDescent="0.2">
      <c r="A344" s="367"/>
      <c r="B344" s="367"/>
      <c r="C344" s="162"/>
      <c r="D344" s="365"/>
      <c r="E344" s="365"/>
      <c r="F344" s="365"/>
      <c r="G344" s="365"/>
      <c r="H344" s="365"/>
      <c r="I344" s="365"/>
      <c r="J344" s="365"/>
      <c r="K344" s="365"/>
      <c r="L344" s="365"/>
      <c r="M344" s="365"/>
      <c r="N344" s="365"/>
      <c r="O344" s="365"/>
      <c r="P344" s="365"/>
      <c r="R344" s="314" t="s">
        <v>26</v>
      </c>
      <c r="S344" s="315" t="s">
        <v>70</v>
      </c>
      <c r="T344" s="316">
        <v>1023.5</v>
      </c>
      <c r="U344" s="316">
        <v>3070.5</v>
      </c>
      <c r="V344" s="316">
        <v>4433.83</v>
      </c>
      <c r="W344" s="316"/>
      <c r="X344" s="316">
        <v>50</v>
      </c>
      <c r="Y344" s="316"/>
      <c r="Z344" s="316">
        <f>T344+W344+Y344</f>
        <v>1023.5</v>
      </c>
      <c r="AA344" s="316">
        <v>40.94</v>
      </c>
      <c r="AB344" s="316"/>
      <c r="AC344" s="316"/>
      <c r="AD344" s="316"/>
      <c r="AE344" s="316">
        <v>58.14</v>
      </c>
      <c r="AF344" s="316">
        <v>200</v>
      </c>
      <c r="AG344" s="317">
        <f t="shared" ref="AG344:AG354" si="27">T344+W344+X344-AA344-AB344-AC344-AD344-AE344-AF344+U344+V344</f>
        <v>8278.75</v>
      </c>
      <c r="AH344" s="301">
        <v>44174</v>
      </c>
      <c r="AI344" s="242" t="s">
        <v>184</v>
      </c>
      <c r="AJ344" s="132" t="s">
        <v>185</v>
      </c>
    </row>
    <row r="345" spans="1:36" x14ac:dyDescent="0.2">
      <c r="R345" s="314" t="s">
        <v>3</v>
      </c>
      <c r="S345" s="315" t="s">
        <v>71</v>
      </c>
      <c r="T345" s="316">
        <v>1343.5</v>
      </c>
      <c r="U345" s="316">
        <v>4030.5</v>
      </c>
      <c r="V345" s="316">
        <v>5819.94</v>
      </c>
      <c r="W345" s="316">
        <v>0</v>
      </c>
      <c r="X345" s="316">
        <v>50</v>
      </c>
      <c r="Y345" s="316"/>
      <c r="Z345" s="316">
        <f>T345+W345+Y345+X345</f>
        <v>1393.5</v>
      </c>
      <c r="AA345" s="316">
        <v>53.74</v>
      </c>
      <c r="AB345" s="316"/>
      <c r="AC345" s="316"/>
      <c r="AD345" s="316"/>
      <c r="AE345" s="316">
        <v>76.295000000000002</v>
      </c>
      <c r="AF345" s="316"/>
      <c r="AG345" s="317">
        <f t="shared" si="27"/>
        <v>11113.904999999999</v>
      </c>
      <c r="AH345" s="301">
        <v>44174</v>
      </c>
      <c r="AI345" s="242" t="s">
        <v>184</v>
      </c>
      <c r="AJ345" s="132" t="s">
        <v>185</v>
      </c>
    </row>
    <row r="346" spans="1:36" x14ac:dyDescent="0.2">
      <c r="R346" s="314" t="s">
        <v>31</v>
      </c>
      <c r="S346" s="315" t="s">
        <v>72</v>
      </c>
      <c r="T346" s="316">
        <v>1300</v>
      </c>
      <c r="U346" s="316">
        <v>3900</v>
      </c>
      <c r="V346" s="316">
        <v>5631.08</v>
      </c>
      <c r="W346" s="316">
        <v>0</v>
      </c>
      <c r="X346" s="316">
        <v>50</v>
      </c>
      <c r="Y346" s="316"/>
      <c r="Z346" s="316">
        <f>T346+W346+Y346+X346</f>
        <v>1350</v>
      </c>
      <c r="AA346" s="316">
        <v>52</v>
      </c>
      <c r="AB346" s="316"/>
      <c r="AC346" s="316"/>
      <c r="AD346" s="316"/>
      <c r="AE346" s="316">
        <v>67.78</v>
      </c>
      <c r="AF346" s="316"/>
      <c r="AG346" s="317">
        <f t="shared" si="27"/>
        <v>10761.3</v>
      </c>
      <c r="AH346" s="301">
        <v>44174</v>
      </c>
      <c r="AI346" s="242" t="s">
        <v>184</v>
      </c>
      <c r="AJ346" s="132" t="s">
        <v>185</v>
      </c>
    </row>
    <row r="347" spans="1:36" x14ac:dyDescent="0.2">
      <c r="R347" s="314" t="s">
        <v>69</v>
      </c>
      <c r="S347" s="315" t="s">
        <v>73</v>
      </c>
      <c r="T347" s="316">
        <v>1000</v>
      </c>
      <c r="U347" s="316">
        <v>3000</v>
      </c>
      <c r="V347" s="316">
        <v>4331.6000000000004</v>
      </c>
      <c r="W347" s="316">
        <v>0</v>
      </c>
      <c r="X347" s="316"/>
      <c r="Y347" s="316"/>
      <c r="Z347" s="316">
        <f>T347+W347+Y347</f>
        <v>1000</v>
      </c>
      <c r="AA347" s="316">
        <v>40</v>
      </c>
      <c r="AB347" s="316"/>
      <c r="AC347" s="316"/>
      <c r="AD347" s="316"/>
      <c r="AE347" s="316"/>
      <c r="AF347" s="316">
        <v>1000</v>
      </c>
      <c r="AG347" s="317">
        <f t="shared" si="27"/>
        <v>7291.6</v>
      </c>
      <c r="AH347" s="301">
        <v>44174</v>
      </c>
      <c r="AI347" s="242" t="s">
        <v>184</v>
      </c>
      <c r="AJ347" s="132" t="s">
        <v>185</v>
      </c>
    </row>
    <row r="348" spans="1:36" x14ac:dyDescent="0.2">
      <c r="R348" s="314" t="s">
        <v>79</v>
      </c>
      <c r="S348" s="315" t="s">
        <v>91</v>
      </c>
      <c r="T348" s="316">
        <v>1000</v>
      </c>
      <c r="U348" s="316">
        <v>2996.79</v>
      </c>
      <c r="V348" s="316">
        <v>4326.97</v>
      </c>
      <c r="W348" s="316">
        <v>0</v>
      </c>
      <c r="X348" s="316"/>
      <c r="Y348" s="316"/>
      <c r="Z348" s="316">
        <f>T348+W348+Y348</f>
        <v>1000</v>
      </c>
      <c r="AA348" s="316">
        <v>39.97</v>
      </c>
      <c r="AB348" s="316">
        <v>0</v>
      </c>
      <c r="AC348" s="316"/>
      <c r="AD348" s="316"/>
      <c r="AE348" s="316"/>
      <c r="AF348" s="316"/>
      <c r="AG348" s="317">
        <f t="shared" si="27"/>
        <v>8283.7900000000009</v>
      </c>
      <c r="AH348" s="301">
        <v>44174</v>
      </c>
      <c r="AI348" s="242" t="s">
        <v>184</v>
      </c>
      <c r="AJ348" s="132" t="s">
        <v>185</v>
      </c>
    </row>
    <row r="349" spans="1:36" x14ac:dyDescent="0.2">
      <c r="R349" s="314" t="s">
        <v>92</v>
      </c>
      <c r="S349" s="315" t="s">
        <v>93</v>
      </c>
      <c r="T349" s="316">
        <v>1250</v>
      </c>
      <c r="U349" s="316">
        <v>705.13</v>
      </c>
      <c r="V349" s="316">
        <v>1018.11</v>
      </c>
      <c r="W349" s="316">
        <v>0</v>
      </c>
      <c r="X349" s="316"/>
      <c r="Y349" s="316"/>
      <c r="Z349" s="316">
        <f>T349+W349+Y349</f>
        <v>1250</v>
      </c>
      <c r="AA349" s="316">
        <v>19.55</v>
      </c>
      <c r="AB349" s="316">
        <v>0</v>
      </c>
      <c r="AC349" s="316"/>
      <c r="AD349" s="316"/>
      <c r="AE349" s="316"/>
      <c r="AF349" s="316"/>
      <c r="AG349" s="317">
        <f t="shared" si="27"/>
        <v>2953.69</v>
      </c>
      <c r="AH349" s="301">
        <v>44174</v>
      </c>
      <c r="AI349" s="242" t="s">
        <v>184</v>
      </c>
      <c r="AJ349" s="132" t="s">
        <v>185</v>
      </c>
    </row>
    <row r="350" spans="1:36" x14ac:dyDescent="0.2">
      <c r="R350" s="314" t="s">
        <v>95</v>
      </c>
      <c r="S350" s="315" t="s">
        <v>94</v>
      </c>
      <c r="T350" s="316">
        <v>800</v>
      </c>
      <c r="U350" s="316">
        <v>656.41</v>
      </c>
      <c r="V350" s="316">
        <v>947.77</v>
      </c>
      <c r="W350" s="316">
        <v>0</v>
      </c>
      <c r="X350" s="316"/>
      <c r="Y350" s="316"/>
      <c r="Z350" s="316">
        <f>T350+W350+Y350</f>
        <v>800</v>
      </c>
      <c r="AA350" s="316">
        <v>14.56</v>
      </c>
      <c r="AB350" s="316"/>
      <c r="AC350" s="316"/>
      <c r="AD350" s="316"/>
      <c r="AE350" s="316"/>
      <c r="AF350" s="316"/>
      <c r="AG350" s="317">
        <f t="shared" si="27"/>
        <v>2389.62</v>
      </c>
      <c r="AH350" s="301">
        <v>44174</v>
      </c>
      <c r="AI350" s="242" t="s">
        <v>184</v>
      </c>
      <c r="AJ350" s="132" t="s">
        <v>185</v>
      </c>
    </row>
    <row r="351" spans="1:36" x14ac:dyDescent="0.2">
      <c r="R351" s="314" t="s">
        <v>102</v>
      </c>
      <c r="S351" s="315" t="s">
        <v>104</v>
      </c>
      <c r="T351" s="316">
        <v>1000</v>
      </c>
      <c r="U351" s="316">
        <v>801.28</v>
      </c>
      <c r="V351" s="316">
        <v>1156.94</v>
      </c>
      <c r="W351" s="316">
        <v>0</v>
      </c>
      <c r="X351" s="316"/>
      <c r="Y351" s="316"/>
      <c r="Z351" s="316">
        <f>T351+W351+Y351</f>
        <v>1000</v>
      </c>
      <c r="AA351" s="316">
        <v>18.010000000000002</v>
      </c>
      <c r="AB351" s="316">
        <v>0</v>
      </c>
      <c r="AC351" s="316"/>
      <c r="AD351" s="316"/>
      <c r="AE351" s="316"/>
      <c r="AF351" s="316">
        <v>0</v>
      </c>
      <c r="AG351" s="317">
        <f t="shared" si="27"/>
        <v>2940.21</v>
      </c>
      <c r="AH351" s="301">
        <v>44174</v>
      </c>
      <c r="AI351" s="242" t="s">
        <v>184</v>
      </c>
      <c r="AJ351" s="132" t="s">
        <v>185</v>
      </c>
    </row>
    <row r="352" spans="1:36" x14ac:dyDescent="0.2">
      <c r="R352" s="314" t="s">
        <v>146</v>
      </c>
      <c r="S352" s="315" t="s">
        <v>151</v>
      </c>
      <c r="T352" s="316">
        <v>1250</v>
      </c>
      <c r="U352" s="316">
        <v>1490.38</v>
      </c>
      <c r="V352" s="316">
        <v>2151.92</v>
      </c>
      <c r="W352" s="316">
        <v>70.31</v>
      </c>
      <c r="X352" s="316"/>
      <c r="Y352" s="316"/>
      <c r="Z352" s="316">
        <f>T352+W352+X352+Y352</f>
        <v>1320.31</v>
      </c>
      <c r="AA352" s="316">
        <v>28.11</v>
      </c>
      <c r="AB352" s="316">
        <v>0</v>
      </c>
      <c r="AC352" s="316"/>
      <c r="AD352" s="316"/>
      <c r="AE352" s="316"/>
      <c r="AF352" s="316"/>
      <c r="AG352" s="317">
        <f t="shared" si="27"/>
        <v>4934.5</v>
      </c>
      <c r="AH352" s="301">
        <v>44174</v>
      </c>
      <c r="AI352" s="242" t="s">
        <v>184</v>
      </c>
      <c r="AJ352" s="132" t="s">
        <v>185</v>
      </c>
    </row>
    <row r="353" spans="1:38" x14ac:dyDescent="0.2">
      <c r="R353" s="314" t="s">
        <v>154</v>
      </c>
      <c r="S353" s="315" t="s">
        <v>101</v>
      </c>
      <c r="T353" s="316">
        <v>0</v>
      </c>
      <c r="U353" s="316"/>
      <c r="V353" s="316">
        <v>1457.75</v>
      </c>
      <c r="W353" s="316">
        <v>0</v>
      </c>
      <c r="X353" s="316"/>
      <c r="Y353" s="316"/>
      <c r="Z353" s="316">
        <f>T353+W353+X353+Y353</f>
        <v>0</v>
      </c>
      <c r="AA353" s="316">
        <v>0</v>
      </c>
      <c r="AB353" s="316">
        <v>0</v>
      </c>
      <c r="AC353" s="316"/>
      <c r="AD353" s="316"/>
      <c r="AE353" s="316"/>
      <c r="AF353" s="316"/>
      <c r="AG353" s="317">
        <f t="shared" si="27"/>
        <v>1457.75</v>
      </c>
      <c r="AH353" s="301">
        <v>44174</v>
      </c>
      <c r="AI353" s="242" t="s">
        <v>184</v>
      </c>
      <c r="AJ353" s="132" t="s">
        <v>185</v>
      </c>
    </row>
    <row r="354" spans="1:38" ht="13.5" thickBot="1" x14ac:dyDescent="0.25">
      <c r="R354" s="314" t="s">
        <v>164</v>
      </c>
      <c r="S354" s="315" t="s">
        <v>170</v>
      </c>
      <c r="T354" s="316">
        <v>0</v>
      </c>
      <c r="U354" s="316"/>
      <c r="V354" s="316">
        <v>925.56</v>
      </c>
      <c r="W354" s="316">
        <v>0</v>
      </c>
      <c r="X354" s="316"/>
      <c r="Y354" s="316"/>
      <c r="Z354" s="316">
        <f>T354+W354+X354+Y354</f>
        <v>0</v>
      </c>
      <c r="AA354" s="316">
        <v>0</v>
      </c>
      <c r="AB354" s="316">
        <v>0</v>
      </c>
      <c r="AC354" s="316"/>
      <c r="AD354" s="316"/>
      <c r="AE354" s="316"/>
      <c r="AF354" s="316"/>
      <c r="AG354" s="317">
        <f t="shared" si="27"/>
        <v>925.56</v>
      </c>
      <c r="AH354" s="323">
        <v>44174</v>
      </c>
      <c r="AI354" s="289" t="s">
        <v>184</v>
      </c>
      <c r="AJ354" s="132" t="s">
        <v>185</v>
      </c>
    </row>
    <row r="355" spans="1:38" x14ac:dyDescent="0.2">
      <c r="R355" s="314" t="s">
        <v>25</v>
      </c>
      <c r="S355" s="315" t="s">
        <v>63</v>
      </c>
      <c r="T355" s="316">
        <v>3966.4</v>
      </c>
      <c r="U355" s="316"/>
      <c r="V355" s="316"/>
      <c r="W355" s="316">
        <v>0</v>
      </c>
      <c r="X355" s="316">
        <v>0</v>
      </c>
      <c r="Y355" s="316">
        <v>0</v>
      </c>
      <c r="Z355" s="316">
        <f>T355+W355+Y355</f>
        <v>3966.4</v>
      </c>
      <c r="AA355" s="316">
        <v>37.18</v>
      </c>
      <c r="AB355" s="316">
        <v>426</v>
      </c>
      <c r="AC355" s="316">
        <v>0</v>
      </c>
      <c r="AD355" s="316">
        <v>0</v>
      </c>
      <c r="AE355" s="316">
        <v>200.01</v>
      </c>
      <c r="AF355" s="316">
        <v>0</v>
      </c>
      <c r="AG355" s="317">
        <f t="shared" ref="AG355:AG364" si="28">T355+W355+X355-AA355-AB355-AC355-AD355-AE355-AF355</f>
        <v>3303.21</v>
      </c>
      <c r="AH355" s="324">
        <v>44181</v>
      </c>
      <c r="AI355" s="294" t="s">
        <v>200</v>
      </c>
      <c r="AJ355" s="132" t="s">
        <v>185</v>
      </c>
    </row>
    <row r="356" spans="1:38" x14ac:dyDescent="0.2">
      <c r="R356" s="314" t="s">
        <v>26</v>
      </c>
      <c r="S356" s="315" t="s">
        <v>70</v>
      </c>
      <c r="T356" s="316">
        <v>1023.5</v>
      </c>
      <c r="U356" s="316"/>
      <c r="V356" s="316"/>
      <c r="W356" s="316"/>
      <c r="X356" s="316">
        <v>50</v>
      </c>
      <c r="Y356" s="316"/>
      <c r="Z356" s="316">
        <f>T356+W356+Y356</f>
        <v>1023.5</v>
      </c>
      <c r="AA356" s="316">
        <v>10.234999999999999</v>
      </c>
      <c r="AB356" s="316"/>
      <c r="AC356" s="316"/>
      <c r="AD356" s="316"/>
      <c r="AE356" s="316">
        <v>58.14</v>
      </c>
      <c r="AF356" s="316">
        <v>0</v>
      </c>
      <c r="AG356" s="317">
        <f t="shared" si="28"/>
        <v>1005.1250000000001</v>
      </c>
      <c r="AH356" s="301">
        <v>44181</v>
      </c>
      <c r="AI356" s="113" t="s">
        <v>200</v>
      </c>
      <c r="AJ356" s="132" t="s">
        <v>185</v>
      </c>
    </row>
    <row r="357" spans="1:38" x14ac:dyDescent="0.2">
      <c r="R357" s="314" t="s">
        <v>3</v>
      </c>
      <c r="S357" s="315" t="s">
        <v>71</v>
      </c>
      <c r="T357" s="316">
        <v>1343.5</v>
      </c>
      <c r="U357" s="316"/>
      <c r="V357" s="316"/>
      <c r="W357" s="316">
        <v>0</v>
      </c>
      <c r="X357" s="316">
        <v>50</v>
      </c>
      <c r="Y357" s="316"/>
      <c r="Z357" s="316">
        <f>T357+W357+Y357+X357</f>
        <v>1393.5</v>
      </c>
      <c r="AA357" s="316">
        <v>13.44</v>
      </c>
      <c r="AB357" s="316"/>
      <c r="AC357" s="316"/>
      <c r="AD357" s="316"/>
      <c r="AE357" s="316">
        <v>76.295000000000002</v>
      </c>
      <c r="AF357" s="316"/>
      <c r="AG357" s="317">
        <f t="shared" si="28"/>
        <v>1303.7649999999999</v>
      </c>
      <c r="AH357" s="325">
        <v>44181</v>
      </c>
      <c r="AI357" s="295" t="s">
        <v>200</v>
      </c>
      <c r="AJ357" s="132" t="s">
        <v>185</v>
      </c>
    </row>
    <row r="358" spans="1:38" x14ac:dyDescent="0.2">
      <c r="R358" s="314" t="s">
        <v>31</v>
      </c>
      <c r="S358" s="315" t="s">
        <v>72</v>
      </c>
      <c r="T358" s="316">
        <v>1300</v>
      </c>
      <c r="U358" s="316"/>
      <c r="V358" s="316"/>
      <c r="W358" s="316">
        <v>0</v>
      </c>
      <c r="X358" s="316">
        <v>50</v>
      </c>
      <c r="Y358" s="316"/>
      <c r="Z358" s="316">
        <f>T358+W358+Y358+X358</f>
        <v>1350</v>
      </c>
      <c r="AA358" s="316">
        <v>13</v>
      </c>
      <c r="AB358" s="316"/>
      <c r="AC358" s="316"/>
      <c r="AD358" s="316"/>
      <c r="AE358" s="316">
        <v>67.78</v>
      </c>
      <c r="AF358" s="316"/>
      <c r="AG358" s="317">
        <f t="shared" si="28"/>
        <v>1269.22</v>
      </c>
      <c r="AH358" s="301">
        <v>44181</v>
      </c>
      <c r="AI358" s="113" t="s">
        <v>200</v>
      </c>
      <c r="AJ358" s="132" t="s">
        <v>185</v>
      </c>
    </row>
    <row r="359" spans="1:38" x14ac:dyDescent="0.2">
      <c r="R359" s="314" t="s">
        <v>69</v>
      </c>
      <c r="S359" s="315" t="s">
        <v>73</v>
      </c>
      <c r="T359" s="316">
        <v>1000</v>
      </c>
      <c r="U359" s="316"/>
      <c r="V359" s="316"/>
      <c r="W359" s="316">
        <v>0</v>
      </c>
      <c r="X359" s="316"/>
      <c r="Y359" s="316"/>
      <c r="Z359" s="316">
        <f>T359+W359+Y359</f>
        <v>1000</v>
      </c>
      <c r="AA359" s="316">
        <v>10</v>
      </c>
      <c r="AB359" s="316"/>
      <c r="AC359" s="316"/>
      <c r="AD359" s="316"/>
      <c r="AE359" s="316"/>
      <c r="AF359" s="316"/>
      <c r="AG359" s="317">
        <f t="shared" si="28"/>
        <v>990</v>
      </c>
      <c r="AH359" s="325">
        <v>44181</v>
      </c>
      <c r="AI359" s="295" t="s">
        <v>200</v>
      </c>
      <c r="AJ359" s="132" t="s">
        <v>185</v>
      </c>
    </row>
    <row r="360" spans="1:38" x14ac:dyDescent="0.2">
      <c r="R360" s="314" t="s">
        <v>79</v>
      </c>
      <c r="S360" s="315" t="s">
        <v>91</v>
      </c>
      <c r="T360" s="316">
        <v>1250</v>
      </c>
      <c r="U360" s="316"/>
      <c r="V360" s="316"/>
      <c r="W360" s="316">
        <v>0</v>
      </c>
      <c r="X360" s="316"/>
      <c r="Y360" s="316"/>
      <c r="Z360" s="316">
        <f>T360+W360+Y360</f>
        <v>1250</v>
      </c>
      <c r="AA360" s="316">
        <v>12.5</v>
      </c>
      <c r="AB360" s="316">
        <v>0</v>
      </c>
      <c r="AC360" s="316"/>
      <c r="AD360" s="316"/>
      <c r="AE360" s="316"/>
      <c r="AF360" s="316"/>
      <c r="AG360" s="317">
        <f t="shared" si="28"/>
        <v>1237.5</v>
      </c>
      <c r="AH360" s="301">
        <v>44181</v>
      </c>
      <c r="AI360" s="113" t="s">
        <v>200</v>
      </c>
      <c r="AJ360" s="132" t="s">
        <v>185</v>
      </c>
    </row>
    <row r="361" spans="1:38" x14ac:dyDescent="0.2">
      <c r="R361" s="314" t="s">
        <v>92</v>
      </c>
      <c r="S361" s="315" t="s">
        <v>93</v>
      </c>
      <c r="T361" s="316">
        <v>1250</v>
      </c>
      <c r="U361" s="316"/>
      <c r="V361" s="316"/>
      <c r="W361" s="316">
        <v>0</v>
      </c>
      <c r="X361" s="316"/>
      <c r="Y361" s="316"/>
      <c r="Z361" s="316">
        <f>T361+W361+Y361</f>
        <v>1250</v>
      </c>
      <c r="AA361" s="316">
        <v>12.5</v>
      </c>
      <c r="AB361" s="316">
        <v>0</v>
      </c>
      <c r="AC361" s="316"/>
      <c r="AD361" s="316"/>
      <c r="AE361" s="316"/>
      <c r="AF361" s="316"/>
      <c r="AG361" s="317">
        <f t="shared" si="28"/>
        <v>1237.5</v>
      </c>
      <c r="AH361" s="325">
        <v>44181</v>
      </c>
      <c r="AI361" s="295" t="s">
        <v>200</v>
      </c>
      <c r="AJ361" s="132" t="s">
        <v>185</v>
      </c>
    </row>
    <row r="362" spans="1:38" x14ac:dyDescent="0.2">
      <c r="R362" s="314" t="s">
        <v>95</v>
      </c>
      <c r="S362" s="315" t="s">
        <v>94</v>
      </c>
      <c r="T362" s="316">
        <v>800</v>
      </c>
      <c r="U362" s="316"/>
      <c r="V362" s="316"/>
      <c r="W362" s="316"/>
      <c r="X362" s="316"/>
      <c r="Y362" s="316"/>
      <c r="Z362" s="316">
        <f>T362+W362+Y362</f>
        <v>800</v>
      </c>
      <c r="AA362" s="316">
        <v>8</v>
      </c>
      <c r="AB362" s="316"/>
      <c r="AC362" s="316"/>
      <c r="AD362" s="316"/>
      <c r="AE362" s="316"/>
      <c r="AF362" s="316"/>
      <c r="AG362" s="317">
        <f t="shared" si="28"/>
        <v>792</v>
      </c>
      <c r="AH362" s="301">
        <v>44181</v>
      </c>
      <c r="AI362" s="113" t="s">
        <v>200</v>
      </c>
      <c r="AJ362" s="132" t="s">
        <v>185</v>
      </c>
    </row>
    <row r="363" spans="1:38" x14ac:dyDescent="0.2">
      <c r="R363" s="314" t="s">
        <v>102</v>
      </c>
      <c r="S363" s="315" t="s">
        <v>104</v>
      </c>
      <c r="T363" s="316">
        <v>1000</v>
      </c>
      <c r="U363" s="316"/>
      <c r="V363" s="316"/>
      <c r="W363" s="316">
        <v>0</v>
      </c>
      <c r="X363" s="316"/>
      <c r="Y363" s="316"/>
      <c r="Z363" s="316">
        <f>T363+W363+Y363</f>
        <v>1000</v>
      </c>
      <c r="AA363" s="316">
        <v>10</v>
      </c>
      <c r="AB363" s="316">
        <v>0</v>
      </c>
      <c r="AC363" s="316"/>
      <c r="AD363" s="316"/>
      <c r="AE363" s="316"/>
      <c r="AF363" s="316">
        <v>0</v>
      </c>
      <c r="AG363" s="317">
        <f t="shared" si="28"/>
        <v>990</v>
      </c>
      <c r="AH363" s="326">
        <v>44181</v>
      </c>
      <c r="AI363" s="293" t="s">
        <v>200</v>
      </c>
      <c r="AJ363" s="132" t="s">
        <v>185</v>
      </c>
    </row>
    <row r="364" spans="1:38" ht="13.5" thickBot="1" x14ac:dyDescent="0.25">
      <c r="R364" s="319" t="s">
        <v>146</v>
      </c>
      <c r="S364" s="329" t="s">
        <v>151</v>
      </c>
      <c r="T364" s="321">
        <v>1250</v>
      </c>
      <c r="U364" s="321"/>
      <c r="V364" s="321"/>
      <c r="W364" s="321">
        <v>0</v>
      </c>
      <c r="X364" s="321"/>
      <c r="Y364" s="321"/>
      <c r="Z364" s="321">
        <f>T364+W364+X364+Y364</f>
        <v>1250</v>
      </c>
      <c r="AA364" s="321">
        <v>12.5</v>
      </c>
      <c r="AB364" s="321">
        <v>0</v>
      </c>
      <c r="AC364" s="321"/>
      <c r="AD364" s="321"/>
      <c r="AE364" s="321"/>
      <c r="AF364" s="321"/>
      <c r="AG364" s="322">
        <f t="shared" si="28"/>
        <v>1237.5</v>
      </c>
      <c r="AH364" s="326">
        <v>44181</v>
      </c>
      <c r="AI364" s="293" t="s">
        <v>200</v>
      </c>
      <c r="AJ364" s="132" t="s">
        <v>185</v>
      </c>
    </row>
    <row r="365" spans="1:38" s="162" customFormat="1" x14ac:dyDescent="0.2">
      <c r="A365" s="350"/>
      <c r="B365" s="350"/>
      <c r="C365" s="77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R365" s="347" t="s">
        <v>8</v>
      </c>
      <c r="S365" s="327" t="s">
        <v>96</v>
      </c>
      <c r="T365" s="160">
        <v>13502</v>
      </c>
      <c r="U365" s="160"/>
      <c r="V365" s="160"/>
      <c r="W365" s="160"/>
      <c r="X365" s="160"/>
      <c r="Y365" s="160">
        <v>5624</v>
      </c>
      <c r="Z365" s="87">
        <f t="shared" ref="Z365:Z389" si="29">T365+W365+Y365</f>
        <v>19126</v>
      </c>
      <c r="AA365" s="160"/>
      <c r="AB365" s="160">
        <v>2355</v>
      </c>
      <c r="AC365" s="160">
        <v>-853</v>
      </c>
      <c r="AD365" s="160"/>
      <c r="AE365" s="160"/>
      <c r="AF365" s="160"/>
      <c r="AG365" s="330">
        <f t="shared" ref="AG365:AG386" si="30">T365+W365+X365-AA365-AB365-AC365-AD365-AE365-AF365</f>
        <v>12000</v>
      </c>
      <c r="AH365" s="337"/>
      <c r="AI365" s="87"/>
      <c r="AJ365" s="169"/>
      <c r="AK365" s="170"/>
      <c r="AL365" s="161"/>
    </row>
    <row r="366" spans="1:38" s="162" customFormat="1" x14ac:dyDescent="0.2">
      <c r="A366" s="350"/>
      <c r="B366" s="350"/>
      <c r="C366" s="77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R366" s="305" t="s">
        <v>27</v>
      </c>
      <c r="S366" s="165" t="s">
        <v>97</v>
      </c>
      <c r="T366" s="163">
        <v>13717</v>
      </c>
      <c r="U366" s="163"/>
      <c r="V366" s="163"/>
      <c r="W366" s="163"/>
      <c r="X366" s="163"/>
      <c r="Y366" s="163">
        <v>5409</v>
      </c>
      <c r="Z366" s="88">
        <f t="shared" si="29"/>
        <v>19126</v>
      </c>
      <c r="AA366" s="163"/>
      <c r="AB366" s="163">
        <v>2355</v>
      </c>
      <c r="AC366" s="163">
        <v>-638</v>
      </c>
      <c r="AD366" s="163"/>
      <c r="AE366" s="163"/>
      <c r="AF366" s="163"/>
      <c r="AG366" s="304">
        <f t="shared" si="30"/>
        <v>12000</v>
      </c>
      <c r="AH366" s="338"/>
      <c r="AI366" s="87"/>
      <c r="AJ366" s="169"/>
      <c r="AK366" s="170"/>
      <c r="AL366" s="161"/>
    </row>
    <row r="367" spans="1:38" s="162" customFormat="1" x14ac:dyDescent="0.2">
      <c r="A367" s="350"/>
      <c r="B367" s="350"/>
      <c r="C367" s="77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R367" s="305" t="s">
        <v>6</v>
      </c>
      <c r="S367" s="165" t="s">
        <v>98</v>
      </c>
      <c r="T367" s="163">
        <v>12643.72</v>
      </c>
      <c r="U367" s="163"/>
      <c r="V367" s="163"/>
      <c r="W367" s="163"/>
      <c r="X367" s="163"/>
      <c r="Y367" s="163">
        <v>2812</v>
      </c>
      <c r="Z367" s="88">
        <f t="shared" si="29"/>
        <v>15455.72</v>
      </c>
      <c r="AA367" s="163">
        <v>148.72</v>
      </c>
      <c r="AB367" s="163">
        <v>1536</v>
      </c>
      <c r="AC367" s="163">
        <v>-853</v>
      </c>
      <c r="AD367" s="163">
        <v>2812</v>
      </c>
      <c r="AE367" s="163"/>
      <c r="AF367" s="163"/>
      <c r="AG367" s="304">
        <f t="shared" si="30"/>
        <v>9000</v>
      </c>
      <c r="AH367" s="339"/>
      <c r="AI367" s="87"/>
      <c r="AJ367" s="169"/>
      <c r="AK367" s="170"/>
      <c r="AL367" s="161"/>
    </row>
    <row r="368" spans="1:38" x14ac:dyDescent="0.2">
      <c r="R368" s="292" t="s">
        <v>25</v>
      </c>
      <c r="S368" s="81" t="s">
        <v>63</v>
      </c>
      <c r="T368" s="88">
        <v>3966.4</v>
      </c>
      <c r="U368" s="88"/>
      <c r="V368" s="88"/>
      <c r="W368" s="88">
        <v>966.81</v>
      </c>
      <c r="X368" s="88">
        <v>490</v>
      </c>
      <c r="Y368" s="88">
        <v>624</v>
      </c>
      <c r="Z368" s="88">
        <f t="shared" si="29"/>
        <v>5557.21</v>
      </c>
      <c r="AA368" s="88">
        <v>37.18</v>
      </c>
      <c r="AB368" s="88">
        <v>841</v>
      </c>
      <c r="AC368" s="88">
        <v>-159.5</v>
      </c>
      <c r="AD368" s="88">
        <v>624</v>
      </c>
      <c r="AE368" s="88">
        <v>200.01</v>
      </c>
      <c r="AF368" s="88">
        <v>1125</v>
      </c>
      <c r="AG368" s="304">
        <f t="shared" si="30"/>
        <v>2755.5199999999995</v>
      </c>
      <c r="AH368" s="301">
        <v>44209</v>
      </c>
      <c r="AI368" s="151" t="s">
        <v>204</v>
      </c>
      <c r="AJ368" s="132" t="s">
        <v>221</v>
      </c>
    </row>
    <row r="369" spans="1:36" x14ac:dyDescent="0.2">
      <c r="R369" s="292" t="s">
        <v>26</v>
      </c>
      <c r="S369" s="81" t="s">
        <v>70</v>
      </c>
      <c r="T369" s="88">
        <v>1023.5</v>
      </c>
      <c r="U369" s="88"/>
      <c r="V369" s="88"/>
      <c r="W369" s="88"/>
      <c r="X369" s="88">
        <v>50</v>
      </c>
      <c r="Y369" s="88"/>
      <c r="Z369" s="88">
        <f t="shared" si="29"/>
        <v>1023.5</v>
      </c>
      <c r="AA369" s="88">
        <v>10.234999999999999</v>
      </c>
      <c r="AB369" s="88"/>
      <c r="AC369" s="88"/>
      <c r="AD369" s="88"/>
      <c r="AE369" s="88">
        <v>58.14</v>
      </c>
      <c r="AF369" s="88"/>
      <c r="AG369" s="304">
        <f t="shared" si="30"/>
        <v>1005.1250000000001</v>
      </c>
      <c r="AH369" s="301">
        <v>44209</v>
      </c>
      <c r="AI369" s="151" t="s">
        <v>204</v>
      </c>
      <c r="AJ369" s="132" t="s">
        <v>221</v>
      </c>
    </row>
    <row r="370" spans="1:36" x14ac:dyDescent="0.2">
      <c r="R370" s="292" t="s">
        <v>3</v>
      </c>
      <c r="S370" s="81" t="s">
        <v>71</v>
      </c>
      <c r="T370" s="88">
        <v>1343.5</v>
      </c>
      <c r="U370" s="88"/>
      <c r="V370" s="88"/>
      <c r="W370" s="88"/>
      <c r="X370" s="88">
        <v>50</v>
      </c>
      <c r="Y370" s="88"/>
      <c r="Z370" s="88">
        <f t="shared" si="29"/>
        <v>1343.5</v>
      </c>
      <c r="AA370" s="88">
        <v>13.435</v>
      </c>
      <c r="AB370" s="88"/>
      <c r="AC370" s="88"/>
      <c r="AD370" s="88"/>
      <c r="AE370" s="88">
        <v>76.3</v>
      </c>
      <c r="AF370" s="88"/>
      <c r="AG370" s="304">
        <f t="shared" si="30"/>
        <v>1303.7650000000001</v>
      </c>
      <c r="AH370" s="301">
        <v>44209</v>
      </c>
      <c r="AI370" s="151" t="s">
        <v>204</v>
      </c>
      <c r="AJ370" s="132" t="s">
        <v>221</v>
      </c>
    </row>
    <row r="371" spans="1:36" x14ac:dyDescent="0.2">
      <c r="R371" s="292" t="s">
        <v>31</v>
      </c>
      <c r="S371" s="81" t="s">
        <v>72</v>
      </c>
      <c r="T371" s="88">
        <v>1300</v>
      </c>
      <c r="U371" s="88"/>
      <c r="V371" s="88"/>
      <c r="W371" s="88"/>
      <c r="X371" s="88">
        <v>50</v>
      </c>
      <c r="Y371" s="88"/>
      <c r="Z371" s="88">
        <f t="shared" si="29"/>
        <v>1300</v>
      </c>
      <c r="AA371" s="88">
        <v>13</v>
      </c>
      <c r="AB371" s="88"/>
      <c r="AC371" s="88"/>
      <c r="AD371" s="88"/>
      <c r="AE371" s="88">
        <v>67.78</v>
      </c>
      <c r="AF371" s="88"/>
      <c r="AG371" s="304">
        <f t="shared" si="30"/>
        <v>1269.22</v>
      </c>
      <c r="AH371" s="301">
        <v>44209</v>
      </c>
      <c r="AI371" s="151" t="s">
        <v>204</v>
      </c>
      <c r="AJ371" s="132" t="s">
        <v>221</v>
      </c>
    </row>
    <row r="372" spans="1:36" x14ac:dyDescent="0.2">
      <c r="R372" s="292" t="s">
        <v>69</v>
      </c>
      <c r="S372" s="81" t="s">
        <v>73</v>
      </c>
      <c r="T372" s="88">
        <v>1000</v>
      </c>
      <c r="U372" s="88"/>
      <c r="V372" s="88"/>
      <c r="W372" s="88"/>
      <c r="X372" s="88"/>
      <c r="Y372" s="88"/>
      <c r="Z372" s="88">
        <f t="shared" si="29"/>
        <v>1000</v>
      </c>
      <c r="AA372" s="88">
        <v>10</v>
      </c>
      <c r="AB372" s="88"/>
      <c r="AC372" s="88"/>
      <c r="AD372" s="88"/>
      <c r="AE372" s="88"/>
      <c r="AF372" s="88"/>
      <c r="AG372" s="304">
        <f t="shared" si="30"/>
        <v>990</v>
      </c>
      <c r="AH372" s="301">
        <v>44209</v>
      </c>
      <c r="AI372" s="151" t="s">
        <v>204</v>
      </c>
      <c r="AJ372" s="132" t="s">
        <v>221</v>
      </c>
    </row>
    <row r="373" spans="1:36" x14ac:dyDescent="0.2">
      <c r="A373" s="367"/>
      <c r="B373" s="367"/>
      <c r="C373" s="162"/>
      <c r="D373" s="365"/>
      <c r="E373" s="365"/>
      <c r="F373" s="365"/>
      <c r="G373" s="365"/>
      <c r="H373" s="365"/>
      <c r="I373" s="365"/>
      <c r="J373" s="365"/>
      <c r="K373" s="365"/>
      <c r="L373" s="365"/>
      <c r="M373" s="365"/>
      <c r="N373" s="365"/>
      <c r="O373" s="365"/>
      <c r="P373" s="365"/>
      <c r="R373" s="292" t="s">
        <v>79</v>
      </c>
      <c r="S373" s="81" t="s">
        <v>91</v>
      </c>
      <c r="T373" s="88">
        <v>1250</v>
      </c>
      <c r="U373" s="88"/>
      <c r="V373" s="88"/>
      <c r="W373" s="88"/>
      <c r="X373" s="88"/>
      <c r="Y373" s="88"/>
      <c r="Z373" s="88">
        <f t="shared" si="29"/>
        <v>1250</v>
      </c>
      <c r="AA373" s="88">
        <v>12.5</v>
      </c>
      <c r="AB373" s="88"/>
      <c r="AC373" s="88"/>
      <c r="AD373" s="88"/>
      <c r="AE373" s="88"/>
      <c r="AF373" s="88"/>
      <c r="AG373" s="304">
        <f t="shared" si="30"/>
        <v>1237.5</v>
      </c>
      <c r="AH373" s="301">
        <v>44209</v>
      </c>
      <c r="AI373" s="151" t="s">
        <v>204</v>
      </c>
      <c r="AJ373" s="132" t="s">
        <v>221</v>
      </c>
    </row>
    <row r="374" spans="1:36" x14ac:dyDescent="0.2">
      <c r="A374" s="367"/>
      <c r="B374" s="367"/>
      <c r="C374" s="162"/>
      <c r="D374" s="365"/>
      <c r="E374" s="365"/>
      <c r="F374" s="365"/>
      <c r="G374" s="365"/>
      <c r="H374" s="365"/>
      <c r="I374" s="365"/>
      <c r="J374" s="365"/>
      <c r="K374" s="365"/>
      <c r="L374" s="365"/>
      <c r="M374" s="365"/>
      <c r="N374" s="365"/>
      <c r="O374" s="365"/>
      <c r="P374" s="365"/>
      <c r="R374" s="292" t="s">
        <v>102</v>
      </c>
      <c r="S374" s="81" t="s">
        <v>104</v>
      </c>
      <c r="T374" s="88">
        <v>500</v>
      </c>
      <c r="U374" s="88"/>
      <c r="V374" s="88"/>
      <c r="W374" s="88">
        <v>304.69</v>
      </c>
      <c r="X374" s="88"/>
      <c r="Y374" s="88"/>
      <c r="Z374" s="88">
        <f t="shared" si="29"/>
        <v>804.69</v>
      </c>
      <c r="AA374" s="88">
        <v>8.0469000000000008</v>
      </c>
      <c r="AB374" s="88"/>
      <c r="AC374" s="88"/>
      <c r="AD374" s="88"/>
      <c r="AE374" s="88"/>
      <c r="AF374" s="88"/>
      <c r="AG374" s="304">
        <f t="shared" si="30"/>
        <v>796.6431</v>
      </c>
      <c r="AH374" s="301">
        <v>44209</v>
      </c>
      <c r="AI374" s="151" t="s">
        <v>204</v>
      </c>
      <c r="AJ374" s="132" t="s">
        <v>221</v>
      </c>
    </row>
    <row r="375" spans="1:36" x14ac:dyDescent="0.2">
      <c r="A375" s="367"/>
      <c r="B375" s="367"/>
      <c r="C375" s="162"/>
      <c r="D375" s="365"/>
      <c r="E375" s="365"/>
      <c r="F375" s="365"/>
      <c r="G375" s="365"/>
      <c r="H375" s="365"/>
      <c r="I375" s="365"/>
      <c r="J375" s="365"/>
      <c r="K375" s="365"/>
      <c r="L375" s="365"/>
      <c r="M375" s="365"/>
      <c r="N375" s="365"/>
      <c r="O375" s="365"/>
      <c r="P375" s="365"/>
      <c r="R375" s="292" t="s">
        <v>25</v>
      </c>
      <c r="S375" s="81" t="s">
        <v>63</v>
      </c>
      <c r="T375" s="88">
        <v>3966.4</v>
      </c>
      <c r="U375" s="88"/>
      <c r="V375" s="88"/>
      <c r="W375" s="88">
        <v>0</v>
      </c>
      <c r="X375" s="88">
        <v>490</v>
      </c>
      <c r="Y375" s="88">
        <v>624</v>
      </c>
      <c r="Z375" s="88">
        <f t="shared" si="29"/>
        <v>4590.3999999999996</v>
      </c>
      <c r="AA375" s="88">
        <v>37.18</v>
      </c>
      <c r="AB375" s="88">
        <v>588</v>
      </c>
      <c r="AC375" s="88">
        <v>-159.5</v>
      </c>
      <c r="AD375" s="88">
        <v>624</v>
      </c>
      <c r="AE375" s="88">
        <v>200.01</v>
      </c>
      <c r="AF375" s="88">
        <v>1125</v>
      </c>
      <c r="AG375" s="304">
        <f t="shared" si="30"/>
        <v>2041.7099999999991</v>
      </c>
      <c r="AH375" s="301">
        <v>44216</v>
      </c>
      <c r="AI375" s="123" t="s">
        <v>205</v>
      </c>
      <c r="AJ375" s="132" t="s">
        <v>221</v>
      </c>
    </row>
    <row r="376" spans="1:36" x14ac:dyDescent="0.2">
      <c r="R376" s="292" t="s">
        <v>26</v>
      </c>
      <c r="S376" s="81" t="s">
        <v>70</v>
      </c>
      <c r="T376" s="88">
        <v>1023.5</v>
      </c>
      <c r="U376" s="88"/>
      <c r="V376" s="88"/>
      <c r="W376" s="88"/>
      <c r="X376" s="88">
        <v>50</v>
      </c>
      <c r="Y376" s="88"/>
      <c r="Z376" s="88">
        <f t="shared" si="29"/>
        <v>1023.5</v>
      </c>
      <c r="AA376" s="88">
        <v>10.234999999999999</v>
      </c>
      <c r="AB376" s="88"/>
      <c r="AC376" s="88"/>
      <c r="AD376" s="88"/>
      <c r="AE376" s="88">
        <v>58.14</v>
      </c>
      <c r="AF376" s="88"/>
      <c r="AG376" s="304">
        <f t="shared" si="30"/>
        <v>1005.1250000000001</v>
      </c>
      <c r="AH376" s="301">
        <v>44216</v>
      </c>
      <c r="AI376" s="123" t="s">
        <v>205</v>
      </c>
      <c r="AJ376" s="132" t="s">
        <v>221</v>
      </c>
    </row>
    <row r="377" spans="1:36" x14ac:dyDescent="0.2">
      <c r="R377" s="292" t="s">
        <v>3</v>
      </c>
      <c r="S377" s="81" t="s">
        <v>71</v>
      </c>
      <c r="T377" s="88">
        <v>1343.5</v>
      </c>
      <c r="U377" s="88"/>
      <c r="V377" s="88"/>
      <c r="W377" s="88"/>
      <c r="X377" s="88">
        <v>50</v>
      </c>
      <c r="Y377" s="88"/>
      <c r="Z377" s="88">
        <f t="shared" si="29"/>
        <v>1343.5</v>
      </c>
      <c r="AA377" s="88">
        <v>13.435</v>
      </c>
      <c r="AB377" s="88"/>
      <c r="AC377" s="88"/>
      <c r="AD377" s="88"/>
      <c r="AE377" s="88">
        <v>76.3</v>
      </c>
      <c r="AF377" s="88"/>
      <c r="AG377" s="304">
        <f t="shared" si="30"/>
        <v>1303.7650000000001</v>
      </c>
      <c r="AH377" s="301">
        <v>44216</v>
      </c>
      <c r="AI377" s="123" t="s">
        <v>205</v>
      </c>
      <c r="AJ377" s="132" t="s">
        <v>221</v>
      </c>
    </row>
    <row r="378" spans="1:36" x14ac:dyDescent="0.2">
      <c r="R378" s="292" t="s">
        <v>31</v>
      </c>
      <c r="S378" s="81" t="s">
        <v>72</v>
      </c>
      <c r="T378" s="88">
        <v>1300</v>
      </c>
      <c r="U378" s="88"/>
      <c r="V378" s="88"/>
      <c r="W378" s="88"/>
      <c r="X378" s="88">
        <v>50</v>
      </c>
      <c r="Y378" s="88"/>
      <c r="Z378" s="88">
        <f t="shared" si="29"/>
        <v>1300</v>
      </c>
      <c r="AA378" s="88">
        <v>13</v>
      </c>
      <c r="AB378" s="88"/>
      <c r="AC378" s="88"/>
      <c r="AD378" s="88"/>
      <c r="AE378" s="88">
        <v>67.78</v>
      </c>
      <c r="AF378" s="88"/>
      <c r="AG378" s="304">
        <f t="shared" si="30"/>
        <v>1269.22</v>
      </c>
      <c r="AH378" s="301">
        <v>44216</v>
      </c>
      <c r="AI378" s="123" t="s">
        <v>205</v>
      </c>
      <c r="AJ378" s="132" t="s">
        <v>221</v>
      </c>
    </row>
    <row r="379" spans="1:36" x14ac:dyDescent="0.2">
      <c r="R379" s="292" t="s">
        <v>69</v>
      </c>
      <c r="S379" s="81" t="s">
        <v>73</v>
      </c>
      <c r="T379" s="88">
        <v>1000</v>
      </c>
      <c r="U379" s="88"/>
      <c r="V379" s="88"/>
      <c r="W379" s="88"/>
      <c r="X379" s="88"/>
      <c r="Y379" s="88"/>
      <c r="Z379" s="88">
        <f t="shared" si="29"/>
        <v>1000</v>
      </c>
      <c r="AA379" s="88">
        <v>10</v>
      </c>
      <c r="AB379" s="88"/>
      <c r="AC379" s="88"/>
      <c r="AD379" s="88"/>
      <c r="AE379" s="88"/>
      <c r="AF379" s="88"/>
      <c r="AG379" s="304">
        <f t="shared" si="30"/>
        <v>990</v>
      </c>
      <c r="AH379" s="301">
        <v>44216</v>
      </c>
      <c r="AI379" s="123" t="s">
        <v>205</v>
      </c>
      <c r="AJ379" s="132" t="s">
        <v>221</v>
      </c>
    </row>
    <row r="380" spans="1:36" x14ac:dyDescent="0.2">
      <c r="R380" s="292" t="s">
        <v>79</v>
      </c>
      <c r="S380" s="81" t="s">
        <v>91</v>
      </c>
      <c r="T380" s="88">
        <v>1250</v>
      </c>
      <c r="U380" s="88"/>
      <c r="V380" s="88"/>
      <c r="W380" s="88"/>
      <c r="X380" s="88"/>
      <c r="Y380" s="88"/>
      <c r="Z380" s="88">
        <f t="shared" si="29"/>
        <v>1250</v>
      </c>
      <c r="AA380" s="88">
        <v>12.5</v>
      </c>
      <c r="AB380" s="88"/>
      <c r="AC380" s="88"/>
      <c r="AD380" s="88"/>
      <c r="AE380" s="88"/>
      <c r="AF380" s="88"/>
      <c r="AG380" s="304">
        <f t="shared" si="30"/>
        <v>1237.5</v>
      </c>
      <c r="AH380" s="301">
        <v>44216</v>
      </c>
      <c r="AI380" s="123" t="s">
        <v>205</v>
      </c>
      <c r="AJ380" s="132" t="s">
        <v>221</v>
      </c>
    </row>
    <row r="381" spans="1:36" x14ac:dyDescent="0.2">
      <c r="R381" s="292" t="s">
        <v>25</v>
      </c>
      <c r="S381" s="81" t="s">
        <v>63</v>
      </c>
      <c r="T381" s="88">
        <v>3966.4</v>
      </c>
      <c r="U381" s="88"/>
      <c r="V381" s="88"/>
      <c r="W381" s="88">
        <v>0</v>
      </c>
      <c r="X381" s="88">
        <v>490</v>
      </c>
      <c r="Y381" s="88">
        <v>624</v>
      </c>
      <c r="Z381" s="88">
        <f t="shared" si="29"/>
        <v>4590.3999999999996</v>
      </c>
      <c r="AA381" s="88">
        <v>37.18</v>
      </c>
      <c r="AB381" s="88">
        <v>588</v>
      </c>
      <c r="AC381" s="88">
        <v>-159.5</v>
      </c>
      <c r="AD381" s="88">
        <v>624</v>
      </c>
      <c r="AE381" s="88">
        <v>200.01</v>
      </c>
      <c r="AF381" s="88">
        <v>1125</v>
      </c>
      <c r="AG381" s="304">
        <f t="shared" si="30"/>
        <v>2041.7099999999991</v>
      </c>
      <c r="AH381" s="301">
        <v>44223</v>
      </c>
      <c r="AI381" s="149" t="s">
        <v>206</v>
      </c>
      <c r="AJ381" s="132" t="s">
        <v>221</v>
      </c>
    </row>
    <row r="382" spans="1:36" x14ac:dyDescent="0.2">
      <c r="R382" s="292" t="s">
        <v>26</v>
      </c>
      <c r="S382" s="81" t="s">
        <v>70</v>
      </c>
      <c r="T382" s="88">
        <v>1023.5</v>
      </c>
      <c r="U382" s="88"/>
      <c r="V382" s="88"/>
      <c r="W382" s="88"/>
      <c r="X382" s="88">
        <v>50</v>
      </c>
      <c r="Y382" s="88"/>
      <c r="Z382" s="88">
        <f t="shared" si="29"/>
        <v>1023.5</v>
      </c>
      <c r="AA382" s="88">
        <v>10.234999999999999</v>
      </c>
      <c r="AB382" s="88"/>
      <c r="AC382" s="88"/>
      <c r="AD382" s="88"/>
      <c r="AE382" s="88">
        <v>58.14</v>
      </c>
      <c r="AF382" s="88">
        <v>100</v>
      </c>
      <c r="AG382" s="304">
        <f t="shared" si="30"/>
        <v>905.12500000000011</v>
      </c>
      <c r="AH382" s="301">
        <v>44223</v>
      </c>
      <c r="AI382" s="149" t="s">
        <v>206</v>
      </c>
      <c r="AJ382" s="132" t="s">
        <v>221</v>
      </c>
    </row>
    <row r="383" spans="1:36" x14ac:dyDescent="0.2">
      <c r="R383" s="292" t="s">
        <v>3</v>
      </c>
      <c r="S383" s="81" t="s">
        <v>71</v>
      </c>
      <c r="T383" s="88">
        <v>1343.5</v>
      </c>
      <c r="U383" s="88"/>
      <c r="V383" s="88"/>
      <c r="W383" s="88"/>
      <c r="X383" s="88">
        <v>50</v>
      </c>
      <c r="Y383" s="88"/>
      <c r="Z383" s="88">
        <f t="shared" si="29"/>
        <v>1343.5</v>
      </c>
      <c r="AA383" s="88">
        <v>13.435</v>
      </c>
      <c r="AB383" s="88"/>
      <c r="AC383" s="88"/>
      <c r="AD383" s="88"/>
      <c r="AE383" s="88">
        <v>76.3</v>
      </c>
      <c r="AF383" s="88"/>
      <c r="AG383" s="304">
        <f t="shared" si="30"/>
        <v>1303.7650000000001</v>
      </c>
      <c r="AH383" s="301">
        <v>44223</v>
      </c>
      <c r="AI383" s="149" t="s">
        <v>206</v>
      </c>
      <c r="AJ383" s="132" t="s">
        <v>221</v>
      </c>
    </row>
    <row r="384" spans="1:36" x14ac:dyDescent="0.2">
      <c r="R384" s="292" t="s">
        <v>31</v>
      </c>
      <c r="S384" s="81" t="s">
        <v>72</v>
      </c>
      <c r="T384" s="88">
        <v>1300</v>
      </c>
      <c r="U384" s="88"/>
      <c r="V384" s="88"/>
      <c r="W384" s="88"/>
      <c r="X384" s="88">
        <v>50</v>
      </c>
      <c r="Y384" s="88"/>
      <c r="Z384" s="88">
        <f t="shared" si="29"/>
        <v>1300</v>
      </c>
      <c r="AA384" s="88">
        <v>13</v>
      </c>
      <c r="AB384" s="88"/>
      <c r="AC384" s="88"/>
      <c r="AD384" s="88"/>
      <c r="AE384" s="88">
        <v>67.78</v>
      </c>
      <c r="AF384" s="88"/>
      <c r="AG384" s="304">
        <f t="shared" si="30"/>
        <v>1269.22</v>
      </c>
      <c r="AH384" s="301">
        <v>44223</v>
      </c>
      <c r="AI384" s="149" t="s">
        <v>206</v>
      </c>
      <c r="AJ384" s="132" t="s">
        <v>221</v>
      </c>
    </row>
    <row r="385" spans="1:36" x14ac:dyDescent="0.2">
      <c r="R385" s="292" t="s">
        <v>69</v>
      </c>
      <c r="S385" s="81" t="s">
        <v>73</v>
      </c>
      <c r="T385" s="88">
        <v>1000</v>
      </c>
      <c r="U385" s="88"/>
      <c r="V385" s="88"/>
      <c r="W385" s="88"/>
      <c r="X385" s="88"/>
      <c r="Y385" s="88"/>
      <c r="Z385" s="88">
        <f t="shared" si="29"/>
        <v>1000</v>
      </c>
      <c r="AA385" s="88">
        <v>10</v>
      </c>
      <c r="AB385" s="88"/>
      <c r="AC385" s="88"/>
      <c r="AD385" s="88"/>
      <c r="AE385" s="88"/>
      <c r="AF385" s="88"/>
      <c r="AG385" s="304">
        <f t="shared" si="30"/>
        <v>990</v>
      </c>
      <c r="AH385" s="301">
        <v>44223</v>
      </c>
      <c r="AI385" s="149" t="s">
        <v>206</v>
      </c>
      <c r="AJ385" s="132" t="s">
        <v>221</v>
      </c>
    </row>
    <row r="386" spans="1:36" x14ac:dyDescent="0.2">
      <c r="R386" s="292" t="s">
        <v>79</v>
      </c>
      <c r="S386" s="81" t="s">
        <v>91</v>
      </c>
      <c r="T386" s="88">
        <v>1250</v>
      </c>
      <c r="U386" s="88"/>
      <c r="V386" s="88"/>
      <c r="W386" s="88"/>
      <c r="X386" s="88"/>
      <c r="Y386" s="88"/>
      <c r="Z386" s="88">
        <f t="shared" si="29"/>
        <v>1250</v>
      </c>
      <c r="AA386" s="88">
        <v>12.5</v>
      </c>
      <c r="AB386" s="88"/>
      <c r="AC386" s="88"/>
      <c r="AD386" s="88"/>
      <c r="AE386" s="88"/>
      <c r="AF386" s="88"/>
      <c r="AG386" s="304">
        <f t="shared" si="30"/>
        <v>1237.5</v>
      </c>
      <c r="AH386" s="301">
        <v>44223</v>
      </c>
      <c r="AI386" s="149" t="s">
        <v>206</v>
      </c>
      <c r="AJ386" s="132" t="s">
        <v>221</v>
      </c>
    </row>
    <row r="387" spans="1:36" s="162" customFormat="1" x14ac:dyDescent="0.2">
      <c r="A387" s="350"/>
      <c r="B387" s="350"/>
      <c r="C387" s="77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R387" s="305" t="s">
        <v>8</v>
      </c>
      <c r="S387" s="165" t="s">
        <v>96</v>
      </c>
      <c r="T387" s="163">
        <v>13502</v>
      </c>
      <c r="U387" s="163"/>
      <c r="V387" s="163"/>
      <c r="W387" s="163"/>
      <c r="X387" s="163"/>
      <c r="Y387" s="163">
        <v>5624</v>
      </c>
      <c r="Z387" s="88">
        <f t="shared" si="29"/>
        <v>19126</v>
      </c>
      <c r="AA387" s="88"/>
      <c r="AB387" s="163">
        <v>2355</v>
      </c>
      <c r="AC387" s="163">
        <v>-853</v>
      </c>
      <c r="AD387" s="163"/>
      <c r="AE387" s="163"/>
      <c r="AF387" s="163"/>
      <c r="AG387" s="306">
        <f>T387-AB387-AC387</f>
        <v>12000</v>
      </c>
      <c r="AH387" s="340"/>
      <c r="AI387" s="161"/>
    </row>
    <row r="388" spans="1:36" s="162" customFormat="1" x14ac:dyDescent="0.2">
      <c r="A388" s="350"/>
      <c r="B388" s="350"/>
      <c r="C388" s="77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R388" s="305" t="s">
        <v>27</v>
      </c>
      <c r="S388" s="165" t="s">
        <v>97</v>
      </c>
      <c r="T388" s="163">
        <v>13717</v>
      </c>
      <c r="U388" s="163"/>
      <c r="V388" s="163"/>
      <c r="W388" s="163"/>
      <c r="X388" s="163"/>
      <c r="Y388" s="163">
        <v>5409</v>
      </c>
      <c r="Z388" s="88">
        <f t="shared" si="29"/>
        <v>19126</v>
      </c>
      <c r="AA388" s="88"/>
      <c r="AB388" s="163">
        <v>2355</v>
      </c>
      <c r="AC388" s="163">
        <v>-638</v>
      </c>
      <c r="AD388" s="163"/>
      <c r="AE388" s="163"/>
      <c r="AF388" s="163"/>
      <c r="AG388" s="306">
        <f>T388-AB388-AC388</f>
        <v>12000</v>
      </c>
      <c r="AH388" s="340"/>
      <c r="AI388" s="161"/>
    </row>
    <row r="389" spans="1:36" s="162" customFormat="1" ht="13.5" thickBot="1" x14ac:dyDescent="0.25">
      <c r="A389" s="350"/>
      <c r="B389" s="350"/>
      <c r="C389" s="77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R389" s="344" t="s">
        <v>6</v>
      </c>
      <c r="S389" s="302" t="s">
        <v>98</v>
      </c>
      <c r="T389" s="164">
        <v>12643.72</v>
      </c>
      <c r="U389" s="164"/>
      <c r="V389" s="164"/>
      <c r="W389" s="164"/>
      <c r="X389" s="164"/>
      <c r="Y389" s="164">
        <v>2812</v>
      </c>
      <c r="Z389" s="88">
        <f t="shared" si="29"/>
        <v>15455.72</v>
      </c>
      <c r="AA389" s="244">
        <v>148.72</v>
      </c>
      <c r="AB389" s="164">
        <v>1536</v>
      </c>
      <c r="AC389" s="164">
        <v>-853</v>
      </c>
      <c r="AD389" s="164">
        <v>2812</v>
      </c>
      <c r="AE389" s="164"/>
      <c r="AF389" s="164"/>
      <c r="AG389" s="345">
        <f>T389-AB389-AC389-AA389-AD389</f>
        <v>9000</v>
      </c>
      <c r="AH389" s="340"/>
      <c r="AI389" s="161"/>
    </row>
    <row r="390" spans="1:36" x14ac:dyDescent="0.2">
      <c r="R390" s="310" t="s">
        <v>25</v>
      </c>
      <c r="S390" s="311" t="s">
        <v>63</v>
      </c>
      <c r="T390" s="312">
        <v>3966.4</v>
      </c>
      <c r="U390" s="312"/>
      <c r="V390" s="312"/>
      <c r="W390" s="312">
        <v>0</v>
      </c>
      <c r="X390" s="312">
        <v>490</v>
      </c>
      <c r="Y390" s="312">
        <v>624</v>
      </c>
      <c r="Z390" s="312">
        <f t="shared" ref="Z390:Z416" si="31">T390+W390+Y390</f>
        <v>4590.3999999999996</v>
      </c>
      <c r="AA390" s="312">
        <v>37.18</v>
      </c>
      <c r="AB390" s="312">
        <v>588</v>
      </c>
      <c r="AC390" s="312">
        <v>-159.5</v>
      </c>
      <c r="AD390" s="312">
        <v>624</v>
      </c>
      <c r="AE390" s="312">
        <v>200.01</v>
      </c>
      <c r="AF390" s="312">
        <v>1125</v>
      </c>
      <c r="AG390" s="313">
        <f t="shared" ref="AG390:AG413" si="32">T390+W390+X390-AA390-AB390-AC390-AD390-AE390-AF390</f>
        <v>2041.7099999999991</v>
      </c>
      <c r="AH390" s="301">
        <v>44230</v>
      </c>
      <c r="AI390" s="120" t="s">
        <v>105</v>
      </c>
      <c r="AJ390" s="132" t="s">
        <v>226</v>
      </c>
    </row>
    <row r="391" spans="1:36" x14ac:dyDescent="0.2">
      <c r="R391" s="314" t="s">
        <v>26</v>
      </c>
      <c r="S391" s="315" t="s">
        <v>70</v>
      </c>
      <c r="T391" s="316">
        <v>1023.5</v>
      </c>
      <c r="U391" s="316"/>
      <c r="V391" s="316"/>
      <c r="W391" s="316"/>
      <c r="X391" s="316">
        <v>50</v>
      </c>
      <c r="Y391" s="316"/>
      <c r="Z391" s="316">
        <f t="shared" si="31"/>
        <v>1023.5</v>
      </c>
      <c r="AA391" s="316">
        <v>10.234999999999999</v>
      </c>
      <c r="AB391" s="316"/>
      <c r="AC391" s="316"/>
      <c r="AD391" s="316"/>
      <c r="AE391" s="316">
        <v>58.14</v>
      </c>
      <c r="AF391" s="316">
        <v>200</v>
      </c>
      <c r="AG391" s="317">
        <f t="shared" si="32"/>
        <v>805.12500000000011</v>
      </c>
      <c r="AH391" s="301">
        <v>44230</v>
      </c>
      <c r="AI391" s="120" t="s">
        <v>105</v>
      </c>
      <c r="AJ391" s="132" t="s">
        <v>226</v>
      </c>
    </row>
    <row r="392" spans="1:36" x14ac:dyDescent="0.2">
      <c r="R392" s="314" t="s">
        <v>3</v>
      </c>
      <c r="S392" s="315" t="s">
        <v>71</v>
      </c>
      <c r="T392" s="316">
        <v>1343.5</v>
      </c>
      <c r="U392" s="316"/>
      <c r="V392" s="316"/>
      <c r="W392" s="316"/>
      <c r="X392" s="316">
        <v>50</v>
      </c>
      <c r="Y392" s="316"/>
      <c r="Z392" s="316">
        <f t="shared" si="31"/>
        <v>1343.5</v>
      </c>
      <c r="AA392" s="316">
        <v>13.435</v>
      </c>
      <c r="AB392" s="316"/>
      <c r="AC392" s="316"/>
      <c r="AD392" s="316"/>
      <c r="AE392" s="316">
        <v>76.3</v>
      </c>
      <c r="AF392" s="316"/>
      <c r="AG392" s="317">
        <f t="shared" si="32"/>
        <v>1303.7650000000001</v>
      </c>
      <c r="AH392" s="301">
        <v>44230</v>
      </c>
      <c r="AI392" s="120" t="s">
        <v>105</v>
      </c>
      <c r="AJ392" s="132" t="s">
        <v>226</v>
      </c>
    </row>
    <row r="393" spans="1:36" x14ac:dyDescent="0.2">
      <c r="R393" s="314" t="s">
        <v>31</v>
      </c>
      <c r="S393" s="315" t="s">
        <v>72</v>
      </c>
      <c r="T393" s="316">
        <v>1300</v>
      </c>
      <c r="U393" s="316"/>
      <c r="V393" s="316"/>
      <c r="W393" s="316"/>
      <c r="X393" s="316">
        <v>50</v>
      </c>
      <c r="Y393" s="316"/>
      <c r="Z393" s="316">
        <f t="shared" si="31"/>
        <v>1300</v>
      </c>
      <c r="AA393" s="316">
        <v>13</v>
      </c>
      <c r="AB393" s="316"/>
      <c r="AC393" s="316"/>
      <c r="AD393" s="316"/>
      <c r="AE393" s="316">
        <v>67.78</v>
      </c>
      <c r="AF393" s="316"/>
      <c r="AG393" s="317">
        <f t="shared" si="32"/>
        <v>1269.22</v>
      </c>
      <c r="AH393" s="301">
        <v>44230</v>
      </c>
      <c r="AI393" s="120" t="s">
        <v>105</v>
      </c>
      <c r="AJ393" s="132" t="s">
        <v>226</v>
      </c>
    </row>
    <row r="394" spans="1:36" x14ac:dyDescent="0.2">
      <c r="R394" s="314" t="s">
        <v>69</v>
      </c>
      <c r="S394" s="315" t="s">
        <v>73</v>
      </c>
      <c r="T394" s="316">
        <v>1000</v>
      </c>
      <c r="U394" s="316"/>
      <c r="V394" s="316"/>
      <c r="W394" s="316"/>
      <c r="X394" s="316"/>
      <c r="Y394" s="316"/>
      <c r="Z394" s="316">
        <f t="shared" si="31"/>
        <v>1000</v>
      </c>
      <c r="AA394" s="316">
        <v>10</v>
      </c>
      <c r="AB394" s="316"/>
      <c r="AC394" s="316"/>
      <c r="AD394" s="316"/>
      <c r="AE394" s="316"/>
      <c r="AF394" s="316"/>
      <c r="AG394" s="317">
        <f t="shared" si="32"/>
        <v>990</v>
      </c>
      <c r="AH394" s="301">
        <v>44230</v>
      </c>
      <c r="AI394" s="120" t="s">
        <v>105</v>
      </c>
      <c r="AJ394" s="132" t="s">
        <v>226</v>
      </c>
    </row>
    <row r="395" spans="1:36" x14ac:dyDescent="0.2">
      <c r="R395" s="314" t="s">
        <v>79</v>
      </c>
      <c r="S395" s="315" t="s">
        <v>91</v>
      </c>
      <c r="T395" s="316">
        <v>1250</v>
      </c>
      <c r="U395" s="316"/>
      <c r="V395" s="316"/>
      <c r="W395" s="316"/>
      <c r="X395" s="316"/>
      <c r="Y395" s="316"/>
      <c r="Z395" s="316">
        <f t="shared" si="31"/>
        <v>1250</v>
      </c>
      <c r="AA395" s="316">
        <v>12.5</v>
      </c>
      <c r="AB395" s="316"/>
      <c r="AC395" s="316"/>
      <c r="AD395" s="316"/>
      <c r="AE395" s="316"/>
      <c r="AF395" s="316"/>
      <c r="AG395" s="317">
        <f t="shared" si="32"/>
        <v>1237.5</v>
      </c>
      <c r="AH395" s="301">
        <v>44230</v>
      </c>
      <c r="AI395" s="120" t="s">
        <v>105</v>
      </c>
      <c r="AJ395" s="132" t="s">
        <v>226</v>
      </c>
    </row>
    <row r="396" spans="1:36" x14ac:dyDescent="0.2">
      <c r="R396" s="314" t="s">
        <v>25</v>
      </c>
      <c r="S396" s="315" t="s">
        <v>63</v>
      </c>
      <c r="T396" s="316">
        <v>3966.4</v>
      </c>
      <c r="U396" s="316"/>
      <c r="V396" s="316"/>
      <c r="W396" s="316">
        <v>0</v>
      </c>
      <c r="X396" s="316">
        <v>490</v>
      </c>
      <c r="Y396" s="316">
        <v>624</v>
      </c>
      <c r="Z396" s="316">
        <f t="shared" si="31"/>
        <v>4590.3999999999996</v>
      </c>
      <c r="AA396" s="316">
        <v>37.18</v>
      </c>
      <c r="AB396" s="316">
        <v>588</v>
      </c>
      <c r="AC396" s="316">
        <v>-159.5</v>
      </c>
      <c r="AD396" s="316">
        <v>624</v>
      </c>
      <c r="AE396" s="316">
        <v>200.01</v>
      </c>
      <c r="AF396" s="316">
        <v>1125</v>
      </c>
      <c r="AG396" s="317">
        <f t="shared" si="32"/>
        <v>2041.7099999999991</v>
      </c>
      <c r="AH396" s="301">
        <v>44237</v>
      </c>
      <c r="AI396" s="151" t="s">
        <v>106</v>
      </c>
      <c r="AJ396" s="132" t="s">
        <v>226</v>
      </c>
    </row>
    <row r="397" spans="1:36" x14ac:dyDescent="0.2">
      <c r="R397" s="314" t="s">
        <v>26</v>
      </c>
      <c r="S397" s="315" t="s">
        <v>70</v>
      </c>
      <c r="T397" s="316">
        <v>1023.5</v>
      </c>
      <c r="U397" s="316"/>
      <c r="V397" s="316"/>
      <c r="W397" s="316"/>
      <c r="X397" s="316">
        <v>50</v>
      </c>
      <c r="Y397" s="316"/>
      <c r="Z397" s="316">
        <f t="shared" si="31"/>
        <v>1023.5</v>
      </c>
      <c r="AA397" s="316">
        <v>10.234999999999999</v>
      </c>
      <c r="AB397" s="316"/>
      <c r="AC397" s="316"/>
      <c r="AD397" s="316"/>
      <c r="AE397" s="316">
        <v>58.14</v>
      </c>
      <c r="AF397" s="316">
        <v>0</v>
      </c>
      <c r="AG397" s="317">
        <f t="shared" si="32"/>
        <v>1005.1250000000001</v>
      </c>
      <c r="AH397" s="301">
        <v>44237</v>
      </c>
      <c r="AI397" s="151" t="s">
        <v>106</v>
      </c>
      <c r="AJ397" s="132" t="s">
        <v>226</v>
      </c>
    </row>
    <row r="398" spans="1:36" x14ac:dyDescent="0.2">
      <c r="R398" s="314" t="s">
        <v>3</v>
      </c>
      <c r="S398" s="315" t="s">
        <v>71</v>
      </c>
      <c r="T398" s="316">
        <v>1343.5</v>
      </c>
      <c r="U398" s="316"/>
      <c r="V398" s="316"/>
      <c r="W398" s="316"/>
      <c r="X398" s="316">
        <v>50</v>
      </c>
      <c r="Y398" s="316"/>
      <c r="Z398" s="316">
        <f t="shared" si="31"/>
        <v>1343.5</v>
      </c>
      <c r="AA398" s="316">
        <v>13.435</v>
      </c>
      <c r="AB398" s="316"/>
      <c r="AC398" s="316"/>
      <c r="AD398" s="316"/>
      <c r="AE398" s="316">
        <v>76.3</v>
      </c>
      <c r="AF398" s="316"/>
      <c r="AG398" s="317">
        <f t="shared" si="32"/>
        <v>1303.7650000000001</v>
      </c>
      <c r="AH398" s="301">
        <v>44237</v>
      </c>
      <c r="AI398" s="151" t="s">
        <v>106</v>
      </c>
      <c r="AJ398" s="132" t="s">
        <v>226</v>
      </c>
    </row>
    <row r="399" spans="1:36" x14ac:dyDescent="0.2">
      <c r="R399" s="314" t="s">
        <v>31</v>
      </c>
      <c r="S399" s="315" t="s">
        <v>72</v>
      </c>
      <c r="T399" s="316">
        <v>1300</v>
      </c>
      <c r="U399" s="316"/>
      <c r="V399" s="316"/>
      <c r="W399" s="316"/>
      <c r="X399" s="316">
        <v>50</v>
      </c>
      <c r="Y399" s="316"/>
      <c r="Z399" s="316">
        <f t="shared" si="31"/>
        <v>1300</v>
      </c>
      <c r="AA399" s="316">
        <v>13</v>
      </c>
      <c r="AB399" s="316"/>
      <c r="AC399" s="316"/>
      <c r="AD399" s="316"/>
      <c r="AE399" s="316">
        <v>67.78</v>
      </c>
      <c r="AF399" s="316"/>
      <c r="AG399" s="317">
        <f t="shared" si="32"/>
        <v>1269.22</v>
      </c>
      <c r="AH399" s="301">
        <v>44237</v>
      </c>
      <c r="AI399" s="151" t="s">
        <v>106</v>
      </c>
      <c r="AJ399" s="132" t="s">
        <v>226</v>
      </c>
    </row>
    <row r="400" spans="1:36" x14ac:dyDescent="0.2">
      <c r="R400" s="314" t="s">
        <v>69</v>
      </c>
      <c r="S400" s="315" t="s">
        <v>73</v>
      </c>
      <c r="T400" s="316">
        <v>1000</v>
      </c>
      <c r="U400" s="316"/>
      <c r="V400" s="316"/>
      <c r="W400" s="316"/>
      <c r="X400" s="316"/>
      <c r="Y400" s="316"/>
      <c r="Z400" s="316">
        <f t="shared" si="31"/>
        <v>1000</v>
      </c>
      <c r="AA400" s="316">
        <v>10</v>
      </c>
      <c r="AB400" s="316"/>
      <c r="AC400" s="316"/>
      <c r="AD400" s="316"/>
      <c r="AE400" s="316"/>
      <c r="AF400" s="316"/>
      <c r="AG400" s="317">
        <f t="shared" si="32"/>
        <v>990</v>
      </c>
      <c r="AH400" s="301">
        <v>44237</v>
      </c>
      <c r="AI400" s="151" t="s">
        <v>106</v>
      </c>
      <c r="AJ400" s="132" t="s">
        <v>226</v>
      </c>
    </row>
    <row r="401" spans="1:36" x14ac:dyDescent="0.2">
      <c r="R401" s="314" t="s">
        <v>79</v>
      </c>
      <c r="S401" s="315" t="s">
        <v>91</v>
      </c>
      <c r="T401" s="316">
        <v>1250</v>
      </c>
      <c r="U401" s="316"/>
      <c r="V401" s="316"/>
      <c r="W401" s="316"/>
      <c r="X401" s="316"/>
      <c r="Y401" s="316"/>
      <c r="Z401" s="316">
        <f t="shared" si="31"/>
        <v>1250</v>
      </c>
      <c r="AA401" s="316">
        <v>12.5</v>
      </c>
      <c r="AB401" s="316"/>
      <c r="AC401" s="316"/>
      <c r="AD401" s="316"/>
      <c r="AE401" s="316"/>
      <c r="AF401" s="316"/>
      <c r="AG401" s="317">
        <f t="shared" si="32"/>
        <v>1237.5</v>
      </c>
      <c r="AH401" s="301">
        <v>44237</v>
      </c>
      <c r="AI401" s="151" t="s">
        <v>106</v>
      </c>
      <c r="AJ401" s="132" t="s">
        <v>226</v>
      </c>
    </row>
    <row r="402" spans="1:36" x14ac:dyDescent="0.2">
      <c r="R402" s="314" t="s">
        <v>25</v>
      </c>
      <c r="S402" s="315" t="s">
        <v>63</v>
      </c>
      <c r="T402" s="316">
        <v>3966.4</v>
      </c>
      <c r="U402" s="316"/>
      <c r="V402" s="316"/>
      <c r="W402" s="316">
        <v>1189.92</v>
      </c>
      <c r="X402" s="316">
        <v>490</v>
      </c>
      <c r="Y402" s="316">
        <v>624</v>
      </c>
      <c r="Z402" s="316">
        <f t="shared" si="31"/>
        <v>5780.32</v>
      </c>
      <c r="AA402" s="316">
        <v>37.18</v>
      </c>
      <c r="AB402" s="316">
        <v>901</v>
      </c>
      <c r="AC402" s="316">
        <v>-159.5</v>
      </c>
      <c r="AD402" s="316">
        <v>624</v>
      </c>
      <c r="AE402" s="316">
        <v>200.01</v>
      </c>
      <c r="AF402" s="316">
        <v>1125</v>
      </c>
      <c r="AG402" s="317">
        <f t="shared" si="32"/>
        <v>2918.6299999999992</v>
      </c>
      <c r="AH402" s="301">
        <v>44244</v>
      </c>
      <c r="AI402" s="123" t="s">
        <v>107</v>
      </c>
      <c r="AJ402" s="132" t="s">
        <v>226</v>
      </c>
    </row>
    <row r="403" spans="1:36" x14ac:dyDescent="0.2">
      <c r="R403" s="314" t="s">
        <v>26</v>
      </c>
      <c r="S403" s="315" t="s">
        <v>70</v>
      </c>
      <c r="T403" s="316">
        <v>1023.5</v>
      </c>
      <c r="U403" s="316"/>
      <c r="V403" s="316"/>
      <c r="W403" s="316"/>
      <c r="X403" s="316">
        <v>50</v>
      </c>
      <c r="Y403" s="316"/>
      <c r="Z403" s="316">
        <f t="shared" si="31"/>
        <v>1023.5</v>
      </c>
      <c r="AA403" s="316">
        <v>10.234999999999999</v>
      </c>
      <c r="AB403" s="316"/>
      <c r="AC403" s="316"/>
      <c r="AD403" s="316"/>
      <c r="AE403" s="316">
        <v>58.14</v>
      </c>
      <c r="AF403" s="316">
        <v>200</v>
      </c>
      <c r="AG403" s="317">
        <f t="shared" si="32"/>
        <v>805.12500000000011</v>
      </c>
      <c r="AH403" s="301">
        <v>44244</v>
      </c>
      <c r="AI403" s="123" t="s">
        <v>107</v>
      </c>
      <c r="AJ403" s="132" t="s">
        <v>226</v>
      </c>
    </row>
    <row r="404" spans="1:36" x14ac:dyDescent="0.2">
      <c r="A404" s="367"/>
      <c r="B404" s="367"/>
      <c r="C404" s="162"/>
      <c r="D404" s="365"/>
      <c r="E404" s="365"/>
      <c r="F404" s="365"/>
      <c r="G404" s="365"/>
      <c r="H404" s="365"/>
      <c r="I404" s="365"/>
      <c r="J404" s="365"/>
      <c r="K404" s="365"/>
      <c r="L404" s="365"/>
      <c r="M404" s="365"/>
      <c r="N404" s="365"/>
      <c r="O404" s="365"/>
      <c r="P404" s="365"/>
      <c r="R404" s="314" t="s">
        <v>3</v>
      </c>
      <c r="S404" s="315" t="s">
        <v>71</v>
      </c>
      <c r="T404" s="316">
        <v>1343.5</v>
      </c>
      <c r="U404" s="316"/>
      <c r="V404" s="316"/>
      <c r="W404" s="316"/>
      <c r="X404" s="316">
        <v>50</v>
      </c>
      <c r="Y404" s="316"/>
      <c r="Z404" s="316">
        <f t="shared" si="31"/>
        <v>1343.5</v>
      </c>
      <c r="AA404" s="316">
        <v>13.435</v>
      </c>
      <c r="AB404" s="316"/>
      <c r="AC404" s="316"/>
      <c r="AD404" s="316"/>
      <c r="AE404" s="316">
        <v>76.3</v>
      </c>
      <c r="AF404" s="316"/>
      <c r="AG404" s="317">
        <f t="shared" si="32"/>
        <v>1303.7650000000001</v>
      </c>
      <c r="AH404" s="301">
        <v>44244</v>
      </c>
      <c r="AI404" s="123" t="s">
        <v>107</v>
      </c>
      <c r="AJ404" s="132" t="s">
        <v>226</v>
      </c>
    </row>
    <row r="405" spans="1:36" x14ac:dyDescent="0.2">
      <c r="A405" s="367"/>
      <c r="B405" s="367"/>
      <c r="C405" s="162"/>
      <c r="D405" s="365"/>
      <c r="E405" s="365"/>
      <c r="F405" s="365"/>
      <c r="G405" s="365"/>
      <c r="H405" s="365"/>
      <c r="I405" s="365"/>
      <c r="J405" s="365"/>
      <c r="K405" s="365"/>
      <c r="L405" s="365"/>
      <c r="M405" s="365"/>
      <c r="N405" s="365"/>
      <c r="O405" s="365"/>
      <c r="P405" s="365"/>
      <c r="R405" s="314" t="s">
        <v>31</v>
      </c>
      <c r="S405" s="315" t="s">
        <v>72</v>
      </c>
      <c r="T405" s="316">
        <v>1300</v>
      </c>
      <c r="U405" s="316"/>
      <c r="V405" s="316"/>
      <c r="W405" s="316">
        <v>390</v>
      </c>
      <c r="X405" s="316">
        <v>50</v>
      </c>
      <c r="Y405" s="316"/>
      <c r="Z405" s="316">
        <f t="shared" si="31"/>
        <v>1690</v>
      </c>
      <c r="AA405" s="316">
        <v>16.899999999999999</v>
      </c>
      <c r="AB405" s="316"/>
      <c r="AC405" s="316"/>
      <c r="AD405" s="316"/>
      <c r="AE405" s="316">
        <v>67.78</v>
      </c>
      <c r="AF405" s="316"/>
      <c r="AG405" s="317">
        <f t="shared" si="32"/>
        <v>1655.32</v>
      </c>
      <c r="AH405" s="301">
        <v>44244</v>
      </c>
      <c r="AI405" s="123" t="s">
        <v>107</v>
      </c>
      <c r="AJ405" s="132" t="s">
        <v>226</v>
      </c>
    </row>
    <row r="406" spans="1:36" x14ac:dyDescent="0.2">
      <c r="A406" s="367"/>
      <c r="B406" s="367"/>
      <c r="C406" s="162"/>
      <c r="D406" s="365"/>
      <c r="E406" s="365"/>
      <c r="F406" s="365"/>
      <c r="G406" s="365"/>
      <c r="H406" s="365"/>
      <c r="I406" s="365"/>
      <c r="J406" s="365"/>
      <c r="K406" s="365"/>
      <c r="L406" s="365"/>
      <c r="M406" s="365"/>
      <c r="N406" s="365"/>
      <c r="O406" s="365"/>
      <c r="P406" s="365"/>
      <c r="R406" s="314" t="s">
        <v>69</v>
      </c>
      <c r="S406" s="315" t="s">
        <v>73</v>
      </c>
      <c r="T406" s="316">
        <v>1000</v>
      </c>
      <c r="U406" s="316"/>
      <c r="V406" s="316"/>
      <c r="W406" s="316"/>
      <c r="X406" s="316"/>
      <c r="Y406" s="316"/>
      <c r="Z406" s="316">
        <f t="shared" si="31"/>
        <v>1000</v>
      </c>
      <c r="AA406" s="316">
        <v>10</v>
      </c>
      <c r="AB406" s="316"/>
      <c r="AC406" s="316"/>
      <c r="AD406" s="316"/>
      <c r="AE406" s="316"/>
      <c r="AF406" s="316"/>
      <c r="AG406" s="317">
        <f t="shared" si="32"/>
        <v>990</v>
      </c>
      <c r="AH406" s="301">
        <v>44244</v>
      </c>
      <c r="AI406" s="123" t="s">
        <v>107</v>
      </c>
      <c r="AJ406" s="132" t="s">
        <v>226</v>
      </c>
    </row>
    <row r="407" spans="1:36" x14ac:dyDescent="0.2">
      <c r="R407" s="314" t="s">
        <v>79</v>
      </c>
      <c r="S407" s="315" t="s">
        <v>91</v>
      </c>
      <c r="T407" s="316">
        <v>1250</v>
      </c>
      <c r="U407" s="316"/>
      <c r="V407" s="316"/>
      <c r="W407" s="316"/>
      <c r="X407" s="316"/>
      <c r="Y407" s="316"/>
      <c r="Z407" s="316">
        <f t="shared" si="31"/>
        <v>1250</v>
      </c>
      <c r="AA407" s="316">
        <v>12.5</v>
      </c>
      <c r="AB407" s="316"/>
      <c r="AC407" s="316"/>
      <c r="AD407" s="316"/>
      <c r="AE407" s="316"/>
      <c r="AF407" s="316"/>
      <c r="AG407" s="317">
        <f t="shared" si="32"/>
        <v>1237.5</v>
      </c>
      <c r="AH407" s="301">
        <v>44244</v>
      </c>
      <c r="AI407" s="123" t="s">
        <v>107</v>
      </c>
      <c r="AJ407" s="132" t="s">
        <v>226</v>
      </c>
    </row>
    <row r="408" spans="1:36" x14ac:dyDescent="0.2">
      <c r="R408" s="314" t="s">
        <v>25</v>
      </c>
      <c r="S408" s="315" t="s">
        <v>63</v>
      </c>
      <c r="T408" s="316">
        <v>3966.4</v>
      </c>
      <c r="U408" s="316"/>
      <c r="V408" s="316"/>
      <c r="W408" s="316"/>
      <c r="X408" s="316">
        <v>490</v>
      </c>
      <c r="Y408" s="316">
        <v>624</v>
      </c>
      <c r="Z408" s="316">
        <f t="shared" si="31"/>
        <v>4590.3999999999996</v>
      </c>
      <c r="AA408" s="316">
        <v>37.18</v>
      </c>
      <c r="AB408" s="316">
        <v>588</v>
      </c>
      <c r="AC408" s="316">
        <v>-159.5</v>
      </c>
      <c r="AD408" s="316">
        <v>624</v>
      </c>
      <c r="AE408" s="316">
        <v>200.01</v>
      </c>
      <c r="AF408" s="316">
        <v>1125</v>
      </c>
      <c r="AG408" s="317">
        <f t="shared" si="32"/>
        <v>2041.7099999999991</v>
      </c>
      <c r="AH408" s="301">
        <v>44251</v>
      </c>
      <c r="AI408" s="149" t="s">
        <v>108</v>
      </c>
      <c r="AJ408" s="132" t="s">
        <v>226</v>
      </c>
    </row>
    <row r="409" spans="1:36" x14ac:dyDescent="0.2">
      <c r="R409" s="314" t="s">
        <v>26</v>
      </c>
      <c r="S409" s="315" t="s">
        <v>70</v>
      </c>
      <c r="T409" s="316">
        <v>1023.5</v>
      </c>
      <c r="U409" s="316"/>
      <c r="V409" s="316"/>
      <c r="W409" s="316"/>
      <c r="X409" s="316">
        <v>50</v>
      </c>
      <c r="Y409" s="316"/>
      <c r="Z409" s="316">
        <f t="shared" si="31"/>
        <v>1023.5</v>
      </c>
      <c r="AA409" s="316">
        <v>10.234999999999999</v>
      </c>
      <c r="AB409" s="316"/>
      <c r="AC409" s="316"/>
      <c r="AD409" s="316"/>
      <c r="AE409" s="316">
        <v>58.14</v>
      </c>
      <c r="AF409" s="316">
        <v>200</v>
      </c>
      <c r="AG409" s="317">
        <f t="shared" si="32"/>
        <v>805.12500000000011</v>
      </c>
      <c r="AH409" s="301">
        <v>44251</v>
      </c>
      <c r="AI409" s="149" t="s">
        <v>108</v>
      </c>
      <c r="AJ409" s="132" t="s">
        <v>226</v>
      </c>
    </row>
    <row r="410" spans="1:36" x14ac:dyDescent="0.2">
      <c r="R410" s="314" t="s">
        <v>3</v>
      </c>
      <c r="S410" s="315" t="s">
        <v>71</v>
      </c>
      <c r="T410" s="316">
        <v>1343.5</v>
      </c>
      <c r="U410" s="316"/>
      <c r="V410" s="316"/>
      <c r="W410" s="316"/>
      <c r="X410" s="316">
        <v>50</v>
      </c>
      <c r="Y410" s="316"/>
      <c r="Z410" s="316">
        <f t="shared" si="31"/>
        <v>1343.5</v>
      </c>
      <c r="AA410" s="316">
        <v>13.435</v>
      </c>
      <c r="AB410" s="316"/>
      <c r="AC410" s="316"/>
      <c r="AD410" s="316"/>
      <c r="AE410" s="316">
        <v>76.3</v>
      </c>
      <c r="AF410" s="316"/>
      <c r="AG410" s="317">
        <f t="shared" si="32"/>
        <v>1303.7650000000001</v>
      </c>
      <c r="AH410" s="301">
        <v>44251</v>
      </c>
      <c r="AI410" s="149" t="s">
        <v>108</v>
      </c>
      <c r="AJ410" s="132" t="s">
        <v>226</v>
      </c>
    </row>
    <row r="411" spans="1:36" x14ac:dyDescent="0.2">
      <c r="R411" s="314" t="s">
        <v>31</v>
      </c>
      <c r="S411" s="315" t="s">
        <v>72</v>
      </c>
      <c r="T411" s="316">
        <v>1300</v>
      </c>
      <c r="U411" s="316"/>
      <c r="V411" s="316"/>
      <c r="W411" s="316">
        <v>0</v>
      </c>
      <c r="X411" s="316">
        <v>50</v>
      </c>
      <c r="Y411" s="316"/>
      <c r="Z411" s="316">
        <f t="shared" si="31"/>
        <v>1300</v>
      </c>
      <c r="AA411" s="316">
        <v>13</v>
      </c>
      <c r="AB411" s="316"/>
      <c r="AC411" s="316"/>
      <c r="AD411" s="316"/>
      <c r="AE411" s="316">
        <v>67.78</v>
      </c>
      <c r="AF411" s="316"/>
      <c r="AG411" s="317">
        <f t="shared" si="32"/>
        <v>1269.22</v>
      </c>
      <c r="AH411" s="301">
        <v>44251</v>
      </c>
      <c r="AI411" s="149" t="s">
        <v>108</v>
      </c>
      <c r="AJ411" s="132" t="s">
        <v>226</v>
      </c>
    </row>
    <row r="412" spans="1:36" x14ac:dyDescent="0.2">
      <c r="R412" s="314" t="s">
        <v>69</v>
      </c>
      <c r="S412" s="315" t="s">
        <v>73</v>
      </c>
      <c r="T412" s="316">
        <v>1000</v>
      </c>
      <c r="U412" s="316"/>
      <c r="V412" s="316"/>
      <c r="W412" s="316"/>
      <c r="X412" s="316"/>
      <c r="Y412" s="316"/>
      <c r="Z412" s="316">
        <f t="shared" si="31"/>
        <v>1000</v>
      </c>
      <c r="AA412" s="316">
        <v>10</v>
      </c>
      <c r="AB412" s="316"/>
      <c r="AC412" s="316"/>
      <c r="AD412" s="316"/>
      <c r="AE412" s="316"/>
      <c r="AF412" s="316"/>
      <c r="AG412" s="317">
        <f t="shared" si="32"/>
        <v>990</v>
      </c>
      <c r="AH412" s="301">
        <v>44251</v>
      </c>
      <c r="AI412" s="149" t="s">
        <v>108</v>
      </c>
      <c r="AJ412" s="132" t="s">
        <v>226</v>
      </c>
    </row>
    <row r="413" spans="1:36" x14ac:dyDescent="0.2">
      <c r="R413" s="314" t="s">
        <v>79</v>
      </c>
      <c r="S413" s="315" t="s">
        <v>91</v>
      </c>
      <c r="T413" s="316">
        <v>1500</v>
      </c>
      <c r="U413" s="316"/>
      <c r="V413" s="316"/>
      <c r="W413" s="316"/>
      <c r="X413" s="316"/>
      <c r="Y413" s="316"/>
      <c r="Z413" s="316">
        <f t="shared" si="31"/>
        <v>1500</v>
      </c>
      <c r="AA413" s="316">
        <v>15</v>
      </c>
      <c r="AB413" s="316"/>
      <c r="AC413" s="316"/>
      <c r="AD413" s="316"/>
      <c r="AE413" s="316"/>
      <c r="AF413" s="316"/>
      <c r="AG413" s="317">
        <f t="shared" si="32"/>
        <v>1485</v>
      </c>
      <c r="AH413" s="301">
        <v>44251</v>
      </c>
      <c r="AI413" s="149" t="s">
        <v>108</v>
      </c>
      <c r="AJ413" s="132" t="s">
        <v>226</v>
      </c>
    </row>
    <row r="414" spans="1:36" s="162" customFormat="1" x14ac:dyDescent="0.2">
      <c r="A414" s="350"/>
      <c r="B414" s="350"/>
      <c r="C414" s="77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R414" s="314" t="s">
        <v>8</v>
      </c>
      <c r="S414" s="318" t="s">
        <v>96</v>
      </c>
      <c r="T414" s="316">
        <v>13502</v>
      </c>
      <c r="U414" s="316"/>
      <c r="V414" s="316"/>
      <c r="W414" s="316"/>
      <c r="X414" s="316"/>
      <c r="Y414" s="316">
        <v>5624</v>
      </c>
      <c r="Z414" s="316">
        <f t="shared" si="31"/>
        <v>19126</v>
      </c>
      <c r="AA414" s="316"/>
      <c r="AB414" s="316">
        <v>2355</v>
      </c>
      <c r="AC414" s="316">
        <v>-853</v>
      </c>
      <c r="AD414" s="316"/>
      <c r="AE414" s="316"/>
      <c r="AF414" s="316"/>
      <c r="AG414" s="317">
        <f>T414-AB414-AC414</f>
        <v>12000</v>
      </c>
      <c r="AH414" s="170"/>
      <c r="AI414" s="170"/>
      <c r="AJ414" s="161"/>
    </row>
    <row r="415" spans="1:36" s="162" customFormat="1" x14ac:dyDescent="0.2">
      <c r="A415" s="350"/>
      <c r="B415" s="350"/>
      <c r="C415" s="77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R415" s="314" t="s">
        <v>27</v>
      </c>
      <c r="S415" s="318" t="s">
        <v>97</v>
      </c>
      <c r="T415" s="316">
        <v>13717</v>
      </c>
      <c r="U415" s="316"/>
      <c r="V415" s="316"/>
      <c r="W415" s="316"/>
      <c r="X415" s="316"/>
      <c r="Y415" s="316">
        <v>5409</v>
      </c>
      <c r="Z415" s="316">
        <f t="shared" si="31"/>
        <v>19126</v>
      </c>
      <c r="AA415" s="316"/>
      <c r="AB415" s="316">
        <v>2355</v>
      </c>
      <c r="AC415" s="316">
        <v>-638</v>
      </c>
      <c r="AD415" s="316"/>
      <c r="AE415" s="316"/>
      <c r="AF415" s="316"/>
      <c r="AG415" s="317">
        <f>T415-AB415-AC415</f>
        <v>12000</v>
      </c>
      <c r="AH415" s="170"/>
      <c r="AI415" s="170"/>
      <c r="AJ415" s="161"/>
    </row>
    <row r="416" spans="1:36" s="162" customFormat="1" ht="13.5" thickBot="1" x14ac:dyDescent="0.25">
      <c r="A416" s="350"/>
      <c r="B416" s="350"/>
      <c r="C416" s="77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R416" s="319" t="s">
        <v>6</v>
      </c>
      <c r="S416" s="320" t="s">
        <v>98</v>
      </c>
      <c r="T416" s="321">
        <v>12643.72</v>
      </c>
      <c r="U416" s="321"/>
      <c r="V416" s="321"/>
      <c r="W416" s="321"/>
      <c r="X416" s="321"/>
      <c r="Y416" s="321">
        <v>2812</v>
      </c>
      <c r="Z416" s="316">
        <f t="shared" si="31"/>
        <v>15455.72</v>
      </c>
      <c r="AA416" s="321">
        <v>148.72</v>
      </c>
      <c r="AB416" s="321">
        <v>1536</v>
      </c>
      <c r="AC416" s="321">
        <v>-853</v>
      </c>
      <c r="AD416" s="321">
        <v>2812</v>
      </c>
      <c r="AE416" s="321"/>
      <c r="AF416" s="321"/>
      <c r="AG416" s="322">
        <f>T416-AB416-AC416-AA416-AD416</f>
        <v>9000</v>
      </c>
      <c r="AH416" s="170"/>
      <c r="AI416" s="170"/>
      <c r="AJ416" s="161"/>
    </row>
    <row r="417" spans="20:33" ht="13.5" thickBot="1" x14ac:dyDescent="0.25">
      <c r="T417" s="340">
        <f t="shared" ref="T417:AG417" si="33">SUM(T4:T416)</f>
        <v>1048921.7400000007</v>
      </c>
      <c r="U417" s="340">
        <f t="shared" si="33"/>
        <v>32550.190000000002</v>
      </c>
      <c r="V417" s="349">
        <f t="shared" si="33"/>
        <v>49382.329999999994</v>
      </c>
      <c r="W417" s="349">
        <f t="shared" si="33"/>
        <v>110413.10000000003</v>
      </c>
      <c r="X417" s="349">
        <f t="shared" si="33"/>
        <v>30870</v>
      </c>
      <c r="Y417" s="349">
        <f t="shared" si="33"/>
        <v>196092</v>
      </c>
      <c r="Z417" s="349">
        <f t="shared" si="33"/>
        <v>1361246.8399999987</v>
      </c>
      <c r="AA417" s="349">
        <f t="shared" si="33"/>
        <v>8651.4707000000035</v>
      </c>
      <c r="AB417" s="349">
        <f t="shared" si="33"/>
        <v>127181</v>
      </c>
      <c r="AC417" s="349">
        <f t="shared" si="33"/>
        <v>-35782.5</v>
      </c>
      <c r="AD417" s="349">
        <f t="shared" si="33"/>
        <v>63696</v>
      </c>
      <c r="AE417" s="349">
        <f t="shared" si="33"/>
        <v>20309.074999999975</v>
      </c>
      <c r="AF417" s="349">
        <f t="shared" si="33"/>
        <v>63800</v>
      </c>
      <c r="AG417" s="349">
        <f t="shared" si="33"/>
        <v>1024282.3142999993</v>
      </c>
    </row>
    <row r="418" spans="20:33" ht="14.25" thickTop="1" thickBot="1" x14ac:dyDescent="0.25">
      <c r="T418" s="449">
        <f>SUM(T417:U417)-V417</f>
        <v>1032089.6000000007</v>
      </c>
      <c r="U418" s="450"/>
    </row>
    <row r="419" spans="20:33" ht="13.5" thickTop="1" x14ac:dyDescent="0.2"/>
  </sheetData>
  <mergeCells count="6">
    <mergeCell ref="T418:U418"/>
    <mergeCell ref="C1:P1"/>
    <mergeCell ref="A24:E24"/>
    <mergeCell ref="C38:D38"/>
    <mergeCell ref="E38:E39"/>
    <mergeCell ref="C39:D3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zoomScaleNormal="100" workbookViewId="0">
      <selection activeCell="I91" sqref="I91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7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93" t="s">
        <v>114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s="24" customFormat="1" ht="6.75" customHeight="1" x14ac:dyDescent="0.2">
      <c r="B2" s="25"/>
      <c r="C2" s="26"/>
      <c r="D2" s="26"/>
      <c r="E2" s="27"/>
      <c r="F2" s="53"/>
      <c r="G2" s="27"/>
      <c r="H2" s="27"/>
      <c r="I2" s="27"/>
    </row>
    <row r="3" spans="1:10" ht="19.5" customHeight="1" x14ac:dyDescent="0.2">
      <c r="A3" s="38"/>
      <c r="B3" s="20" t="s">
        <v>21</v>
      </c>
      <c r="C3" s="39" t="s">
        <v>40</v>
      </c>
      <c r="D3" s="33"/>
      <c r="E3" s="12"/>
      <c r="F3" s="54"/>
      <c r="G3" s="12"/>
      <c r="H3" s="12"/>
      <c r="I3" s="12"/>
    </row>
    <row r="4" spans="1:10" ht="19.5" customHeight="1" x14ac:dyDescent="0.2">
      <c r="B4" s="20" t="s">
        <v>23</v>
      </c>
      <c r="C4" s="394">
        <v>43922</v>
      </c>
      <c r="D4" s="395"/>
      <c r="E4" s="12"/>
      <c r="F4" s="54"/>
      <c r="G4" s="12"/>
      <c r="H4" s="12"/>
      <c r="I4" s="12"/>
    </row>
    <row r="5" spans="1:10" ht="4.5" customHeight="1" x14ac:dyDescent="0.45">
      <c r="B5" s="2"/>
      <c r="C5" s="17"/>
      <c r="D5" s="17"/>
      <c r="E5" s="396"/>
      <c r="F5" s="396"/>
      <c r="G5" s="3"/>
      <c r="H5" s="4"/>
      <c r="I5" s="4"/>
    </row>
    <row r="6" spans="1:10" s="128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</row>
    <row r="7" spans="1:10" x14ac:dyDescent="0.2">
      <c r="B7" s="18" t="s">
        <v>25</v>
      </c>
      <c r="C7" s="19" t="s">
        <v>13</v>
      </c>
      <c r="D7" s="40"/>
      <c r="E7" s="66">
        <v>2041.71</v>
      </c>
      <c r="G7" s="56"/>
    </row>
    <row r="8" spans="1:10" x14ac:dyDescent="0.2">
      <c r="B8" s="36" t="s">
        <v>26</v>
      </c>
      <c r="C8" s="22" t="s">
        <v>24</v>
      </c>
      <c r="D8" s="41"/>
      <c r="E8" s="66">
        <v>1005.13</v>
      </c>
      <c r="F8" s="59"/>
      <c r="G8" s="126"/>
      <c r="H8" s="45"/>
    </row>
    <row r="9" spans="1:10" x14ac:dyDescent="0.2">
      <c r="B9" s="36" t="s">
        <v>3</v>
      </c>
      <c r="C9" s="22" t="s">
        <v>12</v>
      </c>
      <c r="D9" s="41"/>
      <c r="E9" s="66">
        <v>1303.77</v>
      </c>
      <c r="F9" s="59"/>
      <c r="G9" s="127"/>
    </row>
    <row r="10" spans="1:10" x14ac:dyDescent="0.2">
      <c r="B10" s="13" t="s">
        <v>31</v>
      </c>
      <c r="C10" s="16" t="s">
        <v>11</v>
      </c>
      <c r="D10" s="42"/>
      <c r="E10" s="67">
        <v>1269.22</v>
      </c>
    </row>
    <row r="11" spans="1:10" x14ac:dyDescent="0.2">
      <c r="B11" s="68" t="s">
        <v>69</v>
      </c>
      <c r="C11" s="72" t="s">
        <v>30</v>
      </c>
      <c r="D11" s="69"/>
      <c r="E11" s="70">
        <v>990</v>
      </c>
      <c r="G11" s="56"/>
      <c r="I11" s="188"/>
      <c r="J11" s="188"/>
    </row>
    <row r="12" spans="1:10" x14ac:dyDescent="0.2">
      <c r="B12" s="68" t="s">
        <v>79</v>
      </c>
      <c r="C12" s="72" t="s">
        <v>80</v>
      </c>
      <c r="D12" s="69"/>
      <c r="E12" s="70">
        <v>1137.5</v>
      </c>
      <c r="G12" s="56"/>
      <c r="I12" s="188"/>
      <c r="J12" s="188"/>
    </row>
    <row r="13" spans="1:10" ht="13.5" thickBot="1" x14ac:dyDescent="0.25">
      <c r="B13" s="71" t="s">
        <v>100</v>
      </c>
      <c r="C13" s="73" t="s">
        <v>103</v>
      </c>
      <c r="D13" s="50"/>
      <c r="E13" s="29">
        <v>1237.5</v>
      </c>
      <c r="G13" s="166"/>
      <c r="I13" s="188"/>
      <c r="J13" s="188"/>
    </row>
    <row r="14" spans="1:10" s="4" customFormat="1" ht="13.5" thickBot="1" x14ac:dyDescent="0.25">
      <c r="B14" s="46"/>
      <c r="C14" s="47"/>
      <c r="D14" s="48"/>
      <c r="E14" s="49">
        <f>SUM(E7:E13)</f>
        <v>8984.8300000000017</v>
      </c>
      <c r="F14" s="58"/>
      <c r="G14" s="64"/>
    </row>
    <row r="15" spans="1:10" ht="13.5" thickBot="1" x14ac:dyDescent="0.25">
      <c r="B15" s="74" t="s">
        <v>29</v>
      </c>
      <c r="C15" s="75" t="s">
        <v>5</v>
      </c>
      <c r="D15" s="75"/>
      <c r="E15" s="76">
        <v>1125</v>
      </c>
    </row>
    <row r="16" spans="1:10" ht="13.5" thickBot="1" x14ac:dyDescent="0.25">
      <c r="B16" s="10"/>
      <c r="C16" s="28" t="s">
        <v>0</v>
      </c>
      <c r="D16" s="28"/>
      <c r="E16" s="30">
        <f>SUM(E14:E15)</f>
        <v>10109.830000000002</v>
      </c>
    </row>
    <row r="17" spans="1:10" x14ac:dyDescent="0.2">
      <c r="B17" s="10"/>
      <c r="C17" s="28"/>
      <c r="D17" s="28"/>
      <c r="E17" s="52"/>
    </row>
    <row r="18" spans="1:10" x14ac:dyDescent="0.2">
      <c r="B18" s="10" t="s">
        <v>111</v>
      </c>
      <c r="C18" s="182" t="s">
        <v>112</v>
      </c>
      <c r="D18" s="28"/>
      <c r="E18" s="177">
        <v>3000</v>
      </c>
    </row>
    <row r="19" spans="1:10" x14ac:dyDescent="0.2">
      <c r="B19" s="10"/>
      <c r="C19" s="28"/>
      <c r="D19" s="28"/>
      <c r="E19" s="52"/>
    </row>
    <row r="20" spans="1:10" s="24" customFormat="1" ht="6.75" customHeight="1" x14ac:dyDescent="0.2">
      <c r="B20" s="25"/>
      <c r="C20" s="26"/>
      <c r="D20" s="26"/>
      <c r="E20" s="27"/>
      <c r="F20" s="53"/>
      <c r="G20" s="27"/>
      <c r="H20" s="27"/>
      <c r="I20" s="27"/>
    </row>
    <row r="21" spans="1:10" ht="19.5" customHeight="1" x14ac:dyDescent="0.2">
      <c r="A21" s="38"/>
      <c r="B21" s="20" t="s">
        <v>21</v>
      </c>
      <c r="C21" s="39" t="s">
        <v>41</v>
      </c>
      <c r="D21" s="33"/>
      <c r="E21" s="12"/>
      <c r="F21" s="54"/>
      <c r="G21" s="12"/>
      <c r="H21" s="12"/>
      <c r="I21" s="12"/>
    </row>
    <row r="22" spans="1:10" ht="19.5" customHeight="1" x14ac:dyDescent="0.2">
      <c r="B22" s="20" t="s">
        <v>23</v>
      </c>
      <c r="C22" s="395">
        <v>43929</v>
      </c>
      <c r="D22" s="395"/>
      <c r="E22" s="12"/>
      <c r="F22" s="54"/>
      <c r="G22" s="12"/>
      <c r="H22" s="12"/>
      <c r="I22" s="12"/>
    </row>
    <row r="23" spans="1:10" ht="4.5" customHeight="1" x14ac:dyDescent="0.45">
      <c r="B23" s="2"/>
      <c r="C23" s="17"/>
      <c r="D23" s="17"/>
      <c r="E23" s="396"/>
      <c r="F23" s="396"/>
      <c r="G23" s="3"/>
      <c r="H23" s="4"/>
      <c r="I23" s="4"/>
    </row>
    <row r="24" spans="1:10" s="128" customFormat="1" ht="13.5" thickBot="1" x14ac:dyDescent="0.25">
      <c r="B24" s="21" t="s">
        <v>22</v>
      </c>
      <c r="C24" s="44" t="s">
        <v>1</v>
      </c>
      <c r="D24" s="44"/>
      <c r="E24" s="23" t="s">
        <v>2</v>
      </c>
      <c r="F24" s="55"/>
    </row>
    <row r="25" spans="1:10" x14ac:dyDescent="0.2">
      <c r="B25" s="18" t="s">
        <v>25</v>
      </c>
      <c r="C25" s="19" t="s">
        <v>13</v>
      </c>
      <c r="D25" s="40"/>
      <c r="E25" s="66">
        <v>2041.71</v>
      </c>
      <c r="F25" s="59"/>
      <c r="G25" s="56"/>
    </row>
    <row r="26" spans="1:10" x14ac:dyDescent="0.2">
      <c r="B26" s="36" t="s">
        <v>26</v>
      </c>
      <c r="C26" s="22" t="s">
        <v>24</v>
      </c>
      <c r="D26" s="41"/>
      <c r="E26" s="66">
        <v>1005.13</v>
      </c>
      <c r="F26" s="59"/>
      <c r="G26" s="65"/>
      <c r="H26" s="45"/>
    </row>
    <row r="27" spans="1:10" x14ac:dyDescent="0.2">
      <c r="B27" s="36" t="s">
        <v>3</v>
      </c>
      <c r="C27" s="22" t="s">
        <v>12</v>
      </c>
      <c r="D27" s="41"/>
      <c r="E27" s="66">
        <v>1303.77</v>
      </c>
      <c r="F27" s="59"/>
    </row>
    <row r="28" spans="1:10" x14ac:dyDescent="0.2">
      <c r="B28" s="13" t="s">
        <v>31</v>
      </c>
      <c r="C28" s="16" t="s">
        <v>11</v>
      </c>
      <c r="D28" s="42"/>
      <c r="E28" s="67">
        <v>1269.22</v>
      </c>
    </row>
    <row r="29" spans="1:10" x14ac:dyDescent="0.2">
      <c r="B29" s="68" t="s">
        <v>69</v>
      </c>
      <c r="C29" s="72" t="s">
        <v>30</v>
      </c>
      <c r="D29" s="69"/>
      <c r="E29" s="70">
        <v>990</v>
      </c>
      <c r="G29" s="59"/>
      <c r="I29" s="188"/>
      <c r="J29" s="188"/>
    </row>
    <row r="30" spans="1:10" x14ac:dyDescent="0.2">
      <c r="B30" s="68" t="s">
        <v>79</v>
      </c>
      <c r="C30" s="72" t="s">
        <v>80</v>
      </c>
      <c r="D30" s="69"/>
      <c r="E30" s="70">
        <v>1137.5</v>
      </c>
      <c r="G30" s="59"/>
      <c r="I30" s="188"/>
      <c r="J30" s="188"/>
    </row>
    <row r="31" spans="1:10" ht="12" customHeight="1" thickBot="1" x14ac:dyDescent="0.25">
      <c r="B31" s="71" t="s">
        <v>100</v>
      </c>
      <c r="C31" s="73" t="s">
        <v>103</v>
      </c>
      <c r="D31" s="50"/>
      <c r="E31" s="29">
        <v>1237.5</v>
      </c>
      <c r="F31" s="57"/>
      <c r="G31" s="166"/>
      <c r="H31" s="45"/>
      <c r="I31" s="392"/>
      <c r="J31" s="392"/>
    </row>
    <row r="32" spans="1:10" s="4" customFormat="1" ht="13.5" thickBot="1" x14ac:dyDescent="0.25">
      <c r="B32" s="46"/>
      <c r="C32" s="47"/>
      <c r="D32" s="48"/>
      <c r="E32" s="49">
        <f>SUM(E25:E31)</f>
        <v>8984.8300000000017</v>
      </c>
      <c r="F32" s="58"/>
      <c r="G32" s="64"/>
    </row>
    <row r="33" spans="1:10" ht="13.5" thickBot="1" x14ac:dyDescent="0.25">
      <c r="B33" s="74" t="s">
        <v>29</v>
      </c>
      <c r="C33" s="75" t="s">
        <v>5</v>
      </c>
      <c r="D33" s="75"/>
      <c r="E33" s="76">
        <v>1125</v>
      </c>
    </row>
    <row r="34" spans="1:10" ht="13.5" thickBot="1" x14ac:dyDescent="0.25">
      <c r="B34" s="10"/>
      <c r="C34" s="28" t="s">
        <v>0</v>
      </c>
      <c r="D34" s="28"/>
      <c r="E34" s="30">
        <f>SUM(E32:E33)</f>
        <v>10109.830000000002</v>
      </c>
    </row>
    <row r="35" spans="1:10" x14ac:dyDescent="0.2">
      <c r="B35" s="10"/>
      <c r="C35" s="28"/>
      <c r="D35" s="28"/>
      <c r="E35" s="52"/>
    </row>
    <row r="36" spans="1:10" x14ac:dyDescent="0.2">
      <c r="B36" s="10" t="s">
        <v>111</v>
      </c>
      <c r="C36" s="182" t="s">
        <v>112</v>
      </c>
      <c r="D36" s="28"/>
      <c r="E36" s="177">
        <v>3000</v>
      </c>
    </row>
    <row r="37" spans="1:10" x14ac:dyDescent="0.2">
      <c r="B37" s="10"/>
      <c r="C37" s="28"/>
      <c r="D37" s="28"/>
      <c r="E37" s="52"/>
    </row>
    <row r="38" spans="1:10" s="24" customFormat="1" ht="6.75" customHeight="1" x14ac:dyDescent="0.2">
      <c r="B38" s="25"/>
      <c r="C38" s="26"/>
      <c r="D38" s="26"/>
      <c r="E38" s="27"/>
      <c r="F38" s="53"/>
      <c r="G38" s="27"/>
      <c r="H38" s="27"/>
      <c r="I38" s="27"/>
    </row>
    <row r="39" spans="1:10" ht="19.5" customHeight="1" x14ac:dyDescent="0.2">
      <c r="A39" s="38"/>
      <c r="B39" s="20" t="s">
        <v>21</v>
      </c>
      <c r="C39" s="39" t="s">
        <v>42</v>
      </c>
      <c r="D39" s="33"/>
      <c r="E39" s="12"/>
      <c r="F39" s="54"/>
      <c r="G39" s="12"/>
      <c r="H39" s="12"/>
      <c r="I39" s="12"/>
    </row>
    <row r="40" spans="1:10" ht="19.5" customHeight="1" x14ac:dyDescent="0.2">
      <c r="B40" s="20" t="s">
        <v>23</v>
      </c>
      <c r="C40" s="395">
        <v>43936</v>
      </c>
      <c r="D40" s="395"/>
      <c r="E40" s="12"/>
      <c r="F40" s="54"/>
      <c r="G40" s="12"/>
      <c r="H40" s="12"/>
      <c r="I40" s="12"/>
    </row>
    <row r="41" spans="1:10" ht="4.5" customHeight="1" x14ac:dyDescent="0.45">
      <c r="B41" s="2"/>
      <c r="C41" s="17"/>
      <c r="D41" s="17"/>
      <c r="E41" s="396"/>
      <c r="F41" s="396"/>
      <c r="G41" s="3"/>
      <c r="H41" s="4"/>
      <c r="I41" s="4"/>
    </row>
    <row r="42" spans="1:10" s="128" customFormat="1" ht="13.5" thickBot="1" x14ac:dyDescent="0.25">
      <c r="B42" s="21" t="s">
        <v>22</v>
      </c>
      <c r="C42" s="44" t="s">
        <v>1</v>
      </c>
      <c r="D42" s="44"/>
      <c r="E42" s="23" t="s">
        <v>2</v>
      </c>
      <c r="F42" s="55"/>
    </row>
    <row r="43" spans="1:10" x14ac:dyDescent="0.2">
      <c r="B43" s="18" t="s">
        <v>25</v>
      </c>
      <c r="C43" s="19" t="s">
        <v>13</v>
      </c>
      <c r="D43" s="40"/>
      <c r="E43" s="66">
        <v>2041.71</v>
      </c>
      <c r="F43" s="59"/>
      <c r="G43" s="56"/>
    </row>
    <row r="44" spans="1:10" x14ac:dyDescent="0.2">
      <c r="B44" s="36" t="s">
        <v>26</v>
      </c>
      <c r="C44" s="22" t="s">
        <v>24</v>
      </c>
      <c r="D44" s="41"/>
      <c r="E44" s="66">
        <v>1005.13</v>
      </c>
      <c r="F44" s="59"/>
      <c r="G44" s="65"/>
      <c r="H44" s="45"/>
    </row>
    <row r="45" spans="1:10" x14ac:dyDescent="0.2">
      <c r="B45" s="36" t="s">
        <v>3</v>
      </c>
      <c r="C45" s="22" t="s">
        <v>12</v>
      </c>
      <c r="D45" s="41"/>
      <c r="E45" s="66">
        <v>1303.77</v>
      </c>
      <c r="F45" s="59"/>
    </row>
    <row r="46" spans="1:10" x14ac:dyDescent="0.2">
      <c r="B46" s="13" t="s">
        <v>31</v>
      </c>
      <c r="C46" s="16" t="s">
        <v>11</v>
      </c>
      <c r="D46" s="42"/>
      <c r="E46" s="67">
        <v>1269.22</v>
      </c>
    </row>
    <row r="47" spans="1:10" x14ac:dyDescent="0.2">
      <c r="B47" s="68" t="s">
        <v>69</v>
      </c>
      <c r="C47" s="72" t="s">
        <v>30</v>
      </c>
      <c r="D47" s="69"/>
      <c r="E47" s="70">
        <v>990</v>
      </c>
      <c r="G47" s="59"/>
      <c r="I47" s="188"/>
      <c r="J47" s="188"/>
    </row>
    <row r="48" spans="1:10" x14ac:dyDescent="0.2">
      <c r="B48" s="68" t="s">
        <v>79</v>
      </c>
      <c r="C48" s="72" t="s">
        <v>80</v>
      </c>
      <c r="D48" s="69"/>
      <c r="E48" s="70">
        <v>1237.5</v>
      </c>
      <c r="G48" s="59"/>
      <c r="I48" s="188"/>
      <c r="J48" s="188"/>
    </row>
    <row r="49" spans="1:10" ht="12" customHeight="1" thickBot="1" x14ac:dyDescent="0.25">
      <c r="B49" s="71" t="s">
        <v>100</v>
      </c>
      <c r="C49" s="73" t="s">
        <v>103</v>
      </c>
      <c r="D49" s="50"/>
      <c r="E49" s="29">
        <v>1237.5</v>
      </c>
      <c r="F49" s="57"/>
      <c r="G49" s="166"/>
      <c r="H49" s="45"/>
      <c r="I49" s="392"/>
      <c r="J49" s="392"/>
    </row>
    <row r="50" spans="1:10" s="4" customFormat="1" ht="13.5" thickBot="1" x14ac:dyDescent="0.25">
      <c r="B50" s="46"/>
      <c r="C50" s="47"/>
      <c r="D50" s="48"/>
      <c r="E50" s="49">
        <f>SUM(E43:E49)</f>
        <v>9084.8300000000017</v>
      </c>
      <c r="F50" s="58"/>
      <c r="G50" s="64"/>
    </row>
    <row r="51" spans="1:10" ht="13.5" thickBot="1" x14ac:dyDescent="0.25">
      <c r="B51" s="74" t="s">
        <v>29</v>
      </c>
      <c r="C51" s="75" t="s">
        <v>5</v>
      </c>
      <c r="D51" s="75"/>
      <c r="E51" s="76">
        <v>1125</v>
      </c>
    </row>
    <row r="52" spans="1:10" ht="13.5" thickBot="1" x14ac:dyDescent="0.25">
      <c r="B52" s="10"/>
      <c r="C52" s="28" t="s">
        <v>0</v>
      </c>
      <c r="D52" s="28"/>
      <c r="E52" s="30">
        <f>SUM(E50:E51)</f>
        <v>10209.830000000002</v>
      </c>
    </row>
    <row r="53" spans="1:10" x14ac:dyDescent="0.2">
      <c r="B53" s="10" t="s">
        <v>111</v>
      </c>
      <c r="C53" s="182" t="s">
        <v>112</v>
      </c>
      <c r="D53" s="28"/>
      <c r="E53" s="177">
        <v>3000</v>
      </c>
    </row>
    <row r="54" spans="1:10" x14ac:dyDescent="0.2">
      <c r="B54" s="10"/>
      <c r="C54" s="28"/>
      <c r="D54" s="28"/>
      <c r="E54" s="52"/>
    </row>
    <row r="55" spans="1:10" s="24" customFormat="1" ht="6.75" customHeight="1" x14ac:dyDescent="0.2">
      <c r="B55" s="25"/>
      <c r="C55" s="26"/>
      <c r="D55" s="26"/>
      <c r="E55" s="27"/>
      <c r="F55" s="53"/>
      <c r="G55" s="27"/>
      <c r="H55" s="27"/>
      <c r="I55" s="27"/>
    </row>
    <row r="56" spans="1:10" ht="19.5" customHeight="1" x14ac:dyDescent="0.2">
      <c r="A56" s="38"/>
      <c r="B56" s="20" t="s">
        <v>21</v>
      </c>
      <c r="C56" s="39" t="s">
        <v>43</v>
      </c>
      <c r="D56" s="33"/>
      <c r="E56" s="12"/>
      <c r="F56" s="54"/>
      <c r="G56" s="12"/>
      <c r="H56" s="12"/>
      <c r="I56" s="12"/>
    </row>
    <row r="57" spans="1:10" ht="19.5" customHeight="1" x14ac:dyDescent="0.2">
      <c r="B57" s="20" t="s">
        <v>23</v>
      </c>
      <c r="C57" s="395">
        <v>43943</v>
      </c>
      <c r="D57" s="395"/>
      <c r="E57" s="12"/>
      <c r="F57" s="54"/>
      <c r="G57" s="12"/>
      <c r="H57" s="12"/>
      <c r="I57" s="12"/>
    </row>
    <row r="58" spans="1:10" ht="4.5" customHeight="1" x14ac:dyDescent="0.45">
      <c r="B58" s="2"/>
      <c r="C58" s="17"/>
      <c r="D58" s="17"/>
      <c r="E58" s="396"/>
      <c r="F58" s="396"/>
      <c r="G58" s="3"/>
      <c r="H58" s="4"/>
      <c r="I58" s="4"/>
    </row>
    <row r="59" spans="1:10" s="128" customFormat="1" ht="13.5" thickBot="1" x14ac:dyDescent="0.25">
      <c r="B59" s="21" t="s">
        <v>22</v>
      </c>
      <c r="C59" s="44" t="s">
        <v>1</v>
      </c>
      <c r="D59" s="44"/>
      <c r="E59" s="23" t="s">
        <v>2</v>
      </c>
      <c r="F59" s="55"/>
    </row>
    <row r="60" spans="1:10" x14ac:dyDescent="0.2">
      <c r="B60" s="18" t="s">
        <v>25</v>
      </c>
      <c r="C60" s="19" t="s">
        <v>13</v>
      </c>
      <c r="D60" s="40"/>
      <c r="E60" s="66">
        <v>2041.71</v>
      </c>
      <c r="F60" s="59"/>
      <c r="G60" s="56"/>
    </row>
    <row r="61" spans="1:10" x14ac:dyDescent="0.2">
      <c r="B61" s="36" t="s">
        <v>26</v>
      </c>
      <c r="C61" s="22" t="s">
        <v>24</v>
      </c>
      <c r="D61" s="41"/>
      <c r="E61" s="66">
        <v>1005.13</v>
      </c>
      <c r="F61" s="59"/>
      <c r="G61" s="65" t="s">
        <v>115</v>
      </c>
      <c r="H61" s="45"/>
    </row>
    <row r="62" spans="1:10" x14ac:dyDescent="0.2">
      <c r="B62" s="36" t="s">
        <v>3</v>
      </c>
      <c r="C62" s="22" t="s">
        <v>12</v>
      </c>
      <c r="D62" s="41"/>
      <c r="E62" s="66">
        <v>1303.77</v>
      </c>
      <c r="F62" s="59"/>
    </row>
    <row r="63" spans="1:10" x14ac:dyDescent="0.2">
      <c r="B63" s="13" t="s">
        <v>31</v>
      </c>
      <c r="C63" s="16" t="s">
        <v>11</v>
      </c>
      <c r="D63" s="42"/>
      <c r="E63" s="67">
        <v>1269.22</v>
      </c>
    </row>
    <row r="64" spans="1:10" x14ac:dyDescent="0.2">
      <c r="B64" s="68" t="s">
        <v>69</v>
      </c>
      <c r="C64" s="72" t="s">
        <v>30</v>
      </c>
      <c r="D64" s="69"/>
      <c r="E64" s="70">
        <v>990</v>
      </c>
      <c r="G64" s="59"/>
      <c r="I64" s="188"/>
      <c r="J64" s="188"/>
    </row>
    <row r="65" spans="1:10" x14ac:dyDescent="0.2">
      <c r="B65" s="68" t="s">
        <v>79</v>
      </c>
      <c r="C65" s="72" t="s">
        <v>80</v>
      </c>
      <c r="D65" s="69"/>
      <c r="E65" s="70">
        <v>1237.5</v>
      </c>
      <c r="G65" s="59"/>
      <c r="I65" s="188"/>
      <c r="J65" s="188"/>
    </row>
    <row r="66" spans="1:10" ht="12" customHeight="1" thickBot="1" x14ac:dyDescent="0.25">
      <c r="B66" s="71" t="s">
        <v>100</v>
      </c>
      <c r="C66" s="73" t="s">
        <v>103</v>
      </c>
      <c r="D66" s="50"/>
      <c r="E66" s="29">
        <v>1237.5</v>
      </c>
      <c r="F66" s="57"/>
      <c r="G66" s="166"/>
      <c r="H66" s="45"/>
      <c r="I66" s="392"/>
      <c r="J66" s="392"/>
    </row>
    <row r="67" spans="1:10" s="4" customFormat="1" ht="13.5" thickBot="1" x14ac:dyDescent="0.25">
      <c r="B67" s="46"/>
      <c r="C67" s="47"/>
      <c r="D67" s="48"/>
      <c r="E67" s="49">
        <f>SUM(E60:E66)</f>
        <v>9084.8300000000017</v>
      </c>
      <c r="F67" s="58"/>
      <c r="G67" s="64"/>
    </row>
    <row r="68" spans="1:10" ht="13.5" thickBot="1" x14ac:dyDescent="0.25">
      <c r="B68" s="74" t="s">
        <v>29</v>
      </c>
      <c r="C68" s="75" t="s">
        <v>5</v>
      </c>
      <c r="D68" s="75"/>
      <c r="E68" s="76">
        <v>1125</v>
      </c>
    </row>
    <row r="69" spans="1:10" ht="13.5" thickBot="1" x14ac:dyDescent="0.25">
      <c r="B69" s="10"/>
      <c r="C69" s="28" t="s">
        <v>0</v>
      </c>
      <c r="D69" s="28"/>
      <c r="E69" s="30">
        <f>SUM(E67:E68)</f>
        <v>10209.830000000002</v>
      </c>
    </row>
    <row r="70" spans="1:10" x14ac:dyDescent="0.2">
      <c r="B70" s="10"/>
      <c r="C70" s="28"/>
      <c r="D70" s="28"/>
      <c r="E70" s="52"/>
    </row>
    <row r="71" spans="1:10" x14ac:dyDescent="0.2">
      <c r="B71" s="10" t="s">
        <v>111</v>
      </c>
      <c r="C71" s="182" t="s">
        <v>112</v>
      </c>
      <c r="D71" s="28"/>
      <c r="E71" s="177">
        <v>3000</v>
      </c>
    </row>
    <row r="72" spans="1:10" x14ac:dyDescent="0.2">
      <c r="B72" s="10"/>
      <c r="C72" s="28"/>
      <c r="D72" s="28"/>
      <c r="E72" s="52"/>
    </row>
    <row r="73" spans="1:10" s="24" customFormat="1" ht="6.75" customHeight="1" x14ac:dyDescent="0.2">
      <c r="B73" s="25"/>
      <c r="C73" s="26"/>
      <c r="D73" s="26"/>
      <c r="E73" s="27"/>
      <c r="F73" s="53"/>
      <c r="G73" s="27"/>
      <c r="H73" s="27"/>
      <c r="I73" s="27"/>
    </row>
    <row r="74" spans="1:10" ht="19.5" customHeight="1" x14ac:dyDescent="0.2">
      <c r="A74" s="38"/>
      <c r="B74" s="20" t="s">
        <v>21</v>
      </c>
      <c r="C74" s="39" t="s">
        <v>44</v>
      </c>
      <c r="D74" s="33"/>
      <c r="E74" s="12"/>
      <c r="F74" s="54"/>
      <c r="G74" s="12"/>
      <c r="H74" s="12"/>
      <c r="I74" s="12"/>
    </row>
    <row r="75" spans="1:10" ht="19.5" customHeight="1" x14ac:dyDescent="0.2">
      <c r="B75" s="20" t="s">
        <v>23</v>
      </c>
      <c r="C75" s="395">
        <v>43950</v>
      </c>
      <c r="D75" s="395"/>
      <c r="E75" s="12"/>
      <c r="F75" s="54"/>
      <c r="G75" s="12"/>
      <c r="H75" s="12"/>
      <c r="I75" s="12"/>
    </row>
    <row r="76" spans="1:10" ht="4.5" customHeight="1" x14ac:dyDescent="0.45">
      <c r="B76" s="2"/>
      <c r="C76" s="17"/>
      <c r="D76" s="17">
        <v>43887</v>
      </c>
      <c r="E76" s="396"/>
      <c r="F76" s="396"/>
      <c r="G76" s="3"/>
      <c r="H76" s="4"/>
      <c r="I76" s="4"/>
    </row>
    <row r="77" spans="1:10" s="128" customFormat="1" ht="13.5" thickBot="1" x14ac:dyDescent="0.25">
      <c r="B77" s="21" t="s">
        <v>22</v>
      </c>
      <c r="C77" s="44" t="s">
        <v>1</v>
      </c>
      <c r="D77" s="44"/>
      <c r="E77" s="23" t="s">
        <v>2</v>
      </c>
      <c r="F77" s="55"/>
    </row>
    <row r="78" spans="1:10" x14ac:dyDescent="0.2">
      <c r="B78" s="18" t="s">
        <v>25</v>
      </c>
      <c r="C78" s="19" t="s">
        <v>13</v>
      </c>
      <c r="D78" s="40"/>
      <c r="E78" s="66">
        <v>3303.21</v>
      </c>
      <c r="F78" s="59"/>
      <c r="G78" s="56"/>
    </row>
    <row r="79" spans="1:10" x14ac:dyDescent="0.2">
      <c r="B79" s="36" t="s">
        <v>26</v>
      </c>
      <c r="C79" s="22" t="s">
        <v>24</v>
      </c>
      <c r="D79" s="41"/>
      <c r="E79" s="66">
        <v>1005.13</v>
      </c>
      <c r="F79" s="59"/>
      <c r="G79" s="65"/>
      <c r="H79" s="45"/>
    </row>
    <row r="80" spans="1:10" x14ac:dyDescent="0.2">
      <c r="B80" s="36" t="s">
        <v>3</v>
      </c>
      <c r="C80" s="22" t="s">
        <v>12</v>
      </c>
      <c r="D80" s="41"/>
      <c r="E80" s="66">
        <v>1303.77</v>
      </c>
      <c r="F80" s="59"/>
    </row>
    <row r="81" spans="1:12" x14ac:dyDescent="0.2">
      <c r="B81" s="13" t="s">
        <v>31</v>
      </c>
      <c r="C81" s="16" t="s">
        <v>11</v>
      </c>
      <c r="D81" s="42"/>
      <c r="E81" s="67">
        <v>1269.22</v>
      </c>
    </row>
    <row r="82" spans="1:12" x14ac:dyDescent="0.2">
      <c r="B82" s="68" t="s">
        <v>69</v>
      </c>
      <c r="C82" s="72" t="s">
        <v>30</v>
      </c>
      <c r="D82" s="69"/>
      <c r="E82" s="70">
        <v>990</v>
      </c>
      <c r="G82" s="59"/>
      <c r="I82" s="188"/>
      <c r="J82" s="188"/>
    </row>
    <row r="83" spans="1:12" x14ac:dyDescent="0.2">
      <c r="B83" s="68" t="s">
        <v>79</v>
      </c>
      <c r="C83" s="72" t="s">
        <v>80</v>
      </c>
      <c r="D83" s="69"/>
      <c r="E83" s="70">
        <v>1237.5</v>
      </c>
      <c r="G83" s="59"/>
      <c r="I83" s="188"/>
      <c r="J83" s="188"/>
    </row>
    <row r="84" spans="1:12" ht="12" customHeight="1" thickBot="1" x14ac:dyDescent="0.25">
      <c r="B84" s="71" t="s">
        <v>100</v>
      </c>
      <c r="C84" s="73" t="s">
        <v>103</v>
      </c>
      <c r="D84" s="50"/>
      <c r="E84" s="29">
        <v>1237.5</v>
      </c>
      <c r="F84" s="57"/>
      <c r="G84" s="166"/>
      <c r="H84" s="45"/>
      <c r="I84" s="392"/>
      <c r="J84" s="392"/>
    </row>
    <row r="85" spans="1:12" ht="13.5" thickBot="1" x14ac:dyDescent="0.25">
      <c r="B85" s="10"/>
      <c r="C85" s="28" t="s">
        <v>0</v>
      </c>
      <c r="D85" s="28"/>
      <c r="E85" s="30">
        <f>SUM(E78:E84)</f>
        <v>10346.330000000002</v>
      </c>
      <c r="F85" s="180"/>
    </row>
    <row r="86" spans="1:12" x14ac:dyDescent="0.2">
      <c r="B86" s="10"/>
      <c r="C86" s="28"/>
      <c r="D86" s="28"/>
      <c r="E86" s="52"/>
      <c r="F86" s="180"/>
    </row>
    <row r="87" spans="1:12" x14ac:dyDescent="0.2">
      <c r="B87" s="10" t="s">
        <v>111</v>
      </c>
      <c r="C87" s="182" t="s">
        <v>112</v>
      </c>
      <c r="D87" s="28"/>
      <c r="E87" s="177">
        <v>3000</v>
      </c>
      <c r="G87" s="45">
        <f>E85+E87</f>
        <v>13346.330000000002</v>
      </c>
      <c r="L87" s="5">
        <f>E16+E34+E52+E69+E85+D89</f>
        <v>59985.650000000009</v>
      </c>
    </row>
    <row r="88" spans="1:12" x14ac:dyDescent="0.2">
      <c r="B88" s="10"/>
      <c r="C88" s="28"/>
      <c r="D88" s="28"/>
      <c r="E88" s="52"/>
    </row>
    <row r="89" spans="1:12" s="6" customFormat="1" ht="13.15" customHeight="1" x14ac:dyDescent="0.2">
      <c r="A89" s="14" t="s">
        <v>6</v>
      </c>
      <c r="B89" s="15" t="s">
        <v>7</v>
      </c>
      <c r="C89" s="15"/>
      <c r="D89" s="31">
        <v>9000</v>
      </c>
      <c r="E89" s="43" t="s">
        <v>116</v>
      </c>
      <c r="F89" s="14" t="s">
        <v>33</v>
      </c>
      <c r="G89" s="15" t="s">
        <v>32</v>
      </c>
      <c r="H89" s="31"/>
      <c r="I89" s="51"/>
    </row>
    <row r="90" spans="1:12" s="6" customFormat="1" ht="13.15" customHeight="1" x14ac:dyDescent="0.2">
      <c r="A90" s="14" t="s">
        <v>8</v>
      </c>
      <c r="B90" s="15" t="s">
        <v>9</v>
      </c>
      <c r="C90" s="15"/>
      <c r="D90" s="31">
        <v>311.83999999999997</v>
      </c>
      <c r="E90" s="43" t="s">
        <v>116</v>
      </c>
      <c r="F90" s="14" t="s">
        <v>33</v>
      </c>
      <c r="G90" s="15" t="s">
        <v>109</v>
      </c>
      <c r="H90" s="31">
        <v>2000</v>
      </c>
      <c r="I90" s="51" t="s">
        <v>116</v>
      </c>
    </row>
    <row r="91" spans="1:12" s="6" customFormat="1" ht="13.15" customHeight="1" x14ac:dyDescent="0.2">
      <c r="A91" s="14" t="s">
        <v>27</v>
      </c>
      <c r="B91" s="15" t="s">
        <v>28</v>
      </c>
      <c r="C91" s="15"/>
      <c r="D91" s="31">
        <v>619.53</v>
      </c>
      <c r="E91" s="43" t="s">
        <v>116</v>
      </c>
      <c r="F91" s="60" t="s">
        <v>19</v>
      </c>
      <c r="G91" s="15" t="s">
        <v>20</v>
      </c>
      <c r="H91" s="31">
        <v>500</v>
      </c>
      <c r="I91" s="51" t="s">
        <v>116</v>
      </c>
    </row>
    <row r="92" spans="1:12" s="6" customFormat="1" ht="13.15" customHeight="1" x14ac:dyDescent="0.2">
      <c r="A92" s="14" t="s">
        <v>10</v>
      </c>
      <c r="B92" s="15" t="s">
        <v>34</v>
      </c>
      <c r="C92" s="31"/>
      <c r="D92" s="31">
        <v>5000</v>
      </c>
      <c r="E92" s="43" t="s">
        <v>116</v>
      </c>
      <c r="F92" s="60" t="s">
        <v>6</v>
      </c>
      <c r="G92" s="15" t="s">
        <v>39</v>
      </c>
      <c r="H92" s="31">
        <v>919</v>
      </c>
      <c r="I92" s="51" t="s">
        <v>116</v>
      </c>
    </row>
    <row r="93" spans="1:12" s="6" customFormat="1" ht="13.15" customHeight="1" x14ac:dyDescent="0.2">
      <c r="A93" s="14" t="s">
        <v>10</v>
      </c>
      <c r="B93" s="15" t="s">
        <v>35</v>
      </c>
      <c r="C93" s="31"/>
      <c r="D93" s="31">
        <v>4000</v>
      </c>
      <c r="E93" s="43" t="s">
        <v>116</v>
      </c>
      <c r="F93" s="60" t="s">
        <v>8</v>
      </c>
      <c r="G93" s="15" t="s">
        <v>14</v>
      </c>
      <c r="H93" s="31">
        <v>12000</v>
      </c>
      <c r="I93" s="51" t="s">
        <v>116</v>
      </c>
      <c r="J93" s="189"/>
      <c r="K93" s="189"/>
      <c r="L93" s="189"/>
    </row>
    <row r="94" spans="1:12" s="6" customFormat="1" ht="13.15" customHeight="1" thickBot="1" x14ac:dyDescent="0.25">
      <c r="A94" s="14" t="s">
        <v>10</v>
      </c>
      <c r="B94" s="15" t="s">
        <v>36</v>
      </c>
      <c r="C94" s="31"/>
      <c r="D94" s="31"/>
      <c r="E94" s="43"/>
      <c r="F94" s="61" t="s">
        <v>16</v>
      </c>
      <c r="G94" s="15" t="s">
        <v>15</v>
      </c>
      <c r="H94" s="32">
        <v>12000</v>
      </c>
      <c r="I94" s="51" t="s">
        <v>116</v>
      </c>
      <c r="J94" s="190"/>
      <c r="K94" s="189"/>
      <c r="L94" s="189"/>
    </row>
    <row r="95" spans="1:12" s="6" customFormat="1" ht="13.15" customHeight="1" thickTop="1" thickBot="1" x14ac:dyDescent="0.25">
      <c r="A95" s="14"/>
      <c r="B95" s="15"/>
      <c r="C95" s="31"/>
      <c r="D95" s="31"/>
      <c r="E95" s="43"/>
      <c r="F95" s="62"/>
      <c r="G95" s="15"/>
      <c r="H95" s="37">
        <f>SUM(H89:H94)+SUM(D89:D94)</f>
        <v>46350.37</v>
      </c>
      <c r="I95" s="51"/>
      <c r="J95" s="190"/>
      <c r="K95" s="189"/>
      <c r="L95" s="189"/>
    </row>
    <row r="96" spans="1:12" s="6" customFormat="1" ht="13.15" customHeight="1" thickBot="1" x14ac:dyDescent="0.25">
      <c r="A96" s="14"/>
      <c r="B96" s="15"/>
      <c r="C96" s="31"/>
      <c r="D96" s="31"/>
      <c r="E96" s="31"/>
      <c r="F96" s="62"/>
      <c r="G96" s="34" t="s">
        <v>4</v>
      </c>
      <c r="H96" s="35">
        <f>E85+H95</f>
        <v>56696.700000000004</v>
      </c>
      <c r="I96" s="37"/>
      <c r="J96" s="190"/>
      <c r="K96" s="189"/>
      <c r="L96" s="189"/>
    </row>
    <row r="97" spans="1:12" s="6" customFormat="1" ht="13.15" customHeight="1" x14ac:dyDescent="0.2">
      <c r="B97" s="14"/>
      <c r="C97" s="15"/>
      <c r="D97" s="8"/>
      <c r="E97" s="31"/>
      <c r="F97" s="63"/>
      <c r="G97" s="8"/>
      <c r="H97" s="8"/>
      <c r="I97" s="37"/>
      <c r="J97" s="190"/>
      <c r="K97" s="189"/>
      <c r="L97" s="189"/>
    </row>
    <row r="98" spans="1:12" s="6" customFormat="1" ht="13.15" customHeight="1" x14ac:dyDescent="0.2">
      <c r="B98" s="14"/>
      <c r="C98" s="15"/>
      <c r="D98" s="7"/>
      <c r="E98" s="8"/>
      <c r="F98" s="63"/>
      <c r="G98" s="8"/>
      <c r="H98" s="8"/>
      <c r="I98" s="37"/>
      <c r="J98" s="190"/>
      <c r="K98" s="189"/>
      <c r="L98" s="189"/>
    </row>
    <row r="99" spans="1:12" s="6" customFormat="1" ht="13.15" customHeight="1" x14ac:dyDescent="0.2">
      <c r="A99" s="8"/>
      <c r="B99" s="9"/>
      <c r="C99" s="8"/>
      <c r="D99" s="7"/>
      <c r="E99" s="8"/>
      <c r="F99" s="63"/>
      <c r="G99" s="8"/>
      <c r="H99" s="8"/>
      <c r="I99" s="37"/>
      <c r="J99" s="190"/>
      <c r="K99" s="189"/>
      <c r="L99" s="189"/>
    </row>
    <row r="100" spans="1:12" s="6" customFormat="1" ht="13.15" customHeight="1" x14ac:dyDescent="0.2">
      <c r="A100" s="8"/>
      <c r="B100" s="9"/>
      <c r="C100" s="7"/>
      <c r="D100" s="7"/>
      <c r="E100" s="8"/>
      <c r="F100" s="63"/>
      <c r="G100" s="8"/>
      <c r="H100" s="8"/>
      <c r="I100" s="37"/>
      <c r="J100" s="189"/>
      <c r="K100" s="189"/>
      <c r="L100" s="189"/>
    </row>
    <row r="101" spans="1:12" s="6" customFormat="1" ht="13.15" customHeight="1" x14ac:dyDescent="0.2">
      <c r="A101" s="8"/>
      <c r="B101" s="9"/>
      <c r="C101" s="7"/>
      <c r="D101" s="7"/>
      <c r="E101" s="8"/>
      <c r="F101" s="63"/>
      <c r="G101" s="8"/>
      <c r="H101" s="8"/>
      <c r="I101" s="37"/>
      <c r="J101" s="189"/>
      <c r="K101" s="189"/>
      <c r="L101" s="189"/>
    </row>
    <row r="102" spans="1:12" s="6" customFormat="1" ht="13.15" customHeight="1" x14ac:dyDescent="0.2">
      <c r="A102" s="8"/>
      <c r="B102" s="9"/>
      <c r="C102" s="7"/>
      <c r="D102" s="7"/>
      <c r="E102" s="8"/>
      <c r="F102" s="63"/>
      <c r="G102" s="8"/>
      <c r="H102" s="8"/>
      <c r="I102" s="37"/>
    </row>
    <row r="103" spans="1:12" s="8" customFormat="1" ht="12" x14ac:dyDescent="0.2">
      <c r="B103" s="9"/>
      <c r="C103" s="7"/>
      <c r="F103" s="63"/>
    </row>
    <row r="104" spans="1:12" s="8" customFormat="1" ht="12" x14ac:dyDescent="0.2">
      <c r="B104" s="9"/>
      <c r="C104" s="7"/>
      <c r="F104" s="63"/>
    </row>
    <row r="105" spans="1:12" s="8" customFormat="1" ht="12" x14ac:dyDescent="0.2">
      <c r="B105" s="9"/>
      <c r="C105" s="7"/>
      <c r="F105" s="63"/>
    </row>
    <row r="106" spans="1:12" s="8" customFormat="1" ht="12" x14ac:dyDescent="0.2">
      <c r="B106" s="9"/>
      <c r="F106" s="63"/>
    </row>
    <row r="107" spans="1:12" s="8" customFormat="1" ht="12" x14ac:dyDescent="0.2">
      <c r="B107" s="9"/>
      <c r="F107" s="63"/>
    </row>
    <row r="108" spans="1:12" s="8" customFormat="1" ht="12" x14ac:dyDescent="0.2">
      <c r="B108" s="9"/>
      <c r="F108" s="63"/>
    </row>
    <row r="109" spans="1:12" s="8" customFormat="1" x14ac:dyDescent="0.2">
      <c r="B109" s="9"/>
      <c r="D109" s="5"/>
      <c r="F109" s="63"/>
    </row>
    <row r="110" spans="1:12" s="8" customFormat="1" x14ac:dyDescent="0.2">
      <c r="B110" s="9"/>
      <c r="D110" s="5"/>
      <c r="F110" s="45"/>
      <c r="G110" s="5"/>
      <c r="H110" s="5"/>
    </row>
    <row r="111" spans="1:12" s="8" customFormat="1" x14ac:dyDescent="0.2">
      <c r="B111" s="9"/>
      <c r="D111" s="5"/>
      <c r="E111" s="5"/>
      <c r="F111" s="45"/>
      <c r="G111" s="5"/>
      <c r="H111" s="5"/>
    </row>
    <row r="112" spans="1:12" s="8" customFormat="1" x14ac:dyDescent="0.2">
      <c r="B112" s="11"/>
      <c r="C112" s="5"/>
      <c r="D112" s="5"/>
      <c r="E112" s="5"/>
      <c r="F112" s="45"/>
      <c r="G112" s="5"/>
      <c r="H112" s="5"/>
    </row>
    <row r="113" spans="1:9" s="8" customFormat="1" x14ac:dyDescent="0.2">
      <c r="B113" s="11"/>
      <c r="C113" s="5"/>
      <c r="D113" s="5"/>
      <c r="E113" s="5"/>
      <c r="F113" s="45"/>
      <c r="G113" s="5"/>
      <c r="H113" s="5"/>
    </row>
    <row r="114" spans="1:9" s="8" customFormat="1" x14ac:dyDescent="0.2">
      <c r="B114" s="11"/>
      <c r="C114" s="5"/>
      <c r="D114" s="5"/>
      <c r="E114" s="5"/>
      <c r="F114" s="45"/>
      <c r="G114" s="5"/>
      <c r="H114" s="5"/>
    </row>
    <row r="115" spans="1:9" s="8" customFormat="1" x14ac:dyDescent="0.2">
      <c r="B115" s="11"/>
      <c r="C115" s="5"/>
      <c r="D115" s="5"/>
      <c r="E115" s="5"/>
      <c r="F115" s="45"/>
      <c r="G115" s="5"/>
      <c r="H115" s="5"/>
    </row>
    <row r="116" spans="1:9" s="8" customFormat="1" x14ac:dyDescent="0.2">
      <c r="A116" s="5"/>
      <c r="B116" s="11"/>
      <c r="C116" s="5"/>
      <c r="D116" s="5"/>
      <c r="E116" s="5"/>
      <c r="F116" s="45"/>
      <c r="G116" s="5"/>
      <c r="H116" s="5"/>
      <c r="I116" s="5"/>
    </row>
    <row r="117" spans="1:9" s="8" customFormat="1" x14ac:dyDescent="0.2">
      <c r="A117" s="5"/>
      <c r="B117" s="11"/>
      <c r="C117" s="5"/>
      <c r="D117" s="5"/>
      <c r="E117" s="5"/>
      <c r="F117" s="45"/>
      <c r="G117" s="5"/>
      <c r="H117" s="5"/>
      <c r="I117" s="5"/>
    </row>
    <row r="118" spans="1:9" s="8" customFormat="1" x14ac:dyDescent="0.2">
      <c r="A118" s="5"/>
      <c r="B118" s="11"/>
      <c r="C118" s="5"/>
      <c r="D118" s="5"/>
      <c r="E118" s="5"/>
      <c r="F118" s="45"/>
      <c r="G118" s="5"/>
      <c r="H118" s="5"/>
      <c r="I118" s="5"/>
    </row>
    <row r="119" spans="1:9" s="8" customFormat="1" x14ac:dyDescent="0.2">
      <c r="A119" s="5"/>
      <c r="B119" s="11"/>
      <c r="C119" s="5"/>
      <c r="D119" s="5"/>
      <c r="E119" s="5"/>
      <c r="F119" s="45"/>
      <c r="G119" s="5"/>
      <c r="H119" s="5"/>
      <c r="I119" s="5"/>
    </row>
  </sheetData>
  <mergeCells count="15">
    <mergeCell ref="I66:J66"/>
    <mergeCell ref="C75:D75"/>
    <mergeCell ref="E76:F76"/>
    <mergeCell ref="I84:J84"/>
    <mergeCell ref="A1:J1"/>
    <mergeCell ref="C4:D4"/>
    <mergeCell ref="E5:F5"/>
    <mergeCell ref="C22:D22"/>
    <mergeCell ref="E23:F23"/>
    <mergeCell ref="I31:J31"/>
    <mergeCell ref="C40:D40"/>
    <mergeCell ref="E41:F41"/>
    <mergeCell ref="I49:J49"/>
    <mergeCell ref="C57:D57"/>
    <mergeCell ref="E58:F58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zoomScaleNormal="100" workbookViewId="0">
      <selection activeCell="J74" sqref="J74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11.85546875" style="45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3" width="11.28515625" style="45" bestFit="1" customWidth="1"/>
    <col min="14" max="16384" width="8.85546875" style="5"/>
  </cols>
  <sheetData>
    <row r="1" spans="1:17" s="1" customFormat="1" ht="24" customHeight="1" x14ac:dyDescent="0.2">
      <c r="A1" s="393" t="s">
        <v>117</v>
      </c>
      <c r="B1" s="393"/>
      <c r="C1" s="393"/>
      <c r="D1" s="393"/>
      <c r="E1" s="393"/>
      <c r="F1" s="393"/>
      <c r="G1" s="393"/>
      <c r="H1" s="393"/>
      <c r="I1" s="393"/>
      <c r="J1" s="393"/>
      <c r="M1" s="197"/>
    </row>
    <row r="2" spans="1:17" s="24" customFormat="1" ht="6.75" customHeight="1" x14ac:dyDescent="0.2">
      <c r="B2" s="25"/>
      <c r="C2" s="26"/>
      <c r="D2" s="26"/>
      <c r="E2" s="27"/>
      <c r="F2" s="53"/>
      <c r="G2" s="27"/>
      <c r="H2" s="27"/>
      <c r="I2" s="27"/>
      <c r="M2" s="198"/>
    </row>
    <row r="3" spans="1:17" ht="19.5" customHeight="1" x14ac:dyDescent="0.2">
      <c r="A3" s="38"/>
      <c r="B3" s="20" t="s">
        <v>21</v>
      </c>
      <c r="C3" s="39" t="s">
        <v>45</v>
      </c>
      <c r="D3" s="33"/>
      <c r="E3" s="12"/>
      <c r="F3" s="54"/>
      <c r="G3" s="12"/>
      <c r="H3" s="12"/>
      <c r="I3" s="12"/>
    </row>
    <row r="4" spans="1:17" ht="19.5" customHeight="1" x14ac:dyDescent="0.2">
      <c r="B4" s="20" t="s">
        <v>23</v>
      </c>
      <c r="C4" s="394">
        <v>43957</v>
      </c>
      <c r="D4" s="395"/>
      <c r="E4" s="12"/>
      <c r="F4" s="54"/>
      <c r="G4" s="12"/>
      <c r="H4" s="12"/>
      <c r="I4" s="12"/>
    </row>
    <row r="5" spans="1:17" ht="4.5" customHeight="1" x14ac:dyDescent="0.45">
      <c r="B5" s="2"/>
      <c r="C5" s="17"/>
      <c r="D5" s="17"/>
      <c r="E5" s="396"/>
      <c r="F5" s="396"/>
      <c r="G5" s="3"/>
      <c r="H5" s="4"/>
      <c r="I5" s="4"/>
    </row>
    <row r="6" spans="1:17" s="128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55"/>
      <c r="M6" s="55"/>
    </row>
    <row r="7" spans="1:17" x14ac:dyDescent="0.2">
      <c r="B7" s="18" t="s">
        <v>25</v>
      </c>
      <c r="C7" s="19" t="s">
        <v>13</v>
      </c>
      <c r="D7" s="40"/>
      <c r="E7" s="66">
        <v>2041.71</v>
      </c>
      <c r="G7" s="56"/>
    </row>
    <row r="8" spans="1:17" x14ac:dyDescent="0.2">
      <c r="B8" s="36" t="s">
        <v>26</v>
      </c>
      <c r="C8" s="22" t="s">
        <v>24</v>
      </c>
      <c r="D8" s="41"/>
      <c r="E8" s="66">
        <v>1005.13</v>
      </c>
      <c r="F8" s="59"/>
      <c r="G8" s="126"/>
      <c r="H8" s="45"/>
    </row>
    <row r="9" spans="1:17" x14ac:dyDescent="0.2">
      <c r="B9" s="36" t="s">
        <v>3</v>
      </c>
      <c r="C9" s="22" t="s">
        <v>12</v>
      </c>
      <c r="D9" s="41"/>
      <c r="E9" s="66">
        <v>1303.77</v>
      </c>
      <c r="F9" s="59"/>
      <c r="G9" s="127"/>
    </row>
    <row r="10" spans="1:17" x14ac:dyDescent="0.2">
      <c r="B10" s="13" t="s">
        <v>31</v>
      </c>
      <c r="C10" s="16" t="s">
        <v>11</v>
      </c>
      <c r="D10" s="42"/>
      <c r="E10" s="67">
        <v>1269.22</v>
      </c>
    </row>
    <row r="11" spans="1:17" x14ac:dyDescent="0.2">
      <c r="B11" s="68" t="s">
        <v>69</v>
      </c>
      <c r="C11" s="72" t="s">
        <v>30</v>
      </c>
      <c r="D11" s="69"/>
      <c r="E11" s="70">
        <v>990</v>
      </c>
      <c r="G11" s="56"/>
      <c r="I11" s="191"/>
      <c r="J11" s="191"/>
    </row>
    <row r="12" spans="1:17" ht="13.5" thickBot="1" x14ac:dyDescent="0.25">
      <c r="B12" s="71" t="s">
        <v>79</v>
      </c>
      <c r="C12" s="73" t="s">
        <v>80</v>
      </c>
      <c r="D12" s="50"/>
      <c r="E12" s="192">
        <v>1237.5</v>
      </c>
      <c r="G12" s="56"/>
      <c r="I12" s="191"/>
      <c r="J12" s="191"/>
    </row>
    <row r="13" spans="1:17" s="4" customFormat="1" ht="13.5" thickBot="1" x14ac:dyDescent="0.25">
      <c r="B13" s="46"/>
      <c r="C13" s="47"/>
      <c r="D13" s="48"/>
      <c r="E13" s="49">
        <f>SUM(E7:E12)</f>
        <v>7847.3300000000008</v>
      </c>
      <c r="F13" s="58"/>
      <c r="G13" s="64"/>
      <c r="L13" s="196" t="s">
        <v>120</v>
      </c>
      <c r="M13" s="199" t="s">
        <v>121</v>
      </c>
    </row>
    <row r="14" spans="1:17" ht="13.5" thickBot="1" x14ac:dyDescent="0.25">
      <c r="B14" s="74" t="s">
        <v>29</v>
      </c>
      <c r="C14" s="75" t="s">
        <v>5</v>
      </c>
      <c r="D14" s="75"/>
      <c r="E14" s="76">
        <v>1125</v>
      </c>
      <c r="L14" s="5" t="s">
        <v>122</v>
      </c>
      <c r="M14" s="45">
        <f>3000*5</f>
        <v>15000</v>
      </c>
      <c r="P14" s="5" t="s">
        <v>127</v>
      </c>
      <c r="Q14" s="5">
        <f>26276.01+53629.33+2664.78</f>
        <v>82570.12</v>
      </c>
    </row>
    <row r="15" spans="1:17" ht="13.5" thickBot="1" x14ac:dyDescent="0.25">
      <c r="B15" s="10"/>
      <c r="C15" s="28" t="s">
        <v>0</v>
      </c>
      <c r="D15" s="28"/>
      <c r="E15" s="30">
        <f>SUM(E13:E14)</f>
        <v>8972.3300000000017</v>
      </c>
      <c r="L15" s="5" t="s">
        <v>127</v>
      </c>
      <c r="M15" s="45">
        <v>36053</v>
      </c>
    </row>
    <row r="16" spans="1:17" x14ac:dyDescent="0.2">
      <c r="B16" s="10"/>
      <c r="C16" s="28"/>
      <c r="D16" s="28"/>
      <c r="E16" s="52"/>
      <c r="L16" s="5" t="s">
        <v>128</v>
      </c>
      <c r="M16" s="45">
        <v>40000</v>
      </c>
    </row>
    <row r="17" spans="1:14" x14ac:dyDescent="0.2">
      <c r="B17" s="10" t="s">
        <v>111</v>
      </c>
      <c r="C17" s="182" t="s">
        <v>112</v>
      </c>
      <c r="D17" s="28"/>
      <c r="E17" s="177">
        <v>4000</v>
      </c>
      <c r="L17" s="5" t="s">
        <v>129</v>
      </c>
      <c r="M17" s="199">
        <f>6404.93+12445.88</f>
        <v>18850.809999999998</v>
      </c>
    </row>
    <row r="18" spans="1:14" x14ac:dyDescent="0.2">
      <c r="B18" s="10"/>
      <c r="C18" s="28"/>
      <c r="D18" s="28"/>
      <c r="E18" s="52"/>
      <c r="M18" s="45">
        <f>SUM(M14:M17)</f>
        <v>109903.81</v>
      </c>
    </row>
    <row r="19" spans="1:14" s="24" customFormat="1" ht="6.75" customHeight="1" x14ac:dyDescent="0.2">
      <c r="B19" s="25"/>
      <c r="C19" s="26"/>
      <c r="D19" s="26"/>
      <c r="E19" s="27"/>
      <c r="F19" s="53"/>
      <c r="G19" s="27"/>
      <c r="H19" s="27"/>
      <c r="I19" s="27"/>
      <c r="M19" s="198"/>
    </row>
    <row r="20" spans="1:14" ht="19.5" customHeight="1" x14ac:dyDescent="0.2">
      <c r="A20" s="38"/>
      <c r="B20" s="20" t="s">
        <v>21</v>
      </c>
      <c r="C20" s="39" t="s">
        <v>46</v>
      </c>
      <c r="D20" s="33"/>
      <c r="E20" s="12"/>
      <c r="F20" s="54"/>
      <c r="G20" s="12"/>
      <c r="H20" s="12"/>
      <c r="I20" s="12"/>
    </row>
    <row r="21" spans="1:14" ht="19.5" customHeight="1" x14ac:dyDescent="0.2">
      <c r="B21" s="20" t="s">
        <v>23</v>
      </c>
      <c r="C21" s="395">
        <v>43964</v>
      </c>
      <c r="D21" s="395"/>
      <c r="E21" s="12"/>
      <c r="F21" s="54"/>
      <c r="G21" s="12"/>
      <c r="H21" s="12"/>
      <c r="I21" s="12"/>
      <c r="L21" s="196" t="s">
        <v>123</v>
      </c>
      <c r="M21" s="199" t="s">
        <v>124</v>
      </c>
    </row>
    <row r="22" spans="1:14" ht="4.5" customHeight="1" x14ac:dyDescent="0.45">
      <c r="B22" s="2"/>
      <c r="C22" s="17"/>
      <c r="D22" s="17"/>
      <c r="E22" s="396"/>
      <c r="F22" s="396"/>
      <c r="G22" s="3"/>
      <c r="H22" s="4"/>
      <c r="I22" s="4"/>
    </row>
    <row r="23" spans="1:14" s="128" customFormat="1" ht="13.5" thickBot="1" x14ac:dyDescent="0.25">
      <c r="B23" s="21" t="s">
        <v>22</v>
      </c>
      <c r="C23" s="44" t="s">
        <v>1</v>
      </c>
      <c r="D23" s="44"/>
      <c r="E23" s="23" t="s">
        <v>2</v>
      </c>
      <c r="F23" s="55"/>
      <c r="L23" s="195" t="s">
        <v>122</v>
      </c>
      <c r="M23" s="55">
        <f>4000*4</f>
        <v>16000</v>
      </c>
    </row>
    <row r="24" spans="1:14" x14ac:dyDescent="0.2">
      <c r="B24" s="18" t="s">
        <v>25</v>
      </c>
      <c r="C24" s="19" t="s">
        <v>13</v>
      </c>
      <c r="D24" s="40"/>
      <c r="E24" s="66">
        <v>2041.71</v>
      </c>
      <c r="F24" s="59"/>
      <c r="G24" s="56"/>
      <c r="L24" s="5" t="s">
        <v>128</v>
      </c>
      <c r="M24" s="45">
        <v>40000</v>
      </c>
    </row>
    <row r="25" spans="1:14" x14ac:dyDescent="0.2">
      <c r="B25" s="36" t="s">
        <v>26</v>
      </c>
      <c r="C25" s="22" t="s">
        <v>24</v>
      </c>
      <c r="D25" s="41"/>
      <c r="E25" s="66">
        <v>1005.13</v>
      </c>
      <c r="F25" s="59"/>
      <c r="G25" s="65"/>
      <c r="H25" s="45"/>
      <c r="L25" s="5" t="s">
        <v>127</v>
      </c>
      <c r="M25" s="45">
        <f>26276.01+53629.33+2664.78</f>
        <v>82570.12</v>
      </c>
    </row>
    <row r="26" spans="1:14" x14ac:dyDescent="0.2">
      <c r="B26" s="36" t="s">
        <v>3</v>
      </c>
      <c r="C26" s="22" t="s">
        <v>12</v>
      </c>
      <c r="D26" s="41"/>
      <c r="E26" s="66">
        <v>1303.77</v>
      </c>
      <c r="F26" s="59"/>
      <c r="L26" s="5" t="s">
        <v>129</v>
      </c>
      <c r="M26" s="199">
        <v>37337.629999999997</v>
      </c>
    </row>
    <row r="27" spans="1:14" x14ac:dyDescent="0.2">
      <c r="B27" s="13" t="s">
        <v>31</v>
      </c>
      <c r="C27" s="16" t="s">
        <v>11</v>
      </c>
      <c r="D27" s="42"/>
      <c r="E27" s="67">
        <v>1269.22</v>
      </c>
      <c r="M27" s="45">
        <f>SUM(M23:M26)</f>
        <v>175907.75</v>
      </c>
    </row>
    <row r="28" spans="1:14" x14ac:dyDescent="0.2">
      <c r="B28" s="68" t="s">
        <v>69</v>
      </c>
      <c r="C28" s="72" t="s">
        <v>30</v>
      </c>
      <c r="D28" s="69"/>
      <c r="E28" s="70">
        <v>990</v>
      </c>
      <c r="G28" s="59"/>
      <c r="I28" s="191"/>
      <c r="J28" s="191"/>
    </row>
    <row r="29" spans="1:14" ht="13.5" thickBot="1" x14ac:dyDescent="0.25">
      <c r="B29" s="71" t="s">
        <v>79</v>
      </c>
      <c r="C29" s="73" t="s">
        <v>80</v>
      </c>
      <c r="D29" s="50"/>
      <c r="E29" s="192">
        <v>1237.5</v>
      </c>
      <c r="G29" s="59"/>
      <c r="I29" s="191"/>
      <c r="J29" s="191"/>
      <c r="L29" s="196" t="s">
        <v>125</v>
      </c>
      <c r="M29" s="199" t="s">
        <v>126</v>
      </c>
    </row>
    <row r="30" spans="1:14" s="4" customFormat="1" ht="13.5" thickBot="1" x14ac:dyDescent="0.25">
      <c r="B30" s="46"/>
      <c r="C30" s="47"/>
      <c r="D30" s="48"/>
      <c r="E30" s="49">
        <f>SUM(E24:E29)</f>
        <v>7847.3300000000008</v>
      </c>
      <c r="F30" s="58"/>
      <c r="G30" s="64"/>
      <c r="K30" s="5"/>
      <c r="L30" s="5" t="s">
        <v>122</v>
      </c>
      <c r="M30" s="45">
        <f>4000*4</f>
        <v>16000</v>
      </c>
      <c r="N30" s="5"/>
    </row>
    <row r="31" spans="1:14" ht="13.5" thickBot="1" x14ac:dyDescent="0.25">
      <c r="B31" s="74" t="s">
        <v>29</v>
      </c>
      <c r="C31" s="75" t="s">
        <v>5</v>
      </c>
      <c r="D31" s="75"/>
      <c r="E31" s="76">
        <v>1125</v>
      </c>
      <c r="L31" s="5" t="s">
        <v>128</v>
      </c>
      <c r="M31" s="45">
        <v>40000</v>
      </c>
    </row>
    <row r="32" spans="1:14" ht="13.5" thickBot="1" x14ac:dyDescent="0.25">
      <c r="B32" s="10"/>
      <c r="C32" s="28" t="s">
        <v>0</v>
      </c>
      <c r="D32" s="28"/>
      <c r="E32" s="30">
        <f>SUM(E30:E31)</f>
        <v>8972.3300000000017</v>
      </c>
      <c r="K32" s="4"/>
      <c r="L32" s="4" t="s">
        <v>127</v>
      </c>
      <c r="M32" s="177">
        <f>53629.33</f>
        <v>53629.33</v>
      </c>
      <c r="N32" s="4"/>
    </row>
    <row r="33" spans="1:14" x14ac:dyDescent="0.2">
      <c r="B33" s="10"/>
      <c r="C33" s="28"/>
      <c r="D33" s="28"/>
      <c r="E33" s="52"/>
      <c r="L33" s="5" t="s">
        <v>129</v>
      </c>
      <c r="M33" s="199">
        <v>37337.629999999997</v>
      </c>
    </row>
    <row r="34" spans="1:14" x14ac:dyDescent="0.2">
      <c r="B34" s="10" t="s">
        <v>111</v>
      </c>
      <c r="C34" s="182" t="s">
        <v>112</v>
      </c>
      <c r="D34" s="28"/>
      <c r="E34" s="177">
        <v>4000</v>
      </c>
      <c r="M34" s="45">
        <f>SUM(M30:M33)</f>
        <v>146966.96</v>
      </c>
    </row>
    <row r="35" spans="1:14" x14ac:dyDescent="0.2">
      <c r="B35" s="10"/>
      <c r="C35" s="28"/>
      <c r="D35" s="28"/>
      <c r="E35" s="52"/>
    </row>
    <row r="36" spans="1:14" s="24" customFormat="1" ht="6.75" customHeight="1" x14ac:dyDescent="0.2">
      <c r="B36" s="25"/>
      <c r="C36" s="26"/>
      <c r="D36" s="26"/>
      <c r="E36" s="27"/>
      <c r="F36" s="53"/>
      <c r="G36" s="27"/>
      <c r="H36" s="27"/>
      <c r="I36" s="27"/>
      <c r="K36" s="5"/>
      <c r="L36" s="5"/>
      <c r="M36" s="45"/>
      <c r="N36" s="5"/>
    </row>
    <row r="37" spans="1:14" ht="19.5" customHeight="1" x14ac:dyDescent="0.2">
      <c r="A37" s="38"/>
      <c r="B37" s="20" t="s">
        <v>21</v>
      </c>
      <c r="C37" s="39" t="s">
        <v>47</v>
      </c>
      <c r="D37" s="33"/>
      <c r="E37" s="12"/>
      <c r="F37" s="54"/>
      <c r="G37" s="12"/>
      <c r="H37" s="12"/>
      <c r="I37" s="12"/>
    </row>
    <row r="38" spans="1:14" ht="19.5" customHeight="1" x14ac:dyDescent="0.2">
      <c r="B38" s="20" t="s">
        <v>23</v>
      </c>
      <c r="C38" s="395">
        <v>43971</v>
      </c>
      <c r="D38" s="395"/>
      <c r="E38" s="12"/>
      <c r="F38" s="54"/>
      <c r="G38" s="12"/>
      <c r="H38" s="12"/>
      <c r="I38" s="12"/>
      <c r="K38" s="24"/>
      <c r="L38" s="24"/>
      <c r="M38" s="198"/>
      <c r="N38" s="24"/>
    </row>
    <row r="39" spans="1:14" ht="4.5" customHeight="1" x14ac:dyDescent="0.45">
      <c r="B39" s="2"/>
      <c r="C39" s="17"/>
      <c r="D39" s="17"/>
      <c r="E39" s="396"/>
      <c r="F39" s="396"/>
      <c r="G39" s="3"/>
      <c r="H39" s="4"/>
      <c r="I39" s="4"/>
    </row>
    <row r="40" spans="1:14" s="128" customFormat="1" ht="13.5" thickBot="1" x14ac:dyDescent="0.25">
      <c r="B40" s="21" t="s">
        <v>22</v>
      </c>
      <c r="C40" s="44" t="s">
        <v>1</v>
      </c>
      <c r="D40" s="44"/>
      <c r="E40" s="23" t="s">
        <v>2</v>
      </c>
      <c r="F40" s="200" t="s">
        <v>130</v>
      </c>
      <c r="G40" s="201" t="s">
        <v>131</v>
      </c>
      <c r="K40" s="5"/>
      <c r="L40" s="5"/>
      <c r="M40" s="45"/>
      <c r="N40" s="5"/>
    </row>
    <row r="41" spans="1:14" x14ac:dyDescent="0.2">
      <c r="B41" s="18" t="s">
        <v>25</v>
      </c>
      <c r="C41" s="19" t="s">
        <v>13</v>
      </c>
      <c r="D41" s="40"/>
      <c r="E41" s="66">
        <v>2041.71</v>
      </c>
      <c r="F41" s="59"/>
      <c r="G41" s="56">
        <f t="shared" ref="G41:G46" si="0">E41-F41</f>
        <v>2041.71</v>
      </c>
    </row>
    <row r="42" spans="1:14" x14ac:dyDescent="0.2">
      <c r="B42" s="36" t="s">
        <v>26</v>
      </c>
      <c r="C42" s="22" t="s">
        <v>24</v>
      </c>
      <c r="D42" s="41"/>
      <c r="E42" s="66">
        <v>1005.13</v>
      </c>
      <c r="F42" s="59">
        <v>1005.13</v>
      </c>
      <c r="G42" s="56">
        <f t="shared" si="0"/>
        <v>0</v>
      </c>
      <c r="H42" s="45"/>
      <c r="K42" s="128"/>
      <c r="L42" s="128"/>
      <c r="M42" s="55"/>
      <c r="N42" s="128"/>
    </row>
    <row r="43" spans="1:14" x14ac:dyDescent="0.2">
      <c r="B43" s="36" t="s">
        <v>3</v>
      </c>
      <c r="C43" s="22" t="s">
        <v>12</v>
      </c>
      <c r="D43" s="41"/>
      <c r="E43" s="66">
        <v>1303.77</v>
      </c>
      <c r="F43" s="59">
        <v>800</v>
      </c>
      <c r="G43" s="56">
        <f t="shared" si="0"/>
        <v>503.77</v>
      </c>
    </row>
    <row r="44" spans="1:14" x14ac:dyDescent="0.2">
      <c r="B44" s="13" t="s">
        <v>31</v>
      </c>
      <c r="C44" s="16" t="s">
        <v>11</v>
      </c>
      <c r="D44" s="42"/>
      <c r="E44" s="67">
        <v>1269.22</v>
      </c>
      <c r="F44" s="59">
        <v>800</v>
      </c>
      <c r="G44" s="56">
        <f t="shared" si="0"/>
        <v>469.22</v>
      </c>
    </row>
    <row r="45" spans="1:14" x14ac:dyDescent="0.2">
      <c r="B45" s="68" t="s">
        <v>69</v>
      </c>
      <c r="C45" s="72" t="s">
        <v>30</v>
      </c>
      <c r="D45" s="69"/>
      <c r="E45" s="70">
        <v>990</v>
      </c>
      <c r="G45" s="56">
        <f t="shared" si="0"/>
        <v>990</v>
      </c>
      <c r="I45" s="191"/>
      <c r="J45" s="191"/>
    </row>
    <row r="46" spans="1:14" ht="13.5" thickBot="1" x14ac:dyDescent="0.25">
      <c r="B46" s="71" t="s">
        <v>79</v>
      </c>
      <c r="C46" s="73" t="s">
        <v>80</v>
      </c>
      <c r="D46" s="50"/>
      <c r="E46" s="192">
        <v>1237.5</v>
      </c>
      <c r="F46" s="56">
        <v>1237.5</v>
      </c>
      <c r="G46" s="56">
        <f t="shared" si="0"/>
        <v>0</v>
      </c>
      <c r="I46" s="191"/>
      <c r="J46" s="191"/>
    </row>
    <row r="47" spans="1:14" s="4" customFormat="1" ht="13.5" thickBot="1" x14ac:dyDescent="0.25">
      <c r="B47" s="46"/>
      <c r="C47" s="47"/>
      <c r="D47" s="48"/>
      <c r="E47" s="49">
        <f>SUM(E41:E46)</f>
        <v>7847.3300000000008</v>
      </c>
      <c r="F47" s="58"/>
      <c r="G47" s="56"/>
      <c r="K47" s="5"/>
      <c r="L47" s="5"/>
      <c r="M47" s="45"/>
      <c r="N47" s="5"/>
    </row>
    <row r="48" spans="1:14" ht="13.5" thickBot="1" x14ac:dyDescent="0.25">
      <c r="B48" s="74" t="s">
        <v>29</v>
      </c>
      <c r="C48" s="75" t="s">
        <v>5</v>
      </c>
      <c r="D48" s="75"/>
      <c r="E48" s="76">
        <v>1125</v>
      </c>
      <c r="G48" s="45">
        <v>1125</v>
      </c>
    </row>
    <row r="49" spans="1:14" ht="13.5" thickBot="1" x14ac:dyDescent="0.25">
      <c r="B49" s="10"/>
      <c r="C49" s="28" t="s">
        <v>0</v>
      </c>
      <c r="D49" s="28"/>
      <c r="E49" s="30">
        <f>SUM(E47:E48)</f>
        <v>8972.3300000000017</v>
      </c>
      <c r="K49" s="4"/>
      <c r="L49" s="4"/>
      <c r="M49" s="177"/>
      <c r="N49" s="4"/>
    </row>
    <row r="50" spans="1:14" x14ac:dyDescent="0.2">
      <c r="B50" s="10"/>
      <c r="C50" s="28"/>
      <c r="D50" s="28"/>
      <c r="E50" s="52"/>
    </row>
    <row r="51" spans="1:14" x14ac:dyDescent="0.2">
      <c r="B51" s="10" t="s">
        <v>111</v>
      </c>
      <c r="C51" s="182" t="s">
        <v>112</v>
      </c>
      <c r="D51" s="28"/>
      <c r="E51" s="177">
        <v>4000</v>
      </c>
      <c r="G51" s="45">
        <f>SUM(G41:G50)+E51</f>
        <v>9129.7000000000007</v>
      </c>
    </row>
    <row r="52" spans="1:14" x14ac:dyDescent="0.2">
      <c r="B52" s="10"/>
      <c r="C52" s="28"/>
      <c r="D52" s="28"/>
      <c r="E52" s="52"/>
    </row>
    <row r="53" spans="1:14" s="24" customFormat="1" ht="6.75" customHeight="1" x14ac:dyDescent="0.2">
      <c r="B53" s="25"/>
      <c r="C53" s="26"/>
      <c r="D53" s="26"/>
      <c r="E53" s="27"/>
      <c r="F53" s="53"/>
      <c r="G53" s="27"/>
      <c r="H53" s="27"/>
      <c r="I53" s="27"/>
      <c r="K53" s="5"/>
      <c r="L53" s="5"/>
      <c r="M53" s="45"/>
      <c r="N53" s="5"/>
    </row>
    <row r="54" spans="1:14" ht="19.5" customHeight="1" x14ac:dyDescent="0.2">
      <c r="A54" s="38"/>
      <c r="B54" s="20" t="s">
        <v>21</v>
      </c>
      <c r="C54" s="39" t="s">
        <v>48</v>
      </c>
      <c r="D54" s="33"/>
      <c r="E54" s="12"/>
      <c r="F54" s="54"/>
      <c r="G54" s="12"/>
      <c r="H54" s="12"/>
      <c r="I54" s="12"/>
    </row>
    <row r="55" spans="1:14" ht="19.5" customHeight="1" x14ac:dyDescent="0.2">
      <c r="B55" s="20" t="s">
        <v>23</v>
      </c>
      <c r="C55" s="395">
        <v>43978</v>
      </c>
      <c r="D55" s="395"/>
      <c r="E55" s="12"/>
      <c r="F55" s="54"/>
      <c r="G55" s="12"/>
      <c r="H55" s="12"/>
      <c r="I55" s="12"/>
      <c r="K55" s="24"/>
      <c r="L55" s="24"/>
      <c r="M55" s="198"/>
      <c r="N55" s="24"/>
    </row>
    <row r="56" spans="1:14" ht="4.5" customHeight="1" x14ac:dyDescent="0.45">
      <c r="B56" s="2"/>
      <c r="C56" s="17"/>
      <c r="D56" s="17"/>
      <c r="E56" s="396"/>
      <c r="F56" s="396"/>
      <c r="G56" s="3"/>
      <c r="H56" s="4"/>
      <c r="I56" s="4"/>
    </row>
    <row r="57" spans="1:14" s="128" customFormat="1" ht="13.5" thickBot="1" x14ac:dyDescent="0.25">
      <c r="B57" s="21" t="s">
        <v>22</v>
      </c>
      <c r="C57" s="44" t="s">
        <v>1</v>
      </c>
      <c r="D57" s="44"/>
      <c r="E57" s="23" t="s">
        <v>2</v>
      </c>
      <c r="F57" s="200" t="s">
        <v>130</v>
      </c>
      <c r="G57" s="201" t="s">
        <v>131</v>
      </c>
      <c r="K57" s="5"/>
      <c r="L57" s="5"/>
      <c r="M57" s="45"/>
      <c r="N57" s="5"/>
    </row>
    <row r="58" spans="1:14" x14ac:dyDescent="0.2">
      <c r="B58" s="18" t="s">
        <v>25</v>
      </c>
      <c r="C58" s="19" t="s">
        <v>13</v>
      </c>
      <c r="D58" s="40"/>
      <c r="E58" s="66">
        <v>2041.71</v>
      </c>
      <c r="F58" s="59"/>
      <c r="G58" s="56">
        <f t="shared" ref="G58:G63" si="1">E58-F58</f>
        <v>2041.71</v>
      </c>
    </row>
    <row r="59" spans="1:14" x14ac:dyDescent="0.2">
      <c r="B59" s="36" t="s">
        <v>26</v>
      </c>
      <c r="C59" s="22" t="s">
        <v>24</v>
      </c>
      <c r="D59" s="41"/>
      <c r="E59" s="66">
        <v>1005.13</v>
      </c>
      <c r="F59" s="59">
        <v>1005.13</v>
      </c>
      <c r="G59" s="56">
        <f t="shared" si="1"/>
        <v>0</v>
      </c>
      <c r="H59" s="45"/>
      <c r="K59" s="128"/>
      <c r="L59" s="128"/>
      <c r="M59" s="55"/>
      <c r="N59" s="128"/>
    </row>
    <row r="60" spans="1:14" x14ac:dyDescent="0.2">
      <c r="B60" s="36" t="s">
        <v>3</v>
      </c>
      <c r="C60" s="22" t="s">
        <v>12</v>
      </c>
      <c r="D60" s="41"/>
      <c r="E60" s="66">
        <v>1303.77</v>
      </c>
      <c r="F60" s="59">
        <v>800</v>
      </c>
      <c r="G60" s="56">
        <f t="shared" si="1"/>
        <v>503.77</v>
      </c>
    </row>
    <row r="61" spans="1:14" x14ac:dyDescent="0.2">
      <c r="B61" s="13" t="s">
        <v>31</v>
      </c>
      <c r="C61" s="16" t="s">
        <v>11</v>
      </c>
      <c r="D61" s="42"/>
      <c r="E61" s="67">
        <v>1269.22</v>
      </c>
      <c r="F61" s="59">
        <v>800</v>
      </c>
      <c r="G61" s="56">
        <f t="shared" si="1"/>
        <v>469.22</v>
      </c>
    </row>
    <row r="62" spans="1:14" x14ac:dyDescent="0.2">
      <c r="B62" s="68" t="s">
        <v>69</v>
      </c>
      <c r="C62" s="72" t="s">
        <v>30</v>
      </c>
      <c r="D62" s="69"/>
      <c r="E62" s="70">
        <v>990</v>
      </c>
      <c r="G62" s="56">
        <f t="shared" si="1"/>
        <v>990</v>
      </c>
      <c r="I62" s="191"/>
      <c r="J62" s="191"/>
    </row>
    <row r="63" spans="1:14" ht="13.5" thickBot="1" x14ac:dyDescent="0.25">
      <c r="B63" s="71" t="s">
        <v>79</v>
      </c>
      <c r="C63" s="73" t="s">
        <v>80</v>
      </c>
      <c r="D63" s="50"/>
      <c r="E63" s="192">
        <v>1237.5</v>
      </c>
      <c r="F63" s="56">
        <v>1237.5</v>
      </c>
      <c r="G63" s="56">
        <f t="shared" si="1"/>
        <v>0</v>
      </c>
      <c r="I63" s="191"/>
      <c r="J63" s="191"/>
    </row>
    <row r="64" spans="1:14" s="4" customFormat="1" ht="13.5" thickBot="1" x14ac:dyDescent="0.25">
      <c r="B64" s="46"/>
      <c r="C64" s="47"/>
      <c r="D64" s="48"/>
      <c r="E64" s="49">
        <f>SUM(E58:E63)</f>
        <v>7847.3300000000008</v>
      </c>
      <c r="F64" s="58"/>
      <c r="G64" s="56"/>
      <c r="K64" s="5"/>
      <c r="L64" s="5"/>
      <c r="M64" s="45"/>
      <c r="N64" s="5"/>
    </row>
    <row r="65" spans="1:14" ht="13.5" thickBot="1" x14ac:dyDescent="0.25">
      <c r="B65" s="74" t="s">
        <v>29</v>
      </c>
      <c r="C65" s="75" t="s">
        <v>5</v>
      </c>
      <c r="D65" s="75"/>
      <c r="E65" s="76">
        <v>1125</v>
      </c>
      <c r="G65" s="45">
        <v>1125</v>
      </c>
    </row>
    <row r="66" spans="1:14" ht="13.5" thickBot="1" x14ac:dyDescent="0.25">
      <c r="B66" s="10"/>
      <c r="C66" s="28" t="s">
        <v>0</v>
      </c>
      <c r="D66" s="28"/>
      <c r="E66" s="30">
        <f>SUM(E64:E65)</f>
        <v>8972.3300000000017</v>
      </c>
      <c r="K66" s="4"/>
      <c r="L66" s="4"/>
      <c r="M66" s="177"/>
      <c r="N66" s="4"/>
    </row>
    <row r="67" spans="1:14" x14ac:dyDescent="0.2">
      <c r="B67" s="10"/>
      <c r="C67" s="28"/>
      <c r="D67" s="28"/>
      <c r="E67" s="52"/>
    </row>
    <row r="68" spans="1:14" x14ac:dyDescent="0.2">
      <c r="B68" s="10" t="s">
        <v>111</v>
      </c>
      <c r="C68" s="182" t="s">
        <v>112</v>
      </c>
      <c r="D68" s="28"/>
      <c r="E68" s="177">
        <v>4000</v>
      </c>
      <c r="G68" s="45"/>
    </row>
    <row r="69" spans="1:14" x14ac:dyDescent="0.2">
      <c r="B69" s="10"/>
      <c r="C69" s="28"/>
      <c r="D69" s="28"/>
      <c r="E69" s="52"/>
    </row>
    <row r="70" spans="1:14" s="6" customFormat="1" ht="13.15" customHeight="1" x14ac:dyDescent="0.2">
      <c r="A70" s="14" t="s">
        <v>6</v>
      </c>
      <c r="B70" s="15" t="s">
        <v>7</v>
      </c>
      <c r="C70" s="15"/>
      <c r="D70" s="31">
        <v>9000</v>
      </c>
      <c r="E70" s="43" t="s">
        <v>116</v>
      </c>
      <c r="F70" s="14" t="s">
        <v>33</v>
      </c>
      <c r="G70" s="15" t="s">
        <v>32</v>
      </c>
      <c r="H70" s="31">
        <v>3864.58</v>
      </c>
      <c r="I70" s="51"/>
      <c r="K70" s="5"/>
      <c r="L70" s="5"/>
      <c r="M70" s="45"/>
      <c r="N70" s="5"/>
    </row>
    <row r="71" spans="1:14" s="6" customFormat="1" ht="13.15" customHeight="1" x14ac:dyDescent="0.2">
      <c r="A71" s="14" t="s">
        <v>8</v>
      </c>
      <c r="B71" s="15" t="s">
        <v>9</v>
      </c>
      <c r="C71" s="15"/>
      <c r="D71" s="31">
        <v>311.83999999999997</v>
      </c>
      <c r="E71" s="43" t="s">
        <v>116</v>
      </c>
      <c r="F71" s="14" t="s">
        <v>33</v>
      </c>
      <c r="G71" s="15" t="s">
        <v>109</v>
      </c>
      <c r="H71" s="31"/>
      <c r="I71" s="51"/>
      <c r="K71" s="5"/>
      <c r="L71" s="5"/>
      <c r="M71" s="45"/>
      <c r="N71" s="5"/>
    </row>
    <row r="72" spans="1:14" s="6" customFormat="1" ht="13.15" customHeight="1" x14ac:dyDescent="0.2">
      <c r="A72" s="14" t="s">
        <v>27</v>
      </c>
      <c r="B72" s="15" t="s">
        <v>28</v>
      </c>
      <c r="C72" s="15"/>
      <c r="D72" s="31">
        <v>619.53</v>
      </c>
      <c r="E72" s="43" t="s">
        <v>116</v>
      </c>
      <c r="F72" s="60" t="s">
        <v>19</v>
      </c>
      <c r="G72" s="15" t="s">
        <v>20</v>
      </c>
      <c r="H72" s="31">
        <v>500</v>
      </c>
      <c r="I72" s="51" t="s">
        <v>116</v>
      </c>
      <c r="M72" s="179"/>
    </row>
    <row r="73" spans="1:14" s="6" customFormat="1" ht="13.15" customHeight="1" x14ac:dyDescent="0.2">
      <c r="A73" s="14" t="s">
        <v>10</v>
      </c>
      <c r="B73" s="15" t="s">
        <v>34</v>
      </c>
      <c r="C73" s="31"/>
      <c r="D73" s="31">
        <v>5000</v>
      </c>
      <c r="E73" s="43" t="s">
        <v>116</v>
      </c>
      <c r="F73" s="60" t="s">
        <v>6</v>
      </c>
      <c r="G73" s="15" t="s">
        <v>39</v>
      </c>
      <c r="H73" s="31">
        <v>919</v>
      </c>
      <c r="I73" s="51" t="s">
        <v>116</v>
      </c>
      <c r="M73" s="179"/>
    </row>
    <row r="74" spans="1:14" s="6" customFormat="1" ht="13.15" customHeight="1" x14ac:dyDescent="0.2">
      <c r="A74" s="14" t="s">
        <v>10</v>
      </c>
      <c r="B74" s="15" t="s">
        <v>35</v>
      </c>
      <c r="C74" s="31"/>
      <c r="D74" s="31">
        <v>4000</v>
      </c>
      <c r="E74" s="43" t="s">
        <v>116</v>
      </c>
      <c r="F74" s="60" t="s">
        <v>8</v>
      </c>
      <c r="G74" s="15" t="s">
        <v>14</v>
      </c>
      <c r="H74" s="31">
        <v>12000</v>
      </c>
      <c r="I74" s="51" t="s">
        <v>116</v>
      </c>
      <c r="J74" s="189"/>
      <c r="K74" s="6" t="s">
        <v>135</v>
      </c>
      <c r="M74" s="179"/>
    </row>
    <row r="75" spans="1:14" s="6" customFormat="1" ht="13.15" customHeight="1" thickBot="1" x14ac:dyDescent="0.25">
      <c r="A75" s="14" t="s">
        <v>10</v>
      </c>
      <c r="B75" s="15" t="s">
        <v>36</v>
      </c>
      <c r="C75" s="31"/>
      <c r="D75" s="31"/>
      <c r="E75" s="43"/>
      <c r="F75" s="61" t="s">
        <v>16</v>
      </c>
      <c r="G75" s="15" t="s">
        <v>15</v>
      </c>
      <c r="H75" s="32">
        <v>12000</v>
      </c>
      <c r="I75" s="51"/>
      <c r="J75" s="190" t="s">
        <v>134</v>
      </c>
      <c r="M75" s="179"/>
    </row>
    <row r="76" spans="1:14" s="6" customFormat="1" ht="13.15" customHeight="1" thickTop="1" thickBot="1" x14ac:dyDescent="0.25">
      <c r="A76" s="14"/>
      <c r="B76" s="15"/>
      <c r="C76" s="31"/>
      <c r="D76" s="31"/>
      <c r="E76" s="43"/>
      <c r="F76" s="62"/>
      <c r="G76" s="15"/>
      <c r="H76" s="37">
        <f>SUM(H70:H75)+SUM(D70:D75)</f>
        <v>48214.950000000004</v>
      </c>
      <c r="I76" s="51"/>
      <c r="J76" s="190"/>
      <c r="K76" s="189"/>
      <c r="L76" s="189"/>
      <c r="M76" s="179"/>
    </row>
    <row r="77" spans="1:14" s="6" customFormat="1" ht="13.15" customHeight="1" thickBot="1" x14ac:dyDescent="0.25">
      <c r="A77" s="14"/>
      <c r="B77" s="15"/>
      <c r="C77" s="31"/>
      <c r="D77" s="31"/>
      <c r="E77" s="31"/>
      <c r="F77" s="62"/>
      <c r="G77" s="34" t="s">
        <v>4</v>
      </c>
      <c r="H77" s="35">
        <f>G68+H76</f>
        <v>48214.950000000004</v>
      </c>
      <c r="I77" s="37"/>
      <c r="J77" s="190"/>
      <c r="K77" s="189"/>
      <c r="L77" s="189"/>
      <c r="M77" s="179"/>
    </row>
    <row r="78" spans="1:14" s="6" customFormat="1" ht="13.15" customHeight="1" x14ac:dyDescent="0.2">
      <c r="B78" s="14"/>
      <c r="C78" s="15"/>
      <c r="D78" s="8"/>
      <c r="E78" s="31"/>
      <c r="F78" s="63"/>
      <c r="G78" s="8"/>
      <c r="H78" s="8"/>
      <c r="I78" s="37"/>
      <c r="J78" s="190"/>
      <c r="K78" s="189"/>
      <c r="L78" s="189"/>
      <c r="M78" s="179"/>
    </row>
    <row r="79" spans="1:14" s="6" customFormat="1" ht="13.15" customHeight="1" x14ac:dyDescent="0.2">
      <c r="B79" s="14"/>
      <c r="C79" s="15"/>
      <c r="D79" s="7"/>
      <c r="E79" s="8"/>
      <c r="F79" s="63"/>
      <c r="G79" s="8"/>
      <c r="H79" s="8"/>
      <c r="I79" s="37"/>
      <c r="J79" s="190"/>
      <c r="K79" s="189"/>
      <c r="L79" s="189"/>
      <c r="M79" s="179"/>
    </row>
    <row r="80" spans="1:14" s="6" customFormat="1" ht="13.15" customHeight="1" x14ac:dyDescent="0.2">
      <c r="A80" s="8"/>
      <c r="B80" s="9"/>
      <c r="C80" s="8"/>
      <c r="D80" s="7"/>
      <c r="E80" s="8"/>
      <c r="F80" s="63"/>
      <c r="G80" s="8"/>
      <c r="H80" s="8"/>
      <c r="I80" s="37"/>
      <c r="J80" s="190"/>
      <c r="K80" s="189"/>
      <c r="L80" s="189"/>
      <c r="M80" s="179"/>
    </row>
    <row r="81" spans="1:14" s="6" customFormat="1" ht="13.15" customHeight="1" x14ac:dyDescent="0.2">
      <c r="A81" s="8"/>
      <c r="B81" s="9"/>
      <c r="C81" s="7"/>
      <c r="D81" s="7"/>
      <c r="E81" s="8"/>
      <c r="F81" s="63"/>
      <c r="G81" s="8"/>
      <c r="H81" s="8"/>
      <c r="I81" s="37"/>
      <c r="J81" s="189"/>
      <c r="K81" s="189"/>
      <c r="L81" s="189"/>
      <c r="M81" s="179"/>
    </row>
    <row r="82" spans="1:14" s="6" customFormat="1" ht="13.15" customHeight="1" x14ac:dyDescent="0.2">
      <c r="A82" s="8"/>
      <c r="B82" s="9"/>
      <c r="C82" s="7"/>
      <c r="D82" s="7"/>
      <c r="E82" s="8"/>
      <c r="F82" s="63"/>
      <c r="G82" s="8"/>
      <c r="H82" s="8"/>
      <c r="I82" s="37"/>
      <c r="J82" s="189"/>
      <c r="K82" s="189"/>
      <c r="L82" s="189"/>
      <c r="M82" s="179"/>
    </row>
    <row r="83" spans="1:14" s="6" customFormat="1" ht="13.15" customHeight="1" x14ac:dyDescent="0.2">
      <c r="A83" s="8"/>
      <c r="B83" s="9"/>
      <c r="C83" s="7"/>
      <c r="D83" s="7"/>
      <c r="E83" s="8"/>
      <c r="F83" s="63"/>
      <c r="G83" s="8"/>
      <c r="H83" s="8"/>
      <c r="I83" s="37"/>
      <c r="K83" s="189"/>
      <c r="L83" s="189"/>
      <c r="M83" s="179"/>
    </row>
    <row r="84" spans="1:14" s="8" customFormat="1" x14ac:dyDescent="0.2">
      <c r="B84" s="9"/>
      <c r="C84" s="7"/>
      <c r="F84" s="63"/>
      <c r="K84" s="189"/>
      <c r="L84" s="189"/>
      <c r="M84" s="179"/>
      <c r="N84" s="6"/>
    </row>
    <row r="85" spans="1:14" s="8" customFormat="1" x14ac:dyDescent="0.2">
      <c r="B85" s="9"/>
      <c r="C85" s="7"/>
      <c r="F85" s="63"/>
      <c r="K85" s="6"/>
      <c r="L85" s="6"/>
      <c r="M85" s="179"/>
      <c r="N85" s="6"/>
    </row>
    <row r="86" spans="1:14" s="8" customFormat="1" ht="12" x14ac:dyDescent="0.2">
      <c r="B86" s="9"/>
      <c r="C86" s="7"/>
      <c r="F86" s="63"/>
      <c r="M86" s="63"/>
    </row>
    <row r="87" spans="1:14" s="8" customFormat="1" ht="12" x14ac:dyDescent="0.2">
      <c r="B87" s="9"/>
      <c r="F87" s="63"/>
      <c r="M87" s="63"/>
    </row>
    <row r="88" spans="1:14" s="8" customFormat="1" ht="12" x14ac:dyDescent="0.2">
      <c r="B88" s="9"/>
      <c r="F88" s="63"/>
      <c r="M88" s="63"/>
    </row>
    <row r="89" spans="1:14" s="8" customFormat="1" ht="12" x14ac:dyDescent="0.2">
      <c r="B89" s="9"/>
      <c r="F89" s="63"/>
      <c r="M89" s="63"/>
    </row>
    <row r="90" spans="1:14" s="8" customFormat="1" x14ac:dyDescent="0.2">
      <c r="B90" s="9"/>
      <c r="D90" s="5"/>
      <c r="F90" s="63"/>
      <c r="M90" s="63"/>
    </row>
    <row r="91" spans="1:14" s="8" customFormat="1" x14ac:dyDescent="0.2">
      <c r="B91" s="9"/>
      <c r="D91" s="5"/>
      <c r="F91" s="45"/>
      <c r="G91" s="5"/>
      <c r="H91" s="5"/>
      <c r="M91" s="63"/>
    </row>
    <row r="92" spans="1:14" s="8" customFormat="1" x14ac:dyDescent="0.2">
      <c r="B92" s="9"/>
      <c r="D92" s="5"/>
      <c r="E92" s="5"/>
      <c r="F92" s="45"/>
      <c r="G92" s="5"/>
      <c r="H92" s="5"/>
      <c r="M92" s="63"/>
    </row>
    <row r="93" spans="1:14" s="8" customFormat="1" x14ac:dyDescent="0.2">
      <c r="B93" s="11"/>
      <c r="C93" s="5"/>
      <c r="D93" s="5"/>
      <c r="E93" s="5"/>
      <c r="F93" s="45"/>
      <c r="G93" s="5"/>
      <c r="H93" s="5"/>
      <c r="M93" s="63"/>
    </row>
    <row r="94" spans="1:14" s="8" customFormat="1" x14ac:dyDescent="0.2">
      <c r="B94" s="11"/>
      <c r="C94" s="5"/>
      <c r="D94" s="5"/>
      <c r="E94" s="5"/>
      <c r="F94" s="45"/>
      <c r="G94" s="5"/>
      <c r="H94" s="5"/>
      <c r="M94" s="63"/>
    </row>
    <row r="95" spans="1:14" s="8" customFormat="1" x14ac:dyDescent="0.2">
      <c r="B95" s="11"/>
      <c r="C95" s="5"/>
      <c r="D95" s="5"/>
      <c r="E95" s="5"/>
      <c r="F95" s="45"/>
      <c r="G95" s="5"/>
      <c r="H95" s="5"/>
      <c r="M95" s="63"/>
    </row>
    <row r="96" spans="1:14" s="8" customFormat="1" x14ac:dyDescent="0.2">
      <c r="B96" s="11"/>
      <c r="C96" s="5"/>
      <c r="D96" s="5"/>
      <c r="E96" s="5"/>
      <c r="F96" s="45"/>
      <c r="G96" s="5"/>
      <c r="H96" s="5"/>
      <c r="M96" s="63"/>
    </row>
    <row r="97" spans="1:14" s="8" customFormat="1" x14ac:dyDescent="0.2">
      <c r="A97" s="5"/>
      <c r="B97" s="11"/>
      <c r="C97" s="5"/>
      <c r="D97" s="5"/>
      <c r="E97" s="5"/>
      <c r="F97" s="45"/>
      <c r="G97" s="5"/>
      <c r="H97" s="5"/>
      <c r="I97" s="5"/>
      <c r="M97" s="63"/>
    </row>
    <row r="98" spans="1:14" s="8" customFormat="1" x14ac:dyDescent="0.2">
      <c r="A98" s="5"/>
      <c r="B98" s="11"/>
      <c r="C98" s="5"/>
      <c r="D98" s="5"/>
      <c r="E98" s="5"/>
      <c r="F98" s="45"/>
      <c r="G98" s="5"/>
      <c r="H98" s="5"/>
      <c r="I98" s="5"/>
      <c r="M98" s="63"/>
    </row>
    <row r="99" spans="1:14" s="8" customFormat="1" x14ac:dyDescent="0.2">
      <c r="A99" s="5"/>
      <c r="B99" s="11"/>
      <c r="C99" s="5"/>
      <c r="D99" s="5"/>
      <c r="E99" s="5"/>
      <c r="F99" s="45"/>
      <c r="G99" s="5"/>
      <c r="H99" s="5"/>
      <c r="I99" s="5"/>
      <c r="M99" s="63"/>
    </row>
    <row r="100" spans="1:14" s="8" customFormat="1" x14ac:dyDescent="0.2">
      <c r="A100" s="5"/>
      <c r="B100" s="11"/>
      <c r="C100" s="5"/>
      <c r="D100" s="5"/>
      <c r="E100" s="5"/>
      <c r="F100" s="45"/>
      <c r="G100" s="5"/>
      <c r="H100" s="5"/>
      <c r="I100" s="5"/>
      <c r="M100" s="63"/>
    </row>
    <row r="101" spans="1:14" x14ac:dyDescent="0.2">
      <c r="K101" s="8"/>
      <c r="L101" s="8"/>
      <c r="M101" s="63"/>
      <c r="N101" s="8"/>
    </row>
    <row r="102" spans="1:14" x14ac:dyDescent="0.2">
      <c r="K102" s="8"/>
      <c r="L102" s="8"/>
      <c r="M102" s="63"/>
      <c r="N102" s="8"/>
    </row>
  </sheetData>
  <mergeCells count="9">
    <mergeCell ref="C38:D38"/>
    <mergeCell ref="E39:F39"/>
    <mergeCell ref="C55:D55"/>
    <mergeCell ref="E56:F56"/>
    <mergeCell ref="A1:J1"/>
    <mergeCell ref="C4:D4"/>
    <mergeCell ref="E5:F5"/>
    <mergeCell ref="C21:D21"/>
    <mergeCell ref="E22:F2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zoomScaleNormal="100" workbookViewId="0">
      <selection activeCell="I75" sqref="I75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12" style="45" customWidth="1"/>
    <col min="7" max="7" width="14.85546875" style="45" customWidth="1"/>
    <col min="8" max="8" width="12.7109375" style="45" customWidth="1"/>
    <col min="9" max="9" width="3.28515625" style="5" customWidth="1"/>
    <col min="10" max="10" width="10.42578125" style="5" customWidth="1"/>
    <col min="11" max="16384" width="8.85546875" style="5"/>
  </cols>
  <sheetData>
    <row r="1" spans="1:10" s="1" customFormat="1" ht="24" customHeight="1" x14ac:dyDescent="0.2">
      <c r="A1" s="393" t="s">
        <v>132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s="24" customFormat="1" ht="6.75" customHeight="1" x14ac:dyDescent="0.2">
      <c r="B2" s="25"/>
      <c r="C2" s="26"/>
      <c r="D2" s="26"/>
      <c r="E2" s="27"/>
      <c r="F2" s="53"/>
      <c r="G2" s="53"/>
      <c r="H2" s="53"/>
      <c r="I2" s="27"/>
    </row>
    <row r="3" spans="1:10" ht="19.5" customHeight="1" x14ac:dyDescent="0.2">
      <c r="A3" s="38"/>
      <c r="B3" s="20" t="s">
        <v>21</v>
      </c>
      <c r="C3" s="39" t="s">
        <v>49</v>
      </c>
      <c r="D3" s="33"/>
      <c r="E3" s="12"/>
      <c r="F3" s="54"/>
      <c r="G3" s="54"/>
      <c r="H3" s="54"/>
      <c r="I3" s="12"/>
    </row>
    <row r="4" spans="1:10" ht="19.5" customHeight="1" x14ac:dyDescent="0.2">
      <c r="B4" s="20" t="s">
        <v>23</v>
      </c>
      <c r="C4" s="394">
        <v>43985</v>
      </c>
      <c r="D4" s="395"/>
      <c r="E4" s="12"/>
      <c r="F4" s="54"/>
      <c r="G4" s="54"/>
      <c r="H4" s="54"/>
      <c r="I4" s="12"/>
    </row>
    <row r="5" spans="1:10" ht="4.5" customHeight="1" x14ac:dyDescent="0.45">
      <c r="B5" s="2"/>
      <c r="C5" s="17"/>
      <c r="D5" s="17"/>
      <c r="E5" s="396"/>
      <c r="F5" s="396"/>
      <c r="G5" s="205"/>
      <c r="H5" s="177"/>
      <c r="I5" s="4"/>
    </row>
    <row r="6" spans="1:10" s="128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200" t="s">
        <v>130</v>
      </c>
      <c r="G6" s="200" t="s">
        <v>131</v>
      </c>
      <c r="H6" s="55"/>
    </row>
    <row r="7" spans="1:10" x14ac:dyDescent="0.2">
      <c r="B7" s="18" t="s">
        <v>25</v>
      </c>
      <c r="C7" s="19" t="s">
        <v>13</v>
      </c>
      <c r="D7" s="40"/>
      <c r="E7" s="66">
        <v>2041.71</v>
      </c>
      <c r="F7" s="59"/>
      <c r="G7" s="56">
        <f t="shared" ref="G7:G12" si="0">E7-F7</f>
        <v>2041.71</v>
      </c>
    </row>
    <row r="8" spans="1:10" x14ac:dyDescent="0.2">
      <c r="B8" s="36" t="s">
        <v>26</v>
      </c>
      <c r="C8" s="22" t="s">
        <v>24</v>
      </c>
      <c r="D8" s="41"/>
      <c r="E8" s="66">
        <v>1005.13</v>
      </c>
      <c r="F8" s="59">
        <v>400</v>
      </c>
      <c r="G8" s="56">
        <f t="shared" si="0"/>
        <v>605.13</v>
      </c>
    </row>
    <row r="9" spans="1:10" x14ac:dyDescent="0.2">
      <c r="B9" s="36" t="s">
        <v>3</v>
      </c>
      <c r="C9" s="22" t="s">
        <v>12</v>
      </c>
      <c r="D9" s="41"/>
      <c r="E9" s="66">
        <v>1303.77</v>
      </c>
      <c r="F9" s="59"/>
      <c r="G9" s="56">
        <f t="shared" si="0"/>
        <v>1303.77</v>
      </c>
    </row>
    <row r="10" spans="1:10" x14ac:dyDescent="0.2">
      <c r="B10" s="13" t="s">
        <v>31</v>
      </c>
      <c r="C10" s="16" t="s">
        <v>11</v>
      </c>
      <c r="D10" s="42"/>
      <c r="E10" s="67">
        <v>1269.22</v>
      </c>
      <c r="F10" s="59"/>
      <c r="G10" s="56">
        <f t="shared" si="0"/>
        <v>1269.22</v>
      </c>
      <c r="H10" s="45">
        <v>0.11</v>
      </c>
    </row>
    <row r="11" spans="1:10" x14ac:dyDescent="0.2">
      <c r="B11" s="68" t="s">
        <v>69</v>
      </c>
      <c r="C11" s="72" t="s">
        <v>30</v>
      </c>
      <c r="D11" s="69"/>
      <c r="E11" s="70">
        <v>990</v>
      </c>
      <c r="F11" s="45">
        <v>500</v>
      </c>
      <c r="G11" s="56">
        <f>E11-F11-20</f>
        <v>470</v>
      </c>
      <c r="H11" s="45" t="s">
        <v>133</v>
      </c>
      <c r="I11" s="202"/>
      <c r="J11" s="202"/>
    </row>
    <row r="12" spans="1:10" ht="13.5" thickBot="1" x14ac:dyDescent="0.25">
      <c r="B12" s="71" t="s">
        <v>79</v>
      </c>
      <c r="C12" s="73" t="s">
        <v>80</v>
      </c>
      <c r="D12" s="50"/>
      <c r="E12" s="192">
        <v>1237.5</v>
      </c>
      <c r="F12" s="56"/>
      <c r="G12" s="56">
        <f t="shared" si="0"/>
        <v>1237.5</v>
      </c>
      <c r="I12" s="202"/>
      <c r="J12" s="202"/>
    </row>
    <row r="13" spans="1:10" s="4" customFormat="1" ht="13.5" thickBot="1" x14ac:dyDescent="0.25">
      <c r="B13" s="46"/>
      <c r="C13" s="47"/>
      <c r="D13" s="48"/>
      <c r="E13" s="49">
        <f>SUM(E7:E12)</f>
        <v>7847.3300000000008</v>
      </c>
      <c r="F13" s="58"/>
      <c r="G13" s="56"/>
      <c r="H13" s="177"/>
    </row>
    <row r="14" spans="1:10" ht="13.5" thickBot="1" x14ac:dyDescent="0.25">
      <c r="B14" s="74" t="s">
        <v>29</v>
      </c>
      <c r="C14" s="75" t="s">
        <v>5</v>
      </c>
      <c r="D14" s="75"/>
      <c r="E14" s="76">
        <v>1125</v>
      </c>
      <c r="G14" s="45">
        <v>1125</v>
      </c>
    </row>
    <row r="15" spans="1:10" ht="13.5" thickBot="1" x14ac:dyDescent="0.25">
      <c r="B15" s="10"/>
      <c r="C15" s="28" t="s">
        <v>0</v>
      </c>
      <c r="D15" s="28"/>
      <c r="E15" s="30">
        <f>SUM(E13:E14)</f>
        <v>8972.3300000000017</v>
      </c>
    </row>
    <row r="16" spans="1:10" x14ac:dyDescent="0.2">
      <c r="B16" s="10"/>
      <c r="C16" s="28"/>
      <c r="D16" s="28"/>
      <c r="E16" s="52"/>
    </row>
    <row r="17" spans="1:11" x14ac:dyDescent="0.2">
      <c r="B17" s="10" t="s">
        <v>111</v>
      </c>
      <c r="C17" s="182" t="s">
        <v>112</v>
      </c>
      <c r="D17" s="28"/>
      <c r="E17" s="177">
        <v>4000</v>
      </c>
      <c r="G17" s="45">
        <f>SUM(G7:G16)+E17</f>
        <v>12052.33</v>
      </c>
    </row>
    <row r="18" spans="1:11" x14ac:dyDescent="0.2">
      <c r="B18" s="10"/>
      <c r="C18" s="28"/>
      <c r="D18" s="28"/>
      <c r="E18" s="52"/>
    </row>
    <row r="19" spans="1:11" s="24" customFormat="1" ht="6.75" customHeight="1" x14ac:dyDescent="0.2">
      <c r="B19" s="25"/>
      <c r="C19" s="26"/>
      <c r="D19" s="26"/>
      <c r="E19" s="27"/>
      <c r="F19" s="53"/>
      <c r="G19" s="53"/>
      <c r="H19" s="53"/>
      <c r="I19" s="27"/>
    </row>
    <row r="20" spans="1:11" ht="19.5" customHeight="1" x14ac:dyDescent="0.2">
      <c r="A20" s="38"/>
      <c r="B20" s="20" t="s">
        <v>21</v>
      </c>
      <c r="C20" s="39" t="s">
        <v>50</v>
      </c>
      <c r="D20" s="33"/>
      <c r="E20" s="12"/>
      <c r="F20" s="54"/>
      <c r="G20" s="54"/>
      <c r="H20" s="54"/>
      <c r="I20" s="12"/>
    </row>
    <row r="21" spans="1:11" ht="19.5" customHeight="1" x14ac:dyDescent="0.2">
      <c r="B21" s="20" t="s">
        <v>23</v>
      </c>
      <c r="C21" s="395">
        <v>43992</v>
      </c>
      <c r="D21" s="395"/>
      <c r="E21" s="12"/>
      <c r="F21" s="54"/>
      <c r="G21" s="54"/>
      <c r="H21" s="54"/>
      <c r="I21" s="12"/>
    </row>
    <row r="22" spans="1:11" ht="4.5" customHeight="1" x14ac:dyDescent="0.45">
      <c r="B22" s="2"/>
      <c r="C22" s="17"/>
      <c r="D22" s="17"/>
      <c r="E22" s="396"/>
      <c r="F22" s="396"/>
      <c r="G22" s="205"/>
      <c r="H22" s="177"/>
      <c r="I22" s="4"/>
    </row>
    <row r="23" spans="1:11" s="128" customFormat="1" ht="13.5" thickBot="1" x14ac:dyDescent="0.25">
      <c r="B23" s="21" t="s">
        <v>22</v>
      </c>
      <c r="C23" s="44" t="s">
        <v>1</v>
      </c>
      <c r="D23" s="44"/>
      <c r="E23" s="23" t="s">
        <v>2</v>
      </c>
      <c r="F23" s="200" t="s">
        <v>130</v>
      </c>
      <c r="G23" s="200" t="s">
        <v>131</v>
      </c>
      <c r="H23" s="55"/>
    </row>
    <row r="24" spans="1:11" x14ac:dyDescent="0.2">
      <c r="B24" s="18" t="s">
        <v>25</v>
      </c>
      <c r="C24" s="19" t="s">
        <v>13</v>
      </c>
      <c r="D24" s="40"/>
      <c r="E24" s="66">
        <v>2041.71</v>
      </c>
      <c r="F24" s="59"/>
      <c r="G24" s="56">
        <f t="shared" ref="G24:G29" si="1">E24-F24</f>
        <v>2041.71</v>
      </c>
    </row>
    <row r="25" spans="1:11" x14ac:dyDescent="0.2">
      <c r="B25" s="36" t="s">
        <v>26</v>
      </c>
      <c r="C25" s="22" t="s">
        <v>24</v>
      </c>
      <c r="D25" s="41"/>
      <c r="E25" s="66">
        <v>1005.13</v>
      </c>
      <c r="F25" s="59">
        <v>500</v>
      </c>
      <c r="G25" s="56">
        <f t="shared" si="1"/>
        <v>505.13</v>
      </c>
    </row>
    <row r="26" spans="1:11" x14ac:dyDescent="0.2">
      <c r="B26" s="36" t="s">
        <v>3</v>
      </c>
      <c r="C26" s="22" t="s">
        <v>12</v>
      </c>
      <c r="D26" s="41"/>
      <c r="E26" s="66">
        <v>1303.77</v>
      </c>
      <c r="F26" s="59">
        <v>500</v>
      </c>
      <c r="G26" s="56">
        <f t="shared" si="1"/>
        <v>803.77</v>
      </c>
    </row>
    <row r="27" spans="1:11" x14ac:dyDescent="0.2">
      <c r="B27" s="13" t="s">
        <v>31</v>
      </c>
      <c r="C27" s="16" t="s">
        <v>11</v>
      </c>
      <c r="D27" s="42"/>
      <c r="E27" s="67">
        <v>1269.22</v>
      </c>
      <c r="F27" s="59">
        <v>500</v>
      </c>
      <c r="G27" s="56">
        <f t="shared" si="1"/>
        <v>769.22</v>
      </c>
    </row>
    <row r="28" spans="1:11" x14ac:dyDescent="0.2">
      <c r="B28" s="68" t="s">
        <v>69</v>
      </c>
      <c r="C28" s="72" t="s">
        <v>30</v>
      </c>
      <c r="D28" s="69"/>
      <c r="E28" s="70">
        <v>990</v>
      </c>
      <c r="F28" s="45">
        <v>500</v>
      </c>
      <c r="G28" s="56">
        <f t="shared" si="1"/>
        <v>490</v>
      </c>
      <c r="I28" s="202"/>
      <c r="J28" s="202"/>
    </row>
    <row r="29" spans="1:11" ht="13.5" thickBot="1" x14ac:dyDescent="0.25">
      <c r="B29" s="71" t="s">
        <v>79</v>
      </c>
      <c r="C29" s="73" t="s">
        <v>80</v>
      </c>
      <c r="D29" s="50"/>
      <c r="E29" s="192">
        <v>1237.5</v>
      </c>
      <c r="F29" s="56">
        <v>1237.5</v>
      </c>
      <c r="G29" s="56">
        <f t="shared" si="1"/>
        <v>0</v>
      </c>
      <c r="I29" s="202"/>
      <c r="J29" s="202"/>
    </row>
    <row r="30" spans="1:11" s="4" customFormat="1" ht="13.5" thickBot="1" x14ac:dyDescent="0.25">
      <c r="B30" s="46"/>
      <c r="C30" s="47"/>
      <c r="D30" s="48"/>
      <c r="E30" s="49">
        <f>SUM(E24:E29)</f>
        <v>7847.3300000000008</v>
      </c>
      <c r="F30" s="58">
        <f>SUM(F25:F29)</f>
        <v>3237.5</v>
      </c>
      <c r="G30" s="56"/>
      <c r="H30" s="203">
        <v>3230</v>
      </c>
      <c r="J30" s="177">
        <f>F30-H30</f>
        <v>7.5</v>
      </c>
      <c r="K30" s="5"/>
    </row>
    <row r="31" spans="1:11" s="212" customFormat="1" ht="13.5" thickBot="1" x14ac:dyDescent="0.25">
      <c r="B31" s="213" t="s">
        <v>29</v>
      </c>
      <c r="C31" s="214" t="s">
        <v>5</v>
      </c>
      <c r="D31" s="214"/>
      <c r="E31" s="76">
        <v>1125</v>
      </c>
      <c r="F31" s="215"/>
      <c r="G31" s="215"/>
      <c r="H31" s="215"/>
    </row>
    <row r="32" spans="1:11" ht="13.5" thickBot="1" x14ac:dyDescent="0.25">
      <c r="B32" s="10"/>
      <c r="C32" s="28" t="s">
        <v>0</v>
      </c>
      <c r="D32" s="28"/>
      <c r="E32" s="30">
        <f>SUM(E30:E31)</f>
        <v>8972.3300000000017</v>
      </c>
      <c r="K32" s="4"/>
    </row>
    <row r="33" spans="1:11" x14ac:dyDescent="0.2">
      <c r="B33" s="10"/>
      <c r="C33" s="28"/>
      <c r="D33" s="28"/>
      <c r="E33" s="52"/>
    </row>
    <row r="34" spans="1:11" x14ac:dyDescent="0.2">
      <c r="B34" s="10" t="s">
        <v>111</v>
      </c>
      <c r="C34" s="182" t="s">
        <v>112</v>
      </c>
      <c r="D34" s="28"/>
      <c r="E34" s="177">
        <v>4000</v>
      </c>
      <c r="G34" s="45">
        <f>SUM(G24:G33)+E34</f>
        <v>8609.83</v>
      </c>
    </row>
    <row r="35" spans="1:11" x14ac:dyDescent="0.2">
      <c r="B35" s="10"/>
      <c r="C35" s="28"/>
      <c r="D35" s="28"/>
      <c r="E35" s="52"/>
    </row>
    <row r="36" spans="1:11" s="24" customFormat="1" ht="6.75" customHeight="1" x14ac:dyDescent="0.2">
      <c r="B36" s="25"/>
      <c r="C36" s="26"/>
      <c r="D36" s="26"/>
      <c r="E36" s="27"/>
      <c r="F36" s="53"/>
      <c r="G36" s="53"/>
      <c r="H36" s="53"/>
      <c r="I36" s="27"/>
      <c r="K36" s="5"/>
    </row>
    <row r="37" spans="1:11" ht="19.5" customHeight="1" x14ac:dyDescent="0.2">
      <c r="A37" s="38"/>
      <c r="B37" s="20" t="s">
        <v>21</v>
      </c>
      <c r="C37" s="39" t="s">
        <v>51</v>
      </c>
      <c r="D37" s="33"/>
      <c r="E37" s="12"/>
      <c r="F37" s="54"/>
      <c r="G37" s="54"/>
      <c r="H37" s="54"/>
      <c r="I37" s="12"/>
    </row>
    <row r="38" spans="1:11" ht="19.5" customHeight="1" x14ac:dyDescent="0.2">
      <c r="B38" s="20" t="s">
        <v>23</v>
      </c>
      <c r="C38" s="395">
        <v>43999</v>
      </c>
      <c r="D38" s="395"/>
      <c r="E38" s="12"/>
      <c r="F38" s="54"/>
      <c r="G38" s="54"/>
      <c r="H38" s="54"/>
      <c r="I38" s="12"/>
      <c r="K38" s="24"/>
    </row>
    <row r="39" spans="1:11" ht="4.5" customHeight="1" x14ac:dyDescent="0.45">
      <c r="B39" s="2"/>
      <c r="C39" s="17"/>
      <c r="D39" s="17"/>
      <c r="E39" s="396"/>
      <c r="F39" s="396"/>
      <c r="G39" s="205"/>
      <c r="H39" s="177"/>
      <c r="I39" s="4"/>
    </row>
    <row r="40" spans="1:11" s="128" customFormat="1" ht="13.5" thickBot="1" x14ac:dyDescent="0.25">
      <c r="B40" s="21" t="s">
        <v>22</v>
      </c>
      <c r="C40" s="44" t="s">
        <v>1</v>
      </c>
      <c r="D40" s="44"/>
      <c r="E40" s="23" t="s">
        <v>2</v>
      </c>
      <c r="F40" s="204"/>
      <c r="G40" s="200" t="s">
        <v>138</v>
      </c>
      <c r="H40" s="211" t="s">
        <v>139</v>
      </c>
      <c r="K40" s="5"/>
    </row>
    <row r="41" spans="1:11" x14ac:dyDescent="0.2">
      <c r="B41" s="18" t="s">
        <v>25</v>
      </c>
      <c r="C41" s="19" t="s">
        <v>13</v>
      </c>
      <c r="D41" s="40"/>
      <c r="E41" s="66">
        <v>2041.71</v>
      </c>
      <c r="F41" s="59"/>
      <c r="G41" s="56"/>
      <c r="H41" s="45">
        <v>2041.71</v>
      </c>
    </row>
    <row r="42" spans="1:11" x14ac:dyDescent="0.2">
      <c r="B42" s="36" t="s">
        <v>26</v>
      </c>
      <c r="C42" s="22" t="s">
        <v>24</v>
      </c>
      <c r="D42" s="41"/>
      <c r="E42" s="66">
        <v>1005.13</v>
      </c>
      <c r="F42" s="59"/>
      <c r="G42" s="56">
        <v>1005.13</v>
      </c>
      <c r="K42" s="128"/>
    </row>
    <row r="43" spans="1:11" x14ac:dyDescent="0.2">
      <c r="B43" s="36" t="s">
        <v>3</v>
      </c>
      <c r="C43" s="22" t="s">
        <v>12</v>
      </c>
      <c r="D43" s="41"/>
      <c r="E43" s="66">
        <v>1303.77</v>
      </c>
      <c r="F43" s="59"/>
      <c r="G43" s="56">
        <v>1303.77</v>
      </c>
    </row>
    <row r="44" spans="1:11" x14ac:dyDescent="0.2">
      <c r="B44" s="13" t="s">
        <v>31</v>
      </c>
      <c r="C44" s="16" t="s">
        <v>11</v>
      </c>
      <c r="D44" s="42"/>
      <c r="E44" s="67">
        <v>1269.22</v>
      </c>
      <c r="F44" s="59"/>
      <c r="G44" s="56">
        <v>1269.22</v>
      </c>
    </row>
    <row r="45" spans="1:11" x14ac:dyDescent="0.2">
      <c r="B45" s="68" t="s">
        <v>69</v>
      </c>
      <c r="C45" s="72" t="s">
        <v>30</v>
      </c>
      <c r="D45" s="69"/>
      <c r="E45" s="70">
        <v>990</v>
      </c>
      <c r="G45" s="56">
        <v>990</v>
      </c>
      <c r="I45" s="202"/>
      <c r="J45" s="202"/>
    </row>
    <row r="46" spans="1:11" ht="13.5" thickBot="1" x14ac:dyDescent="0.25">
      <c r="B46" s="71" t="s">
        <v>79</v>
      </c>
      <c r="C46" s="73" t="s">
        <v>80</v>
      </c>
      <c r="D46" s="50"/>
      <c r="E46" s="192">
        <v>1237.5</v>
      </c>
      <c r="F46" s="56"/>
      <c r="G46" s="56">
        <v>1237.5</v>
      </c>
      <c r="I46" s="202"/>
      <c r="J46" s="202"/>
    </row>
    <row r="47" spans="1:11" s="4" customFormat="1" ht="13.5" thickBot="1" x14ac:dyDescent="0.25">
      <c r="B47" s="46"/>
      <c r="C47" s="47"/>
      <c r="D47" s="48"/>
      <c r="E47" s="49">
        <f>SUM(E41:E46)</f>
        <v>7847.3300000000008</v>
      </c>
      <c r="F47" s="58"/>
      <c r="G47" s="56"/>
      <c r="H47" s="177"/>
      <c r="J47" s="177"/>
      <c r="K47" s="5"/>
    </row>
    <row r="48" spans="1:11" ht="13.5" thickBot="1" x14ac:dyDescent="0.25">
      <c r="B48" s="74" t="s">
        <v>29</v>
      </c>
      <c r="C48" s="75" t="s">
        <v>5</v>
      </c>
      <c r="D48" s="75"/>
      <c r="E48" s="76">
        <v>1125</v>
      </c>
      <c r="H48" s="45">
        <v>1125</v>
      </c>
      <c r="J48" s="5">
        <f>E48+H48</f>
        <v>2250</v>
      </c>
    </row>
    <row r="49" spans="1:11" ht="13.5" thickBot="1" x14ac:dyDescent="0.25">
      <c r="B49" s="10"/>
      <c r="C49" s="28" t="s">
        <v>0</v>
      </c>
      <c r="D49" s="28"/>
      <c r="E49" s="30">
        <f>SUM(E47:E48)</f>
        <v>8972.3300000000017</v>
      </c>
      <c r="K49" s="4"/>
    </row>
    <row r="50" spans="1:11" x14ac:dyDescent="0.2">
      <c r="B50" s="10"/>
      <c r="C50" s="28"/>
      <c r="D50" s="28"/>
      <c r="E50" s="52"/>
    </row>
    <row r="51" spans="1:11" x14ac:dyDescent="0.2">
      <c r="B51" s="10"/>
      <c r="C51" s="182" t="s">
        <v>137</v>
      </c>
      <c r="D51" s="28"/>
      <c r="E51" s="52">
        <v>1125</v>
      </c>
      <c r="H51" s="45">
        <v>1125</v>
      </c>
    </row>
    <row r="52" spans="1:11" x14ac:dyDescent="0.2">
      <c r="B52" s="10" t="s">
        <v>111</v>
      </c>
      <c r="C52" s="182" t="s">
        <v>112</v>
      </c>
      <c r="D52" s="28"/>
      <c r="E52" s="177">
        <v>4000</v>
      </c>
      <c r="F52" s="45">
        <f>SUM(E49:E52)</f>
        <v>14097.330000000002</v>
      </c>
      <c r="G52" s="199"/>
      <c r="H52" s="199">
        <v>4000</v>
      </c>
    </row>
    <row r="53" spans="1:11" x14ac:dyDescent="0.2">
      <c r="B53" s="10"/>
      <c r="C53" s="28"/>
      <c r="D53" s="28"/>
      <c r="E53" s="52"/>
      <c r="G53" s="45">
        <f>SUM(G41:G52)</f>
        <v>5805.62</v>
      </c>
      <c r="H53" s="45">
        <f>SUM(H41:H52)</f>
        <v>8291.7099999999991</v>
      </c>
      <c r="J53" s="45">
        <f>SUM(G53:I53)</f>
        <v>14097.329999999998</v>
      </c>
    </row>
    <row r="54" spans="1:11" s="24" customFormat="1" ht="6.75" customHeight="1" x14ac:dyDescent="0.2">
      <c r="B54" s="25"/>
      <c r="C54" s="26"/>
      <c r="D54" s="26"/>
      <c r="E54" s="27"/>
      <c r="F54" s="53"/>
      <c r="G54" s="53"/>
      <c r="H54" s="53"/>
      <c r="I54" s="27"/>
      <c r="K54" s="5"/>
    </row>
    <row r="55" spans="1:11" ht="19.5" customHeight="1" x14ac:dyDescent="0.2">
      <c r="A55" s="38"/>
      <c r="B55" s="20" t="s">
        <v>21</v>
      </c>
      <c r="C55" s="39" t="s">
        <v>52</v>
      </c>
      <c r="D55" s="33"/>
      <c r="E55" s="12"/>
      <c r="F55" s="54"/>
      <c r="G55" s="54"/>
      <c r="H55" s="54"/>
      <c r="I55" s="12"/>
    </row>
    <row r="56" spans="1:11" ht="19.5" customHeight="1" x14ac:dyDescent="0.2">
      <c r="B56" s="20" t="s">
        <v>23</v>
      </c>
      <c r="C56" s="395">
        <v>44006</v>
      </c>
      <c r="D56" s="395"/>
      <c r="E56" s="12"/>
      <c r="F56" s="54"/>
      <c r="G56" s="54"/>
      <c r="H56" s="54"/>
      <c r="I56" s="12"/>
      <c r="K56" s="24"/>
    </row>
    <row r="57" spans="1:11" ht="4.5" customHeight="1" x14ac:dyDescent="0.45">
      <c r="B57" s="2"/>
      <c r="C57" s="17"/>
      <c r="D57" s="17"/>
      <c r="E57" s="396"/>
      <c r="F57" s="396"/>
      <c r="G57" s="205"/>
      <c r="H57" s="177"/>
      <c r="I57" s="4"/>
    </row>
    <row r="58" spans="1:11" s="128" customFormat="1" ht="13.5" thickBot="1" x14ac:dyDescent="0.25">
      <c r="B58" s="21" t="s">
        <v>22</v>
      </c>
      <c r="C58" s="44" t="s">
        <v>1</v>
      </c>
      <c r="D58" s="44"/>
      <c r="E58" s="23" t="s">
        <v>2</v>
      </c>
      <c r="F58" s="200"/>
      <c r="G58" s="200" t="s">
        <v>131</v>
      </c>
      <c r="H58" s="55"/>
      <c r="K58" s="5"/>
    </row>
    <row r="59" spans="1:11" x14ac:dyDescent="0.2">
      <c r="B59" s="18" t="s">
        <v>25</v>
      </c>
      <c r="C59" s="19" t="s">
        <v>13</v>
      </c>
      <c r="D59" s="40"/>
      <c r="E59" s="66">
        <v>2041.71</v>
      </c>
      <c r="F59" s="59"/>
      <c r="G59" s="56">
        <f>E59</f>
        <v>2041.71</v>
      </c>
    </row>
    <row r="60" spans="1:11" x14ac:dyDescent="0.2">
      <c r="B60" s="36" t="s">
        <v>26</v>
      </c>
      <c r="C60" s="22" t="s">
        <v>24</v>
      </c>
      <c r="D60" s="41"/>
      <c r="E60" s="66">
        <v>1005.13</v>
      </c>
      <c r="F60" s="59"/>
      <c r="G60" s="56">
        <f>E60+E63-F63</f>
        <v>1545.13</v>
      </c>
      <c r="H60" s="45">
        <f>G60-E60</f>
        <v>540.00000000000011</v>
      </c>
      <c r="K60" s="128"/>
    </row>
    <row r="61" spans="1:11" x14ac:dyDescent="0.2">
      <c r="B61" s="36" t="s">
        <v>3</v>
      </c>
      <c r="C61" s="22" t="s">
        <v>12</v>
      </c>
      <c r="D61" s="41"/>
      <c r="E61" s="66">
        <v>1303.77</v>
      </c>
      <c r="F61" s="59"/>
      <c r="G61" s="56">
        <f>E61</f>
        <v>1303.77</v>
      </c>
    </row>
    <row r="62" spans="1:11" x14ac:dyDescent="0.2">
      <c r="B62" s="13" t="s">
        <v>31</v>
      </c>
      <c r="C62" s="16" t="s">
        <v>11</v>
      </c>
      <c r="D62" s="42"/>
      <c r="E62" s="67">
        <v>1269.22</v>
      </c>
      <c r="F62" s="59"/>
      <c r="G62" s="56">
        <f>E62</f>
        <v>1269.22</v>
      </c>
    </row>
    <row r="63" spans="1:11" x14ac:dyDescent="0.2">
      <c r="B63" s="68" t="s">
        <v>69</v>
      </c>
      <c r="C63" s="72" t="s">
        <v>30</v>
      </c>
      <c r="D63" s="69"/>
      <c r="E63" s="70">
        <v>990</v>
      </c>
      <c r="F63" s="45">
        <v>450</v>
      </c>
      <c r="G63" s="56">
        <f>F63</f>
        <v>450</v>
      </c>
      <c r="I63" s="202"/>
      <c r="J63" s="202"/>
    </row>
    <row r="64" spans="1:11" ht="13.5" thickBot="1" x14ac:dyDescent="0.25">
      <c r="B64" s="71" t="s">
        <v>79</v>
      </c>
      <c r="C64" s="73" t="s">
        <v>80</v>
      </c>
      <c r="D64" s="50"/>
      <c r="E64" s="192">
        <v>1237.5</v>
      </c>
      <c r="F64" s="56"/>
      <c r="G64" s="56">
        <f>E64</f>
        <v>1237.5</v>
      </c>
      <c r="I64" s="202"/>
      <c r="J64" s="202"/>
    </row>
    <row r="65" spans="1:11" s="4" customFormat="1" ht="13.5" thickBot="1" x14ac:dyDescent="0.25">
      <c r="B65" s="46"/>
      <c r="C65" s="47"/>
      <c r="D65" s="48"/>
      <c r="E65" s="49">
        <f>SUM(E59:E64)</f>
        <v>7847.3300000000008</v>
      </c>
      <c r="F65" s="58"/>
      <c r="G65" s="56"/>
      <c r="H65" s="177"/>
      <c r="K65" s="5"/>
    </row>
    <row r="66" spans="1:11" ht="13.5" thickBot="1" x14ac:dyDescent="0.25">
      <c r="B66" s="74" t="s">
        <v>29</v>
      </c>
      <c r="C66" s="75" t="s">
        <v>5</v>
      </c>
      <c r="D66" s="75"/>
      <c r="E66" s="76">
        <v>1125</v>
      </c>
      <c r="G66" s="45">
        <v>1125</v>
      </c>
    </row>
    <row r="67" spans="1:11" ht="13.5" thickBot="1" x14ac:dyDescent="0.25">
      <c r="B67" s="10"/>
      <c r="C67" s="28" t="s">
        <v>0</v>
      </c>
      <c r="D67" s="28"/>
      <c r="E67" s="30">
        <f>SUM(E65:E66)</f>
        <v>8972.3300000000017</v>
      </c>
      <c r="K67" s="4"/>
    </row>
    <row r="68" spans="1:11" x14ac:dyDescent="0.2">
      <c r="B68" s="10"/>
      <c r="C68" s="28"/>
      <c r="D68" s="28"/>
      <c r="E68" s="52"/>
    </row>
    <row r="69" spans="1:11" x14ac:dyDescent="0.2">
      <c r="B69" s="10" t="s">
        <v>111</v>
      </c>
      <c r="C69" s="182" t="s">
        <v>112</v>
      </c>
      <c r="D69" s="28"/>
      <c r="E69" s="177">
        <v>4000</v>
      </c>
      <c r="F69" s="45">
        <f>SUM(E67:E69)</f>
        <v>12972.330000000002</v>
      </c>
      <c r="G69" s="45">
        <v>4000</v>
      </c>
      <c r="H69" s="45">
        <f>SUM(G59:G69)</f>
        <v>12972.330000000002</v>
      </c>
    </row>
    <row r="70" spans="1:11" x14ac:dyDescent="0.2">
      <c r="B70" s="10"/>
      <c r="C70" s="28"/>
      <c r="D70" s="28"/>
      <c r="E70" s="52"/>
    </row>
    <row r="71" spans="1:11" s="6" customFormat="1" ht="13.15" customHeight="1" x14ac:dyDescent="0.2">
      <c r="A71" s="14" t="s">
        <v>6</v>
      </c>
      <c r="B71" s="15" t="s">
        <v>7</v>
      </c>
      <c r="C71" s="15"/>
      <c r="D71" s="31">
        <v>9000</v>
      </c>
      <c r="E71" s="43" t="s">
        <v>116</v>
      </c>
      <c r="F71" s="14" t="s">
        <v>33</v>
      </c>
      <c r="G71" s="206" t="s">
        <v>32</v>
      </c>
      <c r="H71" s="190"/>
      <c r="I71" s="51"/>
      <c r="K71" s="5"/>
    </row>
    <row r="72" spans="1:11" s="6" customFormat="1" ht="13.15" customHeight="1" x14ac:dyDescent="0.2">
      <c r="A72" s="14" t="s">
        <v>8</v>
      </c>
      <c r="B72" s="15" t="s">
        <v>9</v>
      </c>
      <c r="C72" s="15"/>
      <c r="D72" s="31">
        <v>311.83999999999997</v>
      </c>
      <c r="E72" s="43" t="s">
        <v>116</v>
      </c>
      <c r="F72" s="14" t="s">
        <v>33</v>
      </c>
      <c r="G72" s="206" t="s">
        <v>109</v>
      </c>
      <c r="H72" s="190"/>
      <c r="I72" s="51"/>
      <c r="K72" s="5"/>
    </row>
    <row r="73" spans="1:11" s="6" customFormat="1" ht="13.15" customHeight="1" x14ac:dyDescent="0.2">
      <c r="A73" s="14" t="s">
        <v>27</v>
      </c>
      <c r="B73" s="15" t="s">
        <v>28</v>
      </c>
      <c r="C73" s="15"/>
      <c r="D73" s="31">
        <v>619.53</v>
      </c>
      <c r="E73" s="43" t="s">
        <v>116</v>
      </c>
      <c r="F73" s="60" t="s">
        <v>19</v>
      </c>
      <c r="G73" s="206" t="s">
        <v>20</v>
      </c>
      <c r="H73" s="190">
        <v>500</v>
      </c>
      <c r="I73" s="51" t="s">
        <v>116</v>
      </c>
    </row>
    <row r="74" spans="1:11" s="6" customFormat="1" ht="13.15" customHeight="1" x14ac:dyDescent="0.2">
      <c r="A74" s="14" t="s">
        <v>10</v>
      </c>
      <c r="B74" s="15" t="s">
        <v>34</v>
      </c>
      <c r="C74" s="31"/>
      <c r="D74" s="31">
        <v>5000</v>
      </c>
      <c r="E74" s="43" t="s">
        <v>116</v>
      </c>
      <c r="F74" s="60" t="s">
        <v>6</v>
      </c>
      <c r="G74" s="206" t="s">
        <v>39</v>
      </c>
      <c r="H74" s="190">
        <v>919</v>
      </c>
      <c r="I74" s="51" t="s">
        <v>116</v>
      </c>
    </row>
    <row r="75" spans="1:11" s="6" customFormat="1" ht="13.15" customHeight="1" x14ac:dyDescent="0.2">
      <c r="A75" s="14" t="s">
        <v>10</v>
      </c>
      <c r="B75" s="15" t="s">
        <v>35</v>
      </c>
      <c r="C75" s="31"/>
      <c r="D75" s="31">
        <v>4000</v>
      </c>
      <c r="E75" s="43" t="s">
        <v>116</v>
      </c>
      <c r="F75" s="60" t="s">
        <v>8</v>
      </c>
      <c r="G75" s="206" t="s">
        <v>14</v>
      </c>
      <c r="H75" s="190">
        <v>12000</v>
      </c>
      <c r="I75" s="51" t="s">
        <v>116</v>
      </c>
      <c r="J75" s="189" t="s">
        <v>140</v>
      </c>
    </row>
    <row r="76" spans="1:11" s="6" customFormat="1" ht="13.15" customHeight="1" thickBot="1" x14ac:dyDescent="0.25">
      <c r="A76" s="14" t="s">
        <v>10</v>
      </c>
      <c r="B76" s="15" t="s">
        <v>36</v>
      </c>
      <c r="C76" s="31"/>
      <c r="D76" s="31"/>
      <c r="E76" s="43"/>
      <c r="F76" s="61" t="s">
        <v>16</v>
      </c>
      <c r="G76" s="206" t="s">
        <v>15</v>
      </c>
      <c r="H76" s="207">
        <v>12000</v>
      </c>
      <c r="I76" s="51" t="s">
        <v>116</v>
      </c>
      <c r="J76" s="190"/>
    </row>
    <row r="77" spans="1:11" s="6" customFormat="1" ht="13.15" customHeight="1" thickTop="1" thickBot="1" x14ac:dyDescent="0.25">
      <c r="A77" s="14"/>
      <c r="B77" s="15"/>
      <c r="C77" s="31"/>
      <c r="D77" s="31"/>
      <c r="E77" s="43"/>
      <c r="F77" s="62"/>
      <c r="G77" s="206"/>
      <c r="H77" s="208">
        <f>SUM(H71:H76)+SUM(D71:D76)</f>
        <v>44350.37</v>
      </c>
      <c r="I77" s="51"/>
      <c r="J77" s="190"/>
      <c r="K77" s="189"/>
    </row>
    <row r="78" spans="1:11" s="6" customFormat="1" ht="13.15" customHeight="1" thickBot="1" x14ac:dyDescent="0.25">
      <c r="A78" s="14"/>
      <c r="B78" s="15"/>
      <c r="C78" s="31"/>
      <c r="D78" s="31"/>
      <c r="E78" s="31"/>
      <c r="F78" s="62"/>
      <c r="G78" s="209" t="s">
        <v>4</v>
      </c>
      <c r="H78" s="210">
        <f>G69+H77</f>
        <v>48350.37</v>
      </c>
      <c r="I78" s="37"/>
      <c r="J78" s="190"/>
      <c r="K78" s="189"/>
    </row>
    <row r="79" spans="1:11" s="6" customFormat="1" ht="13.15" customHeight="1" x14ac:dyDescent="0.2">
      <c r="B79" s="14"/>
      <c r="C79" s="15"/>
      <c r="D79" s="8"/>
      <c r="E79" s="31"/>
      <c r="F79" s="63"/>
      <c r="G79" s="63"/>
      <c r="H79" s="63"/>
      <c r="I79" s="37"/>
      <c r="J79" s="190"/>
      <c r="K79" s="189"/>
    </row>
    <row r="80" spans="1:11" s="6" customFormat="1" ht="13.15" customHeight="1" x14ac:dyDescent="0.2">
      <c r="B80" s="14"/>
      <c r="C80" s="15"/>
      <c r="D80" s="7"/>
      <c r="E80" s="8"/>
      <c r="F80" s="63"/>
      <c r="G80" s="63"/>
      <c r="H80" s="63"/>
      <c r="I80" s="37"/>
      <c r="J80" s="190"/>
      <c r="K80" s="189"/>
    </row>
    <row r="81" spans="1:11" s="6" customFormat="1" ht="13.15" customHeight="1" x14ac:dyDescent="0.2">
      <c r="A81" s="8"/>
      <c r="B81" s="9"/>
      <c r="C81" s="8"/>
      <c r="D81" s="7"/>
      <c r="E81" s="8"/>
      <c r="F81" s="63"/>
      <c r="G81" s="63"/>
      <c r="H81" s="63"/>
      <c r="I81" s="37"/>
      <c r="J81" s="190"/>
      <c r="K81" s="189"/>
    </row>
    <row r="82" spans="1:11" s="6" customFormat="1" ht="13.15" customHeight="1" x14ac:dyDescent="0.2">
      <c r="A82" s="8"/>
      <c r="B82" s="9"/>
      <c r="C82" s="7"/>
      <c r="D82" s="7"/>
      <c r="E82" s="8"/>
      <c r="F82" s="63"/>
      <c r="G82" s="63"/>
      <c r="H82" s="63"/>
      <c r="I82" s="37"/>
      <c r="J82" s="189"/>
      <c r="K82" s="189"/>
    </row>
    <row r="83" spans="1:11" s="6" customFormat="1" ht="13.15" customHeight="1" x14ac:dyDescent="0.2">
      <c r="A83" s="8"/>
      <c r="B83" s="9"/>
      <c r="C83" s="7"/>
      <c r="D83" s="7"/>
      <c r="E83" s="8"/>
      <c r="F83" s="63"/>
      <c r="G83" s="63"/>
      <c r="H83" s="63"/>
      <c r="I83" s="37"/>
      <c r="J83" s="189"/>
      <c r="K83" s="189"/>
    </row>
    <row r="84" spans="1:11" s="6" customFormat="1" ht="13.15" customHeight="1" x14ac:dyDescent="0.2">
      <c r="A84" s="8"/>
      <c r="B84" s="9"/>
      <c r="C84" s="7"/>
      <c r="D84" s="7"/>
      <c r="E84" s="8"/>
      <c r="F84" s="63"/>
      <c r="G84" s="63"/>
      <c r="H84" s="63"/>
      <c r="I84" s="37"/>
      <c r="K84" s="189"/>
    </row>
    <row r="85" spans="1:11" s="8" customFormat="1" x14ac:dyDescent="0.2">
      <c r="B85" s="9"/>
      <c r="C85" s="7"/>
      <c r="F85" s="63"/>
      <c r="G85" s="63"/>
      <c r="H85" s="63"/>
      <c r="K85" s="189"/>
    </row>
    <row r="86" spans="1:11" s="8" customFormat="1" x14ac:dyDescent="0.2">
      <c r="B86" s="9"/>
      <c r="C86" s="7"/>
      <c r="F86" s="63"/>
      <c r="G86" s="63"/>
      <c r="H86" s="63"/>
      <c r="K86" s="6"/>
    </row>
    <row r="87" spans="1:11" s="8" customFormat="1" ht="12" x14ac:dyDescent="0.2">
      <c r="B87" s="9"/>
      <c r="C87" s="7"/>
      <c r="F87" s="63"/>
      <c r="G87" s="63"/>
      <c r="H87" s="63"/>
    </row>
    <row r="88" spans="1:11" s="8" customFormat="1" ht="12" x14ac:dyDescent="0.2">
      <c r="B88" s="9"/>
      <c r="F88" s="63"/>
      <c r="G88" s="63"/>
      <c r="H88" s="63"/>
    </row>
    <row r="89" spans="1:11" s="8" customFormat="1" ht="12" x14ac:dyDescent="0.2">
      <c r="B89" s="9"/>
      <c r="F89" s="63"/>
      <c r="G89" s="63"/>
      <c r="H89" s="63"/>
    </row>
    <row r="90" spans="1:11" s="8" customFormat="1" ht="12" x14ac:dyDescent="0.2">
      <c r="B90" s="9"/>
      <c r="F90" s="63"/>
      <c r="G90" s="63"/>
      <c r="H90" s="63"/>
    </row>
    <row r="91" spans="1:11" s="8" customFormat="1" x14ac:dyDescent="0.2">
      <c r="B91" s="9"/>
      <c r="D91" s="5"/>
      <c r="F91" s="63"/>
      <c r="G91" s="63"/>
      <c r="H91" s="63"/>
    </row>
    <row r="92" spans="1:11" s="8" customFormat="1" x14ac:dyDescent="0.2">
      <c r="B92" s="9"/>
      <c r="D92" s="5"/>
      <c r="F92" s="45"/>
      <c r="G92" s="45"/>
      <c r="H92" s="45"/>
    </row>
    <row r="93" spans="1:11" s="8" customFormat="1" x14ac:dyDescent="0.2">
      <c r="B93" s="9"/>
      <c r="D93" s="5"/>
      <c r="E93" s="5"/>
      <c r="F93" s="45"/>
      <c r="G93" s="45"/>
      <c r="H93" s="45"/>
    </row>
    <row r="94" spans="1:11" s="8" customFormat="1" x14ac:dyDescent="0.2">
      <c r="B94" s="11"/>
      <c r="C94" s="5"/>
      <c r="D94" s="5"/>
      <c r="E94" s="5"/>
      <c r="F94" s="45"/>
      <c r="G94" s="45"/>
      <c r="H94" s="45"/>
    </row>
    <row r="95" spans="1:11" s="8" customFormat="1" x14ac:dyDescent="0.2">
      <c r="B95" s="11"/>
      <c r="C95" s="5"/>
      <c r="D95" s="5"/>
      <c r="E95" s="5"/>
      <c r="F95" s="45"/>
      <c r="G95" s="45"/>
      <c r="H95" s="45"/>
    </row>
    <row r="96" spans="1:11" s="8" customFormat="1" x14ac:dyDescent="0.2">
      <c r="B96" s="11"/>
      <c r="C96" s="5"/>
      <c r="D96" s="5"/>
      <c r="E96" s="5"/>
      <c r="F96" s="45"/>
      <c r="G96" s="45"/>
      <c r="H96" s="45"/>
    </row>
    <row r="97" spans="1:11" s="8" customFormat="1" x14ac:dyDescent="0.2">
      <c r="B97" s="11"/>
      <c r="C97" s="5"/>
      <c r="D97" s="5"/>
      <c r="E97" s="5"/>
      <c r="F97" s="45"/>
      <c r="G97" s="45"/>
      <c r="H97" s="45"/>
    </row>
    <row r="98" spans="1:11" s="8" customFormat="1" x14ac:dyDescent="0.2">
      <c r="A98" s="5"/>
      <c r="B98" s="11"/>
      <c r="C98" s="5"/>
      <c r="D98" s="5"/>
      <c r="E98" s="5"/>
      <c r="F98" s="45"/>
      <c r="G98" s="45"/>
      <c r="H98" s="45"/>
      <c r="I98" s="5"/>
    </row>
    <row r="99" spans="1:11" s="8" customFormat="1" x14ac:dyDescent="0.2">
      <c r="A99" s="5"/>
      <c r="B99" s="11"/>
      <c r="C99" s="5"/>
      <c r="D99" s="5"/>
      <c r="E99" s="5"/>
      <c r="F99" s="45"/>
      <c r="G99" s="45"/>
      <c r="H99" s="45"/>
      <c r="I99" s="5"/>
    </row>
    <row r="100" spans="1:11" s="8" customFormat="1" x14ac:dyDescent="0.2">
      <c r="A100" s="5"/>
      <c r="B100" s="11"/>
      <c r="C100" s="5"/>
      <c r="D100" s="5"/>
      <c r="E100" s="5"/>
      <c r="F100" s="45"/>
      <c r="G100" s="45"/>
      <c r="H100" s="45"/>
      <c r="I100" s="5"/>
    </row>
    <row r="101" spans="1:11" s="8" customFormat="1" x14ac:dyDescent="0.2">
      <c r="A101" s="5"/>
      <c r="B101" s="11"/>
      <c r="C101" s="5"/>
      <c r="D101" s="5"/>
      <c r="E101" s="5"/>
      <c r="F101" s="45"/>
      <c r="G101" s="45"/>
      <c r="H101" s="45"/>
      <c r="I101" s="5"/>
    </row>
    <row r="102" spans="1:11" x14ac:dyDescent="0.2">
      <c r="K102" s="8"/>
    </row>
    <row r="103" spans="1:11" x14ac:dyDescent="0.2">
      <c r="K103" s="8"/>
    </row>
  </sheetData>
  <mergeCells count="9">
    <mergeCell ref="E39:F39"/>
    <mergeCell ref="C56:D56"/>
    <mergeCell ref="E57:F57"/>
    <mergeCell ref="A1:J1"/>
    <mergeCell ref="C4:D4"/>
    <mergeCell ref="E5:F5"/>
    <mergeCell ref="C21:D21"/>
    <mergeCell ref="E22:F22"/>
    <mergeCell ref="C38:D38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zoomScaleNormal="100" workbookViewId="0">
      <selection activeCell="E85" sqref="E85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12" style="45" customWidth="1"/>
    <col min="7" max="7" width="14.85546875" style="45" customWidth="1"/>
    <col min="8" max="8" width="12.7109375" style="45" customWidth="1"/>
    <col min="9" max="9" width="3.28515625" style="5" customWidth="1"/>
    <col min="10" max="10" width="10.42578125" style="5" customWidth="1"/>
    <col min="11" max="16384" width="8.85546875" style="5"/>
  </cols>
  <sheetData>
    <row r="1" spans="1:10" s="1" customFormat="1" ht="24" customHeight="1" x14ac:dyDescent="0.2">
      <c r="A1" s="393" t="s">
        <v>141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s="24" customFormat="1" ht="6.75" customHeight="1" x14ac:dyDescent="0.2">
      <c r="B2" s="25"/>
      <c r="C2" s="26"/>
      <c r="D2" s="26"/>
      <c r="E2" s="27"/>
      <c r="F2" s="53"/>
      <c r="G2" s="53"/>
      <c r="H2" s="53"/>
      <c r="I2" s="27"/>
    </row>
    <row r="3" spans="1:10" ht="19.5" customHeight="1" x14ac:dyDescent="0.2">
      <c r="A3" s="38"/>
      <c r="B3" s="20" t="s">
        <v>21</v>
      </c>
      <c r="C3" s="39" t="s">
        <v>53</v>
      </c>
      <c r="D3" s="33"/>
      <c r="E3" s="12"/>
      <c r="F3" s="54"/>
      <c r="G3" s="54"/>
      <c r="H3" s="54"/>
      <c r="I3" s="12"/>
    </row>
    <row r="4" spans="1:10" ht="19.5" customHeight="1" x14ac:dyDescent="0.2">
      <c r="B4" s="20" t="s">
        <v>23</v>
      </c>
      <c r="C4" s="394">
        <v>44013</v>
      </c>
      <c r="D4" s="395"/>
      <c r="E4" s="12"/>
      <c r="F4" s="54"/>
      <c r="G4" s="54"/>
      <c r="H4" s="54"/>
      <c r="I4" s="12"/>
    </row>
    <row r="5" spans="1:10" ht="4.5" customHeight="1" x14ac:dyDescent="0.45">
      <c r="B5" s="2"/>
      <c r="C5" s="17"/>
      <c r="D5" s="17"/>
      <c r="E5" s="396"/>
      <c r="F5" s="396"/>
      <c r="G5" s="205"/>
      <c r="H5" s="177"/>
      <c r="I5" s="4"/>
    </row>
    <row r="6" spans="1:10" s="128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204"/>
      <c r="G6" s="204"/>
      <c r="H6" s="55"/>
    </row>
    <row r="7" spans="1:10" x14ac:dyDescent="0.2">
      <c r="B7" s="18" t="s">
        <v>25</v>
      </c>
      <c r="C7" s="19" t="s">
        <v>13</v>
      </c>
      <c r="D7" s="40"/>
      <c r="E7" s="220">
        <v>2041.71</v>
      </c>
      <c r="F7" s="219"/>
      <c r="G7" s="218"/>
    </row>
    <row r="8" spans="1:10" x14ac:dyDescent="0.2">
      <c r="B8" s="36" t="s">
        <v>26</v>
      </c>
      <c r="C8" s="22" t="s">
        <v>24</v>
      </c>
      <c r="D8" s="41"/>
      <c r="E8" s="221">
        <v>1005.13</v>
      </c>
      <c r="F8" s="59"/>
      <c r="G8" s="56"/>
    </row>
    <row r="9" spans="1:10" x14ac:dyDescent="0.2">
      <c r="B9" s="36" t="s">
        <v>3</v>
      </c>
      <c r="C9" s="22" t="s">
        <v>12</v>
      </c>
      <c r="D9" s="41"/>
      <c r="E9" s="221">
        <v>1303.77</v>
      </c>
      <c r="F9" s="59"/>
      <c r="G9" s="56"/>
    </row>
    <row r="10" spans="1:10" x14ac:dyDescent="0.2">
      <c r="B10" s="13" t="s">
        <v>31</v>
      </c>
      <c r="C10" s="16" t="s">
        <v>11</v>
      </c>
      <c r="D10" s="42"/>
      <c r="E10" s="222">
        <v>1269.22</v>
      </c>
      <c r="F10" s="59"/>
      <c r="G10" s="56"/>
    </row>
    <row r="11" spans="1:10" x14ac:dyDescent="0.2">
      <c r="B11" s="68" t="s">
        <v>69</v>
      </c>
      <c r="C11" s="72" t="s">
        <v>30</v>
      </c>
      <c r="D11" s="69"/>
      <c r="E11" s="223">
        <v>990</v>
      </c>
      <c r="G11" s="56"/>
      <c r="I11" s="216"/>
      <c r="J11" s="216"/>
    </row>
    <row r="12" spans="1:10" ht="13.5" thickBot="1" x14ac:dyDescent="0.25">
      <c r="B12" s="71" t="s">
        <v>79</v>
      </c>
      <c r="C12" s="73" t="s">
        <v>80</v>
      </c>
      <c r="D12" s="50"/>
      <c r="E12" s="192">
        <v>1237.5</v>
      </c>
      <c r="F12" s="56"/>
      <c r="G12" s="56"/>
      <c r="I12" s="216"/>
      <c r="J12" s="216"/>
    </row>
    <row r="13" spans="1:10" s="4" customFormat="1" ht="13.5" thickBot="1" x14ac:dyDescent="0.25">
      <c r="B13" s="46"/>
      <c r="C13" s="47"/>
      <c r="D13" s="48"/>
      <c r="E13" s="49">
        <f>SUM(E7:E12)</f>
        <v>7847.3300000000008</v>
      </c>
      <c r="F13" s="58"/>
      <c r="G13" s="56"/>
      <c r="H13" s="177"/>
    </row>
    <row r="14" spans="1:10" ht="13.5" thickBot="1" x14ac:dyDescent="0.25">
      <c r="B14" s="74" t="s">
        <v>29</v>
      </c>
      <c r="C14" s="75" t="s">
        <v>5</v>
      </c>
      <c r="D14" s="75"/>
      <c r="E14" s="76">
        <v>1125</v>
      </c>
    </row>
    <row r="15" spans="1:10" ht="13.5" thickBot="1" x14ac:dyDescent="0.25">
      <c r="B15" s="10"/>
      <c r="C15" s="28" t="s">
        <v>0</v>
      </c>
      <c r="D15" s="28"/>
      <c r="E15" s="30">
        <f>SUM(E13:E14)</f>
        <v>8972.3300000000017</v>
      </c>
    </row>
    <row r="16" spans="1:10" x14ac:dyDescent="0.2">
      <c r="B16" s="10"/>
      <c r="C16" s="28"/>
      <c r="D16" s="28"/>
      <c r="E16" s="52"/>
    </row>
    <row r="17" spans="1:11" x14ac:dyDescent="0.2">
      <c r="B17" s="10" t="s">
        <v>111</v>
      </c>
      <c r="C17" s="182" t="s">
        <v>112</v>
      </c>
      <c r="D17" s="28"/>
      <c r="E17" s="177">
        <v>4000</v>
      </c>
      <c r="F17" s="45">
        <f>SUM(E15:E17)</f>
        <v>12972.330000000002</v>
      </c>
    </row>
    <row r="18" spans="1:11" x14ac:dyDescent="0.2">
      <c r="B18" s="10"/>
      <c r="C18" s="28"/>
      <c r="D18" s="28"/>
      <c r="E18" s="52"/>
    </row>
    <row r="19" spans="1:11" s="24" customFormat="1" ht="6.75" customHeight="1" x14ac:dyDescent="0.2">
      <c r="B19" s="25"/>
      <c r="C19" s="26"/>
      <c r="D19" s="26"/>
      <c r="E19" s="27"/>
      <c r="F19" s="53"/>
      <c r="G19" s="53"/>
      <c r="H19" s="53"/>
      <c r="I19" s="27"/>
    </row>
    <row r="20" spans="1:11" ht="19.5" customHeight="1" x14ac:dyDescent="0.2">
      <c r="A20" s="38"/>
      <c r="B20" s="20" t="s">
        <v>21</v>
      </c>
      <c r="C20" s="39" t="s">
        <v>54</v>
      </c>
      <c r="D20" s="33"/>
      <c r="E20" s="12"/>
      <c r="F20" s="54"/>
      <c r="G20" s="54"/>
      <c r="H20" s="54"/>
      <c r="I20" s="12"/>
    </row>
    <row r="21" spans="1:11" ht="19.5" customHeight="1" x14ac:dyDescent="0.2">
      <c r="B21" s="20" t="s">
        <v>23</v>
      </c>
      <c r="C21" s="395">
        <v>44020</v>
      </c>
      <c r="D21" s="395"/>
      <c r="E21" s="12"/>
      <c r="F21" s="54"/>
      <c r="G21" s="54"/>
      <c r="H21" s="54"/>
      <c r="I21" s="12"/>
    </row>
    <row r="22" spans="1:11" ht="4.5" customHeight="1" x14ac:dyDescent="0.45">
      <c r="B22" s="2"/>
      <c r="C22" s="17"/>
      <c r="D22" s="17"/>
      <c r="E22" s="396"/>
      <c r="F22" s="396"/>
      <c r="G22" s="205"/>
      <c r="H22" s="177"/>
      <c r="I22" s="4"/>
    </row>
    <row r="23" spans="1:11" s="128" customFormat="1" ht="13.5" thickBot="1" x14ac:dyDescent="0.25">
      <c r="B23" s="21" t="s">
        <v>22</v>
      </c>
      <c r="C23" s="44" t="s">
        <v>1</v>
      </c>
      <c r="D23" s="44"/>
      <c r="E23" s="23" t="s">
        <v>2</v>
      </c>
      <c r="F23" s="204"/>
      <c r="G23" s="204"/>
      <c r="H23" s="55"/>
    </row>
    <row r="24" spans="1:11" x14ac:dyDescent="0.2">
      <c r="B24" s="18" t="s">
        <v>25</v>
      </c>
      <c r="C24" s="19" t="s">
        <v>13</v>
      </c>
      <c r="D24" s="40"/>
      <c r="E24" s="220">
        <v>2041.71</v>
      </c>
      <c r="F24" s="59"/>
      <c r="G24" s="56"/>
    </row>
    <row r="25" spans="1:11" x14ac:dyDescent="0.2">
      <c r="B25" s="36" t="s">
        <v>26</v>
      </c>
      <c r="C25" s="22" t="s">
        <v>24</v>
      </c>
      <c r="D25" s="41"/>
      <c r="E25" s="221">
        <v>1005.13</v>
      </c>
      <c r="F25" s="59"/>
      <c r="G25" s="56"/>
    </row>
    <row r="26" spans="1:11" x14ac:dyDescent="0.2">
      <c r="B26" s="36" t="s">
        <v>3</v>
      </c>
      <c r="C26" s="22" t="s">
        <v>12</v>
      </c>
      <c r="D26" s="41"/>
      <c r="E26" s="221">
        <v>1303.77</v>
      </c>
      <c r="F26" s="59"/>
      <c r="G26" s="56"/>
    </row>
    <row r="27" spans="1:11" x14ac:dyDescent="0.2">
      <c r="B27" s="13" t="s">
        <v>31</v>
      </c>
      <c r="C27" s="16" t="s">
        <v>11</v>
      </c>
      <c r="D27" s="42"/>
      <c r="E27" s="222">
        <v>1269.22</v>
      </c>
      <c r="F27" s="59"/>
      <c r="G27" s="56"/>
    </row>
    <row r="28" spans="1:11" x14ac:dyDescent="0.2">
      <c r="B28" s="68" t="s">
        <v>69</v>
      </c>
      <c r="C28" s="72" t="s">
        <v>30</v>
      </c>
      <c r="D28" s="69"/>
      <c r="E28" s="223">
        <v>990</v>
      </c>
      <c r="G28" s="56"/>
      <c r="I28" s="216"/>
      <c r="J28" s="216"/>
    </row>
    <row r="29" spans="1:11" ht="13.5" thickBot="1" x14ac:dyDescent="0.25">
      <c r="B29" s="71" t="s">
        <v>79</v>
      </c>
      <c r="C29" s="73" t="s">
        <v>80</v>
      </c>
      <c r="D29" s="50"/>
      <c r="E29" s="192">
        <v>1237.5</v>
      </c>
      <c r="F29" s="56"/>
      <c r="G29" s="56"/>
      <c r="I29" s="216"/>
      <c r="J29" s="216"/>
    </row>
    <row r="30" spans="1:11" s="4" customFormat="1" ht="13.5" thickBot="1" x14ac:dyDescent="0.25">
      <c r="B30" s="46"/>
      <c r="C30" s="47"/>
      <c r="D30" s="48"/>
      <c r="E30" s="49">
        <f>SUM(E24:E29)</f>
        <v>7847.3300000000008</v>
      </c>
      <c r="F30" s="58"/>
      <c r="G30" s="56"/>
      <c r="H30" s="203"/>
      <c r="J30" s="177"/>
      <c r="K30" s="5"/>
    </row>
    <row r="31" spans="1:11" s="212" customFormat="1" ht="13.5" thickBot="1" x14ac:dyDescent="0.25">
      <c r="B31" s="213" t="s">
        <v>29</v>
      </c>
      <c r="C31" s="214" t="s">
        <v>5</v>
      </c>
      <c r="D31" s="214"/>
      <c r="E31" s="76">
        <v>1125</v>
      </c>
      <c r="F31" s="215"/>
      <c r="G31" s="215"/>
      <c r="H31" s="215"/>
    </row>
    <row r="32" spans="1:11" ht="13.5" thickBot="1" x14ac:dyDescent="0.25">
      <c r="B32" s="10"/>
      <c r="C32" s="28" t="s">
        <v>0</v>
      </c>
      <c r="D32" s="28"/>
      <c r="E32" s="30">
        <f>SUM(E30:E31)</f>
        <v>8972.3300000000017</v>
      </c>
      <c r="K32" s="4"/>
    </row>
    <row r="33" spans="1:11" x14ac:dyDescent="0.2">
      <c r="B33" s="10"/>
      <c r="C33" s="28"/>
      <c r="D33" s="28"/>
      <c r="E33" s="52"/>
    </row>
    <row r="34" spans="1:11" x14ac:dyDescent="0.2">
      <c r="B34" s="10" t="s">
        <v>111</v>
      </c>
      <c r="C34" s="182" t="s">
        <v>112</v>
      </c>
      <c r="D34" s="28"/>
      <c r="E34" s="177">
        <v>4000</v>
      </c>
      <c r="F34" s="45">
        <f>SUM(E32:E34)</f>
        <v>12972.330000000002</v>
      </c>
    </row>
    <row r="35" spans="1:11" x14ac:dyDescent="0.2">
      <c r="B35" s="10"/>
      <c r="C35" s="28"/>
      <c r="D35" s="28"/>
      <c r="E35" s="52"/>
    </row>
    <row r="36" spans="1:11" s="24" customFormat="1" ht="6.75" customHeight="1" x14ac:dyDescent="0.2">
      <c r="B36" s="25"/>
      <c r="C36" s="26"/>
      <c r="D36" s="26"/>
      <c r="E36" s="27"/>
      <c r="F36" s="53"/>
      <c r="G36" s="53"/>
      <c r="H36" s="53"/>
      <c r="I36" s="27"/>
    </row>
    <row r="37" spans="1:11" ht="19.5" customHeight="1" x14ac:dyDescent="0.2">
      <c r="A37" s="38"/>
      <c r="B37" s="20" t="s">
        <v>21</v>
      </c>
      <c r="C37" s="39" t="s">
        <v>55</v>
      </c>
      <c r="D37" s="33"/>
      <c r="E37" s="12"/>
      <c r="F37" s="54"/>
      <c r="G37" s="54"/>
      <c r="H37" s="54"/>
      <c r="I37" s="12"/>
    </row>
    <row r="38" spans="1:11" ht="19.5" customHeight="1" x14ac:dyDescent="0.2">
      <c r="B38" s="20" t="s">
        <v>23</v>
      </c>
      <c r="C38" s="395">
        <v>44027</v>
      </c>
      <c r="D38" s="395"/>
      <c r="E38" s="12"/>
      <c r="F38" s="54"/>
      <c r="G38" s="54"/>
      <c r="H38" s="54"/>
      <c r="I38" s="12"/>
    </row>
    <row r="39" spans="1:11" ht="4.5" customHeight="1" x14ac:dyDescent="0.45">
      <c r="B39" s="2"/>
      <c r="C39" s="17"/>
      <c r="D39" s="17"/>
      <c r="E39" s="396"/>
      <c r="F39" s="396"/>
      <c r="G39" s="205"/>
      <c r="H39" s="177"/>
      <c r="I39" s="4"/>
    </row>
    <row r="40" spans="1:11" s="128" customFormat="1" ht="13.5" thickBot="1" x14ac:dyDescent="0.25">
      <c r="B40" s="21" t="s">
        <v>22</v>
      </c>
      <c r="C40" s="44" t="s">
        <v>1</v>
      </c>
      <c r="D40" s="44"/>
      <c r="E40" s="23" t="s">
        <v>2</v>
      </c>
      <c r="F40" s="204"/>
      <c r="G40" s="204"/>
      <c r="H40" s="55"/>
    </row>
    <row r="41" spans="1:11" x14ac:dyDescent="0.2">
      <c r="B41" s="18" t="s">
        <v>25</v>
      </c>
      <c r="C41" s="19" t="s">
        <v>13</v>
      </c>
      <c r="D41" s="40"/>
      <c r="E41" s="66">
        <v>2041.71</v>
      </c>
      <c r="F41" s="59"/>
      <c r="G41" s="56"/>
    </row>
    <row r="42" spans="1:11" x14ac:dyDescent="0.2">
      <c r="B42" s="36" t="s">
        <v>26</v>
      </c>
      <c r="C42" s="22" t="s">
        <v>24</v>
      </c>
      <c r="D42" s="41"/>
      <c r="E42" s="66">
        <v>1005.13</v>
      </c>
      <c r="F42" s="59"/>
      <c r="G42" s="56"/>
    </row>
    <row r="43" spans="1:11" x14ac:dyDescent="0.2">
      <c r="B43" s="36" t="s">
        <v>3</v>
      </c>
      <c r="C43" s="22" t="s">
        <v>12</v>
      </c>
      <c r="D43" s="41"/>
      <c r="E43" s="66">
        <v>1303.77</v>
      </c>
      <c r="F43" s="59"/>
      <c r="G43" s="56"/>
    </row>
    <row r="44" spans="1:11" x14ac:dyDescent="0.2">
      <c r="B44" s="13" t="s">
        <v>31</v>
      </c>
      <c r="C44" s="16" t="s">
        <v>11</v>
      </c>
      <c r="D44" s="42"/>
      <c r="E44" s="67">
        <v>1269.22</v>
      </c>
      <c r="F44" s="59"/>
      <c r="G44" s="56"/>
    </row>
    <row r="45" spans="1:11" x14ac:dyDescent="0.2">
      <c r="B45" s="68" t="s">
        <v>69</v>
      </c>
      <c r="C45" s="72" t="s">
        <v>30</v>
      </c>
      <c r="D45" s="69"/>
      <c r="E45" s="70">
        <v>990</v>
      </c>
      <c r="G45" s="56"/>
      <c r="I45" s="216"/>
      <c r="J45" s="216"/>
    </row>
    <row r="46" spans="1:11" ht="13.5" thickBot="1" x14ac:dyDescent="0.25">
      <c r="B46" s="71" t="s">
        <v>79</v>
      </c>
      <c r="C46" s="73" t="s">
        <v>80</v>
      </c>
      <c r="D46" s="50"/>
      <c r="E46" s="192">
        <v>1237.5</v>
      </c>
      <c r="F46" s="56"/>
      <c r="G46" s="56"/>
      <c r="I46" s="216"/>
      <c r="J46" s="216"/>
    </row>
    <row r="47" spans="1:11" s="4" customFormat="1" ht="13.5" thickBot="1" x14ac:dyDescent="0.25">
      <c r="B47" s="46"/>
      <c r="C47" s="47"/>
      <c r="D47" s="48"/>
      <c r="E47" s="49">
        <f>SUM(E41:E46)</f>
        <v>7847.3300000000008</v>
      </c>
      <c r="F47" s="58"/>
      <c r="G47" s="56"/>
      <c r="H47" s="203"/>
      <c r="J47" s="177"/>
      <c r="K47" s="5"/>
    </row>
    <row r="48" spans="1:11" s="212" customFormat="1" ht="13.5" thickBot="1" x14ac:dyDescent="0.25">
      <c r="B48" s="213" t="s">
        <v>29</v>
      </c>
      <c r="C48" s="214" t="s">
        <v>5</v>
      </c>
      <c r="D48" s="214"/>
      <c r="E48" s="76">
        <v>1125</v>
      </c>
      <c r="F48" s="215"/>
      <c r="G48" s="215"/>
      <c r="H48" s="215"/>
    </row>
    <row r="49" spans="1:11" ht="13.5" thickBot="1" x14ac:dyDescent="0.25">
      <c r="B49" s="10"/>
      <c r="C49" s="28" t="s">
        <v>0</v>
      </c>
      <c r="D49" s="28"/>
      <c r="E49" s="30">
        <f>SUM(E47:E48)</f>
        <v>8972.3300000000017</v>
      </c>
      <c r="K49" s="4"/>
    </row>
    <row r="50" spans="1:11" x14ac:dyDescent="0.2">
      <c r="B50" s="10"/>
      <c r="C50" s="28"/>
      <c r="D50" s="28"/>
      <c r="E50" s="52"/>
    </row>
    <row r="51" spans="1:11" x14ac:dyDescent="0.2">
      <c r="B51" s="10" t="s">
        <v>111</v>
      </c>
      <c r="C51" s="182" t="s">
        <v>112</v>
      </c>
      <c r="D51" s="28"/>
      <c r="E51" s="177">
        <v>4000</v>
      </c>
      <c r="F51" s="45">
        <f>SUM(E49:E51)</f>
        <v>12972.330000000002</v>
      </c>
    </row>
    <row r="52" spans="1:11" x14ac:dyDescent="0.2">
      <c r="B52" s="10"/>
      <c r="C52" s="28"/>
      <c r="D52" s="28"/>
      <c r="E52" s="52"/>
    </row>
    <row r="53" spans="1:11" s="24" customFormat="1" ht="6.75" customHeight="1" x14ac:dyDescent="0.2">
      <c r="B53" s="25"/>
      <c r="C53" s="26"/>
      <c r="D53" s="26"/>
      <c r="E53" s="27"/>
      <c r="F53" s="53"/>
      <c r="G53" s="53"/>
      <c r="H53" s="53"/>
      <c r="I53" s="27"/>
      <c r="K53" s="5"/>
    </row>
    <row r="54" spans="1:11" ht="19.5" customHeight="1" x14ac:dyDescent="0.2">
      <c r="A54" s="38"/>
      <c r="B54" s="20" t="s">
        <v>21</v>
      </c>
      <c r="C54" s="39" t="s">
        <v>75</v>
      </c>
      <c r="D54" s="33"/>
      <c r="E54" s="12"/>
      <c r="F54" s="54"/>
      <c r="G54" s="54"/>
      <c r="H54" s="54"/>
      <c r="I54" s="12"/>
    </row>
    <row r="55" spans="1:11" ht="19.5" customHeight="1" x14ac:dyDescent="0.2">
      <c r="B55" s="20" t="s">
        <v>23</v>
      </c>
      <c r="C55" s="395">
        <v>44034</v>
      </c>
      <c r="D55" s="395"/>
      <c r="E55" s="12"/>
      <c r="F55" s="54"/>
      <c r="G55" s="54"/>
      <c r="H55" s="54"/>
      <c r="I55" s="12"/>
      <c r="K55" s="24"/>
    </row>
    <row r="56" spans="1:11" ht="4.5" customHeight="1" x14ac:dyDescent="0.45">
      <c r="B56" s="2"/>
      <c r="C56" s="17"/>
      <c r="D56" s="17"/>
      <c r="E56" s="396"/>
      <c r="F56" s="396"/>
      <c r="G56" s="205"/>
      <c r="H56" s="177"/>
      <c r="I56" s="4"/>
    </row>
    <row r="57" spans="1:11" s="128" customFormat="1" ht="13.5" thickBot="1" x14ac:dyDescent="0.25">
      <c r="B57" s="21" t="s">
        <v>22</v>
      </c>
      <c r="C57" s="44" t="s">
        <v>1</v>
      </c>
      <c r="D57" s="44"/>
      <c r="E57" s="23" t="s">
        <v>2</v>
      </c>
      <c r="F57" s="204"/>
      <c r="G57" s="204"/>
      <c r="H57" s="217"/>
      <c r="K57" s="5"/>
    </row>
    <row r="58" spans="1:11" x14ac:dyDescent="0.2">
      <c r="B58" s="18" t="s">
        <v>25</v>
      </c>
      <c r="C58" s="19" t="s">
        <v>13</v>
      </c>
      <c r="D58" s="40"/>
      <c r="E58" s="66">
        <v>2041.71</v>
      </c>
      <c r="F58" s="59"/>
      <c r="G58" s="218"/>
      <c r="H58" s="177"/>
    </row>
    <row r="59" spans="1:11" x14ac:dyDescent="0.2">
      <c r="B59" s="36" t="s">
        <v>26</v>
      </c>
      <c r="C59" s="22" t="s">
        <v>24</v>
      </c>
      <c r="D59" s="41"/>
      <c r="E59" s="66">
        <v>1005.13</v>
      </c>
      <c r="F59" s="59"/>
      <c r="G59" s="218"/>
      <c r="H59" s="177"/>
      <c r="K59" s="128"/>
    </row>
    <row r="60" spans="1:11" x14ac:dyDescent="0.2">
      <c r="B60" s="36" t="s">
        <v>3</v>
      </c>
      <c r="C60" s="22" t="s">
        <v>12</v>
      </c>
      <c r="D60" s="41"/>
      <c r="E60" s="66">
        <v>1303.77</v>
      </c>
      <c r="F60" s="59"/>
      <c r="G60" s="218"/>
      <c r="H60" s="177"/>
    </row>
    <row r="61" spans="1:11" x14ac:dyDescent="0.2">
      <c r="B61" s="13" t="s">
        <v>31</v>
      </c>
      <c r="C61" s="16" t="s">
        <v>11</v>
      </c>
      <c r="D61" s="42"/>
      <c r="E61" s="67">
        <v>1269.22</v>
      </c>
      <c r="F61" s="59"/>
      <c r="G61" s="218"/>
      <c r="H61" s="177"/>
    </row>
    <row r="62" spans="1:11" x14ac:dyDescent="0.2">
      <c r="B62" s="68" t="s">
        <v>69</v>
      </c>
      <c r="C62" s="72" t="s">
        <v>30</v>
      </c>
      <c r="D62" s="69"/>
      <c r="E62" s="70">
        <v>990</v>
      </c>
      <c r="G62" s="218"/>
      <c r="H62" s="177"/>
      <c r="I62" s="216"/>
      <c r="J62" s="216"/>
    </row>
    <row r="63" spans="1:11" ht="13.5" thickBot="1" x14ac:dyDescent="0.25">
      <c r="B63" s="71" t="s">
        <v>79</v>
      </c>
      <c r="C63" s="73" t="s">
        <v>80</v>
      </c>
      <c r="D63" s="50"/>
      <c r="E63" s="192">
        <v>1237.5</v>
      </c>
      <c r="F63" s="56"/>
      <c r="G63" s="218"/>
      <c r="H63" s="177"/>
      <c r="I63" s="216"/>
      <c r="J63" s="216"/>
    </row>
    <row r="64" spans="1:11" s="4" customFormat="1" ht="13.5" thickBot="1" x14ac:dyDescent="0.25">
      <c r="B64" s="46"/>
      <c r="C64" s="47"/>
      <c r="D64" s="48"/>
      <c r="E64" s="49">
        <f>SUM(E58:E63)</f>
        <v>7847.3300000000008</v>
      </c>
      <c r="F64" s="58"/>
      <c r="G64" s="218"/>
      <c r="H64" s="177"/>
      <c r="J64" s="177"/>
      <c r="K64" s="5"/>
    </row>
    <row r="65" spans="1:11" ht="13.5" thickBot="1" x14ac:dyDescent="0.25">
      <c r="B65" s="74" t="s">
        <v>29</v>
      </c>
      <c r="C65" s="75" t="s">
        <v>5</v>
      </c>
      <c r="D65" s="75"/>
      <c r="E65" s="76">
        <v>1125</v>
      </c>
      <c r="G65" s="177"/>
      <c r="H65" s="177"/>
    </row>
    <row r="66" spans="1:11" ht="13.5" thickBot="1" x14ac:dyDescent="0.25">
      <c r="B66" s="10"/>
      <c r="C66" s="28" t="s">
        <v>0</v>
      </c>
      <c r="D66" s="28"/>
      <c r="E66" s="30">
        <f>SUM(E64:E65)</f>
        <v>8972.3300000000017</v>
      </c>
      <c r="G66" s="177"/>
      <c r="H66" s="177"/>
      <c r="K66" s="4"/>
    </row>
    <row r="67" spans="1:11" x14ac:dyDescent="0.2">
      <c r="B67" s="10"/>
      <c r="C67" s="28"/>
      <c r="D67" s="28"/>
      <c r="E67" s="52"/>
      <c r="G67" s="177"/>
      <c r="H67" s="177"/>
    </row>
    <row r="68" spans="1:11" x14ac:dyDescent="0.2">
      <c r="B68" s="10" t="s">
        <v>111</v>
      </c>
      <c r="C68" s="182" t="s">
        <v>112</v>
      </c>
      <c r="D68" s="28"/>
      <c r="E68" s="177">
        <v>4000</v>
      </c>
      <c r="F68" s="45">
        <f>SUM(E66:E68)</f>
        <v>12972.330000000002</v>
      </c>
      <c r="G68" s="177"/>
      <c r="H68" s="177"/>
    </row>
    <row r="69" spans="1:11" x14ac:dyDescent="0.2">
      <c r="B69" s="10"/>
      <c r="C69" s="28"/>
      <c r="D69" s="28"/>
      <c r="E69" s="52"/>
      <c r="J69" s="45"/>
    </row>
    <row r="70" spans="1:11" s="24" customFormat="1" ht="6.75" customHeight="1" x14ac:dyDescent="0.2">
      <c r="B70" s="25"/>
      <c r="C70" s="26"/>
      <c r="D70" s="26"/>
      <c r="E70" s="27"/>
      <c r="F70" s="53"/>
      <c r="G70" s="53"/>
      <c r="H70" s="53"/>
      <c r="I70" s="27"/>
      <c r="K70" s="5"/>
    </row>
    <row r="71" spans="1:11" ht="19.5" customHeight="1" x14ac:dyDescent="0.2">
      <c r="A71" s="38"/>
      <c r="B71" s="20" t="s">
        <v>21</v>
      </c>
      <c r="C71" s="39" t="s">
        <v>76</v>
      </c>
      <c r="D71" s="33"/>
      <c r="E71" s="12"/>
      <c r="F71" s="54"/>
      <c r="G71" s="54"/>
      <c r="H71" s="54"/>
      <c r="I71" s="12"/>
    </row>
    <row r="72" spans="1:11" ht="19.5" customHeight="1" x14ac:dyDescent="0.2">
      <c r="B72" s="20" t="s">
        <v>23</v>
      </c>
      <c r="C72" s="395">
        <v>44041</v>
      </c>
      <c r="D72" s="395"/>
      <c r="E72" s="12"/>
      <c r="F72" s="54"/>
      <c r="G72" s="54"/>
      <c r="H72" s="54"/>
      <c r="I72" s="12"/>
      <c r="K72" s="24"/>
    </row>
    <row r="73" spans="1:11" ht="4.5" customHeight="1" x14ac:dyDescent="0.45">
      <c r="B73" s="2"/>
      <c r="C73" s="17"/>
      <c r="D73" s="17"/>
      <c r="E73" s="396"/>
      <c r="F73" s="396"/>
      <c r="G73" s="205"/>
      <c r="H73" s="177"/>
      <c r="I73" s="4"/>
    </row>
    <row r="74" spans="1:11" s="128" customFormat="1" ht="13.5" thickBot="1" x14ac:dyDescent="0.25">
      <c r="B74" s="21" t="s">
        <v>22</v>
      </c>
      <c r="C74" s="44" t="s">
        <v>1</v>
      </c>
      <c r="D74" s="44"/>
      <c r="E74" s="23" t="s">
        <v>2</v>
      </c>
      <c r="F74" s="204"/>
      <c r="G74" s="204"/>
      <c r="H74" s="55"/>
      <c r="K74" s="5"/>
    </row>
    <row r="75" spans="1:11" x14ac:dyDescent="0.2">
      <c r="B75" s="18" t="s">
        <v>25</v>
      </c>
      <c r="C75" s="19" t="s">
        <v>13</v>
      </c>
      <c r="D75" s="40"/>
      <c r="E75" s="66">
        <v>3303.21</v>
      </c>
      <c r="F75" s="59"/>
      <c r="G75" s="56"/>
    </row>
    <row r="76" spans="1:11" x14ac:dyDescent="0.2">
      <c r="B76" s="36" t="s">
        <v>26</v>
      </c>
      <c r="C76" s="22" t="s">
        <v>24</v>
      </c>
      <c r="D76" s="41"/>
      <c r="E76" s="66">
        <v>1005.13</v>
      </c>
      <c r="F76" s="59"/>
      <c r="G76" s="56"/>
      <c r="K76" s="128"/>
    </row>
    <row r="77" spans="1:11" x14ac:dyDescent="0.2">
      <c r="B77" s="36" t="s">
        <v>3</v>
      </c>
      <c r="C77" s="22" t="s">
        <v>12</v>
      </c>
      <c r="D77" s="41"/>
      <c r="E77" s="66">
        <v>1303.77</v>
      </c>
      <c r="F77" s="59"/>
      <c r="G77" s="56"/>
    </row>
    <row r="78" spans="1:11" x14ac:dyDescent="0.2">
      <c r="B78" s="13" t="s">
        <v>31</v>
      </c>
      <c r="C78" s="16" t="s">
        <v>11</v>
      </c>
      <c r="D78" s="42"/>
      <c r="E78" s="67">
        <v>1269.22</v>
      </c>
      <c r="F78" s="59"/>
      <c r="G78" s="56"/>
    </row>
    <row r="79" spans="1:11" x14ac:dyDescent="0.2">
      <c r="B79" s="68" t="s">
        <v>69</v>
      </c>
      <c r="C79" s="72" t="s">
        <v>30</v>
      </c>
      <c r="D79" s="69"/>
      <c r="E79" s="70">
        <v>990</v>
      </c>
      <c r="G79" s="56"/>
      <c r="I79" s="216"/>
      <c r="J79" s="216"/>
    </row>
    <row r="80" spans="1:11" ht="13.5" thickBot="1" x14ac:dyDescent="0.25">
      <c r="B80" s="71" t="s">
        <v>79</v>
      </c>
      <c r="C80" s="73" t="s">
        <v>80</v>
      </c>
      <c r="D80" s="50"/>
      <c r="E80" s="192">
        <v>1237.5</v>
      </c>
      <c r="F80" s="56"/>
      <c r="G80" s="56"/>
      <c r="I80" s="216"/>
      <c r="J80" s="216"/>
    </row>
    <row r="81" spans="1:11" ht="13.5" thickBot="1" x14ac:dyDescent="0.25">
      <c r="B81" s="10"/>
      <c r="C81" s="28" t="s">
        <v>0</v>
      </c>
      <c r="D81" s="28"/>
      <c r="E81" s="30">
        <f>SUM(E75:E80)</f>
        <v>9108.8300000000017</v>
      </c>
      <c r="K81" s="4"/>
    </row>
    <row r="82" spans="1:11" x14ac:dyDescent="0.2">
      <c r="B82" s="10"/>
      <c r="C82" s="28"/>
      <c r="D82" s="28"/>
      <c r="E82" s="52"/>
    </row>
    <row r="83" spans="1:11" x14ac:dyDescent="0.2">
      <c r="B83" s="10" t="s">
        <v>111</v>
      </c>
      <c r="C83" s="182" t="s">
        <v>112</v>
      </c>
      <c r="D83" s="28"/>
      <c r="E83" s="177">
        <v>4000</v>
      </c>
      <c r="G83" s="45">
        <f>SUM(E81:E83)</f>
        <v>13108.830000000002</v>
      </c>
    </row>
    <row r="84" spans="1:11" x14ac:dyDescent="0.2">
      <c r="B84" s="10"/>
      <c r="C84" s="28"/>
      <c r="D84" s="28"/>
      <c r="E84" s="52"/>
    </row>
    <row r="85" spans="1:11" s="6" customFormat="1" ht="13.15" customHeight="1" x14ac:dyDescent="0.2">
      <c r="A85" s="14" t="s">
        <v>6</v>
      </c>
      <c r="B85" s="15" t="s">
        <v>7</v>
      </c>
      <c r="C85" s="15"/>
      <c r="D85" s="31">
        <v>9000</v>
      </c>
      <c r="E85" s="43" t="s">
        <v>116</v>
      </c>
      <c r="F85" s="14" t="s">
        <v>33</v>
      </c>
      <c r="G85" s="206" t="s">
        <v>32</v>
      </c>
      <c r="H85" s="31">
        <v>3864.58</v>
      </c>
      <c r="I85" s="51" t="s">
        <v>116</v>
      </c>
      <c r="K85" s="5"/>
    </row>
    <row r="86" spans="1:11" s="6" customFormat="1" ht="13.15" customHeight="1" x14ac:dyDescent="0.2">
      <c r="A86" s="14" t="s">
        <v>8</v>
      </c>
      <c r="B86" s="15" t="s">
        <v>9</v>
      </c>
      <c r="C86" s="15"/>
      <c r="D86" s="31">
        <v>311.83999999999997</v>
      </c>
      <c r="E86" s="43"/>
      <c r="F86" s="14" t="s">
        <v>33</v>
      </c>
      <c r="G86" s="206" t="s">
        <v>109</v>
      </c>
      <c r="H86" s="190">
        <v>2000</v>
      </c>
      <c r="I86" s="51" t="s">
        <v>116</v>
      </c>
      <c r="K86" s="5"/>
    </row>
    <row r="87" spans="1:11" s="6" customFormat="1" ht="13.15" customHeight="1" x14ac:dyDescent="0.2">
      <c r="A87" s="14" t="s">
        <v>27</v>
      </c>
      <c r="B87" s="15" t="s">
        <v>28</v>
      </c>
      <c r="C87" s="15"/>
      <c r="D87" s="31">
        <v>619.53</v>
      </c>
      <c r="E87" s="43"/>
      <c r="F87" s="60" t="s">
        <v>19</v>
      </c>
      <c r="G87" s="206" t="s">
        <v>20</v>
      </c>
      <c r="H87" s="190">
        <v>500</v>
      </c>
      <c r="I87" s="51" t="s">
        <v>116</v>
      </c>
    </row>
    <row r="88" spans="1:11" s="6" customFormat="1" ht="13.15" customHeight="1" x14ac:dyDescent="0.2">
      <c r="A88" s="14" t="s">
        <v>10</v>
      </c>
      <c r="B88" s="15" t="s">
        <v>34</v>
      </c>
      <c r="C88" s="31"/>
      <c r="D88" s="31">
        <v>5000</v>
      </c>
      <c r="E88" s="43" t="s">
        <v>116</v>
      </c>
      <c r="F88" s="60" t="s">
        <v>6</v>
      </c>
      <c r="G88" s="206" t="s">
        <v>39</v>
      </c>
      <c r="H88" s="190">
        <v>1018</v>
      </c>
      <c r="I88" s="51" t="s">
        <v>145</v>
      </c>
      <c r="K88" s="6">
        <f>D86+D87+H88</f>
        <v>1949.37</v>
      </c>
    </row>
    <row r="89" spans="1:11" s="6" customFormat="1" ht="13.15" customHeight="1" x14ac:dyDescent="0.2">
      <c r="A89" s="14" t="s">
        <v>10</v>
      </c>
      <c r="B89" s="15" t="s">
        <v>35</v>
      </c>
      <c r="C89" s="31"/>
      <c r="D89" s="31">
        <v>4000</v>
      </c>
      <c r="E89" s="43" t="s">
        <v>116</v>
      </c>
      <c r="F89" s="60" t="s">
        <v>8</v>
      </c>
      <c r="G89" s="206" t="s">
        <v>14</v>
      </c>
      <c r="H89" s="190">
        <v>12000</v>
      </c>
      <c r="I89" s="51" t="s">
        <v>116</v>
      </c>
      <c r="J89" s="189"/>
    </row>
    <row r="90" spans="1:11" s="6" customFormat="1" ht="13.15" customHeight="1" thickBot="1" x14ac:dyDescent="0.25">
      <c r="A90" s="14"/>
      <c r="B90" s="15"/>
      <c r="C90" s="31"/>
      <c r="D90" s="31"/>
      <c r="E90" s="43"/>
      <c r="F90" s="61" t="s">
        <v>16</v>
      </c>
      <c r="G90" s="206" t="s">
        <v>15</v>
      </c>
      <c r="H90" s="207">
        <v>12000</v>
      </c>
      <c r="I90" s="51" t="s">
        <v>116</v>
      </c>
      <c r="J90" s="190"/>
    </row>
    <row r="91" spans="1:11" s="6" customFormat="1" ht="13.15" customHeight="1" thickTop="1" thickBot="1" x14ac:dyDescent="0.25">
      <c r="A91" s="14"/>
      <c r="B91" s="15"/>
      <c r="C91" s="31"/>
      <c r="D91" s="31"/>
      <c r="E91" s="43"/>
      <c r="F91" s="62"/>
      <c r="G91" s="206"/>
      <c r="H91" s="208">
        <f>SUM(H85:H90)+SUM(D85:D90)</f>
        <v>50313.950000000004</v>
      </c>
      <c r="I91" s="51"/>
      <c r="J91" s="190"/>
      <c r="K91" s="189"/>
    </row>
    <row r="92" spans="1:11" s="6" customFormat="1" ht="13.15" customHeight="1" thickBot="1" x14ac:dyDescent="0.25">
      <c r="A92" s="14"/>
      <c r="B92" s="15"/>
      <c r="C92" s="31"/>
      <c r="D92" s="31"/>
      <c r="E92" s="31"/>
      <c r="F92" s="62"/>
      <c r="G92" s="209" t="s">
        <v>4</v>
      </c>
      <c r="H92" s="210">
        <f>G83+H91</f>
        <v>63422.780000000006</v>
      </c>
      <c r="I92" s="37"/>
      <c r="J92" s="190"/>
      <c r="K92" s="189"/>
    </row>
    <row r="93" spans="1:11" s="6" customFormat="1" ht="13.15" customHeight="1" x14ac:dyDescent="0.2">
      <c r="B93" s="14"/>
      <c r="C93" s="15"/>
      <c r="D93" s="8"/>
      <c r="E93" s="31"/>
      <c r="F93" s="63"/>
      <c r="G93" s="63"/>
      <c r="H93" s="63"/>
      <c r="I93" s="37"/>
      <c r="J93" s="190"/>
      <c r="K93" s="189"/>
    </row>
    <row r="94" spans="1:11" s="6" customFormat="1" ht="13.15" customHeight="1" x14ac:dyDescent="0.2">
      <c r="B94" s="14"/>
      <c r="C94" s="15"/>
      <c r="D94" s="7"/>
      <c r="E94" s="8"/>
      <c r="F94" s="63"/>
      <c r="G94" s="63"/>
      <c r="H94" s="63"/>
      <c r="I94" s="37"/>
      <c r="J94" s="190"/>
      <c r="K94" s="189"/>
    </row>
    <row r="95" spans="1:11" s="6" customFormat="1" ht="13.15" customHeight="1" x14ac:dyDescent="0.2">
      <c r="A95" s="8"/>
      <c r="B95" s="9"/>
      <c r="C95" s="8"/>
      <c r="D95" s="7"/>
      <c r="E95" s="8"/>
      <c r="F95" s="63"/>
      <c r="G95" s="63"/>
      <c r="H95" s="63"/>
      <c r="I95" s="37"/>
      <c r="J95" s="190"/>
      <c r="K95" s="189"/>
    </row>
    <row r="96" spans="1:11" s="6" customFormat="1" ht="13.15" customHeight="1" x14ac:dyDescent="0.2">
      <c r="A96" s="8"/>
      <c r="B96" s="9"/>
      <c r="C96" s="7"/>
      <c r="D96" s="7"/>
      <c r="E96" s="8"/>
      <c r="F96" s="63"/>
      <c r="G96" s="63"/>
      <c r="H96" s="63"/>
      <c r="I96" s="37"/>
      <c r="J96" s="189"/>
      <c r="K96" s="189"/>
    </row>
    <row r="97" spans="1:11" s="6" customFormat="1" ht="13.15" customHeight="1" x14ac:dyDescent="0.2">
      <c r="A97" s="8"/>
      <c r="B97" s="9"/>
      <c r="C97" s="7"/>
      <c r="D97" s="7"/>
      <c r="E97" s="8"/>
      <c r="F97" s="63"/>
      <c r="G97" s="63"/>
      <c r="H97" s="63"/>
      <c r="I97" s="37"/>
      <c r="J97" s="189"/>
      <c r="K97" s="189"/>
    </row>
    <row r="98" spans="1:11" s="6" customFormat="1" ht="13.15" customHeight="1" x14ac:dyDescent="0.2">
      <c r="A98" s="8"/>
      <c r="B98" s="9"/>
      <c r="C98" s="7"/>
      <c r="D98" s="7"/>
      <c r="E98" s="8"/>
      <c r="F98" s="63"/>
      <c r="G98" s="63"/>
      <c r="H98" s="63"/>
      <c r="I98" s="37"/>
      <c r="K98" s="189"/>
    </row>
    <row r="99" spans="1:11" s="8" customFormat="1" x14ac:dyDescent="0.2">
      <c r="B99" s="9"/>
      <c r="C99" s="7"/>
      <c r="F99" s="63"/>
      <c r="G99" s="63"/>
      <c r="H99" s="63"/>
      <c r="K99" s="189"/>
    </row>
    <row r="100" spans="1:11" s="8" customFormat="1" x14ac:dyDescent="0.2">
      <c r="B100" s="9"/>
      <c r="C100" s="7"/>
      <c r="F100" s="63"/>
      <c r="G100" s="63"/>
      <c r="H100" s="63"/>
      <c r="K100" s="6"/>
    </row>
    <row r="101" spans="1:11" s="8" customFormat="1" ht="12" x14ac:dyDescent="0.2">
      <c r="B101" s="9"/>
      <c r="C101" s="7"/>
      <c r="F101" s="63"/>
      <c r="G101" s="63"/>
      <c r="H101" s="63"/>
    </row>
    <row r="102" spans="1:11" s="8" customFormat="1" ht="12" x14ac:dyDescent="0.2">
      <c r="B102" s="9"/>
      <c r="F102" s="63"/>
      <c r="G102" s="63"/>
      <c r="H102" s="63"/>
    </row>
    <row r="103" spans="1:11" s="8" customFormat="1" ht="12" x14ac:dyDescent="0.2">
      <c r="B103" s="9"/>
      <c r="F103" s="63"/>
      <c r="G103" s="63"/>
      <c r="H103" s="63"/>
    </row>
    <row r="104" spans="1:11" s="8" customFormat="1" ht="12" x14ac:dyDescent="0.2">
      <c r="B104" s="9"/>
      <c r="F104" s="63"/>
      <c r="G104" s="63"/>
      <c r="H104" s="63"/>
    </row>
    <row r="105" spans="1:11" s="8" customFormat="1" x14ac:dyDescent="0.2">
      <c r="B105" s="9"/>
      <c r="D105" s="5"/>
      <c r="F105" s="63"/>
      <c r="G105" s="63"/>
      <c r="H105" s="63"/>
    </row>
    <row r="106" spans="1:11" s="8" customFormat="1" x14ac:dyDescent="0.2">
      <c r="B106" s="9"/>
      <c r="D106" s="5"/>
      <c r="F106" s="45"/>
      <c r="G106" s="45"/>
      <c r="H106" s="45"/>
    </row>
    <row r="107" spans="1:11" s="8" customFormat="1" x14ac:dyDescent="0.2">
      <c r="B107" s="9"/>
      <c r="D107" s="5"/>
      <c r="E107" s="5"/>
      <c r="F107" s="45"/>
      <c r="G107" s="45"/>
      <c r="H107" s="45"/>
    </row>
    <row r="108" spans="1:11" s="8" customFormat="1" x14ac:dyDescent="0.2">
      <c r="B108" s="11"/>
      <c r="C108" s="5"/>
      <c r="D108" s="5"/>
      <c r="E108" s="5"/>
      <c r="F108" s="45"/>
      <c r="G108" s="45"/>
      <c r="H108" s="45"/>
    </row>
    <row r="109" spans="1:11" s="8" customFormat="1" x14ac:dyDescent="0.2">
      <c r="B109" s="11"/>
      <c r="C109" s="5"/>
      <c r="D109" s="5"/>
      <c r="E109" s="5"/>
      <c r="F109" s="45"/>
      <c r="G109" s="45"/>
      <c r="H109" s="45"/>
    </row>
    <row r="110" spans="1:11" s="8" customFormat="1" x14ac:dyDescent="0.2">
      <c r="B110" s="11"/>
      <c r="C110" s="5"/>
      <c r="D110" s="5"/>
      <c r="E110" s="5"/>
      <c r="F110" s="45"/>
      <c r="G110" s="45"/>
      <c r="H110" s="45"/>
    </row>
    <row r="111" spans="1:11" s="8" customFormat="1" x14ac:dyDescent="0.2">
      <c r="B111" s="11"/>
      <c r="C111" s="5"/>
      <c r="D111" s="5"/>
      <c r="E111" s="5"/>
      <c r="F111" s="45"/>
      <c r="G111" s="45"/>
      <c r="H111" s="45"/>
    </row>
    <row r="112" spans="1:11" s="8" customFormat="1" x14ac:dyDescent="0.2">
      <c r="A112" s="5"/>
      <c r="B112" s="11"/>
      <c r="C112" s="5"/>
      <c r="D112" s="5"/>
      <c r="E112" s="5"/>
      <c r="F112" s="45"/>
      <c r="G112" s="45"/>
      <c r="H112" s="45"/>
      <c r="I112" s="5"/>
    </row>
    <row r="113" spans="1:11" s="8" customFormat="1" x14ac:dyDescent="0.2">
      <c r="A113" s="5"/>
      <c r="B113" s="11"/>
      <c r="C113" s="5"/>
      <c r="D113" s="5"/>
      <c r="E113" s="5"/>
      <c r="F113" s="45"/>
      <c r="G113" s="45"/>
      <c r="H113" s="45"/>
      <c r="I113" s="5"/>
    </row>
    <row r="114" spans="1:11" s="8" customFormat="1" x14ac:dyDescent="0.2">
      <c r="A114" s="5"/>
      <c r="B114" s="11"/>
      <c r="C114" s="5"/>
      <c r="D114" s="5"/>
      <c r="E114" s="5"/>
      <c r="F114" s="45"/>
      <c r="G114" s="45"/>
      <c r="H114" s="45"/>
      <c r="I114" s="5"/>
    </row>
    <row r="115" spans="1:11" s="8" customFormat="1" x14ac:dyDescent="0.2">
      <c r="A115" s="5"/>
      <c r="B115" s="11"/>
      <c r="C115" s="5"/>
      <c r="D115" s="5"/>
      <c r="E115" s="5"/>
      <c r="F115" s="45"/>
      <c r="G115" s="45"/>
      <c r="H115" s="45"/>
      <c r="I115" s="5"/>
    </row>
    <row r="116" spans="1:11" x14ac:dyDescent="0.2">
      <c r="K116" s="8"/>
    </row>
    <row r="117" spans="1:11" x14ac:dyDescent="0.2">
      <c r="K117" s="8"/>
    </row>
  </sheetData>
  <mergeCells count="11">
    <mergeCell ref="A1:J1"/>
    <mergeCell ref="C4:D4"/>
    <mergeCell ref="E5:F5"/>
    <mergeCell ref="C38:D38"/>
    <mergeCell ref="E39:F39"/>
    <mergeCell ref="E56:F56"/>
    <mergeCell ref="C72:D72"/>
    <mergeCell ref="E73:F73"/>
    <mergeCell ref="C21:D21"/>
    <mergeCell ref="E22:F22"/>
    <mergeCell ref="C55:D55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zoomScaleNormal="100" workbookViewId="0">
      <selection activeCell="I72" sqref="I72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12" style="45" customWidth="1"/>
    <col min="7" max="7" width="14.85546875" style="45" customWidth="1"/>
    <col min="8" max="8" width="12.7109375" style="45" customWidth="1"/>
    <col min="9" max="9" width="3.28515625" style="5" customWidth="1"/>
    <col min="10" max="10" width="10.42578125" style="5" customWidth="1"/>
    <col min="11" max="16384" width="8.85546875" style="5"/>
  </cols>
  <sheetData>
    <row r="1" spans="1:10" s="1" customFormat="1" ht="24" customHeight="1" x14ac:dyDescent="0.2">
      <c r="A1" s="393" t="s">
        <v>143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s="24" customFormat="1" ht="6.75" customHeight="1" x14ac:dyDescent="0.2">
      <c r="B2" s="25"/>
      <c r="C2" s="26"/>
      <c r="D2" s="26"/>
      <c r="E2" s="27"/>
      <c r="F2" s="53"/>
      <c r="G2" s="53"/>
      <c r="H2" s="53"/>
      <c r="I2" s="27"/>
    </row>
    <row r="3" spans="1:10" ht="19.5" customHeight="1" x14ac:dyDescent="0.2">
      <c r="A3" s="38"/>
      <c r="B3" s="20" t="s">
        <v>21</v>
      </c>
      <c r="C3" s="39" t="s">
        <v>77</v>
      </c>
      <c r="D3" s="33"/>
      <c r="E3" s="12"/>
      <c r="F3" s="54"/>
      <c r="G3" s="54"/>
      <c r="H3" s="54"/>
      <c r="I3" s="12"/>
    </row>
    <row r="4" spans="1:10" ht="19.5" customHeight="1" x14ac:dyDescent="0.2">
      <c r="B4" s="20" t="s">
        <v>23</v>
      </c>
      <c r="C4" s="394">
        <v>44048</v>
      </c>
      <c r="D4" s="395"/>
      <c r="E4" s="12"/>
      <c r="F4" s="54"/>
      <c r="G4" s="54"/>
      <c r="H4" s="54"/>
      <c r="I4" s="12"/>
    </row>
    <row r="5" spans="1:10" ht="4.5" customHeight="1" x14ac:dyDescent="0.45">
      <c r="B5" s="2"/>
      <c r="C5" s="17"/>
      <c r="D5" s="17"/>
      <c r="E5" s="396"/>
      <c r="F5" s="396"/>
      <c r="G5" s="205"/>
      <c r="H5" s="177"/>
      <c r="I5" s="4"/>
    </row>
    <row r="6" spans="1:10" s="128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204"/>
      <c r="G6" s="204"/>
      <c r="H6" s="55"/>
    </row>
    <row r="7" spans="1:10" x14ac:dyDescent="0.2">
      <c r="B7" s="18" t="s">
        <v>25</v>
      </c>
      <c r="C7" s="19" t="s">
        <v>13</v>
      </c>
      <c r="D7" s="40"/>
      <c r="E7" s="220">
        <v>1941.71</v>
      </c>
      <c r="F7" s="219" t="s">
        <v>144</v>
      </c>
      <c r="G7" s="218"/>
    </row>
    <row r="8" spans="1:10" x14ac:dyDescent="0.2">
      <c r="B8" s="36" t="s">
        <v>26</v>
      </c>
      <c r="C8" s="22" t="s">
        <v>24</v>
      </c>
      <c r="D8" s="41"/>
      <c r="E8" s="221">
        <v>1005.13</v>
      </c>
      <c r="F8" s="59"/>
      <c r="G8" s="56"/>
    </row>
    <row r="9" spans="1:10" x14ac:dyDescent="0.2">
      <c r="B9" s="36" t="s">
        <v>3</v>
      </c>
      <c r="C9" s="22" t="s">
        <v>12</v>
      </c>
      <c r="D9" s="41"/>
      <c r="E9" s="221">
        <v>1303.77</v>
      </c>
      <c r="F9" s="59"/>
      <c r="G9" s="56"/>
    </row>
    <row r="10" spans="1:10" x14ac:dyDescent="0.2">
      <c r="B10" s="13" t="s">
        <v>31</v>
      </c>
      <c r="C10" s="16" t="s">
        <v>11</v>
      </c>
      <c r="D10" s="42"/>
      <c r="E10" s="222">
        <v>1269.22</v>
      </c>
      <c r="F10" s="59"/>
      <c r="G10" s="56"/>
    </row>
    <row r="11" spans="1:10" x14ac:dyDescent="0.2">
      <c r="B11" s="68" t="s">
        <v>69</v>
      </c>
      <c r="C11" s="72" t="s">
        <v>30</v>
      </c>
      <c r="D11" s="69"/>
      <c r="E11" s="223">
        <v>990</v>
      </c>
      <c r="F11" s="59"/>
      <c r="G11" s="56"/>
    </row>
    <row r="12" spans="1:10" ht="13.5" thickBot="1" x14ac:dyDescent="0.25">
      <c r="B12" s="71" t="s">
        <v>146</v>
      </c>
      <c r="C12" s="73" t="s">
        <v>147</v>
      </c>
      <c r="D12" s="50"/>
      <c r="E12" s="192">
        <v>247.5</v>
      </c>
      <c r="G12" s="56"/>
      <c r="I12" s="224"/>
      <c r="J12" s="224"/>
    </row>
    <row r="13" spans="1:10" s="4" customFormat="1" ht="13.5" thickBot="1" x14ac:dyDescent="0.25">
      <c r="B13" s="46"/>
      <c r="C13" s="47"/>
      <c r="D13" s="48"/>
      <c r="E13" s="49">
        <f>SUM(E7:E12)</f>
        <v>6757.3300000000008</v>
      </c>
      <c r="F13" s="58"/>
      <c r="G13" s="56"/>
      <c r="H13" s="177"/>
    </row>
    <row r="14" spans="1:10" ht="13.5" thickBot="1" x14ac:dyDescent="0.25">
      <c r="B14" s="74" t="s">
        <v>29</v>
      </c>
      <c r="C14" s="75" t="s">
        <v>5</v>
      </c>
      <c r="D14" s="75"/>
      <c r="E14" s="76">
        <v>1125</v>
      </c>
    </row>
    <row r="15" spans="1:10" ht="13.5" thickBot="1" x14ac:dyDescent="0.25">
      <c r="B15" s="10"/>
      <c r="C15" s="28" t="s">
        <v>0</v>
      </c>
      <c r="D15" s="28"/>
      <c r="E15" s="30">
        <f>SUM(E13:E14)</f>
        <v>7882.3300000000008</v>
      </c>
    </row>
    <row r="16" spans="1:10" x14ac:dyDescent="0.2">
      <c r="B16" s="10"/>
      <c r="C16" s="28"/>
      <c r="D16" s="28"/>
      <c r="E16" s="52"/>
    </row>
    <row r="17" spans="1:11" x14ac:dyDescent="0.2">
      <c r="B17" s="10" t="s">
        <v>111</v>
      </c>
      <c r="C17" s="182" t="s">
        <v>112</v>
      </c>
      <c r="D17" s="28"/>
      <c r="E17" s="177">
        <v>4000</v>
      </c>
      <c r="F17" s="45">
        <f>SUM(E15:E17)</f>
        <v>11882.330000000002</v>
      </c>
    </row>
    <row r="18" spans="1:11" x14ac:dyDescent="0.2">
      <c r="B18" s="10"/>
      <c r="C18" s="28"/>
      <c r="D18" s="28"/>
      <c r="E18" s="52"/>
    </row>
    <row r="19" spans="1:11" s="24" customFormat="1" ht="6.75" customHeight="1" x14ac:dyDescent="0.2">
      <c r="B19" s="25"/>
      <c r="C19" s="26"/>
      <c r="D19" s="26"/>
      <c r="E19" s="27"/>
      <c r="F19" s="53"/>
      <c r="G19" s="53"/>
      <c r="H19" s="53"/>
      <c r="I19" s="27"/>
    </row>
    <row r="20" spans="1:11" ht="19.5" customHeight="1" x14ac:dyDescent="0.2">
      <c r="A20" s="38"/>
      <c r="B20" s="20" t="s">
        <v>21</v>
      </c>
      <c r="C20" s="39" t="s">
        <v>78</v>
      </c>
      <c r="D20" s="33"/>
      <c r="E20" s="12"/>
      <c r="F20" s="54"/>
      <c r="G20" s="54"/>
      <c r="H20" s="54"/>
      <c r="I20" s="12"/>
    </row>
    <row r="21" spans="1:11" ht="19.5" customHeight="1" x14ac:dyDescent="0.2">
      <c r="B21" s="20" t="s">
        <v>23</v>
      </c>
      <c r="C21" s="395">
        <v>44055</v>
      </c>
      <c r="D21" s="395"/>
      <c r="E21" s="12"/>
      <c r="F21" s="54"/>
      <c r="G21" s="54"/>
      <c r="H21" s="54"/>
      <c r="I21" s="12"/>
    </row>
    <row r="22" spans="1:11" ht="4.5" customHeight="1" x14ac:dyDescent="0.45">
      <c r="B22" s="2"/>
      <c r="C22" s="17"/>
      <c r="D22" s="17"/>
      <c r="E22" s="396"/>
      <c r="F22" s="396"/>
      <c r="G22" s="205"/>
      <c r="H22" s="177"/>
      <c r="I22" s="4"/>
    </row>
    <row r="23" spans="1:11" s="128" customFormat="1" ht="13.5" thickBot="1" x14ac:dyDescent="0.25">
      <c r="B23" s="21" t="s">
        <v>22</v>
      </c>
      <c r="C23" s="44" t="s">
        <v>1</v>
      </c>
      <c r="D23" s="44"/>
      <c r="E23" s="23" t="s">
        <v>2</v>
      </c>
      <c r="F23" s="204"/>
      <c r="G23" s="204"/>
      <c r="H23" s="55"/>
    </row>
    <row r="24" spans="1:11" x14ac:dyDescent="0.2">
      <c r="B24" s="231" t="s">
        <v>25</v>
      </c>
      <c r="C24" s="228" t="s">
        <v>13</v>
      </c>
      <c r="D24" s="40"/>
      <c r="E24" s="220">
        <v>1941.71</v>
      </c>
      <c r="F24" s="59"/>
      <c r="G24" s="56"/>
    </row>
    <row r="25" spans="1:11" x14ac:dyDescent="0.2">
      <c r="B25" s="232" t="s">
        <v>26</v>
      </c>
      <c r="C25" s="229" t="s">
        <v>24</v>
      </c>
      <c r="D25" s="41"/>
      <c r="E25" s="221">
        <v>1005.13</v>
      </c>
      <c r="F25" s="59"/>
      <c r="G25" s="56"/>
    </row>
    <row r="26" spans="1:11" x14ac:dyDescent="0.2">
      <c r="B26" s="232" t="s">
        <v>3</v>
      </c>
      <c r="C26" s="229" t="s">
        <v>12</v>
      </c>
      <c r="D26" s="41"/>
      <c r="E26" s="221">
        <v>1303.77</v>
      </c>
      <c r="F26" s="59"/>
      <c r="G26" s="56"/>
    </row>
    <row r="27" spans="1:11" x14ac:dyDescent="0.2">
      <c r="B27" s="233" t="s">
        <v>31</v>
      </c>
      <c r="C27" s="230" t="s">
        <v>11</v>
      </c>
      <c r="D27" s="42"/>
      <c r="E27" s="222">
        <v>1269.22</v>
      </c>
      <c r="F27" s="59"/>
      <c r="G27" s="56"/>
    </row>
    <row r="28" spans="1:11" x14ac:dyDescent="0.2">
      <c r="B28" s="233" t="s">
        <v>69</v>
      </c>
      <c r="C28" s="230" t="s">
        <v>30</v>
      </c>
      <c r="D28" s="42"/>
      <c r="E28" s="222">
        <v>990</v>
      </c>
      <c r="G28" s="56"/>
      <c r="I28" s="224"/>
      <c r="J28" s="224"/>
    </row>
    <row r="29" spans="1:11" ht="13.5" thickBot="1" x14ac:dyDescent="0.25">
      <c r="B29" s="234" t="s">
        <v>146</v>
      </c>
      <c r="C29" s="226" t="s">
        <v>147</v>
      </c>
      <c r="D29" s="227"/>
      <c r="E29" s="192">
        <v>1807.25</v>
      </c>
      <c r="F29" s="45">
        <v>247.5</v>
      </c>
      <c r="G29" s="56" t="s">
        <v>148</v>
      </c>
      <c r="I29" s="225"/>
      <c r="J29" s="225"/>
    </row>
    <row r="30" spans="1:11" s="4" customFormat="1" ht="13.5" thickBot="1" x14ac:dyDescent="0.25">
      <c r="B30" s="46"/>
      <c r="C30" s="47"/>
      <c r="D30" s="48"/>
      <c r="E30" s="49">
        <f>SUM(E24:E29)</f>
        <v>8317.0800000000017</v>
      </c>
      <c r="F30" s="58"/>
      <c r="G30" s="56"/>
      <c r="H30" s="203"/>
      <c r="J30" s="177"/>
      <c r="K30" s="5"/>
    </row>
    <row r="31" spans="1:11" s="212" customFormat="1" ht="13.5" thickBot="1" x14ac:dyDescent="0.25">
      <c r="B31" s="213" t="s">
        <v>29</v>
      </c>
      <c r="C31" s="214" t="s">
        <v>5</v>
      </c>
      <c r="D31" s="214"/>
      <c r="E31" s="76">
        <v>1125</v>
      </c>
      <c r="F31" s="215"/>
      <c r="G31" s="215"/>
      <c r="H31" s="215"/>
    </row>
    <row r="32" spans="1:11" ht="13.5" thickBot="1" x14ac:dyDescent="0.25">
      <c r="B32" s="10"/>
      <c r="C32" s="28" t="s">
        <v>0</v>
      </c>
      <c r="D32" s="28"/>
      <c r="E32" s="30">
        <f>SUM(E30:E31)</f>
        <v>9442.0800000000017</v>
      </c>
      <c r="K32" s="4"/>
    </row>
    <row r="33" spans="1:11" x14ac:dyDescent="0.2">
      <c r="B33" s="10"/>
      <c r="C33" s="28"/>
      <c r="D33" s="28"/>
      <c r="E33" s="52"/>
    </row>
    <row r="34" spans="1:11" x14ac:dyDescent="0.2">
      <c r="B34" s="10" t="s">
        <v>111</v>
      </c>
      <c r="C34" s="182" t="s">
        <v>112</v>
      </c>
      <c r="D34" s="28"/>
      <c r="E34" s="177">
        <v>4000</v>
      </c>
      <c r="F34" s="45">
        <f>SUM(E32:E34,F29)</f>
        <v>13689.580000000002</v>
      </c>
    </row>
    <row r="35" spans="1:11" x14ac:dyDescent="0.2">
      <c r="B35" s="10"/>
      <c r="C35" s="28"/>
      <c r="D35" s="28"/>
      <c r="E35" s="52"/>
    </row>
    <row r="36" spans="1:11" s="24" customFormat="1" ht="6.75" customHeight="1" x14ac:dyDescent="0.2">
      <c r="B36" s="25"/>
      <c r="C36" s="26"/>
      <c r="D36" s="26"/>
      <c r="E36" s="27"/>
      <c r="F36" s="53"/>
      <c r="G36" s="53"/>
      <c r="H36" s="53"/>
      <c r="I36" s="27"/>
    </row>
    <row r="37" spans="1:11" ht="19.5" customHeight="1" x14ac:dyDescent="0.2">
      <c r="A37" s="38"/>
      <c r="B37" s="20" t="s">
        <v>21</v>
      </c>
      <c r="C37" s="39" t="s">
        <v>99</v>
      </c>
      <c r="D37" s="33"/>
      <c r="E37" s="12"/>
      <c r="F37" s="54"/>
      <c r="G37" s="54"/>
      <c r="H37" s="54"/>
      <c r="I37" s="12"/>
    </row>
    <row r="38" spans="1:11" ht="19.5" customHeight="1" x14ac:dyDescent="0.2">
      <c r="B38" s="20" t="s">
        <v>23</v>
      </c>
      <c r="C38" s="395">
        <v>44062</v>
      </c>
      <c r="D38" s="395"/>
      <c r="E38" s="12"/>
      <c r="F38" s="54"/>
      <c r="G38" s="54"/>
      <c r="H38" s="54"/>
      <c r="I38" s="12"/>
    </row>
    <row r="39" spans="1:11" ht="4.5" customHeight="1" x14ac:dyDescent="0.45">
      <c r="B39" s="2"/>
      <c r="C39" s="17"/>
      <c r="D39" s="17"/>
      <c r="E39" s="396"/>
      <c r="F39" s="396"/>
      <c r="G39" s="205"/>
      <c r="H39" s="177"/>
      <c r="I39" s="4"/>
    </row>
    <row r="40" spans="1:11" s="128" customFormat="1" ht="13.5" thickBot="1" x14ac:dyDescent="0.25">
      <c r="B40" s="21" t="s">
        <v>22</v>
      </c>
      <c r="C40" s="44" t="s">
        <v>1</v>
      </c>
      <c r="D40" s="44"/>
      <c r="E40" s="23" t="s">
        <v>2</v>
      </c>
      <c r="F40" s="204"/>
      <c r="G40" s="204"/>
      <c r="H40" s="55"/>
    </row>
    <row r="41" spans="1:11" x14ac:dyDescent="0.2">
      <c r="B41" s="18" t="s">
        <v>25</v>
      </c>
      <c r="C41" s="19" t="s">
        <v>13</v>
      </c>
      <c r="D41" s="40"/>
      <c r="E41" s="66">
        <v>1941.71</v>
      </c>
      <c r="F41" s="59"/>
      <c r="G41" s="56"/>
    </row>
    <row r="42" spans="1:11" x14ac:dyDescent="0.2">
      <c r="B42" s="36" t="s">
        <v>26</v>
      </c>
      <c r="C42" s="22" t="s">
        <v>24</v>
      </c>
      <c r="D42" s="41"/>
      <c r="E42" s="66">
        <v>1005.13</v>
      </c>
      <c r="F42" s="59"/>
      <c r="G42" s="56"/>
    </row>
    <row r="43" spans="1:11" x14ac:dyDescent="0.2">
      <c r="B43" s="36" t="s">
        <v>3</v>
      </c>
      <c r="C43" s="22" t="s">
        <v>12</v>
      </c>
      <c r="D43" s="41"/>
      <c r="E43" s="66">
        <v>1303.77</v>
      </c>
      <c r="F43" s="59"/>
      <c r="G43" s="56"/>
    </row>
    <row r="44" spans="1:11" x14ac:dyDescent="0.2">
      <c r="B44" s="13" t="s">
        <v>31</v>
      </c>
      <c r="C44" s="16" t="s">
        <v>11</v>
      </c>
      <c r="D44" s="42"/>
      <c r="E44" s="67">
        <v>1269.22</v>
      </c>
      <c r="F44" s="59"/>
      <c r="G44" s="56"/>
    </row>
    <row r="45" spans="1:11" x14ac:dyDescent="0.2">
      <c r="B45" s="68" t="s">
        <v>69</v>
      </c>
      <c r="C45" s="72" t="s">
        <v>30</v>
      </c>
      <c r="D45" s="69"/>
      <c r="E45" s="70">
        <v>990</v>
      </c>
      <c r="F45" s="59"/>
      <c r="G45" s="56"/>
    </row>
    <row r="46" spans="1:11" ht="13.5" thickBot="1" x14ac:dyDescent="0.25">
      <c r="B46" s="71" t="s">
        <v>146</v>
      </c>
      <c r="C46" s="73" t="s">
        <v>147</v>
      </c>
      <c r="D46" s="50"/>
      <c r="E46" s="192">
        <v>1603.75</v>
      </c>
      <c r="G46" s="56"/>
      <c r="I46" s="224"/>
      <c r="J46" s="224"/>
    </row>
    <row r="47" spans="1:11" s="4" customFormat="1" ht="13.5" thickBot="1" x14ac:dyDescent="0.25">
      <c r="B47" s="46"/>
      <c r="C47" s="47"/>
      <c r="D47" s="48"/>
      <c r="E47" s="49">
        <f>SUM(E41:E46)</f>
        <v>8113.5800000000008</v>
      </c>
      <c r="F47" s="58"/>
      <c r="G47" s="56"/>
      <c r="H47" s="203"/>
      <c r="J47" s="177"/>
      <c r="K47" s="5"/>
    </row>
    <row r="48" spans="1:11" s="212" customFormat="1" ht="13.5" thickBot="1" x14ac:dyDescent="0.25">
      <c r="B48" s="213" t="s">
        <v>29</v>
      </c>
      <c r="C48" s="214" t="s">
        <v>5</v>
      </c>
      <c r="D48" s="214"/>
      <c r="E48" s="76">
        <v>1125</v>
      </c>
      <c r="F48" s="215"/>
      <c r="G48" s="215"/>
      <c r="H48" s="215"/>
    </row>
    <row r="49" spans="1:11" ht="13.5" thickBot="1" x14ac:dyDescent="0.25">
      <c r="B49" s="10"/>
      <c r="C49" s="28" t="s">
        <v>0</v>
      </c>
      <c r="D49" s="28"/>
      <c r="E49" s="30">
        <f>SUM(E47:E48)</f>
        <v>9238.5800000000017</v>
      </c>
      <c r="K49" s="4"/>
    </row>
    <row r="50" spans="1:11" x14ac:dyDescent="0.2">
      <c r="B50" s="10"/>
      <c r="C50" s="28"/>
      <c r="D50" s="28"/>
      <c r="E50" s="52"/>
      <c r="G50" s="45">
        <f>F51-E42</f>
        <v>12233.450000000003</v>
      </c>
    </row>
    <row r="51" spans="1:11" x14ac:dyDescent="0.2">
      <c r="B51" s="10" t="s">
        <v>111</v>
      </c>
      <c r="C51" s="182" t="s">
        <v>112</v>
      </c>
      <c r="D51" s="28"/>
      <c r="E51" s="177">
        <v>4000</v>
      </c>
      <c r="F51" s="45">
        <f>SUM(E49:E51)</f>
        <v>13238.580000000002</v>
      </c>
    </row>
    <row r="52" spans="1:11" x14ac:dyDescent="0.2">
      <c r="B52" s="10"/>
      <c r="C52" s="28"/>
      <c r="D52" s="28"/>
      <c r="E52" s="177">
        <v>-1750</v>
      </c>
      <c r="F52" s="45" t="s">
        <v>149</v>
      </c>
    </row>
    <row r="53" spans="1:11" s="24" customFormat="1" ht="6.75" customHeight="1" x14ac:dyDescent="0.2">
      <c r="B53" s="25"/>
      <c r="C53" s="26"/>
      <c r="D53" s="26"/>
      <c r="E53" s="27"/>
      <c r="F53" s="53"/>
      <c r="G53" s="53"/>
      <c r="H53" s="53"/>
      <c r="I53" s="27"/>
      <c r="K53" s="5"/>
    </row>
    <row r="54" spans="1:11" ht="19.5" customHeight="1" x14ac:dyDescent="0.2">
      <c r="A54" s="38"/>
      <c r="B54" s="20" t="s">
        <v>21</v>
      </c>
      <c r="C54" s="39" t="s">
        <v>81</v>
      </c>
      <c r="D54" s="33"/>
      <c r="E54" s="12"/>
      <c r="F54" s="54"/>
      <c r="G54" s="54"/>
      <c r="H54" s="54"/>
      <c r="I54" s="12"/>
    </row>
    <row r="55" spans="1:11" ht="19.5" customHeight="1" x14ac:dyDescent="0.2">
      <c r="B55" s="20" t="s">
        <v>23</v>
      </c>
      <c r="C55" s="395">
        <v>44069</v>
      </c>
      <c r="D55" s="395"/>
      <c r="E55" s="12"/>
      <c r="F55" s="54"/>
      <c r="G55" s="54"/>
      <c r="H55" s="54"/>
      <c r="I55" s="12"/>
      <c r="K55" s="24"/>
    </row>
    <row r="56" spans="1:11" ht="4.5" customHeight="1" x14ac:dyDescent="0.45">
      <c r="B56" s="2"/>
      <c r="C56" s="17"/>
      <c r="D56" s="17"/>
      <c r="E56" s="396"/>
      <c r="F56" s="396"/>
      <c r="G56" s="205"/>
      <c r="H56" s="177"/>
      <c r="I56" s="4"/>
    </row>
    <row r="57" spans="1:11" s="128" customFormat="1" ht="13.5" thickBot="1" x14ac:dyDescent="0.25">
      <c r="B57" s="21" t="s">
        <v>22</v>
      </c>
      <c r="C57" s="44" t="s">
        <v>1</v>
      </c>
      <c r="D57" s="44"/>
      <c r="E57" s="23" t="s">
        <v>2</v>
      </c>
      <c r="F57" s="204"/>
      <c r="G57" s="204"/>
      <c r="H57" s="217"/>
      <c r="K57" s="5"/>
    </row>
    <row r="58" spans="1:11" x14ac:dyDescent="0.2">
      <c r="B58" s="18" t="s">
        <v>25</v>
      </c>
      <c r="C58" s="19" t="s">
        <v>13</v>
      </c>
      <c r="D58" s="40"/>
      <c r="E58" s="66">
        <v>1941.71</v>
      </c>
      <c r="F58" s="59"/>
      <c r="G58" s="218"/>
      <c r="H58" s="177"/>
    </row>
    <row r="59" spans="1:11" x14ac:dyDescent="0.2">
      <c r="B59" s="36" t="s">
        <v>26</v>
      </c>
      <c r="C59" s="22" t="s">
        <v>24</v>
      </c>
      <c r="D59" s="41"/>
      <c r="E59" s="66">
        <v>1005.13</v>
      </c>
      <c r="F59" s="59"/>
      <c r="G59" s="219"/>
      <c r="H59" s="177"/>
      <c r="K59" s="128"/>
    </row>
    <row r="60" spans="1:11" x14ac:dyDescent="0.2">
      <c r="B60" s="36" t="s">
        <v>3</v>
      </c>
      <c r="C60" s="22" t="s">
        <v>12</v>
      </c>
      <c r="D60" s="41"/>
      <c r="E60" s="66">
        <v>1303.77</v>
      </c>
      <c r="F60" s="59"/>
      <c r="G60" s="218"/>
      <c r="H60" s="177"/>
    </row>
    <row r="61" spans="1:11" x14ac:dyDescent="0.2">
      <c r="B61" s="13" t="s">
        <v>31</v>
      </c>
      <c r="C61" s="16" t="s">
        <v>11</v>
      </c>
      <c r="D61" s="42"/>
      <c r="E61" s="67">
        <v>1269.22</v>
      </c>
      <c r="F61" s="59"/>
      <c r="G61" s="218"/>
      <c r="H61" s="177"/>
    </row>
    <row r="62" spans="1:11" x14ac:dyDescent="0.2">
      <c r="B62" s="68" t="s">
        <v>69</v>
      </c>
      <c r="C62" s="72" t="s">
        <v>30</v>
      </c>
      <c r="D62" s="69"/>
      <c r="E62" s="70">
        <v>990</v>
      </c>
      <c r="F62" s="59" t="s">
        <v>152</v>
      </c>
      <c r="G62" s="218"/>
      <c r="H62" s="177"/>
    </row>
    <row r="63" spans="1:11" ht="13.5" thickBot="1" x14ac:dyDescent="0.25">
      <c r="B63" s="71" t="s">
        <v>146</v>
      </c>
      <c r="C63" s="73" t="s">
        <v>147</v>
      </c>
      <c r="D63" s="50"/>
      <c r="E63" s="192">
        <v>1908</v>
      </c>
      <c r="G63" s="218"/>
      <c r="H63" s="177"/>
      <c r="I63" s="224"/>
      <c r="J63" s="224"/>
    </row>
    <row r="64" spans="1:11" s="4" customFormat="1" ht="13.5" thickBot="1" x14ac:dyDescent="0.25">
      <c r="B64" s="46"/>
      <c r="C64" s="47"/>
      <c r="D64" s="48"/>
      <c r="E64" s="49">
        <f>SUM(E58:E63)</f>
        <v>8417.8300000000017</v>
      </c>
      <c r="F64" s="58"/>
      <c r="G64" s="218"/>
      <c r="H64" s="177"/>
      <c r="J64" s="177"/>
      <c r="K64" s="5"/>
    </row>
    <row r="65" spans="1:11" ht="13.5" thickBot="1" x14ac:dyDescent="0.25">
      <c r="B65" s="74" t="s">
        <v>29</v>
      </c>
      <c r="C65" s="75" t="s">
        <v>5</v>
      </c>
      <c r="D65" s="75"/>
      <c r="E65" s="76">
        <v>1125</v>
      </c>
      <c r="G65" s="177"/>
      <c r="H65" s="177"/>
    </row>
    <row r="66" spans="1:11" ht="13.5" thickBot="1" x14ac:dyDescent="0.25">
      <c r="B66" s="10"/>
      <c r="C66" s="28" t="s">
        <v>0</v>
      </c>
      <c r="D66" s="28"/>
      <c r="E66" s="30">
        <f>SUM(E64:E65)</f>
        <v>9542.8300000000017</v>
      </c>
      <c r="G66" s="177"/>
      <c r="H66" s="177"/>
      <c r="K66" s="4"/>
    </row>
    <row r="67" spans="1:11" x14ac:dyDescent="0.2">
      <c r="B67" s="10"/>
      <c r="C67" s="28"/>
      <c r="D67" s="28"/>
      <c r="E67" s="52"/>
      <c r="G67" s="177"/>
      <c r="H67" s="177"/>
    </row>
    <row r="68" spans="1:11" x14ac:dyDescent="0.2">
      <c r="B68" s="10" t="s">
        <v>111</v>
      </c>
      <c r="C68" s="182" t="s">
        <v>112</v>
      </c>
      <c r="D68" s="28"/>
      <c r="E68" s="177">
        <v>4000</v>
      </c>
      <c r="F68" s="45">
        <f>SUM(E66:E68)</f>
        <v>13542.830000000002</v>
      </c>
      <c r="G68" s="177"/>
      <c r="H68" s="177"/>
    </row>
    <row r="69" spans="1:11" x14ac:dyDescent="0.2">
      <c r="B69" s="10"/>
      <c r="C69" s="28"/>
      <c r="D69" s="28"/>
      <c r="E69" s="52"/>
      <c r="J69" s="45"/>
    </row>
    <row r="70" spans="1:11" s="6" customFormat="1" ht="13.15" customHeight="1" x14ac:dyDescent="0.2">
      <c r="A70" s="14" t="s">
        <v>6</v>
      </c>
      <c r="B70" s="15" t="s">
        <v>7</v>
      </c>
      <c r="C70" s="15"/>
      <c r="D70" s="31">
        <v>9000</v>
      </c>
      <c r="E70" s="43" t="s">
        <v>116</v>
      </c>
      <c r="F70" s="14" t="s">
        <v>33</v>
      </c>
      <c r="G70" s="206" t="s">
        <v>32</v>
      </c>
      <c r="H70" s="31">
        <v>3864.58</v>
      </c>
      <c r="I70" s="51" t="s">
        <v>116</v>
      </c>
      <c r="K70" s="5"/>
    </row>
    <row r="71" spans="1:11" s="6" customFormat="1" ht="13.15" customHeight="1" x14ac:dyDescent="0.2">
      <c r="A71" s="14" t="s">
        <v>8</v>
      </c>
      <c r="B71" s="15" t="s">
        <v>9</v>
      </c>
      <c r="C71" s="15"/>
      <c r="D71" s="31">
        <v>311.83999999999997</v>
      </c>
      <c r="E71" s="43" t="s">
        <v>116</v>
      </c>
      <c r="F71" s="14" t="s">
        <v>33</v>
      </c>
      <c r="G71" s="206" t="s">
        <v>109</v>
      </c>
      <c r="H71" s="190">
        <v>2000</v>
      </c>
      <c r="I71" s="51" t="s">
        <v>116</v>
      </c>
      <c r="K71" s="5"/>
    </row>
    <row r="72" spans="1:11" s="6" customFormat="1" ht="13.15" customHeight="1" x14ac:dyDescent="0.2">
      <c r="A72" s="14" t="s">
        <v>27</v>
      </c>
      <c r="B72" s="15" t="s">
        <v>28</v>
      </c>
      <c r="C72" s="15"/>
      <c r="D72" s="31">
        <v>619.53</v>
      </c>
      <c r="E72" s="43" t="s">
        <v>116</v>
      </c>
      <c r="F72" s="60" t="s">
        <v>19</v>
      </c>
      <c r="G72" s="206" t="s">
        <v>20</v>
      </c>
      <c r="H72" s="190">
        <v>500</v>
      </c>
      <c r="I72" s="51" t="s">
        <v>116</v>
      </c>
    </row>
    <row r="73" spans="1:11" s="6" customFormat="1" ht="13.15" customHeight="1" x14ac:dyDescent="0.2">
      <c r="A73" s="14" t="s">
        <v>10</v>
      </c>
      <c r="B73" s="15" t="s">
        <v>34</v>
      </c>
      <c r="C73" s="31"/>
      <c r="D73" s="31">
        <v>5000</v>
      </c>
      <c r="E73" s="43" t="s">
        <v>116</v>
      </c>
      <c r="F73" s="60" t="s">
        <v>6</v>
      </c>
      <c r="G73" s="206" t="s">
        <v>39</v>
      </c>
      <c r="H73" s="190">
        <v>919</v>
      </c>
      <c r="I73" s="51" t="s">
        <v>116</v>
      </c>
    </row>
    <row r="74" spans="1:11" s="6" customFormat="1" ht="13.15" customHeight="1" x14ac:dyDescent="0.2">
      <c r="A74" s="14" t="s">
        <v>10</v>
      </c>
      <c r="B74" s="15" t="s">
        <v>35</v>
      </c>
      <c r="C74" s="31"/>
      <c r="D74" s="31">
        <v>4000</v>
      </c>
      <c r="E74" s="43" t="s">
        <v>116</v>
      </c>
      <c r="F74" s="60" t="s">
        <v>8</v>
      </c>
      <c r="G74" s="206" t="s">
        <v>14</v>
      </c>
      <c r="H74" s="190">
        <v>12000</v>
      </c>
      <c r="I74" s="51" t="s">
        <v>116</v>
      </c>
      <c r="J74" s="189"/>
    </row>
    <row r="75" spans="1:11" s="6" customFormat="1" ht="13.15" customHeight="1" thickBot="1" x14ac:dyDescent="0.25">
      <c r="A75" s="14"/>
      <c r="B75" s="15"/>
      <c r="C75" s="31"/>
      <c r="D75" s="31"/>
      <c r="E75" s="43"/>
      <c r="F75" s="61" t="s">
        <v>16</v>
      </c>
      <c r="G75" s="206" t="s">
        <v>15</v>
      </c>
      <c r="H75" s="207">
        <v>12000</v>
      </c>
      <c r="I75" s="51" t="s">
        <v>116</v>
      </c>
      <c r="J75" s="190"/>
      <c r="K75" s="189"/>
    </row>
    <row r="76" spans="1:11" s="6" customFormat="1" ht="13.15" customHeight="1" thickTop="1" thickBot="1" x14ac:dyDescent="0.25">
      <c r="A76" s="14"/>
      <c r="B76" s="15"/>
      <c r="C76" s="31"/>
      <c r="D76" s="31"/>
      <c r="E76" s="43"/>
      <c r="F76" s="62"/>
      <c r="G76" s="206"/>
      <c r="H76" s="208">
        <f>SUM(H70:H75)+SUM(D70:D75)</f>
        <v>50214.950000000004</v>
      </c>
      <c r="I76" s="51"/>
      <c r="J76" s="190"/>
      <c r="K76" s="189"/>
    </row>
    <row r="77" spans="1:11" s="6" customFormat="1" ht="13.15" customHeight="1" thickBot="1" x14ac:dyDescent="0.25">
      <c r="A77" s="14"/>
      <c r="B77" s="15"/>
      <c r="C77" s="31"/>
      <c r="D77" s="31"/>
      <c r="E77" s="31"/>
      <c r="F77" s="62"/>
      <c r="G77" s="209" t="s">
        <v>4</v>
      </c>
      <c r="H77" s="210">
        <f>F68+H76</f>
        <v>63757.780000000006</v>
      </c>
      <c r="I77" s="37"/>
      <c r="J77" s="190"/>
      <c r="K77" s="189"/>
    </row>
    <row r="78" spans="1:11" s="6" customFormat="1" ht="13.15" customHeight="1" x14ac:dyDescent="0.2">
      <c r="B78" s="14"/>
      <c r="C78" s="15"/>
      <c r="D78" s="8"/>
      <c r="E78" s="31"/>
      <c r="F78" s="63"/>
      <c r="G78" s="63"/>
      <c r="H78" s="63"/>
      <c r="I78" s="37"/>
      <c r="J78" s="190"/>
      <c r="K78" s="189"/>
    </row>
    <row r="79" spans="1:11" s="6" customFormat="1" ht="13.15" customHeight="1" x14ac:dyDescent="0.2">
      <c r="B79" s="14"/>
      <c r="C79" s="15"/>
      <c r="D79" s="7"/>
      <c r="E79" s="8"/>
      <c r="F79" s="63"/>
      <c r="G79" s="63"/>
      <c r="H79" s="63"/>
      <c r="I79" s="37"/>
      <c r="J79" s="190"/>
      <c r="K79" s="189"/>
    </row>
    <row r="80" spans="1:11" s="6" customFormat="1" ht="13.15" customHeight="1" x14ac:dyDescent="0.2">
      <c r="A80" s="8"/>
      <c r="B80" s="9"/>
      <c r="C80" s="8"/>
      <c r="D80" s="7"/>
      <c r="E80" s="8"/>
      <c r="F80" s="63"/>
      <c r="G80" s="63"/>
      <c r="H80" s="63"/>
      <c r="I80" s="37"/>
      <c r="J80" s="190"/>
      <c r="K80" s="189"/>
    </row>
    <row r="81" spans="1:11" s="6" customFormat="1" ht="13.15" customHeight="1" x14ac:dyDescent="0.2">
      <c r="A81" s="8"/>
      <c r="B81" s="9"/>
      <c r="C81" s="7"/>
      <c r="D81" s="7"/>
      <c r="E81" s="8"/>
      <c r="F81" s="63"/>
      <c r="G81" s="63"/>
      <c r="H81" s="63"/>
      <c r="I81" s="37"/>
      <c r="J81" s="189"/>
      <c r="K81" s="189"/>
    </row>
    <row r="82" spans="1:11" s="6" customFormat="1" ht="13.15" customHeight="1" x14ac:dyDescent="0.2">
      <c r="A82" s="8"/>
      <c r="B82" s="9"/>
      <c r="C82" s="7"/>
      <c r="D82" s="7"/>
      <c r="E82" s="8"/>
      <c r="F82" s="63"/>
      <c r="G82" s="63"/>
      <c r="H82" s="63"/>
      <c r="I82" s="37"/>
      <c r="J82" s="189"/>
      <c r="K82" s="189"/>
    </row>
    <row r="83" spans="1:11" s="6" customFormat="1" ht="13.15" customHeight="1" x14ac:dyDescent="0.2">
      <c r="A83" s="8"/>
      <c r="B83" s="9"/>
      <c r="C83" s="7"/>
      <c r="D83" s="7"/>
      <c r="E83" s="8"/>
      <c r="F83" s="63"/>
      <c r="G83" s="63"/>
      <c r="H83" s="63"/>
      <c r="I83" s="37"/>
      <c r="K83" s="189"/>
    </row>
    <row r="84" spans="1:11" s="8" customFormat="1" x14ac:dyDescent="0.2">
      <c r="B84" s="9"/>
      <c r="C84" s="7"/>
      <c r="F84" s="63"/>
      <c r="G84" s="63"/>
      <c r="H84" s="63"/>
      <c r="K84" s="189"/>
    </row>
    <row r="85" spans="1:11" s="8" customFormat="1" x14ac:dyDescent="0.2">
      <c r="B85" s="9"/>
      <c r="C85" s="7"/>
      <c r="F85" s="63"/>
      <c r="G85" s="63"/>
      <c r="H85" s="63"/>
      <c r="K85" s="6"/>
    </row>
    <row r="86" spans="1:11" s="8" customFormat="1" ht="12" x14ac:dyDescent="0.2">
      <c r="B86" s="9"/>
      <c r="C86" s="7"/>
      <c r="F86" s="63"/>
      <c r="G86" s="63"/>
      <c r="H86" s="63"/>
    </row>
    <row r="87" spans="1:11" s="8" customFormat="1" ht="12" x14ac:dyDescent="0.2">
      <c r="B87" s="9"/>
      <c r="F87" s="63"/>
      <c r="G87" s="63"/>
      <c r="H87" s="63"/>
    </row>
    <row r="88" spans="1:11" s="8" customFormat="1" ht="12" x14ac:dyDescent="0.2">
      <c r="B88" s="9"/>
      <c r="F88" s="63"/>
      <c r="G88" s="63"/>
      <c r="H88" s="63"/>
    </row>
    <row r="89" spans="1:11" s="8" customFormat="1" ht="12" x14ac:dyDescent="0.2">
      <c r="B89" s="9"/>
      <c r="F89" s="63"/>
      <c r="G89" s="63"/>
      <c r="H89" s="63"/>
    </row>
    <row r="90" spans="1:11" s="8" customFormat="1" x14ac:dyDescent="0.2">
      <c r="B90" s="9"/>
      <c r="D90" s="5"/>
      <c r="F90" s="63"/>
      <c r="G90" s="63"/>
      <c r="H90" s="63"/>
    </row>
    <row r="91" spans="1:11" s="8" customFormat="1" x14ac:dyDescent="0.2">
      <c r="B91" s="9"/>
      <c r="D91" s="5"/>
      <c r="F91" s="45"/>
      <c r="G91" s="45"/>
      <c r="H91" s="45"/>
    </row>
    <row r="92" spans="1:11" s="8" customFormat="1" x14ac:dyDescent="0.2">
      <c r="B92" s="9"/>
      <c r="D92" s="5"/>
      <c r="E92" s="5"/>
      <c r="F92" s="45"/>
      <c r="G92" s="45"/>
      <c r="H92" s="45"/>
    </row>
    <row r="93" spans="1:11" s="8" customFormat="1" x14ac:dyDescent="0.2">
      <c r="B93" s="11"/>
      <c r="C93" s="5"/>
      <c r="D93" s="5"/>
      <c r="E93" s="5"/>
      <c r="F93" s="45"/>
      <c r="G93" s="45"/>
      <c r="H93" s="45"/>
    </row>
    <row r="94" spans="1:11" s="8" customFormat="1" x14ac:dyDescent="0.2">
      <c r="B94" s="11"/>
      <c r="C94" s="5"/>
      <c r="D94" s="5"/>
      <c r="E94" s="5"/>
      <c r="F94" s="45"/>
      <c r="G94" s="45"/>
      <c r="H94" s="45"/>
    </row>
    <row r="95" spans="1:11" s="8" customFormat="1" x14ac:dyDescent="0.2">
      <c r="B95" s="11"/>
      <c r="C95" s="5"/>
      <c r="D95" s="5"/>
      <c r="E95" s="5"/>
      <c r="F95" s="45"/>
      <c r="G95" s="45"/>
      <c r="H95" s="45"/>
    </row>
    <row r="96" spans="1:11" s="8" customFormat="1" x14ac:dyDescent="0.2">
      <c r="B96" s="11"/>
      <c r="C96" s="5"/>
      <c r="D96" s="5"/>
      <c r="E96" s="5"/>
      <c r="F96" s="45"/>
      <c r="G96" s="45"/>
      <c r="H96" s="45"/>
    </row>
    <row r="97" spans="1:11" s="8" customFormat="1" x14ac:dyDescent="0.2">
      <c r="A97" s="5"/>
      <c r="B97" s="11"/>
      <c r="C97" s="5"/>
      <c r="D97" s="5"/>
      <c r="E97" s="5"/>
      <c r="F97" s="45"/>
      <c r="G97" s="45"/>
      <c r="H97" s="45"/>
      <c r="I97" s="5"/>
    </row>
    <row r="98" spans="1:11" s="8" customFormat="1" x14ac:dyDescent="0.2">
      <c r="A98" s="5"/>
      <c r="B98" s="11"/>
      <c r="C98" s="5"/>
      <c r="D98" s="5"/>
      <c r="E98" s="5"/>
      <c r="F98" s="45"/>
      <c r="G98" s="45"/>
      <c r="H98" s="45"/>
      <c r="I98" s="5"/>
    </row>
    <row r="99" spans="1:11" s="8" customFormat="1" x14ac:dyDescent="0.2">
      <c r="A99" s="5"/>
      <c r="B99" s="11"/>
      <c r="C99" s="5"/>
      <c r="D99" s="5"/>
      <c r="E99" s="5"/>
      <c r="F99" s="45"/>
      <c r="G99" s="45"/>
      <c r="H99" s="45"/>
      <c r="I99" s="5"/>
    </row>
    <row r="100" spans="1:11" s="8" customFormat="1" x14ac:dyDescent="0.2">
      <c r="A100" s="5"/>
      <c r="B100" s="11"/>
      <c r="C100" s="5"/>
      <c r="D100" s="5"/>
      <c r="E100" s="5"/>
      <c r="F100" s="45"/>
      <c r="G100" s="45"/>
      <c r="H100" s="45"/>
      <c r="I100" s="5"/>
    </row>
    <row r="101" spans="1:11" x14ac:dyDescent="0.2">
      <c r="K101" s="8"/>
    </row>
    <row r="102" spans="1:11" x14ac:dyDescent="0.2">
      <c r="K102" s="8"/>
    </row>
  </sheetData>
  <mergeCells count="9">
    <mergeCell ref="E39:F39"/>
    <mergeCell ref="C55:D55"/>
    <mergeCell ref="E56:F56"/>
    <mergeCell ref="A1:J1"/>
    <mergeCell ref="C4:D4"/>
    <mergeCell ref="E5:F5"/>
    <mergeCell ref="C21:D21"/>
    <mergeCell ref="E22:F22"/>
    <mergeCell ref="C38:D38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opLeftCell="A61" zoomScaleNormal="100" workbookViewId="0">
      <selection activeCell="H107" sqref="H107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12" style="45" customWidth="1"/>
    <col min="7" max="7" width="14.85546875" style="45" customWidth="1"/>
    <col min="8" max="8" width="12.7109375" style="45" customWidth="1"/>
    <col min="9" max="9" width="3.28515625" style="5" customWidth="1"/>
    <col min="10" max="10" width="10.42578125" style="5" customWidth="1"/>
    <col min="11" max="16384" width="8.85546875" style="5"/>
  </cols>
  <sheetData>
    <row r="1" spans="1:10" s="1" customFormat="1" ht="24" customHeight="1" x14ac:dyDescent="0.2">
      <c r="A1" s="393" t="s">
        <v>153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s="24" customFormat="1" ht="6.75" customHeight="1" x14ac:dyDescent="0.2">
      <c r="B2" s="25"/>
      <c r="C2" s="26"/>
      <c r="D2" s="26"/>
      <c r="E2" s="27"/>
      <c r="F2" s="53"/>
      <c r="G2" s="53"/>
      <c r="H2" s="53"/>
      <c r="I2" s="27"/>
    </row>
    <row r="3" spans="1:10" ht="19.5" customHeight="1" x14ac:dyDescent="0.2">
      <c r="A3" s="38"/>
      <c r="B3" s="20" t="s">
        <v>21</v>
      </c>
      <c r="C3" s="39" t="s">
        <v>82</v>
      </c>
      <c r="D3" s="33"/>
      <c r="E3" s="12"/>
      <c r="F3" s="54"/>
      <c r="G3" s="54"/>
      <c r="H3" s="54"/>
      <c r="I3" s="12"/>
    </row>
    <row r="4" spans="1:10" ht="19.5" customHeight="1" x14ac:dyDescent="0.2">
      <c r="B4" s="20" t="s">
        <v>23</v>
      </c>
      <c r="C4" s="394">
        <v>44076</v>
      </c>
      <c r="D4" s="395"/>
      <c r="E4" s="12"/>
      <c r="F4" s="54"/>
      <c r="G4" s="54"/>
      <c r="H4" s="54"/>
      <c r="I4" s="12"/>
    </row>
    <row r="5" spans="1:10" ht="4.5" customHeight="1" x14ac:dyDescent="0.45">
      <c r="B5" s="2"/>
      <c r="C5" s="17"/>
      <c r="D5" s="17"/>
      <c r="E5" s="396"/>
      <c r="F5" s="396"/>
      <c r="G5" s="205"/>
      <c r="H5" s="177"/>
      <c r="I5" s="4"/>
    </row>
    <row r="6" spans="1:10" s="128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204"/>
      <c r="G6" s="204"/>
      <c r="H6" s="55"/>
    </row>
    <row r="7" spans="1:10" x14ac:dyDescent="0.2">
      <c r="B7" s="18" t="s">
        <v>25</v>
      </c>
      <c r="C7" s="19" t="s">
        <v>13</v>
      </c>
      <c r="D7" s="40"/>
      <c r="E7" s="66">
        <v>1941.71</v>
      </c>
      <c r="F7" s="219"/>
      <c r="G7" s="218"/>
    </row>
    <row r="8" spans="1:10" x14ac:dyDescent="0.2">
      <c r="B8" s="36" t="s">
        <v>26</v>
      </c>
      <c r="C8" s="22" t="s">
        <v>24</v>
      </c>
      <c r="D8" s="41"/>
      <c r="E8" s="66">
        <v>905.13</v>
      </c>
      <c r="F8" s="59"/>
      <c r="G8" s="219"/>
    </row>
    <row r="9" spans="1:10" x14ac:dyDescent="0.2">
      <c r="B9" s="36" t="s">
        <v>3</v>
      </c>
      <c r="C9" s="22" t="s">
        <v>12</v>
      </c>
      <c r="D9" s="41"/>
      <c r="E9" s="66">
        <v>1303.77</v>
      </c>
      <c r="F9" s="59"/>
      <c r="G9" s="56"/>
    </row>
    <row r="10" spans="1:10" x14ac:dyDescent="0.2">
      <c r="B10" s="13" t="s">
        <v>31</v>
      </c>
      <c r="C10" s="16" t="s">
        <v>11</v>
      </c>
      <c r="D10" s="42"/>
      <c r="E10" s="67">
        <v>1269.22</v>
      </c>
      <c r="F10" s="59"/>
      <c r="G10" s="56"/>
    </row>
    <row r="11" spans="1:10" x14ac:dyDescent="0.2">
      <c r="B11" s="68" t="s">
        <v>69</v>
      </c>
      <c r="C11" s="72" t="s">
        <v>30</v>
      </c>
      <c r="D11" s="69"/>
      <c r="E11" s="70">
        <v>990</v>
      </c>
      <c r="F11" s="59" t="s">
        <v>152</v>
      </c>
      <c r="G11" s="56"/>
    </row>
    <row r="12" spans="1:10" x14ac:dyDescent="0.2">
      <c r="B12" s="68" t="s">
        <v>146</v>
      </c>
      <c r="C12" s="72" t="s">
        <v>147</v>
      </c>
      <c r="D12" s="69"/>
      <c r="E12" s="70">
        <v>1737.17</v>
      </c>
      <c r="F12" s="59"/>
      <c r="G12" s="56"/>
    </row>
    <row r="13" spans="1:10" ht="13.5" thickBot="1" x14ac:dyDescent="0.25">
      <c r="B13" s="71" t="s">
        <v>154</v>
      </c>
      <c r="C13" s="73" t="s">
        <v>155</v>
      </c>
      <c r="D13" s="50"/>
      <c r="E13" s="192">
        <v>495</v>
      </c>
      <c r="G13" s="56"/>
      <c r="I13" s="235"/>
      <c r="J13" s="235"/>
    </row>
    <row r="14" spans="1:10" s="4" customFormat="1" ht="13.5" thickBot="1" x14ac:dyDescent="0.25">
      <c r="B14" s="46"/>
      <c r="C14" s="47"/>
      <c r="D14" s="48"/>
      <c r="E14" s="49">
        <f>SUM(E7:E13)</f>
        <v>8642</v>
      </c>
      <c r="F14" s="58"/>
      <c r="G14" s="56"/>
      <c r="H14" s="177"/>
    </row>
    <row r="15" spans="1:10" ht="13.5" thickBot="1" x14ac:dyDescent="0.25">
      <c r="B15" s="74" t="s">
        <v>29</v>
      </c>
      <c r="C15" s="75" t="s">
        <v>5</v>
      </c>
      <c r="D15" s="75"/>
      <c r="E15" s="76">
        <v>1125</v>
      </c>
    </row>
    <row r="16" spans="1:10" ht="13.5" thickBot="1" x14ac:dyDescent="0.25">
      <c r="B16" s="10"/>
      <c r="C16" s="28" t="s">
        <v>0</v>
      </c>
      <c r="D16" s="28"/>
      <c r="E16" s="30">
        <f>SUM(E14:E15)</f>
        <v>9767</v>
      </c>
    </row>
    <row r="17" spans="1:11" x14ac:dyDescent="0.2">
      <c r="B17" s="10"/>
      <c r="C17" s="28"/>
      <c r="D17" s="28"/>
      <c r="E17" s="52"/>
    </row>
    <row r="18" spans="1:11" x14ac:dyDescent="0.2">
      <c r="B18" s="10" t="s">
        <v>111</v>
      </c>
      <c r="C18" s="182" t="s">
        <v>112</v>
      </c>
      <c r="D18" s="28"/>
      <c r="E18" s="177">
        <v>4000</v>
      </c>
      <c r="F18" s="45">
        <f>SUM(E16:E18)</f>
        <v>13767</v>
      </c>
    </row>
    <row r="19" spans="1:11" x14ac:dyDescent="0.2">
      <c r="B19" s="10"/>
      <c r="C19" s="28"/>
      <c r="D19" s="28"/>
      <c r="E19" s="52"/>
    </row>
    <row r="20" spans="1:11" s="24" customFormat="1" ht="6.75" customHeight="1" x14ac:dyDescent="0.2">
      <c r="B20" s="25"/>
      <c r="C20" s="26"/>
      <c r="D20" s="26"/>
      <c r="E20" s="27"/>
      <c r="F20" s="53"/>
      <c r="G20" s="53"/>
      <c r="H20" s="53"/>
      <c r="I20" s="27"/>
    </row>
    <row r="21" spans="1:11" ht="19.5" customHeight="1" x14ac:dyDescent="0.2">
      <c r="A21" s="38"/>
      <c r="B21" s="20" t="s">
        <v>21</v>
      </c>
      <c r="C21" s="39" t="s">
        <v>83</v>
      </c>
      <c r="D21" s="33"/>
      <c r="E21" s="12"/>
      <c r="F21" s="54"/>
      <c r="G21" s="54"/>
      <c r="H21" s="54"/>
      <c r="I21" s="12"/>
    </row>
    <row r="22" spans="1:11" ht="19.5" customHeight="1" x14ac:dyDescent="0.2">
      <c r="B22" s="20" t="s">
        <v>23</v>
      </c>
      <c r="C22" s="395">
        <v>44083</v>
      </c>
      <c r="D22" s="395"/>
      <c r="E22" s="12"/>
      <c r="F22" s="54"/>
      <c r="G22" s="54"/>
      <c r="H22" s="54"/>
      <c r="I22" s="12"/>
    </row>
    <row r="23" spans="1:11" ht="4.5" customHeight="1" x14ac:dyDescent="0.45">
      <c r="B23" s="2"/>
      <c r="C23" s="17"/>
      <c r="D23" s="17"/>
      <c r="E23" s="396"/>
      <c r="F23" s="396"/>
      <c r="G23" s="205"/>
      <c r="H23" s="177"/>
      <c r="I23" s="4"/>
    </row>
    <row r="24" spans="1:11" s="128" customFormat="1" ht="13.5" thickBot="1" x14ac:dyDescent="0.25">
      <c r="B24" s="21" t="s">
        <v>22</v>
      </c>
      <c r="C24" s="44" t="s">
        <v>1</v>
      </c>
      <c r="D24" s="44"/>
      <c r="E24" s="23" t="s">
        <v>2</v>
      </c>
      <c r="F24" s="204"/>
      <c r="G24" s="204"/>
      <c r="H24" s="55"/>
    </row>
    <row r="25" spans="1:11" x14ac:dyDescent="0.2">
      <c r="B25" s="231" t="s">
        <v>25</v>
      </c>
      <c r="C25" s="228" t="s">
        <v>13</v>
      </c>
      <c r="D25" s="40"/>
      <c r="E25" s="220">
        <v>2818.63</v>
      </c>
      <c r="F25" s="59"/>
      <c r="G25" s="56"/>
    </row>
    <row r="26" spans="1:11" x14ac:dyDescent="0.2">
      <c r="B26" s="232" t="s">
        <v>26</v>
      </c>
      <c r="C26" s="229" t="s">
        <v>24</v>
      </c>
      <c r="D26" s="41"/>
      <c r="E26" s="221">
        <v>1005.13</v>
      </c>
      <c r="F26" s="59"/>
      <c r="G26" s="56" t="s">
        <v>156</v>
      </c>
    </row>
    <row r="27" spans="1:11" x14ac:dyDescent="0.2">
      <c r="B27" s="232" t="s">
        <v>3</v>
      </c>
      <c r="C27" s="229" t="s">
        <v>12</v>
      </c>
      <c r="D27" s="41"/>
      <c r="E27" s="221">
        <v>1303.77</v>
      </c>
      <c r="F27" s="59"/>
      <c r="G27" s="56"/>
    </row>
    <row r="28" spans="1:11" x14ac:dyDescent="0.2">
      <c r="B28" s="233" t="s">
        <v>31</v>
      </c>
      <c r="C28" s="230" t="s">
        <v>11</v>
      </c>
      <c r="D28" s="42"/>
      <c r="E28" s="222">
        <v>1269.22</v>
      </c>
      <c r="F28" s="59"/>
      <c r="G28" s="56"/>
    </row>
    <row r="29" spans="1:11" x14ac:dyDescent="0.2">
      <c r="B29" s="233" t="s">
        <v>69</v>
      </c>
      <c r="C29" s="230" t="s">
        <v>30</v>
      </c>
      <c r="D29" s="42"/>
      <c r="E29" s="222">
        <v>990</v>
      </c>
      <c r="G29" s="56"/>
      <c r="I29" s="235"/>
      <c r="J29" s="235"/>
    </row>
    <row r="30" spans="1:11" x14ac:dyDescent="0.2">
      <c r="B30" s="233" t="s">
        <v>146</v>
      </c>
      <c r="C30" s="230" t="s">
        <v>147</v>
      </c>
      <c r="D30" s="42"/>
      <c r="E30" s="223">
        <v>1793.78</v>
      </c>
      <c r="G30" s="56"/>
      <c r="I30" s="236"/>
      <c r="J30" s="236"/>
    </row>
    <row r="31" spans="1:11" ht="13.5" thickBot="1" x14ac:dyDescent="0.25">
      <c r="B31" s="234" t="s">
        <v>154</v>
      </c>
      <c r="C31" s="73" t="s">
        <v>155</v>
      </c>
      <c r="D31" s="227"/>
      <c r="E31" s="192">
        <v>1603.75</v>
      </c>
      <c r="G31" s="56"/>
      <c r="I31" s="235"/>
      <c r="J31" s="235"/>
    </row>
    <row r="32" spans="1:11" s="4" customFormat="1" ht="13.5" thickBot="1" x14ac:dyDescent="0.25">
      <c r="B32" s="46"/>
      <c r="C32" s="47"/>
      <c r="D32" s="48"/>
      <c r="E32" s="49">
        <f>SUM(E25:E31)</f>
        <v>10784.28</v>
      </c>
      <c r="F32" s="58"/>
      <c r="G32" s="56"/>
      <c r="H32" s="203"/>
      <c r="J32" s="177"/>
      <c r="K32" s="5"/>
    </row>
    <row r="33" spans="1:11" s="212" customFormat="1" ht="13.5" thickBot="1" x14ac:dyDescent="0.25">
      <c r="B33" s="213" t="s">
        <v>29</v>
      </c>
      <c r="C33" s="214" t="s">
        <v>5</v>
      </c>
      <c r="D33" s="214"/>
      <c r="E33" s="76">
        <v>1125</v>
      </c>
      <c r="F33" s="215"/>
      <c r="G33" s="215"/>
      <c r="H33" s="215"/>
    </row>
    <row r="34" spans="1:11" ht="13.5" thickBot="1" x14ac:dyDescent="0.25">
      <c r="B34" s="10"/>
      <c r="C34" s="28" t="s">
        <v>0</v>
      </c>
      <c r="D34" s="28"/>
      <c r="E34" s="30">
        <f>SUM(E32:E33)</f>
        <v>11909.28</v>
      </c>
      <c r="K34" s="4"/>
    </row>
    <row r="35" spans="1:11" x14ac:dyDescent="0.2">
      <c r="B35" s="10"/>
      <c r="C35" s="28"/>
      <c r="D35" s="28"/>
      <c r="E35" s="52"/>
    </row>
    <row r="36" spans="1:11" x14ac:dyDescent="0.2">
      <c r="B36" s="10" t="s">
        <v>111</v>
      </c>
      <c r="C36" s="182" t="s">
        <v>112</v>
      </c>
      <c r="D36" s="28"/>
      <c r="E36" s="177">
        <v>4000</v>
      </c>
      <c r="F36" s="45">
        <f>SUM(E34:E36,F31)</f>
        <v>15909.28</v>
      </c>
    </row>
    <row r="37" spans="1:11" x14ac:dyDescent="0.2">
      <c r="B37" s="10"/>
      <c r="C37" s="28"/>
      <c r="D37" s="28"/>
      <c r="E37" s="52"/>
    </row>
    <row r="38" spans="1:11" s="24" customFormat="1" ht="6.75" customHeight="1" x14ac:dyDescent="0.2">
      <c r="B38" s="25"/>
      <c r="C38" s="26"/>
      <c r="D38" s="26"/>
      <c r="E38" s="27"/>
      <c r="F38" s="53"/>
      <c r="G38" s="53"/>
      <c r="H38" s="53"/>
      <c r="I38" s="27"/>
    </row>
    <row r="39" spans="1:11" ht="19.5" customHeight="1" x14ac:dyDescent="0.2">
      <c r="A39" s="38"/>
      <c r="B39" s="20" t="s">
        <v>21</v>
      </c>
      <c r="C39" s="39" t="s">
        <v>84</v>
      </c>
      <c r="D39" s="33"/>
      <c r="E39" s="12"/>
      <c r="F39" s="54"/>
      <c r="G39" s="54"/>
      <c r="H39" s="54"/>
      <c r="I39" s="12"/>
    </row>
    <row r="40" spans="1:11" ht="19.5" customHeight="1" x14ac:dyDescent="0.2">
      <c r="B40" s="20" t="s">
        <v>23</v>
      </c>
      <c r="C40" s="395">
        <v>44090</v>
      </c>
      <c r="D40" s="395"/>
      <c r="E40" s="12"/>
      <c r="F40" s="54"/>
      <c r="G40" s="54"/>
      <c r="H40" s="54"/>
      <c r="I40" s="12"/>
    </row>
    <row r="41" spans="1:11" ht="4.5" customHeight="1" x14ac:dyDescent="0.45">
      <c r="B41" s="2"/>
      <c r="C41" s="17"/>
      <c r="D41" s="17"/>
      <c r="E41" s="396"/>
      <c r="F41" s="396"/>
      <c r="G41" s="205"/>
      <c r="H41" s="177"/>
      <c r="I41" s="4"/>
    </row>
    <row r="42" spans="1:11" s="128" customFormat="1" ht="13.5" thickBot="1" x14ac:dyDescent="0.25">
      <c r="B42" s="21" t="s">
        <v>22</v>
      </c>
      <c r="C42" s="44" t="s">
        <v>1</v>
      </c>
      <c r="D42" s="44"/>
      <c r="E42" s="23" t="s">
        <v>2</v>
      </c>
      <c r="F42" s="204"/>
      <c r="G42" s="204"/>
      <c r="H42" s="55"/>
    </row>
    <row r="43" spans="1:11" x14ac:dyDescent="0.2">
      <c r="B43" s="231" t="s">
        <v>25</v>
      </c>
      <c r="C43" s="228" t="s">
        <v>13</v>
      </c>
      <c r="D43" s="40"/>
      <c r="E43" s="220">
        <v>3251.59</v>
      </c>
      <c r="F43" s="59"/>
      <c r="G43" s="56"/>
    </row>
    <row r="44" spans="1:11" x14ac:dyDescent="0.2">
      <c r="B44" s="232" t="s">
        <v>26</v>
      </c>
      <c r="C44" s="229" t="s">
        <v>24</v>
      </c>
      <c r="D44" s="41"/>
      <c r="E44" s="221">
        <v>905.13</v>
      </c>
      <c r="F44" s="59" t="s">
        <v>157</v>
      </c>
      <c r="G44" s="56"/>
    </row>
    <row r="45" spans="1:11" x14ac:dyDescent="0.2">
      <c r="B45" s="232" t="s">
        <v>3</v>
      </c>
      <c r="C45" s="229" t="s">
        <v>12</v>
      </c>
      <c r="D45" s="41"/>
      <c r="E45" s="221">
        <v>1303.77</v>
      </c>
      <c r="F45" s="59"/>
      <c r="G45" s="56"/>
    </row>
    <row r="46" spans="1:11" x14ac:dyDescent="0.2">
      <c r="B46" s="233" t="s">
        <v>31</v>
      </c>
      <c r="C46" s="230" t="s">
        <v>11</v>
      </c>
      <c r="D46" s="42"/>
      <c r="E46" s="222">
        <v>1415.47</v>
      </c>
      <c r="F46" s="59"/>
      <c r="G46" s="56"/>
    </row>
    <row r="47" spans="1:11" x14ac:dyDescent="0.2">
      <c r="B47" s="233" t="s">
        <v>69</v>
      </c>
      <c r="C47" s="230" t="s">
        <v>30</v>
      </c>
      <c r="D47" s="42"/>
      <c r="E47" s="222">
        <v>1018.13</v>
      </c>
      <c r="G47" s="56"/>
      <c r="I47" s="235"/>
      <c r="J47" s="235"/>
    </row>
    <row r="48" spans="1:11" x14ac:dyDescent="0.2">
      <c r="B48" s="233" t="s">
        <v>26</v>
      </c>
      <c r="C48" s="230" t="s">
        <v>158</v>
      </c>
      <c r="D48" s="42"/>
      <c r="E48" s="223">
        <v>316.8</v>
      </c>
      <c r="G48" s="56"/>
      <c r="I48" s="237"/>
      <c r="J48" s="237"/>
    </row>
    <row r="49" spans="1:11" x14ac:dyDescent="0.2">
      <c r="B49" s="233" t="s">
        <v>146</v>
      </c>
      <c r="C49" s="230" t="s">
        <v>147</v>
      </c>
      <c r="D49" s="42"/>
      <c r="E49" s="223">
        <v>1717.97</v>
      </c>
      <c r="G49" s="56"/>
      <c r="I49" s="236"/>
      <c r="J49" s="236"/>
    </row>
    <row r="50" spans="1:11" ht="13.5" thickBot="1" x14ac:dyDescent="0.25">
      <c r="B50" s="234" t="s">
        <v>154</v>
      </c>
      <c r="C50" s="73" t="s">
        <v>155</v>
      </c>
      <c r="D50" s="227"/>
      <c r="E50" s="192">
        <v>1717.97</v>
      </c>
      <c r="G50" s="56"/>
      <c r="I50" s="235"/>
      <c r="J50" s="235"/>
    </row>
    <row r="51" spans="1:11" s="4" customFormat="1" ht="13.5" thickBot="1" x14ac:dyDescent="0.25">
      <c r="B51" s="46"/>
      <c r="C51" s="47"/>
      <c r="D51" s="48"/>
      <c r="E51" s="49">
        <f>SUM(E43:E50)</f>
        <v>11646.829999999998</v>
      </c>
      <c r="F51" s="58"/>
      <c r="G51" s="56"/>
      <c r="H51" s="203"/>
      <c r="J51" s="177"/>
      <c r="K51" s="5"/>
    </row>
    <row r="52" spans="1:11" s="212" customFormat="1" ht="13.5" thickBot="1" x14ac:dyDescent="0.25">
      <c r="B52" s="213" t="s">
        <v>29</v>
      </c>
      <c r="C52" s="214" t="s">
        <v>5</v>
      </c>
      <c r="D52" s="214"/>
      <c r="E52" s="76">
        <v>1125</v>
      </c>
      <c r="F52" s="215"/>
      <c r="G52" s="215"/>
      <c r="H52" s="215"/>
    </row>
    <row r="53" spans="1:11" ht="13.5" thickBot="1" x14ac:dyDescent="0.25">
      <c r="B53" s="10"/>
      <c r="C53" s="28" t="s">
        <v>0</v>
      </c>
      <c r="D53" s="28"/>
      <c r="E53" s="30">
        <f>SUM(E51:E52)</f>
        <v>12771.829999999998</v>
      </c>
      <c r="K53" s="4"/>
    </row>
    <row r="54" spans="1:11" x14ac:dyDescent="0.2">
      <c r="B54" s="10"/>
      <c r="C54" s="28"/>
      <c r="D54" s="28"/>
      <c r="E54" s="52"/>
    </row>
    <row r="55" spans="1:11" x14ac:dyDescent="0.2">
      <c r="B55" s="10" t="s">
        <v>111</v>
      </c>
      <c r="C55" s="182" t="s">
        <v>112</v>
      </c>
      <c r="D55" s="28"/>
      <c r="E55" s="177">
        <v>4000</v>
      </c>
      <c r="F55" s="45">
        <f>SUM(E53:E55,F50)</f>
        <v>16771.829999999998</v>
      </c>
    </row>
    <row r="56" spans="1:11" x14ac:dyDescent="0.2">
      <c r="B56" s="10"/>
      <c r="C56" s="28"/>
      <c r="D56" s="28"/>
      <c r="E56" s="52"/>
    </row>
    <row r="57" spans="1:11" s="24" customFormat="1" ht="6.75" customHeight="1" x14ac:dyDescent="0.2">
      <c r="B57" s="25"/>
      <c r="C57" s="26"/>
      <c r="D57" s="26"/>
      <c r="E57" s="27"/>
      <c r="F57" s="53"/>
      <c r="G57" s="53"/>
      <c r="H57" s="53"/>
      <c r="I57" s="27"/>
    </row>
    <row r="58" spans="1:11" ht="19.5" customHeight="1" x14ac:dyDescent="0.2">
      <c r="A58" s="38"/>
      <c r="B58" s="20" t="s">
        <v>21</v>
      </c>
      <c r="C58" s="39" t="s">
        <v>85</v>
      </c>
      <c r="D58" s="33"/>
      <c r="E58" s="12"/>
      <c r="F58" s="54"/>
      <c r="G58" s="54"/>
      <c r="H58" s="54"/>
      <c r="I58" s="12"/>
    </row>
    <row r="59" spans="1:11" ht="19.5" customHeight="1" x14ac:dyDescent="0.2">
      <c r="B59" s="20" t="s">
        <v>23</v>
      </c>
      <c r="C59" s="395">
        <v>44097</v>
      </c>
      <c r="D59" s="395"/>
      <c r="E59" s="12"/>
      <c r="F59" s="54"/>
      <c r="G59" s="54"/>
      <c r="H59" s="54"/>
      <c r="I59" s="12"/>
    </row>
    <row r="60" spans="1:11" ht="4.5" customHeight="1" x14ac:dyDescent="0.45">
      <c r="B60" s="2"/>
      <c r="C60" s="17"/>
      <c r="D60" s="17"/>
      <c r="E60" s="396"/>
      <c r="F60" s="396"/>
      <c r="G60" s="205"/>
      <c r="H60" s="177"/>
      <c r="I60" s="4"/>
    </row>
    <row r="61" spans="1:11" s="128" customFormat="1" ht="13.5" thickBot="1" x14ac:dyDescent="0.25">
      <c r="B61" s="21" t="s">
        <v>22</v>
      </c>
      <c r="C61" s="44" t="s">
        <v>1</v>
      </c>
      <c r="D61" s="44"/>
      <c r="E61" s="23" t="s">
        <v>2</v>
      </c>
      <c r="F61" s="204"/>
      <c r="G61" s="204"/>
      <c r="H61" s="55"/>
    </row>
    <row r="62" spans="1:11" x14ac:dyDescent="0.2">
      <c r="B62" s="18" t="s">
        <v>25</v>
      </c>
      <c r="C62" s="19" t="s">
        <v>13</v>
      </c>
      <c r="D62" s="40"/>
      <c r="E62" s="66">
        <v>4070.51</v>
      </c>
      <c r="F62" s="59"/>
      <c r="G62" s="56"/>
    </row>
    <row r="63" spans="1:11" x14ac:dyDescent="0.2">
      <c r="B63" s="36" t="s">
        <v>26</v>
      </c>
      <c r="C63" s="22" t="s">
        <v>24</v>
      </c>
      <c r="D63" s="41"/>
      <c r="E63" s="66">
        <v>905.13</v>
      </c>
      <c r="F63" s="59"/>
      <c r="G63" s="56"/>
    </row>
    <row r="64" spans="1:11" x14ac:dyDescent="0.2">
      <c r="B64" s="36" t="s">
        <v>3</v>
      </c>
      <c r="C64" s="22" t="s">
        <v>12</v>
      </c>
      <c r="D64" s="41"/>
      <c r="E64" s="66">
        <v>1303.77</v>
      </c>
      <c r="F64" s="59"/>
      <c r="G64" s="56"/>
    </row>
    <row r="65" spans="1:11" x14ac:dyDescent="0.2">
      <c r="B65" s="13" t="s">
        <v>31</v>
      </c>
      <c r="C65" s="16" t="s">
        <v>11</v>
      </c>
      <c r="D65" s="42"/>
      <c r="E65" s="67">
        <v>1794.22</v>
      </c>
      <c r="F65" s="59"/>
      <c r="G65" s="56"/>
    </row>
    <row r="66" spans="1:11" x14ac:dyDescent="0.2">
      <c r="B66" s="68" t="s">
        <v>69</v>
      </c>
      <c r="C66" s="72" t="s">
        <v>30</v>
      </c>
      <c r="D66" s="69"/>
      <c r="E66" s="70">
        <v>1712</v>
      </c>
      <c r="F66" s="59"/>
      <c r="G66" s="56"/>
    </row>
    <row r="67" spans="1:11" x14ac:dyDescent="0.2">
      <c r="B67" s="68" t="s">
        <v>26</v>
      </c>
      <c r="C67" s="72" t="s">
        <v>158</v>
      </c>
      <c r="D67" s="69"/>
      <c r="E67" s="70">
        <v>1386</v>
      </c>
      <c r="F67" s="59"/>
      <c r="G67" s="56"/>
    </row>
    <row r="68" spans="1:11" x14ac:dyDescent="0.2">
      <c r="B68" s="68" t="s">
        <v>146</v>
      </c>
      <c r="C68" s="72" t="s">
        <v>147</v>
      </c>
      <c r="D68" s="69"/>
      <c r="E68" s="70">
        <v>2059.63</v>
      </c>
      <c r="F68" s="59"/>
      <c r="G68" s="56"/>
    </row>
    <row r="69" spans="1:11" ht="13.5" thickBot="1" x14ac:dyDescent="0.25">
      <c r="B69" s="71" t="s">
        <v>154</v>
      </c>
      <c r="C69" s="73" t="s">
        <v>155</v>
      </c>
      <c r="D69" s="50"/>
      <c r="E69" s="192">
        <v>2059.63</v>
      </c>
      <c r="G69" s="56"/>
      <c r="I69" s="235"/>
      <c r="J69" s="235"/>
    </row>
    <row r="70" spans="1:11" s="4" customFormat="1" ht="13.5" thickBot="1" x14ac:dyDescent="0.25">
      <c r="B70" s="46"/>
      <c r="C70" s="47"/>
      <c r="D70" s="48"/>
      <c r="E70" s="49">
        <f>SUM(E62:E69)</f>
        <v>15290.890000000003</v>
      </c>
      <c r="F70" s="58"/>
      <c r="G70" s="56"/>
      <c r="H70" s="203"/>
      <c r="J70" s="177"/>
      <c r="K70" s="5"/>
    </row>
    <row r="71" spans="1:11" s="212" customFormat="1" ht="13.5" thickBot="1" x14ac:dyDescent="0.25">
      <c r="B71" s="213" t="s">
        <v>29</v>
      </c>
      <c r="C71" s="214" t="s">
        <v>5</v>
      </c>
      <c r="D71" s="214"/>
      <c r="E71" s="76">
        <v>1125</v>
      </c>
      <c r="F71" s="215"/>
      <c r="G71" s="215"/>
      <c r="H71" s="215"/>
    </row>
    <row r="72" spans="1:11" ht="13.5" thickBot="1" x14ac:dyDescent="0.25">
      <c r="B72" s="10"/>
      <c r="C72" s="28" t="s">
        <v>0</v>
      </c>
      <c r="D72" s="28"/>
      <c r="E72" s="30">
        <f>SUM(E70:E71)</f>
        <v>16415.890000000003</v>
      </c>
      <c r="K72" s="4"/>
    </row>
    <row r="73" spans="1:11" x14ac:dyDescent="0.2">
      <c r="B73" s="10"/>
      <c r="C73" s="28"/>
      <c r="D73" s="28"/>
      <c r="E73" s="52"/>
    </row>
    <row r="74" spans="1:11" x14ac:dyDescent="0.2">
      <c r="B74" s="10" t="s">
        <v>111</v>
      </c>
      <c r="C74" s="182" t="s">
        <v>112</v>
      </c>
      <c r="D74" s="28"/>
      <c r="E74" s="177">
        <v>4000</v>
      </c>
      <c r="F74" s="45">
        <f>SUM(E72:E74)</f>
        <v>20415.890000000003</v>
      </c>
    </row>
    <row r="75" spans="1:11" x14ac:dyDescent="0.2">
      <c r="B75" s="10"/>
      <c r="C75" s="28"/>
      <c r="D75" s="28"/>
      <c r="E75" s="177"/>
    </row>
    <row r="76" spans="1:11" s="24" customFormat="1" ht="6.75" customHeight="1" x14ac:dyDescent="0.2">
      <c r="B76" s="25"/>
      <c r="C76" s="26"/>
      <c r="D76" s="26"/>
      <c r="E76" s="27"/>
      <c r="F76" s="53"/>
      <c r="G76" s="53"/>
      <c r="H76" s="53"/>
      <c r="I76" s="27"/>
      <c r="K76" s="5"/>
    </row>
    <row r="77" spans="1:11" ht="19.5" customHeight="1" x14ac:dyDescent="0.2">
      <c r="A77" s="38"/>
      <c r="B77" s="20" t="s">
        <v>21</v>
      </c>
      <c r="C77" s="39" t="s">
        <v>86</v>
      </c>
      <c r="D77" s="33"/>
      <c r="E77" s="12"/>
      <c r="F77" s="54"/>
      <c r="G77" s="54"/>
      <c r="H77" s="54"/>
      <c r="I77" s="12"/>
    </row>
    <row r="78" spans="1:11" ht="19.5" customHeight="1" x14ac:dyDescent="0.2">
      <c r="B78" s="20" t="s">
        <v>23</v>
      </c>
      <c r="C78" s="395">
        <v>44104</v>
      </c>
      <c r="D78" s="395"/>
      <c r="E78" s="12"/>
      <c r="F78" s="54"/>
      <c r="G78" s="54"/>
      <c r="H78" s="54"/>
      <c r="I78" s="12"/>
      <c r="K78" s="24"/>
    </row>
    <row r="79" spans="1:11" ht="4.5" customHeight="1" x14ac:dyDescent="0.45">
      <c r="B79" s="2"/>
      <c r="C79" s="17"/>
      <c r="D79" s="17"/>
      <c r="E79" s="396"/>
      <c r="F79" s="396"/>
      <c r="G79" s="205"/>
      <c r="H79" s="177"/>
      <c r="I79" s="4"/>
    </row>
    <row r="80" spans="1:11" s="128" customFormat="1" ht="13.5" thickBot="1" x14ac:dyDescent="0.25">
      <c r="B80" s="21" t="s">
        <v>22</v>
      </c>
      <c r="C80" s="44" t="s">
        <v>1</v>
      </c>
      <c r="D80" s="44"/>
      <c r="E80" s="23" t="s">
        <v>2</v>
      </c>
      <c r="F80" s="204"/>
      <c r="G80" s="204"/>
      <c r="H80" s="217"/>
      <c r="K80" s="5"/>
    </row>
    <row r="81" spans="1:11" x14ac:dyDescent="0.2">
      <c r="B81" s="18" t="s">
        <v>25</v>
      </c>
      <c r="C81" s="19" t="s">
        <v>13</v>
      </c>
      <c r="D81" s="40"/>
      <c r="E81" s="66">
        <v>5266.14</v>
      </c>
      <c r="F81" s="59"/>
      <c r="G81" s="218"/>
      <c r="H81" s="177"/>
    </row>
    <row r="82" spans="1:11" x14ac:dyDescent="0.2">
      <c r="B82" s="36" t="s">
        <v>26</v>
      </c>
      <c r="C82" s="22" t="s">
        <v>24</v>
      </c>
      <c r="D82" s="41"/>
      <c r="E82" s="66">
        <v>905.13</v>
      </c>
      <c r="F82" s="59"/>
      <c r="G82" s="219"/>
      <c r="H82" s="177"/>
      <c r="K82" s="128"/>
    </row>
    <row r="83" spans="1:11" x14ac:dyDescent="0.2">
      <c r="B83" s="36" t="s">
        <v>3</v>
      </c>
      <c r="C83" s="22" t="s">
        <v>12</v>
      </c>
      <c r="D83" s="41"/>
      <c r="E83" s="66">
        <v>2043.68</v>
      </c>
      <c r="F83" s="59"/>
      <c r="G83" s="218"/>
      <c r="H83" s="177"/>
    </row>
    <row r="84" spans="1:11" x14ac:dyDescent="0.2">
      <c r="B84" s="13" t="s">
        <v>31</v>
      </c>
      <c r="C84" s="16" t="s">
        <v>11</v>
      </c>
      <c r="D84" s="42"/>
      <c r="E84" s="67">
        <v>1802.22</v>
      </c>
      <c r="F84" s="59"/>
      <c r="G84" s="218"/>
      <c r="H84" s="177"/>
    </row>
    <row r="85" spans="1:11" x14ac:dyDescent="0.2">
      <c r="B85" s="68" t="s">
        <v>69</v>
      </c>
      <c r="C85" s="72" t="s">
        <v>30</v>
      </c>
      <c r="D85" s="69"/>
      <c r="E85" s="70">
        <v>1782.5</v>
      </c>
      <c r="F85" s="59"/>
      <c r="G85" s="218"/>
      <c r="H85" s="177"/>
    </row>
    <row r="86" spans="1:11" x14ac:dyDescent="0.2">
      <c r="B86" s="68" t="s">
        <v>26</v>
      </c>
      <c r="C86" s="72" t="s">
        <v>158</v>
      </c>
      <c r="D86" s="69"/>
      <c r="E86" s="70">
        <v>1456.9</v>
      </c>
      <c r="F86" s="59"/>
      <c r="G86" s="218"/>
      <c r="H86" s="177"/>
    </row>
    <row r="87" spans="1:11" x14ac:dyDescent="0.2">
      <c r="B87" s="68" t="s">
        <v>79</v>
      </c>
      <c r="C87" s="72" t="s">
        <v>80</v>
      </c>
      <c r="D87" s="69"/>
      <c r="E87" s="70">
        <v>386.72</v>
      </c>
      <c r="F87" s="59"/>
      <c r="G87" s="218"/>
      <c r="H87" s="177"/>
    </row>
    <row r="88" spans="1:11" x14ac:dyDescent="0.2">
      <c r="B88" s="68" t="s">
        <v>102</v>
      </c>
      <c r="C88" s="72" t="s">
        <v>159</v>
      </c>
      <c r="D88" s="69"/>
      <c r="E88" s="70">
        <v>386.72</v>
      </c>
      <c r="F88" s="59"/>
      <c r="G88" s="218"/>
      <c r="H88" s="177"/>
    </row>
    <row r="89" spans="1:11" x14ac:dyDescent="0.2">
      <c r="B89" s="68" t="s">
        <v>146</v>
      </c>
      <c r="C89" s="72" t="s">
        <v>147</v>
      </c>
      <c r="D89" s="69"/>
      <c r="E89" s="70">
        <v>2356.14</v>
      </c>
      <c r="F89" s="59"/>
      <c r="G89" s="218"/>
      <c r="H89" s="177"/>
    </row>
    <row r="90" spans="1:11" ht="13.5" thickBot="1" x14ac:dyDescent="0.25">
      <c r="B90" s="71" t="s">
        <v>154</v>
      </c>
      <c r="C90" s="73" t="s">
        <v>155</v>
      </c>
      <c r="D90" s="50"/>
      <c r="E90" s="192">
        <v>1807.25</v>
      </c>
      <c r="G90" s="218"/>
      <c r="H90" s="177"/>
      <c r="I90" s="235"/>
      <c r="J90" s="235"/>
    </row>
    <row r="91" spans="1:11" ht="13.5" thickBot="1" x14ac:dyDescent="0.25">
      <c r="B91" s="10"/>
      <c r="C91" s="28" t="s">
        <v>0</v>
      </c>
      <c r="D91" s="28"/>
      <c r="E91" s="30">
        <f>SUM(E81:E90)</f>
        <v>18193.399999999998</v>
      </c>
      <c r="G91" s="177"/>
      <c r="H91" s="177"/>
      <c r="K91" s="4"/>
    </row>
    <row r="92" spans="1:11" x14ac:dyDescent="0.2">
      <c r="B92" s="10"/>
      <c r="C92" s="28"/>
      <c r="D92" s="28"/>
      <c r="E92" s="52"/>
      <c r="G92" s="177"/>
      <c r="H92" s="177"/>
    </row>
    <row r="93" spans="1:11" x14ac:dyDescent="0.2">
      <c r="B93" s="10" t="s">
        <v>111</v>
      </c>
      <c r="C93" s="182" t="s">
        <v>112</v>
      </c>
      <c r="D93" s="28"/>
      <c r="E93" s="177">
        <v>4000</v>
      </c>
      <c r="F93" s="45">
        <f>SUM(E91:E93)</f>
        <v>22193.399999999998</v>
      </c>
      <c r="G93" s="177">
        <f>F18+F36+F55+F74+F93</f>
        <v>89057.4</v>
      </c>
      <c r="H93" s="177"/>
    </row>
    <row r="94" spans="1:11" x14ac:dyDescent="0.2">
      <c r="B94" s="10"/>
      <c r="C94" s="28"/>
      <c r="D94" s="28"/>
      <c r="E94" s="52"/>
      <c r="J94" s="45"/>
    </row>
    <row r="95" spans="1:11" s="6" customFormat="1" ht="13.15" customHeight="1" x14ac:dyDescent="0.2">
      <c r="A95" s="14" t="s">
        <v>6</v>
      </c>
      <c r="B95" s="15" t="s">
        <v>7</v>
      </c>
      <c r="C95" s="15"/>
      <c r="D95" s="31">
        <v>9000</v>
      </c>
      <c r="E95" s="43" t="s">
        <v>116</v>
      </c>
      <c r="F95" s="14" t="s">
        <v>33</v>
      </c>
      <c r="G95" s="206" t="s">
        <v>32</v>
      </c>
      <c r="H95" s="31">
        <v>3864.58</v>
      </c>
      <c r="I95" s="51" t="s">
        <v>116</v>
      </c>
      <c r="K95" s="5"/>
    </row>
    <row r="96" spans="1:11" s="6" customFormat="1" ht="13.15" customHeight="1" x14ac:dyDescent="0.2">
      <c r="A96" s="14" t="s">
        <v>8</v>
      </c>
      <c r="B96" s="15" t="s">
        <v>9</v>
      </c>
      <c r="C96" s="15"/>
      <c r="D96" s="31">
        <v>311.83999999999997</v>
      </c>
      <c r="E96" s="43" t="s">
        <v>116</v>
      </c>
      <c r="F96" s="14" t="s">
        <v>33</v>
      </c>
      <c r="G96" s="206" t="s">
        <v>109</v>
      </c>
      <c r="H96" s="190">
        <v>2000</v>
      </c>
      <c r="I96" s="51" t="s">
        <v>116</v>
      </c>
      <c r="K96" s="5"/>
    </row>
    <row r="97" spans="1:11" s="6" customFormat="1" ht="13.15" customHeight="1" x14ac:dyDescent="0.2">
      <c r="A97" s="14" t="s">
        <v>27</v>
      </c>
      <c r="B97" s="15" t="s">
        <v>28</v>
      </c>
      <c r="C97" s="15"/>
      <c r="D97" s="31">
        <v>619.53</v>
      </c>
      <c r="E97" s="43" t="s">
        <v>116</v>
      </c>
      <c r="F97" s="60" t="s">
        <v>19</v>
      </c>
      <c r="G97" s="206" t="s">
        <v>20</v>
      </c>
      <c r="H97" s="190">
        <v>500</v>
      </c>
      <c r="I97" s="51" t="s">
        <v>116</v>
      </c>
    </row>
    <row r="98" spans="1:11" s="6" customFormat="1" ht="13.15" customHeight="1" x14ac:dyDescent="0.2">
      <c r="A98" s="14" t="s">
        <v>10</v>
      </c>
      <c r="B98" s="15" t="s">
        <v>34</v>
      </c>
      <c r="C98" s="31"/>
      <c r="D98" s="31">
        <v>5000</v>
      </c>
      <c r="E98" s="43" t="s">
        <v>116</v>
      </c>
      <c r="F98" s="60" t="s">
        <v>6</v>
      </c>
      <c r="G98" s="206" t="s">
        <v>39</v>
      </c>
      <c r="H98" s="190">
        <v>919</v>
      </c>
      <c r="I98" s="51" t="s">
        <v>116</v>
      </c>
    </row>
    <row r="99" spans="1:11" s="6" customFormat="1" ht="13.15" customHeight="1" x14ac:dyDescent="0.2">
      <c r="A99" s="14" t="s">
        <v>10</v>
      </c>
      <c r="B99" s="15" t="s">
        <v>35</v>
      </c>
      <c r="C99" s="31"/>
      <c r="D99" s="31">
        <v>4000</v>
      </c>
      <c r="E99" s="43" t="s">
        <v>116</v>
      </c>
      <c r="F99" s="60" t="s">
        <v>8</v>
      </c>
      <c r="G99" s="206" t="s">
        <v>14</v>
      </c>
      <c r="H99" s="190">
        <v>12000</v>
      </c>
      <c r="I99" s="51" t="s">
        <v>116</v>
      </c>
      <c r="J99" s="189"/>
    </row>
    <row r="100" spans="1:11" s="6" customFormat="1" ht="13.15" customHeight="1" thickBot="1" x14ac:dyDescent="0.25">
      <c r="A100" s="14"/>
      <c r="B100" s="15"/>
      <c r="C100" s="31"/>
      <c r="D100" s="31"/>
      <c r="E100" s="43"/>
      <c r="F100" s="61" t="s">
        <v>16</v>
      </c>
      <c r="G100" s="206" t="s">
        <v>15</v>
      </c>
      <c r="H100" s="207">
        <v>12000</v>
      </c>
      <c r="I100" s="51" t="s">
        <v>116</v>
      </c>
      <c r="J100" s="190"/>
    </row>
    <row r="101" spans="1:11" s="6" customFormat="1" ht="13.15" customHeight="1" thickTop="1" thickBot="1" x14ac:dyDescent="0.25">
      <c r="A101" s="14"/>
      <c r="B101" s="15"/>
      <c r="C101" s="31"/>
      <c r="D101" s="31"/>
      <c r="E101" s="43"/>
      <c r="F101" s="62"/>
      <c r="G101" s="206"/>
      <c r="H101" s="208">
        <f>SUM(H95:H100)+SUM(D95:D100)</f>
        <v>50214.950000000004</v>
      </c>
      <c r="I101" s="51"/>
      <c r="J101" s="190"/>
      <c r="K101" s="189"/>
    </row>
    <row r="102" spans="1:11" s="6" customFormat="1" ht="13.15" customHeight="1" thickBot="1" x14ac:dyDescent="0.25">
      <c r="A102" s="14"/>
      <c r="B102" s="15"/>
      <c r="C102" s="31"/>
      <c r="D102" s="31"/>
      <c r="E102" s="31"/>
      <c r="F102" s="62"/>
      <c r="G102" s="209" t="s">
        <v>4</v>
      </c>
      <c r="H102" s="210">
        <f>F93+H101</f>
        <v>72408.350000000006</v>
      </c>
      <c r="I102" s="37"/>
      <c r="J102" s="190"/>
      <c r="K102" s="189"/>
    </row>
    <row r="103" spans="1:11" s="6" customFormat="1" ht="13.15" customHeight="1" x14ac:dyDescent="0.2">
      <c r="B103" s="14"/>
      <c r="C103" s="15"/>
      <c r="D103" s="8"/>
      <c r="E103" s="31"/>
      <c r="F103" s="63"/>
      <c r="G103" s="63"/>
      <c r="H103" s="63"/>
      <c r="I103" s="37"/>
      <c r="J103" s="190"/>
      <c r="K103" s="189"/>
    </row>
    <row r="104" spans="1:11" s="6" customFormat="1" ht="13.15" customHeight="1" x14ac:dyDescent="0.2">
      <c r="B104" s="14"/>
      <c r="C104" s="15"/>
      <c r="D104" s="7"/>
      <c r="E104" s="8"/>
      <c r="F104" s="63"/>
      <c r="G104" s="63"/>
      <c r="H104" s="63"/>
      <c r="I104" s="37"/>
      <c r="J104" s="190"/>
      <c r="K104" s="189"/>
    </row>
    <row r="105" spans="1:11" s="6" customFormat="1" ht="13.15" customHeight="1" x14ac:dyDescent="0.2">
      <c r="A105" s="8"/>
      <c r="B105" s="9"/>
      <c r="C105" s="8"/>
      <c r="D105" s="7"/>
      <c r="E105" s="8"/>
      <c r="F105" s="63"/>
      <c r="G105" s="63"/>
      <c r="H105" s="63"/>
      <c r="I105" s="37"/>
      <c r="J105" s="190"/>
      <c r="K105" s="189"/>
    </row>
    <row r="106" spans="1:11" s="6" customFormat="1" ht="13.15" customHeight="1" x14ac:dyDescent="0.2">
      <c r="A106" s="8"/>
      <c r="B106" s="9"/>
      <c r="C106" s="7"/>
      <c r="D106" s="7"/>
      <c r="E106" s="8"/>
      <c r="F106" s="63"/>
      <c r="G106" s="63"/>
      <c r="H106" s="63"/>
      <c r="I106" s="37"/>
      <c r="J106" s="189"/>
      <c r="K106" s="189"/>
    </row>
    <row r="107" spans="1:11" s="6" customFormat="1" ht="13.15" customHeight="1" x14ac:dyDescent="0.2">
      <c r="A107" s="8"/>
      <c r="B107" s="9"/>
      <c r="C107" s="7"/>
      <c r="D107" s="7"/>
      <c r="E107" s="8"/>
      <c r="F107" s="63"/>
      <c r="G107" s="63"/>
      <c r="H107" s="63"/>
      <c r="I107" s="37"/>
      <c r="J107" s="189"/>
      <c r="K107" s="189"/>
    </row>
    <row r="108" spans="1:11" s="6" customFormat="1" ht="13.15" customHeight="1" x14ac:dyDescent="0.2">
      <c r="A108" s="8"/>
      <c r="B108" s="9"/>
      <c r="C108" s="7"/>
      <c r="D108" s="7"/>
      <c r="E108" s="8"/>
      <c r="F108" s="63"/>
      <c r="G108" s="63"/>
      <c r="H108" s="63"/>
      <c r="I108" s="37"/>
      <c r="K108" s="189"/>
    </row>
    <row r="109" spans="1:11" s="8" customFormat="1" x14ac:dyDescent="0.2">
      <c r="B109" s="9"/>
      <c r="C109" s="7"/>
      <c r="F109" s="63"/>
      <c r="G109" s="63"/>
      <c r="H109" s="63"/>
      <c r="K109" s="189"/>
    </row>
    <row r="110" spans="1:11" s="8" customFormat="1" x14ac:dyDescent="0.2">
      <c r="B110" s="9"/>
      <c r="C110" s="7"/>
      <c r="F110" s="63"/>
      <c r="G110" s="63"/>
      <c r="H110" s="63"/>
      <c r="K110" s="6"/>
    </row>
    <row r="111" spans="1:11" s="8" customFormat="1" ht="12" x14ac:dyDescent="0.2">
      <c r="B111" s="9"/>
      <c r="C111" s="7"/>
      <c r="F111" s="63"/>
      <c r="G111" s="63"/>
      <c r="H111" s="63"/>
    </row>
    <row r="112" spans="1:11" s="8" customFormat="1" ht="12" x14ac:dyDescent="0.2">
      <c r="B112" s="9"/>
      <c r="F112" s="63"/>
      <c r="G112" s="63"/>
      <c r="H112" s="63"/>
    </row>
    <row r="113" spans="1:11" s="8" customFormat="1" ht="12" x14ac:dyDescent="0.2">
      <c r="B113" s="9"/>
      <c r="F113" s="63"/>
      <c r="G113" s="63"/>
      <c r="H113" s="63"/>
    </row>
    <row r="114" spans="1:11" s="8" customFormat="1" ht="12" x14ac:dyDescent="0.2">
      <c r="B114" s="9"/>
      <c r="F114" s="63"/>
      <c r="G114" s="63"/>
      <c r="H114" s="63"/>
    </row>
    <row r="115" spans="1:11" s="8" customFormat="1" x14ac:dyDescent="0.2">
      <c r="B115" s="9"/>
      <c r="D115" s="5"/>
      <c r="F115" s="63"/>
      <c r="G115" s="63"/>
      <c r="H115" s="63"/>
    </row>
    <row r="116" spans="1:11" s="8" customFormat="1" x14ac:dyDescent="0.2">
      <c r="B116" s="9"/>
      <c r="D116" s="5"/>
      <c r="F116" s="45"/>
      <c r="G116" s="45"/>
      <c r="H116" s="45"/>
    </row>
    <row r="117" spans="1:11" s="8" customFormat="1" x14ac:dyDescent="0.2">
      <c r="B117" s="9"/>
      <c r="D117" s="5"/>
      <c r="E117" s="5"/>
      <c r="F117" s="45"/>
      <c r="G117" s="45"/>
      <c r="H117" s="45"/>
    </row>
    <row r="118" spans="1:11" s="8" customFormat="1" x14ac:dyDescent="0.2">
      <c r="B118" s="11"/>
      <c r="C118" s="5"/>
      <c r="D118" s="5"/>
      <c r="E118" s="5"/>
      <c r="F118" s="45"/>
      <c r="G118" s="45"/>
      <c r="H118" s="45"/>
    </row>
    <row r="119" spans="1:11" s="8" customFormat="1" x14ac:dyDescent="0.2">
      <c r="B119" s="11"/>
      <c r="C119" s="5"/>
      <c r="D119" s="5"/>
      <c r="E119" s="5"/>
      <c r="F119" s="45"/>
      <c r="G119" s="45"/>
      <c r="H119" s="45"/>
    </row>
    <row r="120" spans="1:11" s="8" customFormat="1" x14ac:dyDescent="0.2">
      <c r="B120" s="11"/>
      <c r="C120" s="5"/>
      <c r="D120" s="5"/>
      <c r="E120" s="5"/>
      <c r="F120" s="45"/>
      <c r="G120" s="45"/>
      <c r="H120" s="45"/>
    </row>
    <row r="121" spans="1:11" s="8" customFormat="1" x14ac:dyDescent="0.2">
      <c r="B121" s="11"/>
      <c r="C121" s="5"/>
      <c r="D121" s="5"/>
      <c r="E121" s="5"/>
      <c r="F121" s="45"/>
      <c r="G121" s="45"/>
      <c r="H121" s="45"/>
    </row>
    <row r="122" spans="1:11" s="8" customFormat="1" x14ac:dyDescent="0.2">
      <c r="A122" s="5"/>
      <c r="B122" s="11"/>
      <c r="C122" s="5"/>
      <c r="D122" s="5"/>
      <c r="E122" s="5"/>
      <c r="F122" s="45"/>
      <c r="G122" s="45"/>
      <c r="H122" s="45"/>
      <c r="I122" s="5"/>
    </row>
    <row r="123" spans="1:11" s="8" customFormat="1" x14ac:dyDescent="0.2">
      <c r="A123" s="5"/>
      <c r="B123" s="11"/>
      <c r="C123" s="5"/>
      <c r="D123" s="5"/>
      <c r="E123" s="5"/>
      <c r="F123" s="45"/>
      <c r="G123" s="45"/>
      <c r="H123" s="45"/>
      <c r="I123" s="5"/>
    </row>
    <row r="124" spans="1:11" s="8" customFormat="1" x14ac:dyDescent="0.2">
      <c r="A124" s="5"/>
      <c r="B124" s="11"/>
      <c r="C124" s="5"/>
      <c r="D124" s="5"/>
      <c r="E124" s="5"/>
      <c r="F124" s="45"/>
      <c r="G124" s="45"/>
      <c r="H124" s="45"/>
      <c r="I124" s="5"/>
    </row>
    <row r="125" spans="1:11" s="8" customFormat="1" x14ac:dyDescent="0.2">
      <c r="A125" s="5"/>
      <c r="B125" s="11"/>
      <c r="C125" s="5"/>
      <c r="D125" s="5"/>
      <c r="E125" s="5"/>
      <c r="F125" s="45"/>
      <c r="G125" s="45"/>
      <c r="H125" s="45"/>
      <c r="I125" s="5"/>
    </row>
    <row r="126" spans="1:11" x14ac:dyDescent="0.2">
      <c r="K126" s="8"/>
    </row>
    <row r="127" spans="1:11" x14ac:dyDescent="0.2">
      <c r="K127" s="8"/>
    </row>
  </sheetData>
  <mergeCells count="11">
    <mergeCell ref="E60:F60"/>
    <mergeCell ref="C78:D78"/>
    <mergeCell ref="E79:F79"/>
    <mergeCell ref="C22:D22"/>
    <mergeCell ref="E23:F23"/>
    <mergeCell ref="C59:D59"/>
    <mergeCell ref="A1:J1"/>
    <mergeCell ref="C4:D4"/>
    <mergeCell ref="E5:F5"/>
    <mergeCell ref="C40:D40"/>
    <mergeCell ref="E41:F41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Normal="100" workbookViewId="0">
      <selection activeCell="I94" sqref="I94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12" style="45" customWidth="1"/>
    <col min="7" max="7" width="14.85546875" style="45" customWidth="1"/>
    <col min="8" max="8" width="12.7109375" style="45" customWidth="1"/>
    <col min="9" max="9" width="3.28515625" style="5" customWidth="1"/>
    <col min="10" max="10" width="10.42578125" style="5" customWidth="1"/>
    <col min="11" max="16384" width="8.85546875" style="5"/>
  </cols>
  <sheetData>
    <row r="1" spans="1:10" s="1" customFormat="1" ht="24" customHeight="1" x14ac:dyDescent="0.2">
      <c r="A1" s="393" t="s">
        <v>174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s="24" customFormat="1" ht="6.75" customHeight="1" x14ac:dyDescent="0.2">
      <c r="B2" s="25"/>
      <c r="C2" s="26"/>
      <c r="D2" s="26"/>
      <c r="E2" s="27"/>
      <c r="F2" s="53"/>
      <c r="G2" s="53"/>
      <c r="H2" s="53"/>
      <c r="I2" s="27"/>
    </row>
    <row r="3" spans="1:10" ht="19.5" customHeight="1" x14ac:dyDescent="0.2">
      <c r="A3" s="38"/>
      <c r="B3" s="20" t="s">
        <v>21</v>
      </c>
      <c r="C3" s="39" t="s">
        <v>160</v>
      </c>
      <c r="D3" s="33"/>
      <c r="E3" s="12"/>
      <c r="F3" s="54"/>
      <c r="G3" s="54"/>
      <c r="H3" s="54"/>
      <c r="I3" s="12"/>
    </row>
    <row r="4" spans="1:10" ht="19.5" customHeight="1" x14ac:dyDescent="0.2">
      <c r="B4" s="20" t="s">
        <v>23</v>
      </c>
      <c r="C4" s="394">
        <v>44111</v>
      </c>
      <c r="D4" s="395"/>
      <c r="E4" s="12"/>
      <c r="F4" s="54"/>
      <c r="G4" s="54"/>
      <c r="H4" s="54"/>
      <c r="I4" s="12"/>
    </row>
    <row r="5" spans="1:10" ht="4.5" customHeight="1" x14ac:dyDescent="0.45">
      <c r="B5" s="2"/>
      <c r="C5" s="17"/>
      <c r="D5" s="17"/>
      <c r="E5" s="396"/>
      <c r="F5" s="396"/>
      <c r="G5" s="205"/>
      <c r="H5" s="177"/>
      <c r="I5" s="4"/>
    </row>
    <row r="6" spans="1:10" s="128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204"/>
      <c r="G6" s="204"/>
      <c r="H6" s="55"/>
    </row>
    <row r="7" spans="1:10" x14ac:dyDescent="0.2">
      <c r="B7" s="18" t="s">
        <v>25</v>
      </c>
      <c r="C7" s="19" t="s">
        <v>13</v>
      </c>
      <c r="D7" s="40"/>
      <c r="E7" s="66">
        <v>3720.88</v>
      </c>
      <c r="F7" s="219"/>
      <c r="G7" s="218"/>
    </row>
    <row r="8" spans="1:10" x14ac:dyDescent="0.2">
      <c r="B8" s="36" t="s">
        <v>26</v>
      </c>
      <c r="C8" s="22" t="s">
        <v>24</v>
      </c>
      <c r="D8" s="41"/>
      <c r="E8" s="66">
        <v>905.13</v>
      </c>
      <c r="F8" s="59"/>
      <c r="G8" s="219"/>
    </row>
    <row r="9" spans="1:10" x14ac:dyDescent="0.2">
      <c r="B9" s="36" t="s">
        <v>3</v>
      </c>
      <c r="C9" s="22" t="s">
        <v>12</v>
      </c>
      <c r="D9" s="41"/>
      <c r="E9" s="66">
        <v>1798.42</v>
      </c>
      <c r="F9" s="59"/>
      <c r="G9" s="56"/>
    </row>
    <row r="10" spans="1:10" x14ac:dyDescent="0.2">
      <c r="B10" s="13" t="s">
        <v>31</v>
      </c>
      <c r="C10" s="16" t="s">
        <v>11</v>
      </c>
      <c r="D10" s="42"/>
      <c r="E10" s="67">
        <v>1762.47</v>
      </c>
      <c r="F10" s="59"/>
      <c r="G10" s="56"/>
    </row>
    <row r="11" spans="1:10" x14ac:dyDescent="0.2">
      <c r="B11" s="68" t="s">
        <v>69</v>
      </c>
      <c r="C11" s="72" t="s">
        <v>30</v>
      </c>
      <c r="D11" s="69"/>
      <c r="E11" s="70">
        <v>1398.38</v>
      </c>
      <c r="F11" s="59"/>
      <c r="G11" s="56"/>
    </row>
    <row r="12" spans="1:10" x14ac:dyDescent="0.2">
      <c r="B12" s="68" t="s">
        <v>79</v>
      </c>
      <c r="C12" s="72" t="s">
        <v>80</v>
      </c>
      <c r="D12" s="69"/>
      <c r="E12" s="70">
        <v>1515.94</v>
      </c>
      <c r="F12" s="59"/>
      <c r="G12" s="218"/>
      <c r="H12" s="177"/>
    </row>
    <row r="13" spans="1:10" x14ac:dyDescent="0.2">
      <c r="B13" s="68" t="s">
        <v>26</v>
      </c>
      <c r="C13" s="72" t="s">
        <v>158</v>
      </c>
      <c r="D13" s="69"/>
      <c r="E13" s="70">
        <v>1118.7</v>
      </c>
      <c r="F13" s="59"/>
      <c r="G13" s="218"/>
      <c r="H13" s="177"/>
    </row>
    <row r="14" spans="1:10" x14ac:dyDescent="0.2">
      <c r="B14" s="68" t="s">
        <v>102</v>
      </c>
      <c r="C14" s="72" t="s">
        <v>159</v>
      </c>
      <c r="D14" s="69"/>
      <c r="E14" s="70">
        <v>1417.97</v>
      </c>
      <c r="F14" s="59"/>
      <c r="G14" s="218"/>
      <c r="H14" s="177"/>
    </row>
    <row r="15" spans="1:10" x14ac:dyDescent="0.2">
      <c r="B15" s="68" t="s">
        <v>146</v>
      </c>
      <c r="C15" s="72" t="s">
        <v>147</v>
      </c>
      <c r="D15" s="69"/>
      <c r="E15" s="70">
        <v>2078.83</v>
      </c>
      <c r="F15" s="59"/>
      <c r="G15" s="56"/>
    </row>
    <row r="16" spans="1:10" x14ac:dyDescent="0.2">
      <c r="B16" s="68" t="s">
        <v>154</v>
      </c>
      <c r="C16" s="72" t="s">
        <v>155</v>
      </c>
      <c r="D16" s="69"/>
      <c r="E16" s="70">
        <v>1717.97</v>
      </c>
      <c r="F16" s="59"/>
      <c r="G16" s="56"/>
    </row>
    <row r="17" spans="1:10" ht="13.5" thickBot="1" x14ac:dyDescent="0.25">
      <c r="B17" s="71" t="s">
        <v>164</v>
      </c>
      <c r="C17" s="73" t="s">
        <v>166</v>
      </c>
      <c r="D17" s="50"/>
      <c r="E17" s="192">
        <v>1717.97</v>
      </c>
      <c r="G17" s="56"/>
      <c r="I17" s="238"/>
      <c r="J17" s="238"/>
    </row>
    <row r="18" spans="1:10" s="4" customFormat="1" ht="13.5" thickBot="1" x14ac:dyDescent="0.25">
      <c r="B18" s="46"/>
      <c r="C18" s="47"/>
      <c r="D18" s="48"/>
      <c r="E18" s="49">
        <f>SUM(E7:E17)</f>
        <v>19152.660000000003</v>
      </c>
      <c r="F18" s="58"/>
      <c r="G18" s="56"/>
      <c r="H18" s="177"/>
    </row>
    <row r="19" spans="1:10" ht="13.5" thickBot="1" x14ac:dyDescent="0.25">
      <c r="B19" s="74" t="s">
        <v>29</v>
      </c>
      <c r="C19" s="75" t="s">
        <v>5</v>
      </c>
      <c r="D19" s="75"/>
      <c r="E19" s="76">
        <v>1125</v>
      </c>
    </row>
    <row r="20" spans="1:10" ht="13.5" thickBot="1" x14ac:dyDescent="0.25">
      <c r="B20" s="10"/>
      <c r="C20" s="28" t="s">
        <v>0</v>
      </c>
      <c r="D20" s="28"/>
      <c r="E20" s="30">
        <f>SUM(E18:E19)</f>
        <v>20277.660000000003</v>
      </c>
    </row>
    <row r="21" spans="1:10" x14ac:dyDescent="0.2">
      <c r="B21" s="10"/>
      <c r="C21" s="28"/>
      <c r="D21" s="28"/>
      <c r="E21" s="52"/>
    </row>
    <row r="22" spans="1:10" x14ac:dyDescent="0.2">
      <c r="B22" s="10" t="s">
        <v>111</v>
      </c>
      <c r="C22" s="182" t="s">
        <v>112</v>
      </c>
      <c r="D22" s="28"/>
      <c r="E22" s="177">
        <v>4000</v>
      </c>
      <c r="F22" s="45">
        <f>SUM(E20:E22)</f>
        <v>24277.660000000003</v>
      </c>
    </row>
    <row r="23" spans="1:10" x14ac:dyDescent="0.2">
      <c r="B23" s="10"/>
      <c r="C23" s="28"/>
      <c r="D23" s="28"/>
      <c r="E23" s="52"/>
    </row>
    <row r="24" spans="1:10" s="24" customFormat="1" ht="6.75" customHeight="1" x14ac:dyDescent="0.2">
      <c r="B24" s="25"/>
      <c r="C24" s="26"/>
      <c r="D24" s="26"/>
      <c r="E24" s="27"/>
      <c r="F24" s="53"/>
      <c r="G24" s="53"/>
      <c r="H24" s="53"/>
      <c r="I24" s="27"/>
    </row>
    <row r="25" spans="1:10" ht="19.5" customHeight="1" x14ac:dyDescent="0.2">
      <c r="A25" s="38"/>
      <c r="B25" s="20" t="s">
        <v>21</v>
      </c>
      <c r="C25" s="39" t="s">
        <v>161</v>
      </c>
      <c r="D25" s="33"/>
      <c r="E25" s="12"/>
      <c r="F25" s="54"/>
      <c r="G25" s="54"/>
      <c r="H25" s="54"/>
      <c r="I25" s="12"/>
    </row>
    <row r="26" spans="1:10" ht="19.5" customHeight="1" x14ac:dyDescent="0.2">
      <c r="B26" s="20" t="s">
        <v>23</v>
      </c>
      <c r="C26" s="395">
        <v>44118</v>
      </c>
      <c r="D26" s="395"/>
      <c r="E26" s="12"/>
      <c r="F26" s="54"/>
      <c r="G26" s="54"/>
      <c r="H26" s="54"/>
      <c r="I26" s="12"/>
    </row>
    <row r="27" spans="1:10" ht="4.5" customHeight="1" x14ac:dyDescent="0.45">
      <c r="B27" s="2"/>
      <c r="C27" s="17"/>
      <c r="D27" s="17"/>
      <c r="E27" s="396"/>
      <c r="F27" s="396"/>
      <c r="G27" s="205"/>
      <c r="H27" s="177"/>
      <c r="I27" s="4"/>
    </row>
    <row r="28" spans="1:10" s="128" customFormat="1" ht="13.5" thickBot="1" x14ac:dyDescent="0.25">
      <c r="B28" s="21" t="s">
        <v>22</v>
      </c>
      <c r="C28" s="44" t="s">
        <v>1</v>
      </c>
      <c r="D28" s="44"/>
      <c r="E28" s="23" t="s">
        <v>2</v>
      </c>
      <c r="F28" s="204"/>
      <c r="G28" s="204"/>
      <c r="H28" s="55"/>
    </row>
    <row r="29" spans="1:10" x14ac:dyDescent="0.2">
      <c r="B29" s="231" t="s">
        <v>25</v>
      </c>
      <c r="C29" s="228" t="s">
        <v>13</v>
      </c>
      <c r="D29" s="40"/>
      <c r="E29" s="220">
        <v>3829.62</v>
      </c>
      <c r="F29" s="59"/>
      <c r="G29" s="56"/>
    </row>
    <row r="30" spans="1:10" x14ac:dyDescent="0.2">
      <c r="B30" s="232" t="s">
        <v>26</v>
      </c>
      <c r="C30" s="229" t="s">
        <v>24</v>
      </c>
      <c r="D30" s="41"/>
      <c r="E30" s="221">
        <v>905.13</v>
      </c>
      <c r="F30" s="59"/>
      <c r="G30" s="56"/>
    </row>
    <row r="31" spans="1:10" x14ac:dyDescent="0.2">
      <c r="B31" s="232" t="s">
        <v>3</v>
      </c>
      <c r="C31" s="229" t="s">
        <v>12</v>
      </c>
      <c r="D31" s="41"/>
      <c r="E31" s="221">
        <v>2043.68</v>
      </c>
      <c r="F31" s="59"/>
      <c r="G31" s="56"/>
    </row>
    <row r="32" spans="1:10" x14ac:dyDescent="0.2">
      <c r="B32" s="233" t="s">
        <v>31</v>
      </c>
      <c r="C32" s="230" t="s">
        <v>11</v>
      </c>
      <c r="D32" s="42"/>
      <c r="E32" s="222">
        <v>2001.97</v>
      </c>
      <c r="F32" s="59"/>
      <c r="G32" s="56"/>
    </row>
    <row r="33" spans="1:11" x14ac:dyDescent="0.2">
      <c r="B33" s="233" t="s">
        <v>69</v>
      </c>
      <c r="C33" s="230" t="s">
        <v>30</v>
      </c>
      <c r="D33" s="42"/>
      <c r="E33" s="222">
        <v>1614.13</v>
      </c>
      <c r="G33" s="56"/>
      <c r="I33" s="238"/>
      <c r="J33" s="238"/>
    </row>
    <row r="34" spans="1:11" x14ac:dyDescent="0.2">
      <c r="B34" s="68" t="s">
        <v>79</v>
      </c>
      <c r="C34" s="72" t="s">
        <v>80</v>
      </c>
      <c r="D34" s="69"/>
      <c r="E34" s="70">
        <v>1945.41</v>
      </c>
      <c r="F34" s="59"/>
      <c r="G34" s="218"/>
      <c r="H34" s="177"/>
    </row>
    <row r="35" spans="1:11" x14ac:dyDescent="0.2">
      <c r="B35" s="68" t="s">
        <v>92</v>
      </c>
      <c r="C35" s="72" t="s">
        <v>167</v>
      </c>
      <c r="D35" s="69"/>
      <c r="E35" s="70">
        <v>773.44</v>
      </c>
      <c r="F35" s="59"/>
      <c r="G35" s="218"/>
      <c r="H35" s="177"/>
    </row>
    <row r="36" spans="1:11" x14ac:dyDescent="0.2">
      <c r="B36" s="68" t="s">
        <v>26</v>
      </c>
      <c r="C36" s="72" t="s">
        <v>158</v>
      </c>
      <c r="D36" s="69"/>
      <c r="E36" s="70">
        <v>1296.9000000000001</v>
      </c>
      <c r="F36" s="59" t="s">
        <v>130</v>
      </c>
      <c r="G36" s="218"/>
      <c r="H36" s="177"/>
    </row>
    <row r="37" spans="1:11" x14ac:dyDescent="0.2">
      <c r="B37" s="68" t="s">
        <v>102</v>
      </c>
      <c r="C37" s="72" t="s">
        <v>159</v>
      </c>
      <c r="D37" s="69"/>
      <c r="E37" s="70">
        <v>1645.41</v>
      </c>
      <c r="F37" s="59"/>
      <c r="G37" s="218"/>
      <c r="H37" s="177"/>
    </row>
    <row r="38" spans="1:11" x14ac:dyDescent="0.2">
      <c r="B38" s="68" t="s">
        <v>146</v>
      </c>
      <c r="C38" s="72" t="s">
        <v>147</v>
      </c>
      <c r="D38" s="69"/>
      <c r="E38" s="70">
        <v>1945.41</v>
      </c>
      <c r="F38" s="59"/>
      <c r="G38" s="56"/>
    </row>
    <row r="39" spans="1:11" x14ac:dyDescent="0.2">
      <c r="B39" s="68" t="s">
        <v>154</v>
      </c>
      <c r="C39" s="72" t="s">
        <v>155</v>
      </c>
      <c r="D39" s="69"/>
      <c r="E39" s="70">
        <v>1945.41</v>
      </c>
      <c r="F39" s="59"/>
      <c r="G39" s="56"/>
    </row>
    <row r="40" spans="1:11" ht="13.5" thickBot="1" x14ac:dyDescent="0.25">
      <c r="B40" s="71" t="s">
        <v>164</v>
      </c>
      <c r="C40" s="73" t="s">
        <v>166</v>
      </c>
      <c r="D40" s="50"/>
      <c r="E40" s="192">
        <v>1945.41</v>
      </c>
      <c r="G40" s="56"/>
      <c r="I40" s="238"/>
      <c r="J40" s="238"/>
    </row>
    <row r="41" spans="1:11" s="4" customFormat="1" ht="13.5" thickBot="1" x14ac:dyDescent="0.25">
      <c r="B41" s="46"/>
      <c r="C41" s="47"/>
      <c r="D41" s="48"/>
      <c r="E41" s="49">
        <f>SUM(E29:E40)</f>
        <v>21891.919999999998</v>
      </c>
      <c r="F41" s="58"/>
      <c r="G41" s="56"/>
      <c r="H41" s="203"/>
      <c r="J41" s="177"/>
      <c r="K41" s="5"/>
    </row>
    <row r="42" spans="1:11" s="212" customFormat="1" ht="13.5" thickBot="1" x14ac:dyDescent="0.25">
      <c r="B42" s="213" t="s">
        <v>29</v>
      </c>
      <c r="C42" s="214" t="s">
        <v>5</v>
      </c>
      <c r="D42" s="214"/>
      <c r="E42" s="76">
        <v>1125</v>
      </c>
      <c r="F42" s="215"/>
      <c r="G42" s="215"/>
      <c r="H42" s="215"/>
    </row>
    <row r="43" spans="1:11" ht="13.5" thickBot="1" x14ac:dyDescent="0.25">
      <c r="B43" s="10"/>
      <c r="C43" s="28" t="s">
        <v>0</v>
      </c>
      <c r="D43" s="28"/>
      <c r="E43" s="30">
        <f>SUM(E41:E42)</f>
        <v>23016.92</v>
      </c>
      <c r="K43" s="4"/>
    </row>
    <row r="44" spans="1:11" x14ac:dyDescent="0.2">
      <c r="B44" s="10"/>
      <c r="C44" s="28"/>
      <c r="D44" s="28"/>
      <c r="E44" s="52"/>
    </row>
    <row r="45" spans="1:11" x14ac:dyDescent="0.2">
      <c r="B45" s="10" t="s">
        <v>111</v>
      </c>
      <c r="C45" s="182" t="s">
        <v>112</v>
      </c>
      <c r="D45" s="28"/>
      <c r="E45" s="177">
        <v>4000</v>
      </c>
      <c r="F45" s="45">
        <f>SUM(E43:E45)</f>
        <v>27016.92</v>
      </c>
      <c r="G45" s="45">
        <f>SUM(E29:E35,E37:E40,E42,E45)</f>
        <v>25720.02</v>
      </c>
    </row>
    <row r="46" spans="1:11" x14ac:dyDescent="0.2">
      <c r="B46" s="10"/>
      <c r="C46" s="28"/>
      <c r="D46" s="28"/>
      <c r="E46" s="52"/>
    </row>
    <row r="47" spans="1:11" s="24" customFormat="1" ht="6.75" customHeight="1" x14ac:dyDescent="0.2">
      <c r="B47" s="25"/>
      <c r="C47" s="26"/>
      <c r="D47" s="26"/>
      <c r="E47" s="27"/>
      <c r="F47" s="53"/>
      <c r="G47" s="53"/>
      <c r="H47" s="53"/>
      <c r="I47" s="27"/>
    </row>
    <row r="48" spans="1:11" ht="19.5" customHeight="1" x14ac:dyDescent="0.2">
      <c r="A48" s="38"/>
      <c r="B48" s="20" t="s">
        <v>21</v>
      </c>
      <c r="C48" s="39" t="s">
        <v>162</v>
      </c>
      <c r="D48" s="33"/>
      <c r="E48" s="12"/>
      <c r="F48" s="54"/>
      <c r="G48" s="54"/>
      <c r="H48" s="54"/>
      <c r="I48" s="12"/>
    </row>
    <row r="49" spans="2:11" ht="19.5" customHeight="1" x14ac:dyDescent="0.2">
      <c r="B49" s="20" t="s">
        <v>23</v>
      </c>
      <c r="C49" s="395">
        <v>44125</v>
      </c>
      <c r="D49" s="395"/>
      <c r="E49" s="12"/>
      <c r="F49" s="54"/>
      <c r="G49" s="54"/>
      <c r="H49" s="54"/>
      <c r="I49" s="12"/>
    </row>
    <row r="50" spans="2:11" ht="4.5" customHeight="1" x14ac:dyDescent="0.45">
      <c r="B50" s="2"/>
      <c r="C50" s="17"/>
      <c r="D50" s="17"/>
      <c r="E50" s="396"/>
      <c r="F50" s="396"/>
      <c r="G50" s="205"/>
      <c r="H50" s="177"/>
      <c r="I50" s="4"/>
    </row>
    <row r="51" spans="2:11" s="128" customFormat="1" ht="13.5" thickBot="1" x14ac:dyDescent="0.25">
      <c r="B51" s="21" t="s">
        <v>22</v>
      </c>
      <c r="C51" s="44" t="s">
        <v>1</v>
      </c>
      <c r="D51" s="44"/>
      <c r="E51" s="23" t="s">
        <v>2</v>
      </c>
      <c r="F51" s="204"/>
      <c r="G51" s="204"/>
      <c r="H51" s="55"/>
    </row>
    <row r="52" spans="2:11" x14ac:dyDescent="0.2">
      <c r="B52" s="231" t="s">
        <v>25</v>
      </c>
      <c r="C52" s="228" t="s">
        <v>13</v>
      </c>
      <c r="D52" s="40"/>
      <c r="E52" s="220">
        <v>3829.62</v>
      </c>
      <c r="F52" s="59"/>
      <c r="G52" s="56"/>
    </row>
    <row r="53" spans="2:11" x14ac:dyDescent="0.2">
      <c r="B53" s="232" t="s">
        <v>26</v>
      </c>
      <c r="C53" s="229" t="s">
        <v>24</v>
      </c>
      <c r="D53" s="41"/>
      <c r="E53" s="221">
        <v>905.13</v>
      </c>
      <c r="F53" s="59"/>
      <c r="G53" s="56"/>
    </row>
    <row r="54" spans="2:11" x14ac:dyDescent="0.2">
      <c r="B54" s="232" t="s">
        <v>3</v>
      </c>
      <c r="C54" s="229" t="s">
        <v>12</v>
      </c>
      <c r="D54" s="41"/>
      <c r="E54" s="221">
        <v>2043.68</v>
      </c>
      <c r="F54" s="59"/>
      <c r="G54" s="56"/>
    </row>
    <row r="55" spans="2:11" x14ac:dyDescent="0.2">
      <c r="B55" s="233" t="s">
        <v>31</v>
      </c>
      <c r="C55" s="230" t="s">
        <v>11</v>
      </c>
      <c r="D55" s="42"/>
      <c r="E55" s="222">
        <v>2001.97</v>
      </c>
      <c r="F55" s="59"/>
      <c r="G55" s="56"/>
    </row>
    <row r="56" spans="2:11" x14ac:dyDescent="0.2">
      <c r="B56" s="233" t="s">
        <v>69</v>
      </c>
      <c r="C56" s="230" t="s">
        <v>30</v>
      </c>
      <c r="D56" s="42"/>
      <c r="E56" s="222">
        <v>1614.13</v>
      </c>
      <c r="G56" s="56"/>
      <c r="I56" s="238"/>
      <c r="J56" s="238"/>
    </row>
    <row r="57" spans="2:11" x14ac:dyDescent="0.2">
      <c r="B57" s="68" t="s">
        <v>79</v>
      </c>
      <c r="C57" s="72" t="s">
        <v>80</v>
      </c>
      <c r="D57" s="69"/>
      <c r="E57" s="70">
        <v>1642.16</v>
      </c>
      <c r="F57" s="59"/>
      <c r="G57" s="218"/>
      <c r="H57" s="177"/>
    </row>
    <row r="58" spans="2:11" x14ac:dyDescent="0.2">
      <c r="B58" s="68" t="s">
        <v>92</v>
      </c>
      <c r="C58" s="72" t="s">
        <v>167</v>
      </c>
      <c r="D58" s="69"/>
      <c r="E58" s="70">
        <v>1945.41</v>
      </c>
      <c r="F58" s="59"/>
      <c r="G58" s="218"/>
      <c r="H58" s="177"/>
    </row>
    <row r="59" spans="2:11" x14ac:dyDescent="0.2">
      <c r="B59" s="68" t="s">
        <v>26</v>
      </c>
      <c r="C59" s="72" t="s">
        <v>158</v>
      </c>
      <c r="D59" s="69"/>
      <c r="E59" s="70">
        <v>1296.9000000000001</v>
      </c>
      <c r="F59" s="59" t="s">
        <v>130</v>
      </c>
      <c r="G59" s="218"/>
      <c r="H59" s="177"/>
    </row>
    <row r="60" spans="2:11" x14ac:dyDescent="0.2">
      <c r="B60" s="68" t="s">
        <v>102</v>
      </c>
      <c r="C60" s="72" t="s">
        <v>159</v>
      </c>
      <c r="D60" s="69"/>
      <c r="E60" s="70">
        <v>1599</v>
      </c>
      <c r="F60" s="59"/>
      <c r="G60" s="218"/>
      <c r="H60" s="177"/>
    </row>
    <row r="61" spans="2:11" x14ac:dyDescent="0.2">
      <c r="B61" s="68" t="s">
        <v>146</v>
      </c>
      <c r="C61" s="72" t="s">
        <v>147</v>
      </c>
      <c r="D61" s="69"/>
      <c r="E61" s="70">
        <v>1945.41</v>
      </c>
      <c r="F61" s="59"/>
      <c r="G61" s="56"/>
    </row>
    <row r="62" spans="2:11" x14ac:dyDescent="0.2">
      <c r="B62" s="68" t="s">
        <v>154</v>
      </c>
      <c r="C62" s="72" t="s">
        <v>155</v>
      </c>
      <c r="D62" s="69"/>
      <c r="E62" s="70">
        <v>1945.41</v>
      </c>
      <c r="F62" s="59"/>
      <c r="G62" s="56"/>
    </row>
    <row r="63" spans="2:11" ht="13.5" thickBot="1" x14ac:dyDescent="0.25">
      <c r="B63" s="71" t="s">
        <v>164</v>
      </c>
      <c r="C63" s="73" t="s">
        <v>166</v>
      </c>
      <c r="D63" s="50"/>
      <c r="E63" s="192">
        <v>1628.69</v>
      </c>
      <c r="G63" s="56" t="s">
        <v>168</v>
      </c>
      <c r="I63" s="238"/>
      <c r="J63" s="238"/>
    </row>
    <row r="64" spans="2:11" s="4" customFormat="1" ht="13.5" thickBot="1" x14ac:dyDescent="0.25">
      <c r="B64" s="46"/>
      <c r="C64" s="47"/>
      <c r="D64" s="48"/>
      <c r="E64" s="49">
        <f>SUM(E52:E63)</f>
        <v>22397.51</v>
      </c>
      <c r="F64" s="58"/>
      <c r="G64" s="56"/>
      <c r="H64" s="203"/>
      <c r="J64" s="177"/>
      <c r="K64" s="5"/>
    </row>
    <row r="65" spans="1:11" s="212" customFormat="1" ht="13.5" thickBot="1" x14ac:dyDescent="0.25">
      <c r="B65" s="213" t="s">
        <v>29</v>
      </c>
      <c r="C65" s="214" t="s">
        <v>5</v>
      </c>
      <c r="D65" s="214"/>
      <c r="E65" s="76">
        <v>1125</v>
      </c>
      <c r="F65" s="215"/>
      <c r="G65" s="215"/>
      <c r="H65" s="215"/>
    </row>
    <row r="66" spans="1:11" ht="13.5" thickBot="1" x14ac:dyDescent="0.25">
      <c r="B66" s="10"/>
      <c r="C66" s="28" t="s">
        <v>0</v>
      </c>
      <c r="D66" s="28"/>
      <c r="E66" s="30">
        <f>SUM(E64:E65)</f>
        <v>23522.51</v>
      </c>
      <c r="K66" s="4"/>
    </row>
    <row r="67" spans="1:11" x14ac:dyDescent="0.2">
      <c r="B67" s="10"/>
      <c r="C67" s="28"/>
      <c r="D67" s="28"/>
      <c r="E67" s="52"/>
    </row>
    <row r="68" spans="1:11" x14ac:dyDescent="0.2">
      <c r="B68" s="10" t="s">
        <v>111</v>
      </c>
      <c r="C68" s="182" t="s">
        <v>112</v>
      </c>
      <c r="D68" s="28"/>
      <c r="E68" s="177">
        <v>4000</v>
      </c>
      <c r="F68" s="45">
        <f>SUM(E66:E68)</f>
        <v>27522.51</v>
      </c>
      <c r="G68" s="45">
        <f>F68-E59</f>
        <v>26225.609999999997</v>
      </c>
    </row>
    <row r="69" spans="1:11" x14ac:dyDescent="0.2">
      <c r="B69" s="10"/>
      <c r="C69" s="28"/>
      <c r="D69" s="28"/>
      <c r="E69" s="52"/>
    </row>
    <row r="70" spans="1:11" s="24" customFormat="1" ht="6.75" customHeight="1" x14ac:dyDescent="0.2">
      <c r="B70" s="25"/>
      <c r="C70" s="26"/>
      <c r="D70" s="26"/>
      <c r="E70" s="27"/>
      <c r="F70" s="53"/>
      <c r="G70" s="53"/>
      <c r="H70" s="53"/>
      <c r="I70" s="27"/>
    </row>
    <row r="71" spans="1:11" ht="19.5" customHeight="1" x14ac:dyDescent="0.2">
      <c r="A71" s="38"/>
      <c r="B71" s="20" t="s">
        <v>21</v>
      </c>
      <c r="C71" s="39" t="s">
        <v>163</v>
      </c>
      <c r="D71" s="33"/>
      <c r="E71" s="12"/>
      <c r="F71" s="54"/>
      <c r="G71" s="54"/>
      <c r="H71" s="54"/>
      <c r="I71" s="12"/>
    </row>
    <row r="72" spans="1:11" ht="19.5" customHeight="1" x14ac:dyDescent="0.2">
      <c r="B72" s="20" t="s">
        <v>23</v>
      </c>
      <c r="C72" s="395">
        <v>44132</v>
      </c>
      <c r="D72" s="395"/>
      <c r="E72" s="12"/>
      <c r="F72" s="54"/>
      <c r="G72" s="54"/>
      <c r="H72" s="54"/>
      <c r="I72" s="12"/>
    </row>
    <row r="73" spans="1:11" ht="4.5" customHeight="1" x14ac:dyDescent="0.45">
      <c r="B73" s="2"/>
      <c r="C73" s="17"/>
      <c r="D73" s="17"/>
      <c r="E73" s="396"/>
      <c r="F73" s="396"/>
      <c r="G73" s="205"/>
      <c r="H73" s="177"/>
      <c r="I73" s="4"/>
    </row>
    <row r="74" spans="1:11" s="128" customFormat="1" ht="13.5" thickBot="1" x14ac:dyDescent="0.25">
      <c r="B74" s="21" t="s">
        <v>22</v>
      </c>
      <c r="C74" s="44" t="s">
        <v>1</v>
      </c>
      <c r="D74" s="44"/>
      <c r="E74" s="23" t="s">
        <v>2</v>
      </c>
      <c r="F74" s="204"/>
      <c r="G74" s="204"/>
      <c r="H74" s="55"/>
    </row>
    <row r="75" spans="1:11" x14ac:dyDescent="0.2">
      <c r="B75" s="18" t="s">
        <v>25</v>
      </c>
      <c r="C75" s="19" t="s">
        <v>13</v>
      </c>
      <c r="D75" s="40"/>
      <c r="E75" s="66">
        <v>4627.54</v>
      </c>
      <c r="F75" s="59"/>
      <c r="G75" s="56"/>
    </row>
    <row r="76" spans="1:11" x14ac:dyDescent="0.2">
      <c r="B76" s="36" t="s">
        <v>26</v>
      </c>
      <c r="C76" s="22" t="s">
        <v>24</v>
      </c>
      <c r="D76" s="41"/>
      <c r="E76" s="66">
        <v>1005.13</v>
      </c>
      <c r="F76" s="59"/>
      <c r="G76" s="56"/>
    </row>
    <row r="77" spans="1:11" x14ac:dyDescent="0.2">
      <c r="B77" s="36" t="s">
        <v>3</v>
      </c>
      <c r="C77" s="22" t="s">
        <v>12</v>
      </c>
      <c r="D77" s="41"/>
      <c r="E77" s="66">
        <v>2166.31</v>
      </c>
      <c r="F77" s="59"/>
      <c r="G77" s="56"/>
    </row>
    <row r="78" spans="1:11" x14ac:dyDescent="0.2">
      <c r="B78" s="13" t="s">
        <v>31</v>
      </c>
      <c r="C78" s="16" t="s">
        <v>11</v>
      </c>
      <c r="D78" s="42"/>
      <c r="E78" s="67">
        <v>2112.4699999999998</v>
      </c>
      <c r="F78" s="59"/>
      <c r="G78" s="56"/>
    </row>
    <row r="79" spans="1:11" x14ac:dyDescent="0.2">
      <c r="B79" s="68" t="s">
        <v>69</v>
      </c>
      <c r="C79" s="72" t="s">
        <v>30</v>
      </c>
      <c r="D79" s="69"/>
      <c r="E79" s="70">
        <v>1704.5</v>
      </c>
      <c r="F79" s="59"/>
      <c r="G79" s="56"/>
    </row>
    <row r="80" spans="1:11" x14ac:dyDescent="0.2">
      <c r="B80" s="68" t="s">
        <v>79</v>
      </c>
      <c r="C80" s="72" t="s">
        <v>80</v>
      </c>
      <c r="D80" s="69"/>
      <c r="E80" s="70">
        <v>2059.63</v>
      </c>
      <c r="F80" s="59"/>
      <c r="G80" s="218"/>
      <c r="H80" s="177"/>
    </row>
    <row r="81" spans="1:11" x14ac:dyDescent="0.2">
      <c r="B81" s="68" t="s">
        <v>92</v>
      </c>
      <c r="C81" s="72" t="s">
        <v>167</v>
      </c>
      <c r="D81" s="69"/>
      <c r="E81" s="70">
        <v>2059.63</v>
      </c>
      <c r="F81" s="59"/>
      <c r="G81" s="218"/>
      <c r="H81" s="177"/>
    </row>
    <row r="82" spans="1:11" x14ac:dyDescent="0.2">
      <c r="B82" s="68" t="s">
        <v>26</v>
      </c>
      <c r="C82" s="72" t="s">
        <v>158</v>
      </c>
      <c r="D82" s="69"/>
      <c r="E82" s="70">
        <v>1386</v>
      </c>
      <c r="F82" s="59"/>
      <c r="G82" s="218"/>
      <c r="H82" s="177"/>
    </row>
    <row r="83" spans="1:11" x14ac:dyDescent="0.2">
      <c r="B83" s="68" t="s">
        <v>102</v>
      </c>
      <c r="C83" s="72" t="s">
        <v>159</v>
      </c>
      <c r="D83" s="69"/>
      <c r="E83" s="70">
        <v>1759.63</v>
      </c>
      <c r="F83" s="59"/>
      <c r="G83" s="218"/>
      <c r="H83" s="177"/>
    </row>
    <row r="84" spans="1:11" x14ac:dyDescent="0.2">
      <c r="B84" s="68" t="s">
        <v>146</v>
      </c>
      <c r="C84" s="72" t="s">
        <v>147</v>
      </c>
      <c r="D84" s="69"/>
      <c r="E84" s="70">
        <v>2059.63</v>
      </c>
      <c r="F84" s="59"/>
      <c r="G84" s="56"/>
    </row>
    <row r="85" spans="1:11" x14ac:dyDescent="0.2">
      <c r="B85" s="68" t="s">
        <v>154</v>
      </c>
      <c r="C85" s="72" t="s">
        <v>155</v>
      </c>
      <c r="D85" s="69"/>
      <c r="E85" s="70">
        <v>1945.41</v>
      </c>
      <c r="F85" s="59"/>
      <c r="G85" s="56"/>
    </row>
    <row r="86" spans="1:11" ht="13.5" thickBot="1" x14ac:dyDescent="0.25">
      <c r="B86" s="71" t="s">
        <v>164</v>
      </c>
      <c r="C86" s="73" t="s">
        <v>166</v>
      </c>
      <c r="D86" s="50"/>
      <c r="E86" s="192">
        <v>1759.63</v>
      </c>
      <c r="G86" s="56"/>
      <c r="I86" s="238"/>
      <c r="J86" s="238"/>
    </row>
    <row r="87" spans="1:11" s="4" customFormat="1" ht="13.5" thickBot="1" x14ac:dyDescent="0.25">
      <c r="B87" s="46"/>
      <c r="C87" s="47"/>
      <c r="D87" s="48"/>
      <c r="E87" s="49">
        <f>SUM(E75:E86)</f>
        <v>24645.510000000002</v>
      </c>
      <c r="F87" s="58"/>
      <c r="G87" s="56"/>
      <c r="H87" s="203"/>
      <c r="J87" s="177"/>
      <c r="K87" s="5"/>
    </row>
    <row r="88" spans="1:11" s="212" customFormat="1" ht="13.5" thickBot="1" x14ac:dyDescent="0.25">
      <c r="B88" s="213" t="s">
        <v>29</v>
      </c>
      <c r="C88" s="214" t="s">
        <v>5</v>
      </c>
      <c r="D88" s="214"/>
      <c r="E88" s="76">
        <v>1125</v>
      </c>
      <c r="F88" s="215"/>
      <c r="G88" s="215"/>
      <c r="H88" s="215"/>
    </row>
    <row r="89" spans="1:11" ht="13.5" thickBot="1" x14ac:dyDescent="0.25">
      <c r="B89" s="10"/>
      <c r="C89" s="28" t="s">
        <v>0</v>
      </c>
      <c r="D89" s="28"/>
      <c r="E89" s="30">
        <f>SUM(E87:E88)</f>
        <v>25770.510000000002</v>
      </c>
      <c r="K89" s="4"/>
    </row>
    <row r="90" spans="1:11" x14ac:dyDescent="0.2">
      <c r="B90" s="10"/>
      <c r="C90" s="28"/>
      <c r="D90" s="28"/>
      <c r="E90" s="52"/>
    </row>
    <row r="91" spans="1:11" x14ac:dyDescent="0.2">
      <c r="B91" s="10" t="s">
        <v>111</v>
      </c>
      <c r="C91" s="182" t="s">
        <v>112</v>
      </c>
      <c r="D91" s="28"/>
      <c r="E91" s="177">
        <f>800*4</f>
        <v>3200</v>
      </c>
      <c r="F91" s="45">
        <f>SUM(E89:E91)</f>
        <v>28970.510000000002</v>
      </c>
      <c r="G91" s="45" t="s">
        <v>172</v>
      </c>
      <c r="J91" s="65" t="s">
        <v>171</v>
      </c>
    </row>
    <row r="92" spans="1:11" x14ac:dyDescent="0.2">
      <c r="B92" s="10"/>
      <c r="C92" s="28"/>
      <c r="D92" s="28"/>
      <c r="E92" s="177"/>
    </row>
    <row r="93" spans="1:11" s="6" customFormat="1" ht="13.15" customHeight="1" x14ac:dyDescent="0.2">
      <c r="A93" s="14" t="s">
        <v>6</v>
      </c>
      <c r="B93" s="15" t="s">
        <v>7</v>
      </c>
      <c r="C93" s="15"/>
      <c r="D93" s="31">
        <v>9000</v>
      </c>
      <c r="E93" s="43" t="s">
        <v>116</v>
      </c>
      <c r="F93" s="14" t="s">
        <v>33</v>
      </c>
      <c r="G93" s="206" t="s">
        <v>32</v>
      </c>
      <c r="H93" s="31">
        <v>3864.58</v>
      </c>
      <c r="I93" s="51" t="s">
        <v>116</v>
      </c>
      <c r="K93" s="5"/>
    </row>
    <row r="94" spans="1:11" s="6" customFormat="1" ht="13.15" customHeight="1" x14ac:dyDescent="0.2">
      <c r="A94" s="14" t="s">
        <v>8</v>
      </c>
      <c r="B94" s="15" t="s">
        <v>9</v>
      </c>
      <c r="C94" s="15"/>
      <c r="D94" s="31">
        <v>311.83999999999997</v>
      </c>
      <c r="E94" s="43" t="s">
        <v>116</v>
      </c>
      <c r="F94" s="14" t="s">
        <v>33</v>
      </c>
      <c r="G94" s="206" t="s">
        <v>109</v>
      </c>
      <c r="H94" s="190">
        <v>2000</v>
      </c>
      <c r="I94" s="51" t="s">
        <v>116</v>
      </c>
      <c r="K94" s="5"/>
    </row>
    <row r="95" spans="1:11" s="6" customFormat="1" ht="13.15" customHeight="1" x14ac:dyDescent="0.2">
      <c r="A95" s="14" t="s">
        <v>27</v>
      </c>
      <c r="B95" s="15" t="s">
        <v>28</v>
      </c>
      <c r="C95" s="15"/>
      <c r="D95" s="31">
        <v>619.53</v>
      </c>
      <c r="E95" s="43" t="s">
        <v>116</v>
      </c>
      <c r="F95" s="60" t="s">
        <v>19</v>
      </c>
      <c r="G95" s="206" t="s">
        <v>20</v>
      </c>
      <c r="H95" s="190">
        <v>500</v>
      </c>
      <c r="I95" s="51" t="s">
        <v>116</v>
      </c>
    </row>
    <row r="96" spans="1:11" s="6" customFormat="1" ht="13.15" customHeight="1" x14ac:dyDescent="0.2">
      <c r="A96" s="14" t="s">
        <v>10</v>
      </c>
      <c r="B96" s="15" t="s">
        <v>34</v>
      </c>
      <c r="C96" s="31"/>
      <c r="D96" s="31">
        <v>5000</v>
      </c>
      <c r="E96" s="43" t="s">
        <v>116</v>
      </c>
      <c r="F96" s="60" t="s">
        <v>6</v>
      </c>
      <c r="G96" s="206" t="s">
        <v>39</v>
      </c>
      <c r="H96" s="190">
        <v>919</v>
      </c>
      <c r="I96" s="51" t="s">
        <v>116</v>
      </c>
    </row>
    <row r="97" spans="1:11" s="6" customFormat="1" ht="13.15" customHeight="1" x14ac:dyDescent="0.2">
      <c r="A97" s="14" t="s">
        <v>10</v>
      </c>
      <c r="B97" s="15" t="s">
        <v>35</v>
      </c>
      <c r="C97" s="31"/>
      <c r="D97" s="31">
        <v>4000</v>
      </c>
      <c r="E97" s="43" t="s">
        <v>116</v>
      </c>
      <c r="F97" s="60" t="s">
        <v>8</v>
      </c>
      <c r="G97" s="206" t="s">
        <v>14</v>
      </c>
      <c r="H97" s="190">
        <v>12000</v>
      </c>
      <c r="I97" s="51" t="s">
        <v>116</v>
      </c>
      <c r="J97" s="189"/>
    </row>
    <row r="98" spans="1:11" s="6" customFormat="1" ht="13.15" customHeight="1" thickBot="1" x14ac:dyDescent="0.25">
      <c r="A98" s="14"/>
      <c r="B98" s="15"/>
      <c r="C98" s="31"/>
      <c r="D98" s="31"/>
      <c r="E98" s="43"/>
      <c r="F98" s="61" t="s">
        <v>16</v>
      </c>
      <c r="G98" s="206" t="s">
        <v>15</v>
      </c>
      <c r="H98" s="207">
        <v>12000</v>
      </c>
      <c r="I98" s="51" t="s">
        <v>116</v>
      </c>
      <c r="J98" s="190"/>
    </row>
    <row r="99" spans="1:11" s="6" customFormat="1" ht="13.15" customHeight="1" thickTop="1" thickBot="1" x14ac:dyDescent="0.25">
      <c r="A99" s="14"/>
      <c r="B99" s="15"/>
      <c r="C99" s="31"/>
      <c r="D99" s="31"/>
      <c r="E99" s="43"/>
      <c r="F99" s="62"/>
      <c r="G99" s="206"/>
      <c r="H99" s="208">
        <f>SUM(H93:H98)+SUM(D93:D98)</f>
        <v>50214.950000000004</v>
      </c>
      <c r="I99" s="51"/>
      <c r="J99" s="190"/>
      <c r="K99" s="189"/>
    </row>
    <row r="100" spans="1:11" s="6" customFormat="1" ht="13.15" customHeight="1" thickBot="1" x14ac:dyDescent="0.25">
      <c r="A100" s="14"/>
      <c r="B100" s="15"/>
      <c r="C100" s="31"/>
      <c r="D100" s="31"/>
      <c r="E100" s="31"/>
      <c r="F100" s="62"/>
      <c r="G100" s="209" t="s">
        <v>4</v>
      </c>
      <c r="H100" s="210">
        <f>F91+H99</f>
        <v>79185.460000000006</v>
      </c>
      <c r="I100" s="37"/>
      <c r="J100" s="190"/>
      <c r="K100" s="189"/>
    </row>
    <row r="101" spans="1:11" s="6" customFormat="1" ht="13.15" customHeight="1" x14ac:dyDescent="0.2">
      <c r="B101" s="14"/>
      <c r="C101" s="15"/>
      <c r="D101" s="8"/>
      <c r="E101" s="31"/>
      <c r="F101" s="63"/>
      <c r="G101" s="63"/>
      <c r="H101" s="63"/>
      <c r="I101" s="37"/>
      <c r="J101" s="190"/>
      <c r="K101" s="189"/>
    </row>
    <row r="102" spans="1:11" s="6" customFormat="1" ht="13.15" customHeight="1" x14ac:dyDescent="0.2">
      <c r="B102" s="14"/>
      <c r="C102" s="15"/>
      <c r="D102" s="7"/>
      <c r="E102" s="8"/>
      <c r="F102" s="63"/>
      <c r="G102" s="63"/>
      <c r="H102" s="63"/>
      <c r="I102" s="37"/>
      <c r="J102" s="190"/>
      <c r="K102" s="189"/>
    </row>
    <row r="103" spans="1:11" s="6" customFormat="1" ht="13.15" customHeight="1" x14ac:dyDescent="0.2">
      <c r="A103" s="8"/>
      <c r="B103" s="9"/>
      <c r="C103" s="8"/>
      <c r="D103" s="7"/>
      <c r="E103" s="8"/>
      <c r="F103" s="63"/>
      <c r="G103" s="63"/>
      <c r="H103" s="63"/>
      <c r="I103" s="37"/>
      <c r="J103" s="190"/>
      <c r="K103" s="189"/>
    </row>
    <row r="104" spans="1:11" s="6" customFormat="1" ht="13.15" customHeight="1" x14ac:dyDescent="0.2">
      <c r="A104" s="8"/>
      <c r="B104" s="9"/>
      <c r="C104" s="7"/>
      <c r="D104" s="7"/>
      <c r="E104" s="8"/>
      <c r="F104" s="63"/>
      <c r="G104" s="63"/>
      <c r="H104" s="63"/>
      <c r="I104" s="37"/>
      <c r="J104" s="189"/>
      <c r="K104" s="189"/>
    </row>
    <row r="105" spans="1:11" s="6" customFormat="1" ht="13.15" customHeight="1" x14ac:dyDescent="0.2">
      <c r="A105" s="8"/>
      <c r="B105" s="9"/>
      <c r="C105" s="7"/>
      <c r="D105" s="7"/>
      <c r="E105" s="8"/>
      <c r="F105" s="63"/>
      <c r="G105" s="63"/>
      <c r="H105" s="63"/>
      <c r="I105" s="37"/>
      <c r="J105" s="189"/>
      <c r="K105" s="189"/>
    </row>
    <row r="106" spans="1:11" s="6" customFormat="1" ht="13.15" customHeight="1" x14ac:dyDescent="0.2">
      <c r="A106" s="8"/>
      <c r="B106" s="9"/>
      <c r="C106" s="7"/>
      <c r="D106" s="7"/>
      <c r="E106" s="8"/>
      <c r="F106" s="63"/>
      <c r="G106" s="63"/>
      <c r="H106" s="63"/>
      <c r="I106" s="37"/>
      <c r="K106" s="189"/>
    </row>
    <row r="107" spans="1:11" s="8" customFormat="1" x14ac:dyDescent="0.2">
      <c r="B107" s="9"/>
      <c r="C107" s="7"/>
      <c r="F107" s="63"/>
      <c r="G107" s="63"/>
      <c r="H107" s="63"/>
      <c r="K107" s="189"/>
    </row>
    <row r="108" spans="1:11" s="8" customFormat="1" x14ac:dyDescent="0.2">
      <c r="B108" s="9"/>
      <c r="C108" s="7"/>
      <c r="F108" s="63"/>
      <c r="G108" s="63"/>
      <c r="H108" s="63"/>
      <c r="K108" s="6"/>
    </row>
    <row r="109" spans="1:11" s="8" customFormat="1" ht="12" x14ac:dyDescent="0.2">
      <c r="B109" s="9"/>
      <c r="C109" s="7"/>
      <c r="F109" s="63"/>
      <c r="G109" s="63"/>
      <c r="H109" s="63"/>
    </row>
    <row r="110" spans="1:11" s="8" customFormat="1" ht="12" x14ac:dyDescent="0.2">
      <c r="B110" s="9"/>
      <c r="F110" s="63"/>
      <c r="G110" s="63"/>
      <c r="H110" s="63"/>
    </row>
    <row r="111" spans="1:11" s="8" customFormat="1" ht="12" x14ac:dyDescent="0.2">
      <c r="B111" s="9"/>
      <c r="F111" s="63"/>
      <c r="G111" s="63"/>
      <c r="H111" s="63"/>
    </row>
    <row r="112" spans="1:11" s="8" customFormat="1" ht="12" x14ac:dyDescent="0.2">
      <c r="B112" s="9"/>
      <c r="F112" s="63"/>
      <c r="G112" s="63"/>
      <c r="H112" s="63"/>
    </row>
    <row r="113" spans="1:11" s="8" customFormat="1" x14ac:dyDescent="0.2">
      <c r="B113" s="9"/>
      <c r="D113" s="5"/>
      <c r="F113" s="63"/>
      <c r="G113" s="63"/>
      <c r="H113" s="63"/>
    </row>
    <row r="114" spans="1:11" s="8" customFormat="1" x14ac:dyDescent="0.2">
      <c r="B114" s="9"/>
      <c r="D114" s="5"/>
      <c r="F114" s="45"/>
      <c r="G114" s="45"/>
      <c r="H114" s="45"/>
    </row>
    <row r="115" spans="1:11" s="8" customFormat="1" x14ac:dyDescent="0.2">
      <c r="B115" s="9"/>
      <c r="D115" s="5"/>
      <c r="E115" s="5"/>
      <c r="F115" s="45"/>
      <c r="G115" s="45"/>
      <c r="H115" s="45"/>
    </row>
    <row r="116" spans="1:11" s="8" customFormat="1" x14ac:dyDescent="0.2">
      <c r="B116" s="11"/>
      <c r="C116" s="5"/>
      <c r="D116" s="5"/>
      <c r="E116" s="5"/>
      <c r="F116" s="45"/>
      <c r="G116" s="45"/>
      <c r="H116" s="45"/>
    </row>
    <row r="117" spans="1:11" s="8" customFormat="1" x14ac:dyDescent="0.2">
      <c r="B117" s="11"/>
      <c r="C117" s="5"/>
      <c r="D117" s="5"/>
      <c r="E117" s="5"/>
      <c r="F117" s="45"/>
      <c r="G117" s="45"/>
      <c r="H117" s="45"/>
    </row>
    <row r="118" spans="1:11" s="8" customFormat="1" x14ac:dyDescent="0.2">
      <c r="B118" s="11"/>
      <c r="C118" s="5"/>
      <c r="D118" s="5"/>
      <c r="E118" s="5"/>
      <c r="F118" s="45"/>
      <c r="G118" s="45"/>
      <c r="H118" s="45"/>
    </row>
    <row r="119" spans="1:11" s="8" customFormat="1" x14ac:dyDescent="0.2">
      <c r="B119" s="11"/>
      <c r="C119" s="5"/>
      <c r="D119" s="5"/>
      <c r="E119" s="5"/>
      <c r="F119" s="45"/>
      <c r="G119" s="45"/>
      <c r="H119" s="45"/>
    </row>
    <row r="120" spans="1:11" s="8" customFormat="1" x14ac:dyDescent="0.2">
      <c r="A120" s="5"/>
      <c r="B120" s="11"/>
      <c r="C120" s="5"/>
      <c r="D120" s="5"/>
      <c r="E120" s="5"/>
      <c r="F120" s="45"/>
      <c r="G120" s="45"/>
      <c r="H120" s="45"/>
      <c r="I120" s="5"/>
    </row>
    <row r="121" spans="1:11" s="8" customFormat="1" x14ac:dyDescent="0.2">
      <c r="A121" s="5"/>
      <c r="B121" s="11"/>
      <c r="C121" s="5"/>
      <c r="D121" s="5"/>
      <c r="E121" s="5"/>
      <c r="F121" s="45"/>
      <c r="G121" s="45"/>
      <c r="H121" s="45"/>
      <c r="I121" s="5"/>
    </row>
    <row r="122" spans="1:11" s="8" customFormat="1" x14ac:dyDescent="0.2">
      <c r="A122" s="5"/>
      <c r="B122" s="11"/>
      <c r="C122" s="5"/>
      <c r="D122" s="5"/>
      <c r="E122" s="5"/>
      <c r="F122" s="45"/>
      <c r="G122" s="45"/>
      <c r="H122" s="45"/>
      <c r="I122" s="5"/>
    </row>
    <row r="123" spans="1:11" s="8" customFormat="1" x14ac:dyDescent="0.2">
      <c r="A123" s="5"/>
      <c r="B123" s="11"/>
      <c r="C123" s="5"/>
      <c r="D123" s="5"/>
      <c r="E123" s="5"/>
      <c r="F123" s="45"/>
      <c r="G123" s="45"/>
      <c r="H123" s="45"/>
      <c r="I123" s="5"/>
    </row>
    <row r="124" spans="1:11" x14ac:dyDescent="0.2">
      <c r="K124" s="8"/>
    </row>
    <row r="125" spans="1:11" x14ac:dyDescent="0.2">
      <c r="K125" s="8"/>
    </row>
  </sheetData>
  <mergeCells count="9">
    <mergeCell ref="E50:F50"/>
    <mergeCell ref="C72:D72"/>
    <mergeCell ref="E73:F73"/>
    <mergeCell ref="A1:J1"/>
    <mergeCell ref="C4:D4"/>
    <mergeCell ref="E5:F5"/>
    <mergeCell ref="C26:D26"/>
    <mergeCell ref="E27:F27"/>
    <mergeCell ref="C49:D4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topLeftCell="A82" zoomScaleNormal="100" workbookViewId="0">
      <selection activeCell="E94" sqref="E94"/>
    </sheetView>
  </sheetViews>
  <sheetFormatPr defaultColWidth="8.85546875" defaultRowHeight="12.75" x14ac:dyDescent="0.2"/>
  <cols>
    <col min="1" max="1" width="8.5703125" style="5" customWidth="1"/>
    <col min="2" max="2" width="12" style="11" customWidth="1"/>
    <col min="3" max="3" width="10.5703125" style="5" customWidth="1"/>
    <col min="4" max="4" width="14.42578125" style="5" customWidth="1"/>
    <col min="5" max="5" width="10.5703125" style="5" customWidth="1"/>
    <col min="6" max="6" width="12" style="45" customWidth="1"/>
    <col min="7" max="7" width="14.85546875" style="45" customWidth="1"/>
    <col min="8" max="8" width="12.7109375" style="45" customWidth="1"/>
    <col min="9" max="9" width="3.28515625" style="5" customWidth="1"/>
    <col min="10" max="10" width="10.42578125" style="5" customWidth="1"/>
    <col min="11" max="16384" width="8.85546875" style="5"/>
  </cols>
  <sheetData>
    <row r="1" spans="1:10" s="1" customFormat="1" ht="24" customHeight="1" x14ac:dyDescent="0.2">
      <c r="A1" s="393" t="s">
        <v>173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s="24" customFormat="1" ht="6.75" customHeight="1" x14ac:dyDescent="0.2">
      <c r="B2" s="25"/>
      <c r="C2" s="26"/>
      <c r="D2" s="26"/>
      <c r="E2" s="27"/>
      <c r="F2" s="53"/>
      <c r="G2" s="53"/>
      <c r="H2" s="53"/>
      <c r="I2" s="27"/>
    </row>
    <row r="3" spans="1:10" ht="19.5" customHeight="1" x14ac:dyDescent="0.2">
      <c r="A3" s="38"/>
      <c r="B3" s="20" t="s">
        <v>21</v>
      </c>
      <c r="C3" s="39" t="s">
        <v>175</v>
      </c>
      <c r="D3" s="33"/>
      <c r="E3" s="12"/>
      <c r="F3" s="54"/>
      <c r="G3" s="54"/>
      <c r="H3" s="54"/>
      <c r="I3" s="12"/>
    </row>
    <row r="4" spans="1:10" ht="19.5" customHeight="1" x14ac:dyDescent="0.2">
      <c r="B4" s="20" t="s">
        <v>23</v>
      </c>
      <c r="C4" s="394">
        <v>44139</v>
      </c>
      <c r="D4" s="395"/>
      <c r="E4" s="12"/>
      <c r="F4" s="54"/>
      <c r="G4" s="54"/>
      <c r="H4" s="54"/>
      <c r="I4" s="12"/>
    </row>
    <row r="5" spans="1:10" ht="4.5" customHeight="1" x14ac:dyDescent="0.45">
      <c r="B5" s="2"/>
      <c r="C5" s="17"/>
      <c r="D5" s="17"/>
      <c r="E5" s="396"/>
      <c r="F5" s="396"/>
      <c r="G5" s="205"/>
      <c r="H5" s="177"/>
      <c r="I5" s="4"/>
    </row>
    <row r="6" spans="1:10" s="128" customFormat="1" ht="13.5" thickBot="1" x14ac:dyDescent="0.25">
      <c r="B6" s="21" t="s">
        <v>22</v>
      </c>
      <c r="C6" s="44" t="s">
        <v>1</v>
      </c>
      <c r="D6" s="44"/>
      <c r="E6" s="23" t="s">
        <v>2</v>
      </c>
      <c r="F6" s="204"/>
      <c r="G6" s="204"/>
      <c r="H6" s="55"/>
    </row>
    <row r="7" spans="1:10" x14ac:dyDescent="0.2">
      <c r="B7" s="18" t="s">
        <v>25</v>
      </c>
      <c r="C7" s="19" t="s">
        <v>13</v>
      </c>
      <c r="D7" s="40"/>
      <c r="E7" s="66">
        <v>5140.21</v>
      </c>
      <c r="F7" s="219"/>
      <c r="G7" s="218"/>
    </row>
    <row r="8" spans="1:10" x14ac:dyDescent="0.2">
      <c r="B8" s="36" t="s">
        <v>26</v>
      </c>
      <c r="C8" s="22" t="s">
        <v>24</v>
      </c>
      <c r="D8" s="41"/>
      <c r="E8" s="66">
        <v>1005.13</v>
      </c>
      <c r="F8" s="59"/>
      <c r="G8" s="219"/>
    </row>
    <row r="9" spans="1:10" x14ac:dyDescent="0.2">
      <c r="B9" s="36" t="s">
        <v>3</v>
      </c>
      <c r="C9" s="22" t="s">
        <v>12</v>
      </c>
      <c r="D9" s="41"/>
      <c r="E9" s="66">
        <v>2043.68</v>
      </c>
      <c r="F9" s="59"/>
      <c r="G9" s="56"/>
    </row>
    <row r="10" spans="1:10" x14ac:dyDescent="0.2">
      <c r="B10" s="13" t="s">
        <v>31</v>
      </c>
      <c r="C10" s="16" t="s">
        <v>11</v>
      </c>
      <c r="D10" s="42"/>
      <c r="E10" s="67">
        <v>1993.68</v>
      </c>
      <c r="F10" s="59"/>
      <c r="G10" s="56"/>
    </row>
    <row r="11" spans="1:10" x14ac:dyDescent="0.2">
      <c r="B11" s="68" t="s">
        <v>69</v>
      </c>
      <c r="C11" s="72" t="s">
        <v>30</v>
      </c>
      <c r="D11" s="69"/>
      <c r="E11" s="70">
        <v>1614.13</v>
      </c>
      <c r="F11" s="59"/>
      <c r="G11" s="56"/>
    </row>
    <row r="12" spans="1:10" x14ac:dyDescent="0.2">
      <c r="B12" s="68" t="s">
        <v>79</v>
      </c>
      <c r="C12" s="72" t="s">
        <v>80</v>
      </c>
      <c r="D12" s="69"/>
      <c r="E12" s="70">
        <v>2231.4499999999998</v>
      </c>
      <c r="F12" s="59"/>
      <c r="G12" s="218"/>
      <c r="H12" s="177"/>
    </row>
    <row r="13" spans="1:10" x14ac:dyDescent="0.2">
      <c r="B13" s="68" t="s">
        <v>92</v>
      </c>
      <c r="C13" s="72" t="s">
        <v>167</v>
      </c>
      <c r="D13" s="69"/>
      <c r="E13" s="70">
        <v>2002.02</v>
      </c>
      <c r="F13" s="59"/>
      <c r="G13" s="218"/>
      <c r="H13" s="177"/>
    </row>
    <row r="14" spans="1:10" x14ac:dyDescent="0.2">
      <c r="B14" s="68" t="s">
        <v>26</v>
      </c>
      <c r="C14" s="72" t="s">
        <v>158</v>
      </c>
      <c r="D14" s="69"/>
      <c r="E14" s="70">
        <v>1296.9000000000001</v>
      </c>
      <c r="F14" s="59"/>
      <c r="G14" s="218"/>
      <c r="H14" s="177"/>
    </row>
    <row r="15" spans="1:10" x14ac:dyDescent="0.2">
      <c r="B15" s="68" t="s">
        <v>102</v>
      </c>
      <c r="C15" s="72" t="s">
        <v>159</v>
      </c>
      <c r="D15" s="69"/>
      <c r="E15" s="70">
        <v>1773.84</v>
      </c>
      <c r="F15" s="59"/>
      <c r="G15" s="218"/>
      <c r="H15" s="177"/>
    </row>
    <row r="16" spans="1:10" x14ac:dyDescent="0.2">
      <c r="B16" s="68" t="s">
        <v>146</v>
      </c>
      <c r="C16" s="72" t="s">
        <v>147</v>
      </c>
      <c r="D16" s="69"/>
      <c r="E16" s="70">
        <v>2002.02</v>
      </c>
      <c r="F16" s="59"/>
      <c r="G16" s="56"/>
    </row>
    <row r="17" spans="1:10" x14ac:dyDescent="0.2">
      <c r="B17" s="68" t="s">
        <v>154</v>
      </c>
      <c r="C17" s="72" t="s">
        <v>155</v>
      </c>
      <c r="D17" s="69"/>
      <c r="E17" s="70">
        <v>1788.05</v>
      </c>
      <c r="F17" s="59"/>
      <c r="G17" s="56"/>
    </row>
    <row r="18" spans="1:10" ht="13.5" thickBot="1" x14ac:dyDescent="0.25">
      <c r="B18" s="71" t="s">
        <v>164</v>
      </c>
      <c r="C18" s="73" t="s">
        <v>166</v>
      </c>
      <c r="D18" s="50"/>
      <c r="E18" s="192">
        <v>2022.02</v>
      </c>
      <c r="G18" s="56"/>
      <c r="I18" s="249"/>
      <c r="J18" s="249"/>
    </row>
    <row r="19" spans="1:10" s="4" customFormat="1" ht="13.5" thickBot="1" x14ac:dyDescent="0.25">
      <c r="B19" s="46"/>
      <c r="C19" s="47"/>
      <c r="D19" s="48"/>
      <c r="E19" s="49">
        <f>SUM(E7:E18)</f>
        <v>24913.130000000005</v>
      </c>
      <c r="F19" s="58"/>
      <c r="G19" s="56"/>
      <c r="H19" s="177"/>
    </row>
    <row r="20" spans="1:10" ht="13.5" thickBot="1" x14ac:dyDescent="0.25">
      <c r="B20" s="74" t="s">
        <v>29</v>
      </c>
      <c r="C20" s="75" t="s">
        <v>5</v>
      </c>
      <c r="D20" s="75"/>
      <c r="E20" s="76">
        <v>1125</v>
      </c>
    </row>
    <row r="21" spans="1:10" ht="13.5" thickBot="1" x14ac:dyDescent="0.25">
      <c r="B21" s="10"/>
      <c r="C21" s="28" t="s">
        <v>0</v>
      </c>
      <c r="D21" s="28"/>
      <c r="E21" s="30">
        <f>SUM(E19:E20)</f>
        <v>26038.130000000005</v>
      </c>
    </row>
    <row r="22" spans="1:10" x14ac:dyDescent="0.2">
      <c r="B22" s="10"/>
      <c r="C22" s="28"/>
      <c r="D22" s="28"/>
      <c r="E22" s="52"/>
    </row>
    <row r="23" spans="1:10" x14ac:dyDescent="0.2">
      <c r="B23" s="10" t="s">
        <v>111</v>
      </c>
      <c r="C23" s="182" t="s">
        <v>112</v>
      </c>
      <c r="D23" s="28"/>
      <c r="E23" s="177">
        <f>800*2</f>
        <v>1600</v>
      </c>
      <c r="F23" s="45">
        <f>SUM(E21:E23)</f>
        <v>27638.130000000005</v>
      </c>
      <c r="G23" s="65" t="s">
        <v>171</v>
      </c>
    </row>
    <row r="24" spans="1:10" x14ac:dyDescent="0.2">
      <c r="B24" s="10"/>
      <c r="C24" s="28"/>
      <c r="D24" s="28"/>
      <c r="E24" s="52"/>
    </row>
    <row r="25" spans="1:10" s="24" customFormat="1" ht="6.75" customHeight="1" x14ac:dyDescent="0.2">
      <c r="B25" s="25"/>
      <c r="C25" s="26"/>
      <c r="D25" s="26"/>
      <c r="E25" s="27"/>
      <c r="F25" s="53"/>
      <c r="G25" s="53"/>
      <c r="H25" s="53"/>
      <c r="I25" s="27"/>
    </row>
    <row r="26" spans="1:10" ht="19.5" customHeight="1" x14ac:dyDescent="0.2">
      <c r="A26" s="38"/>
      <c r="B26" s="20" t="s">
        <v>21</v>
      </c>
      <c r="C26" s="39" t="s">
        <v>176</v>
      </c>
      <c r="D26" s="33"/>
      <c r="E26" s="12"/>
      <c r="F26" s="54"/>
      <c r="G26" s="54"/>
      <c r="H26" s="54"/>
      <c r="I26" s="12"/>
    </row>
    <row r="27" spans="1:10" ht="19.5" customHeight="1" x14ac:dyDescent="0.2">
      <c r="B27" s="20" t="s">
        <v>23</v>
      </c>
      <c r="C27" s="395">
        <v>44146</v>
      </c>
      <c r="D27" s="395"/>
      <c r="E27" s="12"/>
      <c r="F27" s="54"/>
      <c r="G27" s="54"/>
      <c r="H27" s="54"/>
      <c r="I27" s="12"/>
    </row>
    <row r="28" spans="1:10" ht="4.5" customHeight="1" x14ac:dyDescent="0.45">
      <c r="B28" s="2"/>
      <c r="C28" s="17"/>
      <c r="D28" s="17"/>
      <c r="E28" s="396"/>
      <c r="F28" s="396"/>
      <c r="G28" s="205"/>
      <c r="H28" s="177"/>
      <c r="I28" s="4"/>
    </row>
    <row r="29" spans="1:10" s="128" customFormat="1" ht="13.5" thickBot="1" x14ac:dyDescent="0.25">
      <c r="B29" s="21" t="s">
        <v>22</v>
      </c>
      <c r="C29" s="44" t="s">
        <v>1</v>
      </c>
      <c r="D29" s="44"/>
      <c r="E29" s="23" t="s">
        <v>2</v>
      </c>
      <c r="F29" s="204"/>
      <c r="G29" s="204"/>
      <c r="H29" s="55"/>
    </row>
    <row r="30" spans="1:10" x14ac:dyDescent="0.2">
      <c r="B30" s="231" t="s">
        <v>25</v>
      </c>
      <c r="C30" s="228" t="s">
        <v>13</v>
      </c>
      <c r="D30" s="40"/>
      <c r="E30" s="220">
        <v>5553.87</v>
      </c>
      <c r="F30" s="59"/>
      <c r="G30" s="56"/>
    </row>
    <row r="31" spans="1:10" x14ac:dyDescent="0.2">
      <c r="B31" s="232" t="s">
        <v>26</v>
      </c>
      <c r="C31" s="229" t="s">
        <v>24</v>
      </c>
      <c r="D31" s="41"/>
      <c r="E31" s="221">
        <v>1005.13</v>
      </c>
      <c r="F31" s="59" t="s">
        <v>180</v>
      </c>
      <c r="G31" s="56"/>
    </row>
    <row r="32" spans="1:10" x14ac:dyDescent="0.2">
      <c r="B32" s="232" t="s">
        <v>3</v>
      </c>
      <c r="C32" s="229" t="s">
        <v>12</v>
      </c>
      <c r="D32" s="41"/>
      <c r="E32" s="221">
        <v>1303.77</v>
      </c>
      <c r="F32" s="59"/>
      <c r="G32" s="56"/>
    </row>
    <row r="33" spans="2:11" x14ac:dyDescent="0.2">
      <c r="B33" s="233" t="s">
        <v>31</v>
      </c>
      <c r="C33" s="230" t="s">
        <v>11</v>
      </c>
      <c r="D33" s="42"/>
      <c r="E33" s="222">
        <v>1269.22</v>
      </c>
      <c r="F33" s="59"/>
      <c r="G33" s="56"/>
    </row>
    <row r="34" spans="2:11" x14ac:dyDescent="0.2">
      <c r="B34" s="233" t="s">
        <v>69</v>
      </c>
      <c r="C34" s="230" t="s">
        <v>30</v>
      </c>
      <c r="D34" s="42"/>
      <c r="E34" s="222">
        <v>990</v>
      </c>
      <c r="G34" s="56"/>
      <c r="I34" s="249"/>
      <c r="J34" s="249"/>
    </row>
    <row r="35" spans="2:11" x14ac:dyDescent="0.2">
      <c r="B35" s="68" t="s">
        <v>79</v>
      </c>
      <c r="C35" s="72" t="s">
        <v>80</v>
      </c>
      <c r="D35" s="69"/>
      <c r="E35" s="70">
        <v>1698.77</v>
      </c>
      <c r="F35" s="59"/>
      <c r="G35" s="218"/>
      <c r="H35" s="177"/>
    </row>
    <row r="36" spans="2:11" x14ac:dyDescent="0.2">
      <c r="B36" s="68" t="s">
        <v>92</v>
      </c>
      <c r="C36" s="72" t="s">
        <v>167</v>
      </c>
      <c r="D36" s="69"/>
      <c r="E36" s="70">
        <v>1698.77</v>
      </c>
      <c r="F36" s="59"/>
      <c r="G36" s="218"/>
      <c r="H36" s="177"/>
    </row>
    <row r="37" spans="2:11" x14ac:dyDescent="0.2">
      <c r="B37" s="68" t="s">
        <v>26</v>
      </c>
      <c r="C37" s="72" t="s">
        <v>158</v>
      </c>
      <c r="D37" s="69"/>
      <c r="E37" s="70">
        <v>792</v>
      </c>
      <c r="F37" s="59" t="s">
        <v>179</v>
      </c>
      <c r="G37" s="218"/>
      <c r="H37" s="177"/>
    </row>
    <row r="38" spans="2:11" x14ac:dyDescent="0.2">
      <c r="B38" s="68" t="s">
        <v>102</v>
      </c>
      <c r="C38" s="72" t="s">
        <v>159</v>
      </c>
      <c r="D38" s="69"/>
      <c r="E38" s="70">
        <v>2306.27</v>
      </c>
      <c r="F38" s="59"/>
      <c r="G38" s="218"/>
      <c r="H38" s="177"/>
    </row>
    <row r="39" spans="2:11" x14ac:dyDescent="0.2">
      <c r="B39" s="68" t="s">
        <v>146</v>
      </c>
      <c r="C39" s="72" t="s">
        <v>147</v>
      </c>
      <c r="D39" s="69"/>
      <c r="E39" s="70">
        <v>2021.22</v>
      </c>
      <c r="F39" s="59"/>
      <c r="G39" s="56"/>
    </row>
    <row r="40" spans="2:11" x14ac:dyDescent="0.2">
      <c r="B40" s="68" t="s">
        <v>154</v>
      </c>
      <c r="C40" s="72" t="s">
        <v>155</v>
      </c>
      <c r="D40" s="69"/>
      <c r="E40" s="70">
        <v>1577.81</v>
      </c>
      <c r="F40" s="59"/>
      <c r="G40" s="56"/>
    </row>
    <row r="41" spans="2:11" ht="13.5" thickBot="1" x14ac:dyDescent="0.25">
      <c r="B41" s="71" t="s">
        <v>164</v>
      </c>
      <c r="C41" s="73" t="s">
        <v>166</v>
      </c>
      <c r="D41" s="50"/>
      <c r="E41" s="192">
        <v>1680.56</v>
      </c>
      <c r="G41" s="56"/>
      <c r="I41" s="249"/>
      <c r="J41" s="249"/>
    </row>
    <row r="42" spans="2:11" s="4" customFormat="1" ht="13.5" thickBot="1" x14ac:dyDescent="0.25">
      <c r="B42" s="46"/>
      <c r="C42" s="47"/>
      <c r="D42" s="48"/>
      <c r="E42" s="49">
        <f>SUM(E30:E41)</f>
        <v>21897.390000000003</v>
      </c>
      <c r="F42" s="58"/>
      <c r="G42" s="56"/>
      <c r="H42" s="203"/>
      <c r="J42" s="177"/>
      <c r="K42" s="5"/>
    </row>
    <row r="43" spans="2:11" s="212" customFormat="1" ht="13.5" thickBot="1" x14ac:dyDescent="0.25">
      <c r="B43" s="213" t="s">
        <v>29</v>
      </c>
      <c r="C43" s="214" t="s">
        <v>5</v>
      </c>
      <c r="D43" s="214"/>
      <c r="E43" s="76">
        <v>1125</v>
      </c>
      <c r="F43" s="215"/>
      <c r="G43" s="215"/>
      <c r="H43" s="215"/>
    </row>
    <row r="44" spans="2:11" ht="13.5" thickBot="1" x14ac:dyDescent="0.25">
      <c r="B44" s="10"/>
      <c r="C44" s="28" t="s">
        <v>0</v>
      </c>
      <c r="D44" s="28"/>
      <c r="E44" s="30">
        <f>SUM(E42:E43)</f>
        <v>23022.390000000003</v>
      </c>
      <c r="K44" s="4"/>
    </row>
    <row r="45" spans="2:11" x14ac:dyDescent="0.2">
      <c r="B45" s="10"/>
      <c r="C45" s="28"/>
      <c r="D45" s="28"/>
      <c r="E45" s="52"/>
    </row>
    <row r="46" spans="2:11" x14ac:dyDescent="0.2">
      <c r="B46" s="10" t="s">
        <v>111</v>
      </c>
      <c r="C46" s="182" t="s">
        <v>112</v>
      </c>
      <c r="D46" s="28"/>
      <c r="E46" s="177">
        <f>800*4</f>
        <v>3200</v>
      </c>
      <c r="F46" s="45">
        <f>SUM(E44:E46)</f>
        <v>26222.390000000003</v>
      </c>
      <c r="G46" s="45">
        <f>SUM(E30:E36,E38:E41,E43,E46)</f>
        <v>25430.390000000003</v>
      </c>
    </row>
    <row r="47" spans="2:11" x14ac:dyDescent="0.2">
      <c r="B47" s="10"/>
      <c r="C47" s="28"/>
      <c r="D47" s="28"/>
      <c r="E47" s="52"/>
    </row>
    <row r="48" spans="2:11" s="24" customFormat="1" ht="6.75" customHeight="1" x14ac:dyDescent="0.2">
      <c r="B48" s="25"/>
      <c r="C48" s="26"/>
      <c r="D48" s="26"/>
      <c r="E48" s="27"/>
      <c r="F48" s="53"/>
      <c r="G48" s="53"/>
      <c r="H48" s="53"/>
      <c r="I48" s="27"/>
    </row>
    <row r="49" spans="1:10" ht="19.5" customHeight="1" x14ac:dyDescent="0.2">
      <c r="A49" s="38"/>
      <c r="B49" s="20" t="s">
        <v>21</v>
      </c>
      <c r="C49" s="39" t="s">
        <v>177</v>
      </c>
      <c r="D49" s="33"/>
      <c r="E49" s="12"/>
      <c r="F49" s="54"/>
      <c r="G49" s="54"/>
      <c r="H49" s="54"/>
      <c r="I49" s="12"/>
    </row>
    <row r="50" spans="1:10" ht="19.5" customHeight="1" x14ac:dyDescent="0.2">
      <c r="B50" s="20" t="s">
        <v>23</v>
      </c>
      <c r="C50" s="395">
        <v>44153</v>
      </c>
      <c r="D50" s="395"/>
      <c r="E50" s="12"/>
      <c r="F50" s="54"/>
      <c r="G50" s="54"/>
      <c r="H50" s="54"/>
      <c r="I50" s="12"/>
    </row>
    <row r="51" spans="1:10" ht="4.5" customHeight="1" x14ac:dyDescent="0.45">
      <c r="B51" s="2"/>
      <c r="C51" s="17"/>
      <c r="D51" s="17"/>
      <c r="E51" s="396"/>
      <c r="F51" s="396"/>
      <c r="G51" s="205"/>
      <c r="H51" s="177"/>
      <c r="I51" s="4"/>
    </row>
    <row r="52" spans="1:10" s="128" customFormat="1" ht="13.5" thickBot="1" x14ac:dyDescent="0.25">
      <c r="B52" s="21" t="s">
        <v>22</v>
      </c>
      <c r="C52" s="44" t="s">
        <v>1</v>
      </c>
      <c r="D52" s="44"/>
      <c r="E52" s="23" t="s">
        <v>2</v>
      </c>
      <c r="F52" s="204"/>
      <c r="G52" s="204"/>
      <c r="H52" s="55"/>
    </row>
    <row r="53" spans="1:10" x14ac:dyDescent="0.2">
      <c r="B53" s="231" t="s">
        <v>25</v>
      </c>
      <c r="C53" s="228" t="s">
        <v>13</v>
      </c>
      <c r="D53" s="40"/>
      <c r="E53" s="220">
        <v>5220.28</v>
      </c>
      <c r="F53" s="59"/>
      <c r="G53" s="56"/>
    </row>
    <row r="54" spans="1:10" x14ac:dyDescent="0.2">
      <c r="B54" s="232" t="s">
        <v>26</v>
      </c>
      <c r="C54" s="229" t="s">
        <v>24</v>
      </c>
      <c r="D54" s="41"/>
      <c r="E54" s="221">
        <v>905.13</v>
      </c>
      <c r="F54" s="59"/>
      <c r="G54" s="56"/>
    </row>
    <row r="55" spans="1:10" x14ac:dyDescent="0.2">
      <c r="B55" s="232" t="s">
        <v>3</v>
      </c>
      <c r="C55" s="229" t="s">
        <v>12</v>
      </c>
      <c r="D55" s="41"/>
      <c r="E55" s="221">
        <v>1303.77</v>
      </c>
      <c r="F55" s="59"/>
      <c r="G55" s="56"/>
    </row>
    <row r="56" spans="1:10" x14ac:dyDescent="0.2">
      <c r="B56" s="233" t="s">
        <v>31</v>
      </c>
      <c r="C56" s="230" t="s">
        <v>11</v>
      </c>
      <c r="D56" s="42"/>
      <c r="E56" s="222">
        <v>1269.22</v>
      </c>
      <c r="F56" s="59"/>
      <c r="G56" s="56"/>
    </row>
    <row r="57" spans="1:10" x14ac:dyDescent="0.2">
      <c r="B57" s="233" t="s">
        <v>69</v>
      </c>
      <c r="C57" s="230" t="s">
        <v>30</v>
      </c>
      <c r="D57" s="42"/>
      <c r="E57" s="222">
        <v>990</v>
      </c>
      <c r="G57" s="56"/>
      <c r="I57" s="249"/>
      <c r="J57" s="249"/>
    </row>
    <row r="58" spans="1:10" x14ac:dyDescent="0.2">
      <c r="B58" s="68" t="s">
        <v>79</v>
      </c>
      <c r="C58" s="72" t="s">
        <v>80</v>
      </c>
      <c r="D58" s="69"/>
      <c r="E58" s="70">
        <v>1272.3</v>
      </c>
      <c r="F58" s="59"/>
      <c r="G58" s="218"/>
      <c r="H58" s="177"/>
    </row>
    <row r="59" spans="1:10" x14ac:dyDescent="0.2">
      <c r="B59" s="68" t="s">
        <v>92</v>
      </c>
      <c r="C59" s="72" t="s">
        <v>167</v>
      </c>
      <c r="D59" s="69"/>
      <c r="E59" s="70">
        <v>1260.7</v>
      </c>
      <c r="F59" s="59"/>
      <c r="G59" s="218"/>
      <c r="H59" s="177"/>
    </row>
    <row r="60" spans="1:10" x14ac:dyDescent="0.2">
      <c r="B60" s="68" t="s">
        <v>26</v>
      </c>
      <c r="C60" s="72" t="s">
        <v>158</v>
      </c>
      <c r="D60" s="69"/>
      <c r="E60" s="70">
        <v>792</v>
      </c>
      <c r="F60" s="59"/>
      <c r="G60" s="218"/>
      <c r="H60" s="177"/>
    </row>
    <row r="61" spans="1:10" x14ac:dyDescent="0.2">
      <c r="B61" s="68" t="s">
        <v>102</v>
      </c>
      <c r="C61" s="72" t="s">
        <v>159</v>
      </c>
      <c r="D61" s="69"/>
      <c r="E61" s="70">
        <v>1608.75</v>
      </c>
      <c r="F61" s="59"/>
      <c r="G61" s="218"/>
      <c r="H61" s="177"/>
    </row>
    <row r="62" spans="1:10" x14ac:dyDescent="0.2">
      <c r="B62" s="68" t="s">
        <v>146</v>
      </c>
      <c r="C62" s="72" t="s">
        <v>147</v>
      </c>
      <c r="D62" s="69"/>
      <c r="E62" s="70">
        <v>1260.7</v>
      </c>
      <c r="F62" s="59"/>
      <c r="G62" s="56"/>
    </row>
    <row r="63" spans="1:10" x14ac:dyDescent="0.2">
      <c r="B63" s="68" t="s">
        <v>154</v>
      </c>
      <c r="C63" s="72" t="s">
        <v>155</v>
      </c>
      <c r="D63" s="69"/>
      <c r="E63" s="70">
        <v>1260.7</v>
      </c>
      <c r="F63" s="59"/>
      <c r="G63" s="56"/>
    </row>
    <row r="64" spans="1:10" ht="13.5" thickBot="1" x14ac:dyDescent="0.25">
      <c r="B64" s="71" t="s">
        <v>164</v>
      </c>
      <c r="C64" s="73" t="s">
        <v>166</v>
      </c>
      <c r="D64" s="50"/>
      <c r="E64" s="192">
        <v>1013.2</v>
      </c>
      <c r="G64" s="56"/>
      <c r="I64" s="249"/>
      <c r="J64" s="249"/>
    </row>
    <row r="65" spans="1:11" s="4" customFormat="1" ht="13.5" thickBot="1" x14ac:dyDescent="0.25">
      <c r="B65" s="46"/>
      <c r="C65" s="47"/>
      <c r="D65" s="48"/>
      <c r="E65" s="49">
        <f>SUM(E53:E64)</f>
        <v>18156.75</v>
      </c>
      <c r="F65" s="58"/>
      <c r="G65" s="56"/>
      <c r="H65" s="203"/>
      <c r="J65" s="177"/>
      <c r="K65" s="5"/>
    </row>
    <row r="66" spans="1:11" s="212" customFormat="1" ht="13.5" thickBot="1" x14ac:dyDescent="0.25">
      <c r="B66" s="213" t="s">
        <v>29</v>
      </c>
      <c r="C66" s="214" t="s">
        <v>5</v>
      </c>
      <c r="D66" s="214"/>
      <c r="E66" s="76">
        <v>1125</v>
      </c>
      <c r="F66" s="215"/>
      <c r="G66" s="215"/>
      <c r="H66" s="215"/>
    </row>
    <row r="67" spans="1:11" ht="13.5" thickBot="1" x14ac:dyDescent="0.25">
      <c r="B67" s="10"/>
      <c r="C67" s="28" t="s">
        <v>0</v>
      </c>
      <c r="D67" s="28"/>
      <c r="E67" s="30">
        <f>SUM(E65:E66)</f>
        <v>19281.75</v>
      </c>
      <c r="K67" s="4"/>
    </row>
    <row r="68" spans="1:11" x14ac:dyDescent="0.2">
      <c r="B68" s="10"/>
      <c r="C68" s="28"/>
      <c r="D68" s="28"/>
      <c r="E68" s="52"/>
    </row>
    <row r="69" spans="1:11" x14ac:dyDescent="0.2">
      <c r="B69" s="10" t="s">
        <v>111</v>
      </c>
      <c r="C69" s="182" t="s">
        <v>112</v>
      </c>
      <c r="D69" s="28"/>
      <c r="E69" s="177">
        <f>800*3</f>
        <v>2400</v>
      </c>
      <c r="F69" s="45">
        <f>SUM(E67:E69)</f>
        <v>21681.75</v>
      </c>
    </row>
    <row r="70" spans="1:11" x14ac:dyDescent="0.2">
      <c r="B70" s="10"/>
      <c r="C70" s="28"/>
      <c r="D70" s="28"/>
      <c r="E70" s="52"/>
    </row>
    <row r="71" spans="1:11" s="24" customFormat="1" ht="6.75" customHeight="1" x14ac:dyDescent="0.2">
      <c r="B71" s="25"/>
      <c r="C71" s="26"/>
      <c r="D71" s="26"/>
      <c r="E71" s="27"/>
      <c r="F71" s="53"/>
      <c r="G71" s="53"/>
      <c r="H71" s="53"/>
      <c r="I71" s="27"/>
    </row>
    <row r="72" spans="1:11" ht="19.5" customHeight="1" x14ac:dyDescent="0.2">
      <c r="A72" s="38"/>
      <c r="B72" s="20" t="s">
        <v>21</v>
      </c>
      <c r="C72" s="39" t="s">
        <v>178</v>
      </c>
      <c r="D72" s="33"/>
      <c r="E72" s="12"/>
      <c r="F72" s="54"/>
      <c r="G72" s="54"/>
      <c r="H72" s="54"/>
      <c r="I72" s="12"/>
    </row>
    <row r="73" spans="1:11" ht="19.5" customHeight="1" x14ac:dyDescent="0.2">
      <c r="B73" s="20" t="s">
        <v>23</v>
      </c>
      <c r="C73" s="395">
        <v>44160</v>
      </c>
      <c r="D73" s="395"/>
      <c r="E73" s="12"/>
      <c r="F73" s="54"/>
      <c r="G73" s="54"/>
      <c r="H73" s="54"/>
      <c r="I73" s="12"/>
    </row>
    <row r="74" spans="1:11" ht="4.5" customHeight="1" x14ac:dyDescent="0.45">
      <c r="B74" s="2"/>
      <c r="C74" s="17"/>
      <c r="D74" s="17"/>
      <c r="E74" s="396"/>
      <c r="F74" s="396"/>
      <c r="G74" s="205"/>
      <c r="H74" s="177"/>
      <c r="I74" s="4"/>
    </row>
    <row r="75" spans="1:11" s="128" customFormat="1" ht="13.5" thickBot="1" x14ac:dyDescent="0.25">
      <c r="B75" s="21" t="s">
        <v>22</v>
      </c>
      <c r="C75" s="44" t="s">
        <v>1</v>
      </c>
      <c r="D75" s="44"/>
      <c r="E75" s="23" t="s">
        <v>2</v>
      </c>
      <c r="F75" s="204"/>
      <c r="G75" s="204"/>
      <c r="H75" s="55"/>
    </row>
    <row r="76" spans="1:11" x14ac:dyDescent="0.2">
      <c r="B76" s="18" t="s">
        <v>25</v>
      </c>
      <c r="C76" s="19" t="s">
        <v>13</v>
      </c>
      <c r="D76" s="40"/>
      <c r="E76" s="220">
        <v>5693.98</v>
      </c>
      <c r="F76" s="59"/>
      <c r="G76" s="56"/>
    </row>
    <row r="77" spans="1:11" x14ac:dyDescent="0.2">
      <c r="B77" s="36" t="s">
        <v>26</v>
      </c>
      <c r="C77" s="22" t="s">
        <v>24</v>
      </c>
      <c r="D77" s="41"/>
      <c r="E77" s="221">
        <v>905.13</v>
      </c>
      <c r="F77" s="59"/>
      <c r="G77" s="56"/>
    </row>
    <row r="78" spans="1:11" x14ac:dyDescent="0.2">
      <c r="B78" s="36" t="s">
        <v>3</v>
      </c>
      <c r="C78" s="22" t="s">
        <v>12</v>
      </c>
      <c r="D78" s="41"/>
      <c r="E78" s="221">
        <v>1303.77</v>
      </c>
      <c r="F78" s="59"/>
      <c r="G78" s="56"/>
    </row>
    <row r="79" spans="1:11" x14ac:dyDescent="0.2">
      <c r="B79" s="13" t="s">
        <v>31</v>
      </c>
      <c r="C79" s="16" t="s">
        <v>11</v>
      </c>
      <c r="D79" s="42"/>
      <c r="E79" s="222">
        <v>1269.22</v>
      </c>
      <c r="F79" s="59"/>
      <c r="G79" s="56"/>
    </row>
    <row r="80" spans="1:11" x14ac:dyDescent="0.2">
      <c r="B80" s="68" t="s">
        <v>69</v>
      </c>
      <c r="C80" s="72" t="s">
        <v>30</v>
      </c>
      <c r="D80" s="69"/>
      <c r="E80" s="222">
        <v>990</v>
      </c>
      <c r="F80" s="59"/>
      <c r="G80" s="56"/>
    </row>
    <row r="81" spans="1:11" x14ac:dyDescent="0.2">
      <c r="B81" s="68" t="s">
        <v>79</v>
      </c>
      <c r="C81" s="72" t="s">
        <v>80</v>
      </c>
      <c r="D81" s="69"/>
      <c r="E81" s="70">
        <v>1353.52</v>
      </c>
      <c r="F81" s="59"/>
      <c r="G81" s="218"/>
      <c r="H81" s="177"/>
    </row>
    <row r="82" spans="1:11" x14ac:dyDescent="0.2">
      <c r="B82" s="68" t="s">
        <v>92</v>
      </c>
      <c r="C82" s="72" t="s">
        <v>167</v>
      </c>
      <c r="D82" s="69"/>
      <c r="E82" s="70">
        <v>1353.52</v>
      </c>
      <c r="F82" s="59"/>
      <c r="G82" s="218"/>
      <c r="H82" s="177"/>
    </row>
    <row r="83" spans="1:11" x14ac:dyDescent="0.2">
      <c r="B83" s="68" t="s">
        <v>26</v>
      </c>
      <c r="C83" s="72" t="s">
        <v>158</v>
      </c>
      <c r="D83" s="69"/>
      <c r="E83" s="70">
        <v>792</v>
      </c>
      <c r="F83" s="59"/>
      <c r="G83" s="218"/>
      <c r="H83" s="177"/>
    </row>
    <row r="84" spans="1:11" x14ac:dyDescent="0.2">
      <c r="B84" s="68" t="s">
        <v>102</v>
      </c>
      <c r="C84" s="72" t="s">
        <v>159</v>
      </c>
      <c r="D84" s="69"/>
      <c r="E84" s="70">
        <v>2400.2800000000002</v>
      </c>
      <c r="F84" s="59"/>
      <c r="G84" s="218"/>
      <c r="H84" s="177"/>
    </row>
    <row r="85" spans="1:11" x14ac:dyDescent="0.2">
      <c r="B85" s="68" t="s">
        <v>146</v>
      </c>
      <c r="C85" s="72" t="s">
        <v>147</v>
      </c>
      <c r="D85" s="69"/>
      <c r="E85" s="70">
        <v>1283.9100000000001</v>
      </c>
      <c r="F85" s="59"/>
      <c r="G85" s="56"/>
    </row>
    <row r="86" spans="1:11" x14ac:dyDescent="0.2">
      <c r="B86" s="68" t="s">
        <v>154</v>
      </c>
      <c r="C86" s="72" t="s">
        <v>155</v>
      </c>
      <c r="D86" s="69"/>
      <c r="E86" s="70">
        <v>1237.5</v>
      </c>
      <c r="F86" s="59"/>
      <c r="G86" s="56"/>
    </row>
    <row r="87" spans="1:11" ht="13.5" thickBot="1" x14ac:dyDescent="0.25">
      <c r="B87" s="71" t="s">
        <v>164</v>
      </c>
      <c r="C87" s="73" t="s">
        <v>166</v>
      </c>
      <c r="D87" s="50"/>
      <c r="E87" s="192">
        <v>990</v>
      </c>
      <c r="G87" s="56"/>
      <c r="I87" s="249"/>
      <c r="J87" s="249"/>
    </row>
    <row r="88" spans="1:11" s="4" customFormat="1" ht="13.5" thickBot="1" x14ac:dyDescent="0.25">
      <c r="B88" s="46"/>
      <c r="C88" s="47"/>
      <c r="D88" s="48"/>
      <c r="E88" s="49">
        <f>SUM(E76:E87)</f>
        <v>19572.830000000002</v>
      </c>
      <c r="F88" s="58"/>
      <c r="G88" s="56"/>
      <c r="H88" s="203"/>
      <c r="J88" s="177"/>
      <c r="K88" s="5"/>
    </row>
    <row r="89" spans="1:11" s="212" customFormat="1" ht="13.5" thickBot="1" x14ac:dyDescent="0.25">
      <c r="B89" s="213" t="s">
        <v>29</v>
      </c>
      <c r="C89" s="214" t="s">
        <v>5</v>
      </c>
      <c r="D89" s="214"/>
      <c r="E89" s="76">
        <v>1125</v>
      </c>
      <c r="F89" s="215"/>
      <c r="G89" s="215"/>
      <c r="H89" s="215"/>
    </row>
    <row r="90" spans="1:11" ht="13.5" thickBot="1" x14ac:dyDescent="0.25">
      <c r="B90" s="10"/>
      <c r="C90" s="28" t="s">
        <v>0</v>
      </c>
      <c r="D90" s="28"/>
      <c r="E90" s="30">
        <f>SUM(E88:E89)</f>
        <v>20697.830000000002</v>
      </c>
      <c r="K90" s="4"/>
    </row>
    <row r="91" spans="1:11" x14ac:dyDescent="0.2">
      <c r="B91" s="10"/>
      <c r="C91" s="28"/>
      <c r="D91" s="28"/>
      <c r="E91" s="52"/>
    </row>
    <row r="92" spans="1:11" x14ac:dyDescent="0.2">
      <c r="B92" s="10" t="s">
        <v>111</v>
      </c>
      <c r="C92" s="182" t="s">
        <v>112</v>
      </c>
      <c r="D92" s="28"/>
      <c r="E92" s="177">
        <f>800*5</f>
        <v>4000</v>
      </c>
      <c r="F92" s="45">
        <f>SUM(E90:E92)</f>
        <v>24697.83</v>
      </c>
      <c r="J92" s="65"/>
    </row>
    <row r="93" spans="1:11" x14ac:dyDescent="0.2">
      <c r="B93" s="10"/>
      <c r="C93" s="28"/>
      <c r="D93" s="28"/>
      <c r="E93" s="177"/>
    </row>
    <row r="94" spans="1:11" s="6" customFormat="1" ht="13.15" customHeight="1" x14ac:dyDescent="0.2">
      <c r="A94" s="14" t="s">
        <v>6</v>
      </c>
      <c r="B94" s="15" t="s">
        <v>7</v>
      </c>
      <c r="C94" s="15"/>
      <c r="D94" s="31">
        <v>9000</v>
      </c>
      <c r="E94" s="43" t="s">
        <v>116</v>
      </c>
      <c r="F94" s="14" t="s">
        <v>33</v>
      </c>
      <c r="G94" s="206" t="s">
        <v>32</v>
      </c>
      <c r="H94" s="31">
        <v>3864.58</v>
      </c>
      <c r="I94" s="51" t="s">
        <v>116</v>
      </c>
      <c r="K94" s="5"/>
    </row>
    <row r="95" spans="1:11" s="6" customFormat="1" ht="13.15" customHeight="1" x14ac:dyDescent="0.2">
      <c r="A95" s="14" t="s">
        <v>8</v>
      </c>
      <c r="B95" s="15" t="s">
        <v>9</v>
      </c>
      <c r="C95" s="15"/>
      <c r="D95" s="31">
        <v>311.83999999999997</v>
      </c>
      <c r="E95" s="43" t="s">
        <v>116</v>
      </c>
      <c r="F95" s="14" t="s">
        <v>33</v>
      </c>
      <c r="G95" s="206" t="s">
        <v>109</v>
      </c>
      <c r="H95" s="190">
        <v>2000</v>
      </c>
      <c r="I95" s="51" t="s">
        <v>116</v>
      </c>
      <c r="K95" s="5"/>
    </row>
    <row r="96" spans="1:11" s="6" customFormat="1" ht="13.15" customHeight="1" x14ac:dyDescent="0.2">
      <c r="A96" s="14" t="s">
        <v>27</v>
      </c>
      <c r="B96" s="15" t="s">
        <v>28</v>
      </c>
      <c r="C96" s="15"/>
      <c r="D96" s="31">
        <v>619.53</v>
      </c>
      <c r="E96" s="43" t="s">
        <v>116</v>
      </c>
      <c r="F96" s="60" t="s">
        <v>19</v>
      </c>
      <c r="G96" s="206" t="s">
        <v>20</v>
      </c>
      <c r="H96" s="190">
        <v>500</v>
      </c>
      <c r="I96" s="51" t="s">
        <v>116</v>
      </c>
    </row>
    <row r="97" spans="1:11" s="6" customFormat="1" ht="13.15" customHeight="1" x14ac:dyDescent="0.2">
      <c r="A97" s="14" t="s">
        <v>10</v>
      </c>
      <c r="B97" s="15" t="s">
        <v>34</v>
      </c>
      <c r="C97" s="31"/>
      <c r="D97" s="31">
        <v>5000</v>
      </c>
      <c r="E97" s="43" t="s">
        <v>116</v>
      </c>
      <c r="F97" s="60" t="s">
        <v>6</v>
      </c>
      <c r="G97" s="206" t="s">
        <v>39</v>
      </c>
      <c r="H97" s="190">
        <v>919</v>
      </c>
      <c r="I97" s="51" t="s">
        <v>116</v>
      </c>
    </row>
    <row r="98" spans="1:11" s="6" customFormat="1" ht="13.15" customHeight="1" x14ac:dyDescent="0.2">
      <c r="A98" s="14" t="s">
        <v>10</v>
      </c>
      <c r="B98" s="15" t="s">
        <v>35</v>
      </c>
      <c r="C98" s="31"/>
      <c r="D98" s="31">
        <v>4000</v>
      </c>
      <c r="E98" s="43" t="s">
        <v>116</v>
      </c>
      <c r="F98" s="60" t="s">
        <v>8</v>
      </c>
      <c r="G98" s="206" t="s">
        <v>14</v>
      </c>
      <c r="H98" s="190">
        <v>12000</v>
      </c>
      <c r="I98" s="51" t="s">
        <v>116</v>
      </c>
      <c r="J98" s="189" t="s">
        <v>134</v>
      </c>
    </row>
    <row r="99" spans="1:11" s="6" customFormat="1" ht="13.15" customHeight="1" thickBot="1" x14ac:dyDescent="0.25">
      <c r="A99" s="14"/>
      <c r="B99" s="15"/>
      <c r="C99" s="31"/>
      <c r="D99" s="31"/>
      <c r="E99" s="43"/>
      <c r="F99" s="61" t="s">
        <v>16</v>
      </c>
      <c r="G99" s="206" t="s">
        <v>15</v>
      </c>
      <c r="H99" s="207">
        <v>12000</v>
      </c>
      <c r="I99" s="51" t="s">
        <v>116</v>
      </c>
      <c r="J99" s="190"/>
    </row>
    <row r="100" spans="1:11" s="6" customFormat="1" ht="13.15" customHeight="1" thickTop="1" thickBot="1" x14ac:dyDescent="0.25">
      <c r="A100" s="14"/>
      <c r="B100" s="15"/>
      <c r="C100" s="31"/>
      <c r="D100" s="31"/>
      <c r="E100" s="43"/>
      <c r="F100" s="62"/>
      <c r="G100" s="206"/>
      <c r="H100" s="208">
        <f>SUM(H94:H99)+SUM(D94:D99)</f>
        <v>50214.950000000004</v>
      </c>
      <c r="I100" s="51"/>
      <c r="J100" s="190"/>
      <c r="K100" s="189"/>
    </row>
    <row r="101" spans="1:11" s="6" customFormat="1" ht="13.15" customHeight="1" thickBot="1" x14ac:dyDescent="0.25">
      <c r="A101" s="14"/>
      <c r="B101" s="15"/>
      <c r="C101" s="31"/>
      <c r="D101" s="31"/>
      <c r="E101" s="31"/>
      <c r="F101" s="62"/>
      <c r="G101" s="209" t="s">
        <v>4</v>
      </c>
      <c r="H101" s="210">
        <f>F92+H100</f>
        <v>74912.78</v>
      </c>
      <c r="I101" s="37"/>
      <c r="J101" s="190"/>
      <c r="K101" s="189"/>
    </row>
    <row r="102" spans="1:11" s="6" customFormat="1" ht="13.15" customHeight="1" x14ac:dyDescent="0.2">
      <c r="B102" s="14"/>
      <c r="C102" s="15"/>
      <c r="D102" s="8"/>
      <c r="E102" s="31"/>
      <c r="F102" s="63"/>
      <c r="G102" s="63"/>
      <c r="H102" s="63"/>
      <c r="I102" s="37"/>
      <c r="J102" s="190"/>
      <c r="K102" s="189"/>
    </row>
    <row r="103" spans="1:11" s="6" customFormat="1" ht="13.15" customHeight="1" x14ac:dyDescent="0.2">
      <c r="B103" s="14"/>
      <c r="C103" s="15"/>
      <c r="D103" s="7"/>
      <c r="E103" s="8"/>
      <c r="F103" s="63"/>
      <c r="G103" s="63"/>
      <c r="H103" s="63"/>
      <c r="I103" s="37"/>
      <c r="J103" s="190"/>
      <c r="K103" s="189"/>
    </row>
    <row r="104" spans="1:11" s="6" customFormat="1" ht="13.15" customHeight="1" x14ac:dyDescent="0.2">
      <c r="A104" s="8"/>
      <c r="B104" s="9"/>
      <c r="C104" s="8"/>
      <c r="D104" s="7"/>
      <c r="E104" s="8"/>
      <c r="F104" s="63"/>
      <c r="G104" s="63"/>
      <c r="H104" s="63"/>
      <c r="I104" s="37"/>
      <c r="J104" s="190"/>
      <c r="K104" s="189"/>
    </row>
    <row r="105" spans="1:11" s="6" customFormat="1" ht="13.15" customHeight="1" x14ac:dyDescent="0.2">
      <c r="A105" s="8"/>
      <c r="B105" s="9"/>
      <c r="C105" s="7"/>
      <c r="D105" s="7"/>
      <c r="E105" s="8"/>
      <c r="F105" s="63"/>
      <c r="G105" s="63"/>
      <c r="H105" s="63"/>
      <c r="I105" s="37"/>
      <c r="J105" s="189"/>
      <c r="K105" s="189"/>
    </row>
    <row r="106" spans="1:11" s="6" customFormat="1" ht="13.15" customHeight="1" x14ac:dyDescent="0.2">
      <c r="A106" s="8"/>
      <c r="B106" s="9"/>
      <c r="C106" s="7"/>
      <c r="D106" s="7"/>
      <c r="E106" s="8"/>
      <c r="F106" s="63"/>
      <c r="G106" s="63"/>
      <c r="H106" s="63"/>
      <c r="I106" s="37"/>
      <c r="J106" s="189"/>
      <c r="K106" s="189"/>
    </row>
    <row r="107" spans="1:11" s="6" customFormat="1" ht="13.15" customHeight="1" x14ac:dyDescent="0.2">
      <c r="A107" s="8"/>
      <c r="B107" s="9"/>
      <c r="C107" s="7"/>
      <c r="D107" s="7"/>
      <c r="E107" s="8"/>
      <c r="F107" s="63"/>
      <c r="G107" s="63"/>
      <c r="H107" s="63"/>
      <c r="I107" s="37"/>
      <c r="K107" s="189"/>
    </row>
    <row r="108" spans="1:11" s="8" customFormat="1" x14ac:dyDescent="0.2">
      <c r="B108" s="9"/>
      <c r="C108" s="7"/>
      <c r="F108" s="63"/>
      <c r="G108" s="63"/>
      <c r="H108" s="63"/>
      <c r="K108" s="189"/>
    </row>
    <row r="109" spans="1:11" s="8" customFormat="1" x14ac:dyDescent="0.2">
      <c r="B109" s="9"/>
      <c r="C109" s="7"/>
      <c r="F109" s="63"/>
      <c r="G109" s="63"/>
      <c r="H109" s="63"/>
      <c r="K109" s="6"/>
    </row>
    <row r="110" spans="1:11" s="8" customFormat="1" ht="12" x14ac:dyDescent="0.2">
      <c r="B110" s="9"/>
      <c r="C110" s="7"/>
      <c r="F110" s="63"/>
      <c r="G110" s="63"/>
      <c r="H110" s="63"/>
    </row>
    <row r="111" spans="1:11" s="8" customFormat="1" ht="12" x14ac:dyDescent="0.2">
      <c r="B111" s="9"/>
      <c r="F111" s="63"/>
      <c r="G111" s="63"/>
      <c r="H111" s="63"/>
    </row>
    <row r="112" spans="1:11" s="8" customFormat="1" ht="12" x14ac:dyDescent="0.2">
      <c r="B112" s="9"/>
      <c r="F112" s="63"/>
      <c r="G112" s="63"/>
      <c r="H112" s="63"/>
    </row>
    <row r="113" spans="1:11" s="8" customFormat="1" ht="12" x14ac:dyDescent="0.2">
      <c r="B113" s="9"/>
      <c r="F113" s="63"/>
      <c r="G113" s="63"/>
      <c r="H113" s="63"/>
    </row>
    <row r="114" spans="1:11" s="8" customFormat="1" x14ac:dyDescent="0.2">
      <c r="B114" s="9"/>
      <c r="D114" s="5"/>
      <c r="F114" s="63"/>
      <c r="G114" s="63"/>
      <c r="H114" s="63"/>
    </row>
    <row r="115" spans="1:11" s="8" customFormat="1" x14ac:dyDescent="0.2">
      <c r="B115" s="9"/>
      <c r="D115" s="5"/>
      <c r="F115" s="45"/>
      <c r="G115" s="45"/>
      <c r="H115" s="45"/>
    </row>
    <row r="116" spans="1:11" s="8" customFormat="1" x14ac:dyDescent="0.2">
      <c r="B116" s="9"/>
      <c r="D116" s="5"/>
      <c r="E116" s="5"/>
      <c r="F116" s="45"/>
      <c r="G116" s="45"/>
      <c r="H116" s="45"/>
    </row>
    <row r="117" spans="1:11" s="8" customFormat="1" x14ac:dyDescent="0.2">
      <c r="B117" s="11"/>
      <c r="C117" s="5"/>
      <c r="D117" s="5"/>
      <c r="E117" s="5"/>
      <c r="F117" s="45"/>
      <c r="G117" s="45"/>
      <c r="H117" s="45"/>
    </row>
    <row r="118" spans="1:11" s="8" customFormat="1" x14ac:dyDescent="0.2">
      <c r="B118" s="11"/>
      <c r="C118" s="5"/>
      <c r="D118" s="5"/>
      <c r="E118" s="5"/>
      <c r="F118" s="45"/>
      <c r="G118" s="45"/>
      <c r="H118" s="45"/>
    </row>
    <row r="119" spans="1:11" s="8" customFormat="1" x14ac:dyDescent="0.2">
      <c r="B119" s="11"/>
      <c r="C119" s="5"/>
      <c r="D119" s="5"/>
      <c r="E119" s="5"/>
      <c r="F119" s="45"/>
      <c r="G119" s="45"/>
      <c r="H119" s="45"/>
    </row>
    <row r="120" spans="1:11" s="8" customFormat="1" x14ac:dyDescent="0.2">
      <c r="B120" s="11"/>
      <c r="C120" s="5"/>
      <c r="D120" s="5"/>
      <c r="E120" s="5"/>
      <c r="F120" s="45"/>
      <c r="G120" s="45"/>
      <c r="H120" s="45"/>
    </row>
    <row r="121" spans="1:11" s="8" customFormat="1" x14ac:dyDescent="0.2">
      <c r="A121" s="5"/>
      <c r="B121" s="11"/>
      <c r="C121" s="5"/>
      <c r="D121" s="5"/>
      <c r="E121" s="5"/>
      <c r="F121" s="45"/>
      <c r="G121" s="45"/>
      <c r="H121" s="45"/>
      <c r="I121" s="5"/>
    </row>
    <row r="122" spans="1:11" s="8" customFormat="1" x14ac:dyDescent="0.2">
      <c r="A122" s="5"/>
      <c r="B122" s="11"/>
      <c r="C122" s="5"/>
      <c r="D122" s="5"/>
      <c r="E122" s="5"/>
      <c r="F122" s="45"/>
      <c r="G122" s="45"/>
      <c r="H122" s="45"/>
      <c r="I122" s="5"/>
    </row>
    <row r="123" spans="1:11" s="8" customFormat="1" x14ac:dyDescent="0.2">
      <c r="A123" s="5"/>
      <c r="B123" s="11"/>
      <c r="C123" s="5"/>
      <c r="D123" s="5"/>
      <c r="E123" s="5"/>
      <c r="F123" s="45"/>
      <c r="G123" s="45"/>
      <c r="H123" s="45"/>
      <c r="I123" s="5"/>
    </row>
    <row r="124" spans="1:11" s="8" customFormat="1" x14ac:dyDescent="0.2">
      <c r="A124" s="5"/>
      <c r="B124" s="11"/>
      <c r="C124" s="5"/>
      <c r="D124" s="5"/>
      <c r="E124" s="5"/>
      <c r="F124" s="45"/>
      <c r="G124" s="45"/>
      <c r="H124" s="45"/>
      <c r="I124" s="5"/>
    </row>
    <row r="125" spans="1:11" x14ac:dyDescent="0.2">
      <c r="K125" s="8"/>
    </row>
    <row r="126" spans="1:11" x14ac:dyDescent="0.2">
      <c r="K126" s="8"/>
    </row>
  </sheetData>
  <mergeCells count="9">
    <mergeCell ref="E51:F51"/>
    <mergeCell ref="C73:D73"/>
    <mergeCell ref="E74:F74"/>
    <mergeCell ref="A1:J1"/>
    <mergeCell ref="C4:D4"/>
    <mergeCell ref="E5:F5"/>
    <mergeCell ref="C27:D27"/>
    <mergeCell ref="E28:F28"/>
    <mergeCell ref="C50:D50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March '20</vt:lpstr>
      <vt:lpstr>April '20</vt:lpstr>
      <vt:lpstr>May '20</vt:lpstr>
      <vt:lpstr>June '20</vt:lpstr>
      <vt:lpstr>July '20</vt:lpstr>
      <vt:lpstr>August '20</vt:lpstr>
      <vt:lpstr>September '20</vt:lpstr>
      <vt:lpstr>October '20</vt:lpstr>
      <vt:lpstr>November '20</vt:lpstr>
      <vt:lpstr>December '20</vt:lpstr>
      <vt:lpstr>January '21</vt:lpstr>
      <vt:lpstr>February '21</vt:lpstr>
      <vt:lpstr>EMP201</vt:lpstr>
      <vt:lpstr>EMP501</vt:lpstr>
      <vt:lpstr>'EMP201'!Print_Area</vt:lpstr>
      <vt:lpstr>'EMP501'!Print_Area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2021-04-15T13:54:39Z</cp:lastPrinted>
  <dcterms:created xsi:type="dcterms:W3CDTF">2006-03-02T06:43:14Z</dcterms:created>
  <dcterms:modified xsi:type="dcterms:W3CDTF">2021-04-22T14:21:45Z</dcterms:modified>
</cp:coreProperties>
</file>