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2805" yWindow="1125" windowWidth="10980" windowHeight="9555" tabRatio="967" firstSheet="6" activeTab="13"/>
  </bookViews>
  <sheets>
    <sheet name="March '19" sheetId="145" r:id="rId1"/>
    <sheet name="April '19" sheetId="146" r:id="rId2"/>
    <sheet name="May '19" sheetId="147" r:id="rId3"/>
    <sheet name="June '19" sheetId="148" r:id="rId4"/>
    <sheet name="July '19" sheetId="149" r:id="rId5"/>
    <sheet name="August '19" sheetId="150" r:id="rId6"/>
    <sheet name="September '19" sheetId="151" r:id="rId7"/>
    <sheet name="October '19" sheetId="152" r:id="rId8"/>
    <sheet name="November '19" sheetId="153" r:id="rId9"/>
    <sheet name="December '19" sheetId="154" r:id="rId10"/>
    <sheet name="January '20" sheetId="156" r:id="rId11"/>
    <sheet name="February '20" sheetId="158" r:id="rId12"/>
    <sheet name="EMP201" sheetId="138" r:id="rId13"/>
    <sheet name="EMP501 " sheetId="159" r:id="rId14"/>
    <sheet name="Increases" sheetId="157" r:id="rId15"/>
  </sheets>
  <definedNames>
    <definedName name="_xlnm.Print_Area" localSheetId="1">'April ''19'!$A$48:$I$70</definedName>
    <definedName name="_xlnm.Print_Area" localSheetId="5">'August ''19'!$A$53:$J$76</definedName>
    <definedName name="_xlnm.Print_Area" localSheetId="9">'December ''19'!$A$3:$J$18</definedName>
    <definedName name="_xlnm.Print_Area" localSheetId="12">'EMP201'!$A$507:$Q$547</definedName>
    <definedName name="_xlnm.Print_Area" localSheetId="13">'EMP501 '!$A$2:$N$18</definedName>
    <definedName name="_xlnm.Print_Area" localSheetId="11">'February ''20'!#REF!</definedName>
    <definedName name="_xlnm.Print_Area" localSheetId="14">Increases!$A$1:$N$38</definedName>
    <definedName name="_xlnm.Print_Area" localSheetId="10">'January ''20'!#REF!</definedName>
    <definedName name="_xlnm.Print_Area" localSheetId="4">'July ''19'!$A$51:$J$87</definedName>
    <definedName name="_xlnm.Print_Area" localSheetId="3">'June ''19'!$A$51:$J$73</definedName>
    <definedName name="_xlnm.Print_Area" localSheetId="0">'March ''19'!$A$49:$J$70</definedName>
    <definedName name="_xlnm.Print_Area" localSheetId="2">'May ''19'!$A$63:$I$82</definedName>
    <definedName name="_xlnm.Print_Area" localSheetId="8">'November ''19'!$A$3:$H$19</definedName>
    <definedName name="_xlnm.Print_Area" localSheetId="7">'October ''19'!$A$78:$J$101</definedName>
    <definedName name="_xlnm.Print_Area" localSheetId="6">'September ''19'!$A$56:$J$80</definedName>
  </definedNames>
  <calcPr calcId="145621"/>
</workbook>
</file>

<file path=xl/calcChain.xml><?xml version="1.0" encoding="utf-8"?>
<calcChain xmlns="http://schemas.openxmlformats.org/spreadsheetml/2006/main">
  <c r="D25" i="159" l="1"/>
  <c r="D4" i="159" l="1"/>
  <c r="C4" i="159"/>
  <c r="D36" i="159" l="1"/>
  <c r="D35" i="159"/>
  <c r="D34" i="159"/>
  <c r="D33" i="159"/>
  <c r="D32" i="159"/>
  <c r="D31" i="159"/>
  <c r="D30" i="159"/>
  <c r="D29" i="159"/>
  <c r="D28" i="159"/>
  <c r="B36" i="159" l="1"/>
  <c r="B35" i="159"/>
  <c r="B34" i="159"/>
  <c r="B33" i="159"/>
  <c r="B32" i="159"/>
  <c r="B31" i="159"/>
  <c r="B30" i="159"/>
  <c r="B29" i="159"/>
  <c r="B28" i="159"/>
  <c r="D27" i="159"/>
  <c r="D26" i="159"/>
  <c r="B27" i="159" l="1"/>
  <c r="B26" i="159"/>
  <c r="B25" i="159"/>
  <c r="D37" i="159"/>
  <c r="B37" i="159"/>
  <c r="B38" i="159" s="1"/>
  <c r="V22" i="159"/>
  <c r="AC22" i="159"/>
  <c r="V23" i="159"/>
  <c r="Z23" i="159"/>
  <c r="AC23" i="159" s="1"/>
  <c r="V24" i="159"/>
  <c r="AC24" i="159"/>
  <c r="V25" i="159"/>
  <c r="AC25" i="159"/>
  <c r="V26" i="159"/>
  <c r="AC26" i="159"/>
  <c r="V27" i="159"/>
  <c r="AC27" i="159"/>
  <c r="V28" i="159"/>
  <c r="AC28" i="159"/>
  <c r="AC29" i="159"/>
  <c r="AC30" i="159"/>
  <c r="AC31" i="159"/>
  <c r="V32" i="159"/>
  <c r="Z32" i="159"/>
  <c r="AC32" i="159" s="1"/>
  <c r="V33" i="159"/>
  <c r="AC33" i="159"/>
  <c r="V34" i="159"/>
  <c r="AC34" i="159"/>
  <c r="V35" i="159"/>
  <c r="AC35" i="159"/>
  <c r="V36" i="159"/>
  <c r="AC36" i="159"/>
  <c r="V37" i="159"/>
  <c r="AC37" i="159"/>
  <c r="H16" i="159" l="1"/>
  <c r="R340" i="159" l="1"/>
  <c r="V340" i="159" s="1"/>
  <c r="R339" i="159"/>
  <c r="V339" i="159" s="1"/>
  <c r="R338" i="159"/>
  <c r="V338" i="159" s="1"/>
  <c r="R337" i="159"/>
  <c r="R336" i="159"/>
  <c r="V336" i="159" s="1"/>
  <c r="R335" i="159"/>
  <c r="V335" i="159" s="1"/>
  <c r="R334" i="159"/>
  <c r="V334" i="159" s="1"/>
  <c r="R332" i="159"/>
  <c r="R333" i="159"/>
  <c r="V333" i="159" s="1"/>
  <c r="AB333" i="159"/>
  <c r="AB332" i="159"/>
  <c r="G18" i="159"/>
  <c r="F5" i="159"/>
  <c r="F6" i="159"/>
  <c r="F7" i="159"/>
  <c r="F8" i="159"/>
  <c r="F9" i="159"/>
  <c r="F10" i="159"/>
  <c r="F11" i="159"/>
  <c r="F12" i="159"/>
  <c r="F13" i="159"/>
  <c r="F14" i="159"/>
  <c r="F15" i="159"/>
  <c r="F16" i="159"/>
  <c r="F17" i="159"/>
  <c r="F4" i="159"/>
  <c r="H5" i="159"/>
  <c r="H6" i="159"/>
  <c r="H7" i="159"/>
  <c r="H8" i="159"/>
  <c r="H9" i="159"/>
  <c r="H10" i="159"/>
  <c r="H11" i="159"/>
  <c r="H12" i="159"/>
  <c r="H13" i="159"/>
  <c r="H14" i="159"/>
  <c r="H4" i="159"/>
  <c r="I4" i="159" s="1"/>
  <c r="K5" i="159"/>
  <c r="K6" i="159"/>
  <c r="K7" i="159"/>
  <c r="K8" i="159"/>
  <c r="K9" i="159"/>
  <c r="K10" i="159"/>
  <c r="K11" i="159"/>
  <c r="K12" i="159"/>
  <c r="K13" i="159"/>
  <c r="K14" i="159"/>
  <c r="K15" i="159"/>
  <c r="K16" i="159"/>
  <c r="K17" i="159"/>
  <c r="L5" i="159"/>
  <c r="L6" i="159"/>
  <c r="L7" i="159"/>
  <c r="L8" i="159"/>
  <c r="L9" i="159"/>
  <c r="L10" i="159"/>
  <c r="L11" i="159"/>
  <c r="L12" i="159"/>
  <c r="L13" i="159"/>
  <c r="L14" i="159"/>
  <c r="L15" i="159"/>
  <c r="L16" i="159"/>
  <c r="L17" i="159"/>
  <c r="N17" i="159"/>
  <c r="N16" i="159"/>
  <c r="N15" i="159"/>
  <c r="N14" i="159"/>
  <c r="N13" i="159"/>
  <c r="N12" i="159"/>
  <c r="N11" i="159"/>
  <c r="N10" i="159"/>
  <c r="N9" i="159"/>
  <c r="N8" i="159"/>
  <c r="N7" i="159"/>
  <c r="N6" i="159"/>
  <c r="N5" i="159"/>
  <c r="N4" i="159"/>
  <c r="K4" i="159"/>
  <c r="L4" i="159"/>
  <c r="AA406" i="159"/>
  <c r="N20" i="159" s="1"/>
  <c r="Y406" i="159"/>
  <c r="L20" i="159" s="1"/>
  <c r="X406" i="159"/>
  <c r="K20" i="159" s="1"/>
  <c r="U406" i="159"/>
  <c r="H20" i="159" s="1"/>
  <c r="T406" i="159"/>
  <c r="F20" i="159" s="1"/>
  <c r="AC405" i="159"/>
  <c r="V405" i="159"/>
  <c r="AC404" i="159"/>
  <c r="V404" i="159"/>
  <c r="AC403" i="159"/>
  <c r="V403" i="159"/>
  <c r="AG402" i="159"/>
  <c r="AC402" i="159"/>
  <c r="V402" i="159"/>
  <c r="AG401" i="159"/>
  <c r="AC401" i="159"/>
  <c r="V401" i="159"/>
  <c r="AG400" i="159"/>
  <c r="AC400" i="159"/>
  <c r="V400" i="159"/>
  <c r="AG399" i="159"/>
  <c r="AC399" i="159"/>
  <c r="V399" i="159"/>
  <c r="AG398" i="159"/>
  <c r="AC398" i="159"/>
  <c r="V398" i="159"/>
  <c r="AG397" i="159"/>
  <c r="AC397" i="159"/>
  <c r="V397" i="159"/>
  <c r="AG396" i="159"/>
  <c r="AC396" i="159"/>
  <c r="V396" i="159"/>
  <c r="AC395" i="159"/>
  <c r="V395" i="159"/>
  <c r="AC394" i="159"/>
  <c r="V394" i="159"/>
  <c r="AC393" i="159"/>
  <c r="V393" i="159"/>
  <c r="AC392" i="159"/>
  <c r="V392" i="159"/>
  <c r="AC391" i="159"/>
  <c r="V391" i="159"/>
  <c r="AC390" i="159"/>
  <c r="V390" i="159"/>
  <c r="AC389" i="159"/>
  <c r="V389" i="159"/>
  <c r="AC388" i="159"/>
  <c r="V388" i="159"/>
  <c r="AC387" i="159"/>
  <c r="V387" i="159"/>
  <c r="AC386" i="159"/>
  <c r="V386" i="159"/>
  <c r="AC385" i="159"/>
  <c r="V385" i="159"/>
  <c r="AC384" i="159"/>
  <c r="V384" i="159"/>
  <c r="AC383" i="159"/>
  <c r="V383" i="159"/>
  <c r="AC382" i="159"/>
  <c r="V382" i="159"/>
  <c r="AC381" i="159"/>
  <c r="V381" i="159"/>
  <c r="AC380" i="159"/>
  <c r="V380" i="159"/>
  <c r="AC379" i="159"/>
  <c r="V379" i="159"/>
  <c r="AC378" i="159"/>
  <c r="V378" i="159"/>
  <c r="AC377" i="159"/>
  <c r="V377" i="159"/>
  <c r="AC376" i="159"/>
  <c r="V376" i="159"/>
  <c r="AC375" i="159"/>
  <c r="V375" i="159"/>
  <c r="AC374" i="159"/>
  <c r="V374" i="159"/>
  <c r="AC373" i="159"/>
  <c r="V373" i="159"/>
  <c r="AC372" i="159"/>
  <c r="V372" i="159"/>
  <c r="AC371" i="159"/>
  <c r="V371" i="159"/>
  <c r="AC370" i="159"/>
  <c r="V370" i="159"/>
  <c r="AC369" i="159"/>
  <c r="V369" i="159"/>
  <c r="AC368" i="159"/>
  <c r="V368" i="159"/>
  <c r="AC367" i="159"/>
  <c r="V367" i="159"/>
  <c r="AC366" i="159"/>
  <c r="V366" i="159"/>
  <c r="AC365" i="159"/>
  <c r="V365" i="159"/>
  <c r="AC364" i="159"/>
  <c r="V364" i="159"/>
  <c r="AC363" i="159"/>
  <c r="V363" i="159"/>
  <c r="AC362" i="159"/>
  <c r="V362" i="159"/>
  <c r="AC361" i="159"/>
  <c r="V361" i="159"/>
  <c r="AC360" i="159"/>
  <c r="V360" i="159"/>
  <c r="AC359" i="159"/>
  <c r="V359" i="159"/>
  <c r="AC358" i="159"/>
  <c r="V358" i="159"/>
  <c r="AC357" i="159"/>
  <c r="V357" i="159"/>
  <c r="AC356" i="159"/>
  <c r="V356" i="159"/>
  <c r="AC355" i="159"/>
  <c r="V355" i="159"/>
  <c r="AC354" i="159"/>
  <c r="V354" i="159"/>
  <c r="AC353" i="159"/>
  <c r="V353" i="159"/>
  <c r="AC352" i="159"/>
  <c r="V352" i="159"/>
  <c r="AC351" i="159"/>
  <c r="V351" i="159"/>
  <c r="AC350" i="159"/>
  <c r="V350" i="159"/>
  <c r="AC349" i="159"/>
  <c r="V349" i="159"/>
  <c r="AC348" i="159"/>
  <c r="V348" i="159"/>
  <c r="AC347" i="159"/>
  <c r="V347" i="159"/>
  <c r="AC346" i="159"/>
  <c r="V346" i="159"/>
  <c r="AC345" i="159"/>
  <c r="V345" i="159"/>
  <c r="AC344" i="159"/>
  <c r="V344" i="159"/>
  <c r="AC343" i="159"/>
  <c r="V343" i="159"/>
  <c r="AC342" i="159"/>
  <c r="V342" i="159"/>
  <c r="AC341" i="159"/>
  <c r="V341" i="159"/>
  <c r="AC339" i="159"/>
  <c r="W337" i="159"/>
  <c r="W406" i="159" s="1"/>
  <c r="J20" i="159" s="1"/>
  <c r="V337" i="159"/>
  <c r="AC336" i="159"/>
  <c r="AC335" i="159"/>
  <c r="AC334" i="159"/>
  <c r="V332" i="159"/>
  <c r="AC331" i="159"/>
  <c r="V331" i="159"/>
  <c r="AC330" i="159"/>
  <c r="V330" i="159"/>
  <c r="AC329" i="159"/>
  <c r="V329" i="159"/>
  <c r="AC328" i="159"/>
  <c r="V328" i="159"/>
  <c r="AC327" i="159"/>
  <c r="V327" i="159"/>
  <c r="AC326" i="159"/>
  <c r="V326" i="159"/>
  <c r="AC325" i="159"/>
  <c r="V325" i="159"/>
  <c r="AC324" i="159"/>
  <c r="V324" i="159"/>
  <c r="AC323" i="159"/>
  <c r="V323" i="159"/>
  <c r="AC322" i="159"/>
  <c r="V322" i="159"/>
  <c r="AC321" i="159"/>
  <c r="V321" i="159"/>
  <c r="AC320" i="159"/>
  <c r="V320" i="159"/>
  <c r="AC319" i="159"/>
  <c r="V319" i="159"/>
  <c r="AC318" i="159"/>
  <c r="V318" i="159"/>
  <c r="AC317" i="159"/>
  <c r="V317" i="159"/>
  <c r="AC316" i="159"/>
  <c r="V316" i="159"/>
  <c r="AC315" i="159"/>
  <c r="V315" i="159"/>
  <c r="AC314" i="159"/>
  <c r="V314" i="159"/>
  <c r="AC313" i="159"/>
  <c r="V313" i="159"/>
  <c r="AC312" i="159"/>
  <c r="V312" i="159"/>
  <c r="AB311" i="159"/>
  <c r="AC311" i="159" s="1"/>
  <c r="V311" i="159"/>
  <c r="AC310" i="159"/>
  <c r="V310" i="159"/>
  <c r="AC309" i="159"/>
  <c r="V309" i="159"/>
  <c r="AC308" i="159"/>
  <c r="V308" i="159"/>
  <c r="AC307" i="159"/>
  <c r="V307" i="159"/>
  <c r="AC306" i="159"/>
  <c r="V306" i="159"/>
  <c r="AC305" i="159"/>
  <c r="V305" i="159"/>
  <c r="AC304" i="159"/>
  <c r="V304" i="159"/>
  <c r="AC303" i="159"/>
  <c r="V303" i="159"/>
  <c r="AC302" i="159"/>
  <c r="V302" i="159"/>
  <c r="AB301" i="159"/>
  <c r="V301" i="159"/>
  <c r="AC300" i="159"/>
  <c r="V300" i="159"/>
  <c r="AC299" i="159"/>
  <c r="V299" i="159"/>
  <c r="AC298" i="159"/>
  <c r="V298" i="159"/>
  <c r="AC297" i="159"/>
  <c r="V297" i="159"/>
  <c r="AC296" i="159"/>
  <c r="V296" i="159"/>
  <c r="AC295" i="159"/>
  <c r="V295" i="159"/>
  <c r="AC294" i="159"/>
  <c r="V294" i="159"/>
  <c r="AC293" i="159"/>
  <c r="V293" i="159"/>
  <c r="AC292" i="159"/>
  <c r="V292" i="159"/>
  <c r="AB291" i="159"/>
  <c r="V291" i="159"/>
  <c r="AC290" i="159"/>
  <c r="V290" i="159"/>
  <c r="AC289" i="159"/>
  <c r="V289" i="159"/>
  <c r="AC288" i="159"/>
  <c r="V288" i="159"/>
  <c r="AC287" i="159"/>
  <c r="V287" i="159"/>
  <c r="AC286" i="159"/>
  <c r="V286" i="159"/>
  <c r="AC285" i="159"/>
  <c r="V285" i="159"/>
  <c r="AC284" i="159"/>
  <c r="V284" i="159"/>
  <c r="AC283" i="159"/>
  <c r="V283" i="159"/>
  <c r="AC282" i="159"/>
  <c r="V282" i="159"/>
  <c r="AB281" i="159"/>
  <c r="V281" i="159"/>
  <c r="AC280" i="159"/>
  <c r="V280" i="159"/>
  <c r="AC279" i="159"/>
  <c r="V279" i="159"/>
  <c r="AC278" i="159"/>
  <c r="V278" i="159"/>
  <c r="AC277" i="159"/>
  <c r="V277" i="159"/>
  <c r="AC276" i="159"/>
  <c r="V276" i="159"/>
  <c r="AC275" i="159"/>
  <c r="V275" i="159"/>
  <c r="AC274" i="159"/>
  <c r="V274" i="159"/>
  <c r="AC273" i="159"/>
  <c r="V273" i="159"/>
  <c r="AC272" i="159"/>
  <c r="V272" i="159"/>
  <c r="AC271" i="159"/>
  <c r="V271" i="159"/>
  <c r="AC270" i="159"/>
  <c r="V270" i="159"/>
  <c r="AC269" i="159"/>
  <c r="V269" i="159"/>
  <c r="AC268" i="159"/>
  <c r="V268" i="159"/>
  <c r="AC267" i="159"/>
  <c r="V267" i="159"/>
  <c r="AC266" i="159"/>
  <c r="V266" i="159"/>
  <c r="AC265" i="159"/>
  <c r="V265" i="159"/>
  <c r="AC264" i="159"/>
  <c r="V264" i="159"/>
  <c r="AC263" i="159"/>
  <c r="V263" i="159"/>
  <c r="AC262" i="159"/>
  <c r="V262" i="159"/>
  <c r="AC261" i="159"/>
  <c r="V261" i="159"/>
  <c r="AC260" i="159"/>
  <c r="V260" i="159"/>
  <c r="AC259" i="159"/>
  <c r="V259" i="159"/>
  <c r="AB258" i="159"/>
  <c r="V258" i="159"/>
  <c r="AC257" i="159"/>
  <c r="V257" i="159"/>
  <c r="AC256" i="159"/>
  <c r="V256" i="159"/>
  <c r="AC255" i="159"/>
  <c r="V255" i="159"/>
  <c r="AC254" i="159"/>
  <c r="V254" i="159"/>
  <c r="AC253" i="159"/>
  <c r="V253" i="159"/>
  <c r="AC252" i="159"/>
  <c r="V252" i="159"/>
  <c r="AC251" i="159"/>
  <c r="V251" i="159"/>
  <c r="AC250" i="159"/>
  <c r="V250" i="159"/>
  <c r="AB249" i="159"/>
  <c r="V249" i="159"/>
  <c r="AC248" i="159"/>
  <c r="V248" i="159"/>
  <c r="AC247" i="159"/>
  <c r="V247" i="159"/>
  <c r="AC246" i="159"/>
  <c r="V246" i="159"/>
  <c r="AC245" i="159"/>
  <c r="V245" i="159"/>
  <c r="AC244" i="159"/>
  <c r="V244" i="159"/>
  <c r="AC243" i="159"/>
  <c r="V243" i="159"/>
  <c r="AC242" i="159"/>
  <c r="V242" i="159"/>
  <c r="AC241" i="159"/>
  <c r="V241" i="159"/>
  <c r="AB240" i="159"/>
  <c r="V240" i="159"/>
  <c r="AC239" i="159"/>
  <c r="V239" i="159"/>
  <c r="AC238" i="159"/>
  <c r="V238" i="159"/>
  <c r="AC237" i="159"/>
  <c r="V237" i="159"/>
  <c r="AC236" i="159"/>
  <c r="V236" i="159"/>
  <c r="AC235" i="159"/>
  <c r="V235" i="159"/>
  <c r="AC234" i="159"/>
  <c r="V234" i="159"/>
  <c r="AC233" i="159"/>
  <c r="V233" i="159"/>
  <c r="AC232" i="159"/>
  <c r="V232" i="159"/>
  <c r="AB231" i="159"/>
  <c r="AC231" i="159" s="1"/>
  <c r="V231" i="159"/>
  <c r="AC230" i="159"/>
  <c r="V230" i="159"/>
  <c r="AC229" i="159"/>
  <c r="V229" i="159"/>
  <c r="AC228" i="159"/>
  <c r="V228" i="159"/>
  <c r="S227" i="159"/>
  <c r="S406" i="159" s="1"/>
  <c r="D20" i="159" s="1"/>
  <c r="R227" i="159"/>
  <c r="AC226" i="159"/>
  <c r="V226" i="159"/>
  <c r="AC225" i="159"/>
  <c r="V225" i="159"/>
  <c r="AC224" i="159"/>
  <c r="V224" i="159"/>
  <c r="AC223" i="159"/>
  <c r="V223" i="159"/>
  <c r="AC222" i="159"/>
  <c r="V222" i="159"/>
  <c r="AC221" i="159"/>
  <c r="V221" i="159"/>
  <c r="AC220" i="159"/>
  <c r="V220" i="159"/>
  <c r="AB219" i="159"/>
  <c r="V219" i="159"/>
  <c r="AC218" i="159"/>
  <c r="V218" i="159"/>
  <c r="AC217" i="159"/>
  <c r="V217" i="159"/>
  <c r="AC216" i="159"/>
  <c r="V216" i="159"/>
  <c r="AC215" i="159"/>
  <c r="V215" i="159"/>
  <c r="AC214" i="159"/>
  <c r="V214" i="159"/>
  <c r="AC213" i="159"/>
  <c r="V213" i="159"/>
  <c r="AC212" i="159"/>
  <c r="V212" i="159"/>
  <c r="AC211" i="159"/>
  <c r="V211" i="159"/>
  <c r="AB210" i="159"/>
  <c r="AC210" i="159" s="1"/>
  <c r="V210" i="159"/>
  <c r="AC209" i="159"/>
  <c r="V209" i="159"/>
  <c r="AC208" i="159"/>
  <c r="V208" i="159"/>
  <c r="AC207" i="159"/>
  <c r="V207" i="159"/>
  <c r="AC206" i="159"/>
  <c r="V206" i="159"/>
  <c r="AC205" i="159"/>
  <c r="V205" i="159"/>
  <c r="AC204" i="159"/>
  <c r="V204" i="159"/>
  <c r="AC203" i="159"/>
  <c r="V203" i="159"/>
  <c r="AC202" i="159"/>
  <c r="V202" i="159"/>
  <c r="AB201" i="159"/>
  <c r="V201" i="159"/>
  <c r="AC200" i="159"/>
  <c r="V200" i="159"/>
  <c r="AC199" i="159"/>
  <c r="V199" i="159"/>
  <c r="AC198" i="159"/>
  <c r="V198" i="159"/>
  <c r="AC197" i="159"/>
  <c r="V197" i="159"/>
  <c r="AC196" i="159"/>
  <c r="V196" i="159"/>
  <c r="AC195" i="159"/>
  <c r="V195" i="159"/>
  <c r="AC194" i="159"/>
  <c r="V194" i="159"/>
  <c r="AB193" i="159"/>
  <c r="V193" i="159"/>
  <c r="Z192" i="159"/>
  <c r="V192" i="159"/>
  <c r="AC191" i="159"/>
  <c r="V191" i="159"/>
  <c r="AC190" i="159"/>
  <c r="V190" i="159"/>
  <c r="AC189" i="159"/>
  <c r="V189" i="159"/>
  <c r="AC188" i="159"/>
  <c r="V188" i="159"/>
  <c r="AC187" i="159"/>
  <c r="V187" i="159"/>
  <c r="AC186" i="159"/>
  <c r="V186" i="159"/>
  <c r="AC185" i="159"/>
  <c r="V185" i="159"/>
  <c r="AC184" i="159"/>
  <c r="V184" i="159"/>
  <c r="AC183" i="159"/>
  <c r="V183" i="159"/>
  <c r="AB182" i="159"/>
  <c r="V182" i="159"/>
  <c r="AC181" i="159"/>
  <c r="V181" i="159"/>
  <c r="AC180" i="159"/>
  <c r="V180" i="159"/>
  <c r="AC179" i="159"/>
  <c r="V179" i="159"/>
  <c r="AC178" i="159"/>
  <c r="V178" i="159"/>
  <c r="AC177" i="159"/>
  <c r="V177" i="159"/>
  <c r="AC176" i="159"/>
  <c r="V176" i="159"/>
  <c r="AC175" i="159"/>
  <c r="V175" i="159"/>
  <c r="AC174" i="159"/>
  <c r="V174" i="159"/>
  <c r="AC173" i="159"/>
  <c r="V173" i="159"/>
  <c r="AC172" i="159"/>
  <c r="V172" i="159"/>
  <c r="AC171" i="159"/>
  <c r="V171" i="159"/>
  <c r="AC170" i="159"/>
  <c r="V170" i="159"/>
  <c r="AC169" i="159"/>
  <c r="V169" i="159"/>
  <c r="AC168" i="159"/>
  <c r="V168" i="159"/>
  <c r="AC167" i="159"/>
  <c r="V167" i="159"/>
  <c r="AC166" i="159"/>
  <c r="V166" i="159"/>
  <c r="AC165" i="159"/>
  <c r="V165" i="159"/>
  <c r="AC164" i="159"/>
  <c r="V164" i="159"/>
  <c r="AC163" i="159"/>
  <c r="V163" i="159"/>
  <c r="AC162" i="159"/>
  <c r="V162" i="159"/>
  <c r="AC161" i="159"/>
  <c r="V161" i="159"/>
  <c r="AC160" i="159"/>
  <c r="V160" i="159"/>
  <c r="AC159" i="159"/>
  <c r="V159" i="159"/>
  <c r="AC158" i="159"/>
  <c r="V158" i="159"/>
  <c r="AC157" i="159"/>
  <c r="V157" i="159"/>
  <c r="AC156" i="159"/>
  <c r="V156" i="159"/>
  <c r="AC155" i="159"/>
  <c r="V155" i="159"/>
  <c r="AC154" i="159"/>
  <c r="V154" i="159"/>
  <c r="AC153" i="159"/>
  <c r="V153" i="159"/>
  <c r="AC152" i="159"/>
  <c r="V152" i="159"/>
  <c r="AC151" i="159"/>
  <c r="V151" i="159"/>
  <c r="AC150" i="159"/>
  <c r="V150" i="159"/>
  <c r="AC149" i="159"/>
  <c r="V149" i="159"/>
  <c r="AC148" i="159"/>
  <c r="V148" i="159"/>
  <c r="AC147" i="159"/>
  <c r="V147" i="159"/>
  <c r="AC146" i="159"/>
  <c r="V146" i="159"/>
  <c r="AC145" i="159"/>
  <c r="V145" i="159"/>
  <c r="AC144" i="159"/>
  <c r="V144" i="159"/>
  <c r="AC143" i="159"/>
  <c r="V143" i="159"/>
  <c r="AC142" i="159"/>
  <c r="V142" i="159"/>
  <c r="AC141" i="159"/>
  <c r="V141" i="159"/>
  <c r="AC140" i="159"/>
  <c r="V140" i="159"/>
  <c r="AC139" i="159"/>
  <c r="V139" i="159"/>
  <c r="AC138" i="159"/>
  <c r="V138" i="159"/>
  <c r="AC137" i="159"/>
  <c r="V137" i="159"/>
  <c r="AC136" i="159"/>
  <c r="V136" i="159"/>
  <c r="AC135" i="159"/>
  <c r="V135" i="159"/>
  <c r="AC134" i="159"/>
  <c r="V134" i="159"/>
  <c r="AC133" i="159"/>
  <c r="V133" i="159"/>
  <c r="AC132" i="159"/>
  <c r="V132" i="159"/>
  <c r="AC131" i="159"/>
  <c r="V131" i="159"/>
  <c r="AC130" i="159"/>
  <c r="V130" i="159"/>
  <c r="AC129" i="159"/>
  <c r="V129" i="159"/>
  <c r="AC128" i="159"/>
  <c r="V128" i="159"/>
  <c r="AC127" i="159"/>
  <c r="V127" i="159"/>
  <c r="AC126" i="159"/>
  <c r="V126" i="159"/>
  <c r="AC125" i="159"/>
  <c r="V125" i="159"/>
  <c r="AC124" i="159"/>
  <c r="V124" i="159"/>
  <c r="AC123" i="159"/>
  <c r="V123" i="159"/>
  <c r="AC122" i="159"/>
  <c r="V122" i="159"/>
  <c r="AC121" i="159"/>
  <c r="V121" i="159"/>
  <c r="AC120" i="159"/>
  <c r="V120" i="159"/>
  <c r="AC119" i="159"/>
  <c r="V119" i="159"/>
  <c r="AC118" i="159"/>
  <c r="V118" i="159"/>
  <c r="AC117" i="159"/>
  <c r="V117" i="159"/>
  <c r="AC116" i="159"/>
  <c r="V116" i="159"/>
  <c r="AC115" i="159"/>
  <c r="V115" i="159"/>
  <c r="AC114" i="159"/>
  <c r="V114" i="159"/>
  <c r="AC113" i="159"/>
  <c r="V113" i="159"/>
  <c r="AC112" i="159"/>
  <c r="V112" i="159"/>
  <c r="AC111" i="159"/>
  <c r="V111" i="159"/>
  <c r="AC110" i="159"/>
  <c r="V110" i="159"/>
  <c r="AC109" i="159"/>
  <c r="V109" i="159"/>
  <c r="AC108" i="159"/>
  <c r="V108" i="159"/>
  <c r="AC107" i="159"/>
  <c r="V107" i="159"/>
  <c r="AC106" i="159"/>
  <c r="V106" i="159"/>
  <c r="AC105" i="159"/>
  <c r="V105" i="159"/>
  <c r="AC104" i="159"/>
  <c r="V104" i="159"/>
  <c r="AC103" i="159"/>
  <c r="V103" i="159"/>
  <c r="AC102" i="159"/>
  <c r="V102" i="159"/>
  <c r="AC101" i="159"/>
  <c r="V101" i="159"/>
  <c r="AC100" i="159"/>
  <c r="V100" i="159"/>
  <c r="AC99" i="159"/>
  <c r="V99" i="159"/>
  <c r="AC98" i="159"/>
  <c r="V98" i="159"/>
  <c r="AC97" i="159"/>
  <c r="V97" i="159"/>
  <c r="AC96" i="159"/>
  <c r="V96" i="159"/>
  <c r="AC95" i="159"/>
  <c r="V95" i="159"/>
  <c r="AC94" i="159"/>
  <c r="V94" i="159"/>
  <c r="AC93" i="159"/>
  <c r="V93" i="159"/>
  <c r="AC92" i="159"/>
  <c r="V92" i="159"/>
  <c r="AC91" i="159"/>
  <c r="V91" i="159"/>
  <c r="AC90" i="159"/>
  <c r="V90" i="159"/>
  <c r="AC89" i="159"/>
  <c r="V89" i="159"/>
  <c r="AC88" i="159"/>
  <c r="V88" i="159"/>
  <c r="AC87" i="159"/>
  <c r="V87" i="159"/>
  <c r="AC86" i="159"/>
  <c r="V86" i="159"/>
  <c r="AC85" i="159"/>
  <c r="V85" i="159"/>
  <c r="AC84" i="159"/>
  <c r="V84" i="159"/>
  <c r="AC83" i="159"/>
  <c r="V83" i="159"/>
  <c r="AC82" i="159"/>
  <c r="V82" i="159"/>
  <c r="AC81" i="159"/>
  <c r="V81" i="159"/>
  <c r="AC80" i="159"/>
  <c r="V80" i="159"/>
  <c r="AC79" i="159"/>
  <c r="V79" i="159"/>
  <c r="AC78" i="159"/>
  <c r="V78" i="159"/>
  <c r="AC77" i="159"/>
  <c r="V77" i="159"/>
  <c r="AC76" i="159"/>
  <c r="V76" i="159"/>
  <c r="AC75" i="159"/>
  <c r="V75" i="159"/>
  <c r="AC74" i="159"/>
  <c r="V74" i="159"/>
  <c r="AC73" i="159"/>
  <c r="V73" i="159"/>
  <c r="AC72" i="159"/>
  <c r="V72" i="159"/>
  <c r="AC71" i="159"/>
  <c r="V71" i="159"/>
  <c r="AC70" i="159"/>
  <c r="V70" i="159"/>
  <c r="AC69" i="159"/>
  <c r="V69" i="159"/>
  <c r="AC68" i="159"/>
  <c r="V68" i="159"/>
  <c r="AC67" i="159"/>
  <c r="V67" i="159"/>
  <c r="AC66" i="159"/>
  <c r="V66" i="159"/>
  <c r="AC65" i="159"/>
  <c r="V65" i="159"/>
  <c r="AC64" i="159"/>
  <c r="V64" i="159"/>
  <c r="AC63" i="159"/>
  <c r="V63" i="159"/>
  <c r="AC62" i="159"/>
  <c r="V62" i="159"/>
  <c r="AC61" i="159"/>
  <c r="V61" i="159"/>
  <c r="AC60" i="159"/>
  <c r="V60" i="159"/>
  <c r="AC59" i="159"/>
  <c r="V59" i="159"/>
  <c r="AC58" i="159"/>
  <c r="V58" i="159"/>
  <c r="AC57" i="159"/>
  <c r="V57" i="159"/>
  <c r="AC56" i="159"/>
  <c r="V56" i="159"/>
  <c r="AC55" i="159"/>
  <c r="V55" i="159"/>
  <c r="AC54" i="159"/>
  <c r="V54" i="159"/>
  <c r="AC53" i="159"/>
  <c r="V53" i="159"/>
  <c r="AC52" i="159"/>
  <c r="V52" i="159"/>
  <c r="AC51" i="159"/>
  <c r="V51" i="159"/>
  <c r="Z50" i="159"/>
  <c r="AC50" i="159" s="1"/>
  <c r="V50" i="159"/>
  <c r="AC49" i="159"/>
  <c r="V49" i="159"/>
  <c r="AC48" i="159"/>
  <c r="V48" i="159"/>
  <c r="AC47" i="159"/>
  <c r="V47" i="159"/>
  <c r="AC46" i="159"/>
  <c r="V46" i="159"/>
  <c r="AC45" i="159"/>
  <c r="V45" i="159"/>
  <c r="Z44" i="159"/>
  <c r="V44" i="159"/>
  <c r="AC43" i="159"/>
  <c r="V43" i="159"/>
  <c r="AC42" i="159"/>
  <c r="V42" i="159"/>
  <c r="AC41" i="159"/>
  <c r="V41" i="159"/>
  <c r="AC40" i="159"/>
  <c r="V40" i="159"/>
  <c r="AC39" i="159"/>
  <c r="V39" i="159"/>
  <c r="Z38" i="159"/>
  <c r="AC38" i="159" s="1"/>
  <c r="V38" i="159"/>
  <c r="AC21" i="159"/>
  <c r="V21" i="159"/>
  <c r="AC20" i="159"/>
  <c r="V20" i="159"/>
  <c r="AC19" i="159"/>
  <c r="V19" i="159"/>
  <c r="AC18" i="159"/>
  <c r="V18" i="159"/>
  <c r="Z17" i="159"/>
  <c r="V17" i="159"/>
  <c r="AC16" i="159"/>
  <c r="V16" i="159"/>
  <c r="AC15" i="159"/>
  <c r="V15" i="159"/>
  <c r="AC14" i="159"/>
  <c r="V14" i="159"/>
  <c r="AC13" i="159"/>
  <c r="V13" i="159"/>
  <c r="AC12" i="159"/>
  <c r="V12" i="159"/>
  <c r="Z11" i="159"/>
  <c r="AC11" i="159" s="1"/>
  <c r="V11" i="159"/>
  <c r="AC10" i="159"/>
  <c r="V10" i="159"/>
  <c r="AC9" i="159"/>
  <c r="V9" i="159"/>
  <c r="AC8" i="159"/>
  <c r="V8" i="159"/>
  <c r="AC7" i="159"/>
  <c r="V7" i="159"/>
  <c r="AC6" i="159"/>
  <c r="V6" i="159"/>
  <c r="AC5" i="159"/>
  <c r="V5" i="159"/>
  <c r="Z4" i="159"/>
  <c r="AC4" i="159" s="1"/>
  <c r="V4" i="159"/>
  <c r="R533" i="138"/>
  <c r="M9" i="159" l="1"/>
  <c r="D11" i="159"/>
  <c r="AC340" i="159"/>
  <c r="M17" i="159"/>
  <c r="M13" i="159"/>
  <c r="M6" i="159"/>
  <c r="AC338" i="159"/>
  <c r="M15" i="159"/>
  <c r="AC333" i="159"/>
  <c r="D15" i="159"/>
  <c r="M5" i="159"/>
  <c r="D7" i="159"/>
  <c r="J14" i="159"/>
  <c r="J6" i="159"/>
  <c r="C8" i="159"/>
  <c r="C12" i="159"/>
  <c r="C16" i="159"/>
  <c r="J13" i="159"/>
  <c r="J5" i="159"/>
  <c r="D12" i="159"/>
  <c r="C9" i="159"/>
  <c r="C13" i="159"/>
  <c r="C17" i="159"/>
  <c r="C5" i="159"/>
  <c r="J4" i="159"/>
  <c r="J10" i="159"/>
  <c r="C10" i="159"/>
  <c r="C14" i="159"/>
  <c r="C6" i="159"/>
  <c r="M4" i="159"/>
  <c r="M14" i="159"/>
  <c r="M10" i="159"/>
  <c r="J17" i="159"/>
  <c r="J9" i="159"/>
  <c r="D16" i="159"/>
  <c r="D8" i="159"/>
  <c r="C7" i="159"/>
  <c r="C11" i="159"/>
  <c r="E11" i="159" s="1"/>
  <c r="C15" i="159"/>
  <c r="E12" i="159"/>
  <c r="M20" i="159"/>
  <c r="M7" i="159"/>
  <c r="R406" i="159"/>
  <c r="C20" i="159" s="1"/>
  <c r="J16" i="159"/>
  <c r="J12" i="159"/>
  <c r="J8" i="159"/>
  <c r="D14" i="159"/>
  <c r="D10" i="159"/>
  <c r="D6" i="159"/>
  <c r="M11" i="159"/>
  <c r="J15" i="159"/>
  <c r="J11" i="159"/>
  <c r="J7" i="159"/>
  <c r="D17" i="159"/>
  <c r="E17" i="159" s="1"/>
  <c r="D13" i="159"/>
  <c r="D9" i="159"/>
  <c r="E9" i="159" s="1"/>
  <c r="D5" i="159"/>
  <c r="F18" i="159"/>
  <c r="H18" i="159"/>
  <c r="K18" i="159"/>
  <c r="M16" i="159"/>
  <c r="M12" i="159"/>
  <c r="M8" i="159"/>
  <c r="L18" i="159"/>
  <c r="N18" i="159"/>
  <c r="AB406" i="159"/>
  <c r="Z406" i="159"/>
  <c r="AC240" i="159"/>
  <c r="AC281" i="159"/>
  <c r="AC17" i="159"/>
  <c r="AC182" i="159"/>
  <c r="AC192" i="159"/>
  <c r="AC258" i="159"/>
  <c r="AC201" i="159"/>
  <c r="AC249" i="159"/>
  <c r="AC44" i="159"/>
  <c r="AC301" i="159"/>
  <c r="AC193" i="159"/>
  <c r="AC227" i="159"/>
  <c r="V227" i="159"/>
  <c r="V406" i="159" s="1"/>
  <c r="AC219" i="159"/>
  <c r="AC291" i="159"/>
  <c r="AC337" i="159"/>
  <c r="AC332" i="159"/>
  <c r="R534" i="138"/>
  <c r="R535" i="138"/>
  <c r="R536" i="138"/>
  <c r="R537" i="138"/>
  <c r="R538" i="138"/>
  <c r="R539" i="138"/>
  <c r="E8" i="159" l="1"/>
  <c r="J18" i="159"/>
  <c r="E4" i="159"/>
  <c r="E7" i="159"/>
  <c r="E15" i="159"/>
  <c r="E16" i="159"/>
  <c r="M18" i="159"/>
  <c r="C18" i="159"/>
  <c r="E6" i="159"/>
  <c r="E13" i="159"/>
  <c r="D18" i="159"/>
  <c r="E14" i="159"/>
  <c r="E5" i="159"/>
  <c r="E10" i="159"/>
  <c r="AC406" i="159"/>
  <c r="N544" i="138"/>
  <c r="G544" i="138"/>
  <c r="N543" i="138"/>
  <c r="G543" i="138"/>
  <c r="N542" i="138"/>
  <c r="G542" i="138"/>
  <c r="E19" i="159" l="1"/>
  <c r="E18" i="159"/>
  <c r="H79" i="158"/>
  <c r="J76" i="158" l="1"/>
  <c r="N539" i="138" l="1"/>
  <c r="G539" i="138"/>
  <c r="N538" i="138"/>
  <c r="G538" i="138"/>
  <c r="N537" i="138"/>
  <c r="G537" i="138"/>
  <c r="N536" i="138"/>
  <c r="G536" i="138"/>
  <c r="N535" i="138"/>
  <c r="G535" i="138"/>
  <c r="N534" i="138"/>
  <c r="G534" i="138"/>
  <c r="N533" i="138"/>
  <c r="G533" i="138"/>
  <c r="L38" i="157" l="1"/>
  <c r="L5" i="157"/>
  <c r="K25" i="157"/>
  <c r="H75" i="158" l="1"/>
  <c r="N531" i="138" l="1"/>
  <c r="G531" i="138"/>
  <c r="N530" i="138"/>
  <c r="G530" i="138"/>
  <c r="N529" i="138"/>
  <c r="G529" i="138"/>
  <c r="N528" i="138"/>
  <c r="G528" i="138"/>
  <c r="N527" i="138"/>
  <c r="G527" i="138"/>
  <c r="N526" i="138"/>
  <c r="G526" i="138"/>
  <c r="N525" i="138"/>
  <c r="G525" i="138"/>
  <c r="N523" i="138" l="1"/>
  <c r="G523" i="138"/>
  <c r="N522" i="138"/>
  <c r="G522" i="138"/>
  <c r="N521" i="138"/>
  <c r="G521" i="138"/>
  <c r="N520" i="138"/>
  <c r="G520" i="138"/>
  <c r="N519" i="138"/>
  <c r="G519" i="138"/>
  <c r="N518" i="138"/>
  <c r="G518" i="138"/>
  <c r="N517" i="138"/>
  <c r="G517" i="138"/>
  <c r="N515" i="138" l="1"/>
  <c r="G515" i="138"/>
  <c r="N514" i="138"/>
  <c r="G514" i="138"/>
  <c r="N513" i="138"/>
  <c r="G513" i="138"/>
  <c r="N512" i="138"/>
  <c r="G512" i="138"/>
  <c r="N511" i="138"/>
  <c r="G511" i="138"/>
  <c r="N510" i="138"/>
  <c r="G510" i="138"/>
  <c r="N509" i="138"/>
  <c r="G509" i="138"/>
  <c r="E46" i="158" l="1"/>
  <c r="E48" i="158" s="1"/>
  <c r="E62" i="158"/>
  <c r="E64" i="158" s="1"/>
  <c r="H76" i="158" s="1"/>
  <c r="E30" i="158"/>
  <c r="E32" i="158" s="1"/>
  <c r="E14" i="158"/>
  <c r="E16" i="158" s="1"/>
  <c r="G496" i="138" l="1"/>
  <c r="G495" i="138"/>
  <c r="G494" i="138"/>
  <c r="G493" i="138"/>
  <c r="G492" i="138"/>
  <c r="G491" i="138"/>
  <c r="G490" i="138"/>
  <c r="N36" i="157" l="1"/>
  <c r="N35" i="157"/>
  <c r="N34" i="157"/>
  <c r="J32" i="157"/>
  <c r="K32" i="157" s="1"/>
  <c r="L31" i="157"/>
  <c r="H31" i="157"/>
  <c r="F31" i="157"/>
  <c r="L30" i="157"/>
  <c r="N30" i="157" s="1"/>
  <c r="H30" i="157"/>
  <c r="F30" i="157"/>
  <c r="L29" i="157"/>
  <c r="N29" i="157" s="1"/>
  <c r="H29" i="157"/>
  <c r="F29" i="157"/>
  <c r="L28" i="157"/>
  <c r="N28" i="157" s="1"/>
  <c r="H28" i="157"/>
  <c r="F28" i="157"/>
  <c r="L27" i="157"/>
  <c r="H27" i="157"/>
  <c r="F27" i="157"/>
  <c r="L26" i="157"/>
  <c r="H26" i="157"/>
  <c r="F26" i="157"/>
  <c r="L25" i="157"/>
  <c r="H25" i="157"/>
  <c r="D25" i="157"/>
  <c r="D32" i="157" s="1"/>
  <c r="E32" i="157" s="1"/>
  <c r="K12" i="157"/>
  <c r="K5" i="157"/>
  <c r="D5" i="157"/>
  <c r="E5" i="157" s="1"/>
  <c r="J12" i="157"/>
  <c r="N16" i="157"/>
  <c r="N15" i="157"/>
  <c r="N14" i="157"/>
  <c r="H5" i="157"/>
  <c r="H6" i="157"/>
  <c r="H7" i="157"/>
  <c r="H8" i="157"/>
  <c r="H9" i="157"/>
  <c r="H10" i="157"/>
  <c r="H11" i="157"/>
  <c r="F11" i="157"/>
  <c r="F10" i="157"/>
  <c r="F9" i="157"/>
  <c r="F8" i="157"/>
  <c r="F7" i="157"/>
  <c r="F6" i="157"/>
  <c r="D12" i="157"/>
  <c r="E12" i="157" s="1"/>
  <c r="L6" i="157"/>
  <c r="N6" i="157" s="1"/>
  <c r="L7" i="157"/>
  <c r="N7" i="157" s="1"/>
  <c r="L8" i="157"/>
  <c r="N8" i="157" s="1"/>
  <c r="L9" i="157"/>
  <c r="N9" i="157" s="1"/>
  <c r="L11" i="157"/>
  <c r="L10" i="157"/>
  <c r="N10" i="157" s="1"/>
  <c r="F5" i="157" l="1"/>
  <c r="N27" i="157"/>
  <c r="L12" i="157"/>
  <c r="L18" i="157" s="1"/>
  <c r="N26" i="157"/>
  <c r="N31" i="157"/>
  <c r="N11" i="157"/>
  <c r="L32" i="157"/>
  <c r="E25" i="157"/>
  <c r="F25" i="157"/>
  <c r="F32" i="157" s="1"/>
  <c r="F37" i="157" s="1"/>
  <c r="N5" i="157"/>
  <c r="F12" i="157"/>
  <c r="F17" i="157" s="1"/>
  <c r="N12" i="157"/>
  <c r="N17" i="157" s="1"/>
  <c r="N25" i="157" l="1"/>
  <c r="N32" i="157" s="1"/>
  <c r="N37" i="157" s="1"/>
  <c r="N488" i="138" l="1"/>
  <c r="G488" i="138"/>
  <c r="N487" i="138"/>
  <c r="G487" i="138"/>
  <c r="N486" i="138"/>
  <c r="G486" i="138"/>
  <c r="N485" i="138"/>
  <c r="G485" i="138"/>
  <c r="N484" i="138"/>
  <c r="G484" i="138"/>
  <c r="N483" i="138"/>
  <c r="G483" i="138"/>
  <c r="N482" i="138"/>
  <c r="G482" i="138"/>
  <c r="N480" i="138" l="1"/>
  <c r="G480" i="138"/>
  <c r="N479" i="138"/>
  <c r="G479" i="138"/>
  <c r="N478" i="138"/>
  <c r="G478" i="138"/>
  <c r="N477" i="138"/>
  <c r="G477" i="138"/>
  <c r="N476" i="138"/>
  <c r="G476" i="138"/>
  <c r="N475" i="138"/>
  <c r="G475" i="138"/>
  <c r="N474" i="138"/>
  <c r="G474" i="138"/>
  <c r="N472" i="138"/>
  <c r="G472" i="138"/>
  <c r="N471" i="138"/>
  <c r="G471" i="138"/>
  <c r="N470" i="138"/>
  <c r="G470" i="138"/>
  <c r="N469" i="138"/>
  <c r="G469" i="138"/>
  <c r="N468" i="138"/>
  <c r="G468" i="138"/>
  <c r="N467" i="138"/>
  <c r="G467" i="138"/>
  <c r="N466" i="138"/>
  <c r="G466" i="138"/>
  <c r="M545" i="138"/>
  <c r="L545" i="138"/>
  <c r="K545" i="138"/>
  <c r="J545" i="138"/>
  <c r="I545" i="138"/>
  <c r="H545" i="138"/>
  <c r="F545" i="138"/>
  <c r="E545" i="138"/>
  <c r="D545" i="138"/>
  <c r="C545" i="138"/>
  <c r="N545" i="138"/>
  <c r="G545" i="138" l="1"/>
  <c r="E62" i="156"/>
  <c r="E46" i="156"/>
  <c r="E48" i="156" s="1"/>
  <c r="H70" i="156"/>
  <c r="E30" i="156"/>
  <c r="E32" i="156" s="1"/>
  <c r="E14" i="156"/>
  <c r="E16" i="156" s="1"/>
  <c r="H71" i="156" l="1"/>
  <c r="M453" i="138"/>
  <c r="M452" i="138"/>
  <c r="M451" i="138"/>
  <c r="M450" i="138"/>
  <c r="H450" i="138"/>
  <c r="M449" i="138"/>
  <c r="M448" i="138"/>
  <c r="M447" i="138"/>
  <c r="M446" i="138"/>
  <c r="M445" i="138"/>
  <c r="J28" i="154" l="1"/>
  <c r="J27" i="154"/>
  <c r="J26" i="154"/>
  <c r="M30" i="154" l="1"/>
  <c r="K30" i="154"/>
  <c r="M25" i="154"/>
  <c r="K25" i="154"/>
  <c r="I33" i="154" l="1"/>
  <c r="K33" i="154"/>
  <c r="M33" i="154"/>
  <c r="O33" i="154"/>
  <c r="E42" i="154" l="1"/>
  <c r="E35" i="154"/>
  <c r="J25" i="154"/>
  <c r="H33" i="154" l="1"/>
  <c r="J33" i="154" s="1"/>
  <c r="O31" i="154"/>
  <c r="H31" i="154" s="1"/>
  <c r="O32" i="154"/>
  <c r="H32" i="154" s="1"/>
  <c r="J32" i="154" s="1"/>
  <c r="S48" i="154"/>
  <c r="O30" i="154" l="1"/>
  <c r="H30" i="154" s="1"/>
  <c r="J30" i="154" s="1"/>
  <c r="I29" i="154"/>
  <c r="I28" i="154"/>
  <c r="I27" i="154"/>
  <c r="I26" i="154"/>
  <c r="M26" i="154" s="1"/>
  <c r="I25" i="154"/>
  <c r="E16" i="154" l="1"/>
  <c r="E18" i="154" s="1"/>
  <c r="J31" i="154" l="1"/>
  <c r="I31" i="154"/>
  <c r="I30" i="154"/>
  <c r="J29" i="154"/>
  <c r="M28" i="154"/>
  <c r="M27" i="154"/>
  <c r="M29" i="154" l="1"/>
  <c r="M31" i="154"/>
  <c r="I32" i="154"/>
  <c r="M32" i="154" l="1"/>
  <c r="I55" i="154" l="1"/>
  <c r="E34" i="154"/>
  <c r="E36" i="154" s="1"/>
  <c r="E43" i="154" s="1"/>
  <c r="M414" i="138" l="1"/>
  <c r="C423" i="138"/>
  <c r="D423" i="138"/>
  <c r="E423" i="138"/>
  <c r="F423" i="138"/>
  <c r="M403" i="138" l="1"/>
  <c r="M392" i="138" l="1"/>
  <c r="M381" i="138" l="1"/>
  <c r="G367" i="138" l="1"/>
  <c r="N368" i="138"/>
  <c r="N367" i="138"/>
  <c r="N366" i="138"/>
  <c r="N365" i="138"/>
  <c r="N364" i="138"/>
  <c r="N363" i="138"/>
  <c r="N362" i="138"/>
  <c r="N361" i="138"/>
  <c r="N360" i="138"/>
  <c r="N359" i="138"/>
  <c r="H83" i="153" l="1"/>
  <c r="H84" i="153" s="1"/>
  <c r="E73" i="153"/>
  <c r="E75" i="153" s="1"/>
  <c r="E55" i="153"/>
  <c r="E57" i="153" s="1"/>
  <c r="H54" i="153" s="1"/>
  <c r="E36" i="153"/>
  <c r="E38" i="153" s="1"/>
  <c r="E17" i="153"/>
  <c r="E19" i="153" s="1"/>
  <c r="N356" i="138" l="1"/>
  <c r="G356" i="138"/>
  <c r="M348" i="138"/>
  <c r="M338" i="138"/>
  <c r="M318" i="138" l="1"/>
  <c r="M328" i="138"/>
  <c r="E73" i="152" l="1"/>
  <c r="E75" i="152" s="1"/>
  <c r="E92" i="152"/>
  <c r="H100" i="152"/>
  <c r="E52" i="152"/>
  <c r="E54" i="152" s="1"/>
  <c r="E34" i="152"/>
  <c r="E36" i="152" s="1"/>
  <c r="E16" i="152"/>
  <c r="E18" i="152" s="1"/>
  <c r="H101" i="152" l="1"/>
  <c r="D305" i="138"/>
  <c r="C305" i="138"/>
  <c r="G304" i="138"/>
  <c r="G303" i="138"/>
  <c r="G302" i="138"/>
  <c r="G301" i="138"/>
  <c r="G300" i="138"/>
  <c r="G299" i="138"/>
  <c r="G298" i="138"/>
  <c r="M297" i="138"/>
  <c r="G297" i="138"/>
  <c r="M287" i="138"/>
  <c r="M277" i="138"/>
  <c r="M268" i="138"/>
  <c r="G305" i="138" l="1"/>
  <c r="H75" i="150"/>
  <c r="K260" i="138" l="1"/>
  <c r="N254" i="138"/>
  <c r="M248" i="138"/>
  <c r="G254" i="138"/>
  <c r="H79" i="151"/>
  <c r="E69" i="151"/>
  <c r="E71" i="151" s="1"/>
  <c r="E51" i="151"/>
  <c r="E53" i="151" s="1"/>
  <c r="E33" i="151"/>
  <c r="E35" i="151" s="1"/>
  <c r="E15" i="151"/>
  <c r="E17" i="151" s="1"/>
  <c r="H80" i="151" l="1"/>
  <c r="N245" i="138" l="1"/>
  <c r="G239" i="138"/>
  <c r="G245" i="138"/>
  <c r="N235" i="138" l="1"/>
  <c r="G235" i="138"/>
  <c r="E65" i="150" l="1"/>
  <c r="E67" i="150" s="1"/>
  <c r="E48" i="150"/>
  <c r="E50" i="150" s="1"/>
  <c r="E31" i="150"/>
  <c r="E33" i="150" s="1"/>
  <c r="E14" i="150"/>
  <c r="E16" i="150" s="1"/>
  <c r="H76" i="150" l="1"/>
  <c r="N207" i="138"/>
  <c r="N208" i="138"/>
  <c r="G207" i="138"/>
  <c r="G208" i="138"/>
  <c r="N200" i="138" l="1"/>
  <c r="N201" i="138"/>
  <c r="G199" i="138"/>
  <c r="G200" i="138"/>
  <c r="G201" i="138"/>
  <c r="N192" i="138" l="1"/>
  <c r="G192" i="138"/>
  <c r="N183" i="138" l="1"/>
  <c r="N184" i="138"/>
  <c r="N185" i="138"/>
  <c r="G184" i="138" l="1"/>
  <c r="N176" i="138" l="1"/>
  <c r="G176" i="138"/>
  <c r="M202" i="138"/>
  <c r="L202" i="138"/>
  <c r="K202" i="138"/>
  <c r="J202" i="138"/>
  <c r="I202" i="138"/>
  <c r="H202" i="138"/>
  <c r="F202" i="138"/>
  <c r="E202" i="138"/>
  <c r="D202" i="138"/>
  <c r="C202" i="138"/>
  <c r="N199" i="138"/>
  <c r="N198" i="138"/>
  <c r="G198" i="138"/>
  <c r="N197" i="138"/>
  <c r="G197" i="138"/>
  <c r="N196" i="138"/>
  <c r="G196" i="138"/>
  <c r="N195" i="138"/>
  <c r="G195" i="138"/>
  <c r="N202" i="138" l="1"/>
  <c r="G202" i="138"/>
  <c r="E78" i="149"/>
  <c r="H86" i="149"/>
  <c r="E62" i="149"/>
  <c r="E64" i="149" s="1"/>
  <c r="E46" i="149"/>
  <c r="E48" i="149" s="1"/>
  <c r="E30" i="149"/>
  <c r="E32" i="149" s="1"/>
  <c r="E14" i="149"/>
  <c r="E16" i="149" s="1"/>
  <c r="H87" i="149" l="1"/>
  <c r="G157" i="138"/>
  <c r="N157" i="138"/>
  <c r="N149" i="138" l="1"/>
  <c r="G149" i="138"/>
  <c r="G135" i="138" l="1"/>
  <c r="G134" i="138"/>
  <c r="N135" i="138"/>
  <c r="G142" i="138"/>
  <c r="N142" i="138"/>
  <c r="G150" i="138"/>
  <c r="N150" i="138"/>
  <c r="G133" i="138"/>
  <c r="G132" i="138"/>
  <c r="G131" i="138"/>
  <c r="H72" i="148"/>
  <c r="E62" i="148"/>
  <c r="E64" i="148" s="1"/>
  <c r="H73" i="148" s="1"/>
  <c r="E44" i="148"/>
  <c r="E46" i="148" s="1"/>
  <c r="E28" i="148"/>
  <c r="E30" i="148" s="1"/>
  <c r="E13" i="148"/>
  <c r="E15" i="148" s="1"/>
  <c r="G103" i="138" l="1"/>
  <c r="G110" i="138"/>
  <c r="G117" i="138"/>
  <c r="N102" i="138"/>
  <c r="G102" i="138"/>
  <c r="N109" i="138"/>
  <c r="G109" i="138"/>
  <c r="N116" i="138"/>
  <c r="G116" i="138"/>
  <c r="G101" i="138"/>
  <c r="G108" i="138"/>
  <c r="G115" i="138"/>
  <c r="G100" i="138"/>
  <c r="G107" i="138"/>
  <c r="G114" i="138"/>
  <c r="G99" i="138"/>
  <c r="N106" i="138"/>
  <c r="G106" i="138"/>
  <c r="N113" i="138"/>
  <c r="G113" i="138"/>
  <c r="N117" i="138"/>
  <c r="N115" i="138"/>
  <c r="N114" i="138"/>
  <c r="N112" i="138"/>
  <c r="N110" i="138"/>
  <c r="N108" i="138"/>
  <c r="N107" i="138"/>
  <c r="N105" i="138"/>
  <c r="N103" i="138"/>
  <c r="N101" i="138"/>
  <c r="N100" i="138"/>
  <c r="N99" i="138"/>
  <c r="N98" i="138"/>
  <c r="N104" i="138" l="1"/>
  <c r="E67" i="147"/>
  <c r="E52" i="147" l="1"/>
  <c r="G96" i="138" l="1"/>
  <c r="G89" i="138"/>
  <c r="G71" i="138"/>
  <c r="G64" i="138"/>
  <c r="G63" i="138"/>
  <c r="G70" i="138"/>
  <c r="G88" i="138"/>
  <c r="G95" i="138"/>
  <c r="G62" i="138"/>
  <c r="G69" i="138"/>
  <c r="G87" i="138"/>
  <c r="G94" i="138"/>
  <c r="G61" i="138"/>
  <c r="G68" i="138"/>
  <c r="G86" i="138"/>
  <c r="G93" i="138"/>
  <c r="G60" i="138"/>
  <c r="G67" i="138"/>
  <c r="G85" i="138"/>
  <c r="K59" i="138"/>
  <c r="N59" i="138" s="1"/>
  <c r="G59" i="138"/>
  <c r="K66" i="138"/>
  <c r="N66" i="138" s="1"/>
  <c r="G66" i="138"/>
  <c r="G158" i="138"/>
  <c r="G156" i="138"/>
  <c r="G155" i="138"/>
  <c r="G154" i="138"/>
  <c r="G153" i="138"/>
  <c r="G152" i="138"/>
  <c r="G112" i="138"/>
  <c r="G105" i="138"/>
  <c r="G98" i="138"/>
  <c r="E58" i="147" l="1"/>
  <c r="E60" i="147" s="1"/>
  <c r="E73" i="147"/>
  <c r="H82" i="147" s="1"/>
  <c r="H81" i="147"/>
  <c r="E43" i="147"/>
  <c r="E45" i="147" s="1"/>
  <c r="E28" i="147"/>
  <c r="E30" i="147" s="1"/>
  <c r="E13" i="147"/>
  <c r="E15" i="147" s="1"/>
  <c r="K52" i="138" l="1"/>
  <c r="G52" i="138"/>
  <c r="K45" i="138"/>
  <c r="G45" i="138"/>
  <c r="K27" i="138"/>
  <c r="G27" i="138"/>
  <c r="K20" i="138"/>
  <c r="G20" i="138"/>
  <c r="K13" i="138"/>
  <c r="G13" i="138"/>
  <c r="K5" i="138"/>
  <c r="G53" i="138"/>
  <c r="G46" i="138"/>
  <c r="G28" i="138"/>
  <c r="G21" i="138"/>
  <c r="G14" i="138"/>
  <c r="G54" i="138"/>
  <c r="G47" i="138"/>
  <c r="G29" i="138"/>
  <c r="G22" i="138"/>
  <c r="G15" i="138"/>
  <c r="N55" i="138"/>
  <c r="G55" i="138"/>
  <c r="N48" i="138"/>
  <c r="G48" i="138"/>
  <c r="N30" i="138"/>
  <c r="G30" i="138"/>
  <c r="N23" i="138"/>
  <c r="G23" i="138"/>
  <c r="N16" i="138"/>
  <c r="G16" i="138"/>
  <c r="N8" i="138"/>
  <c r="G5" i="138"/>
  <c r="G6" i="138"/>
  <c r="G7" i="138"/>
  <c r="G8" i="138"/>
  <c r="N49" i="138" l="1"/>
  <c r="G49" i="138"/>
  <c r="N31" i="138"/>
  <c r="G31" i="138"/>
  <c r="N24" i="138"/>
  <c r="G24" i="138"/>
  <c r="G17" i="138"/>
  <c r="N17" i="138"/>
  <c r="N10" i="138"/>
  <c r="G10" i="138"/>
  <c r="N6" i="138" l="1"/>
  <c r="E28" i="146" l="1"/>
  <c r="H68" i="146" l="1"/>
  <c r="E58" i="146"/>
  <c r="E60" i="146" s="1"/>
  <c r="E43" i="146"/>
  <c r="E45" i="146" s="1"/>
  <c r="E30" i="146"/>
  <c r="E13" i="146"/>
  <c r="E15" i="146" s="1"/>
  <c r="H69" i="146" l="1"/>
  <c r="M516" i="138" l="1"/>
  <c r="L516" i="138"/>
  <c r="K516" i="138"/>
  <c r="J516" i="138"/>
  <c r="I516" i="138"/>
  <c r="H516" i="138"/>
  <c r="F516" i="138"/>
  <c r="E516" i="138"/>
  <c r="D516" i="138"/>
  <c r="C516" i="138"/>
  <c r="C502" i="138"/>
  <c r="M497" i="138"/>
  <c r="L497" i="138"/>
  <c r="K497" i="138"/>
  <c r="J497" i="138"/>
  <c r="I497" i="138"/>
  <c r="H497" i="138"/>
  <c r="F497" i="138"/>
  <c r="E497" i="138"/>
  <c r="D497" i="138"/>
  <c r="M489" i="138"/>
  <c r="L489" i="138"/>
  <c r="K489" i="138"/>
  <c r="J489" i="138"/>
  <c r="I489" i="138"/>
  <c r="H489" i="138"/>
  <c r="F489" i="138"/>
  <c r="E489" i="138"/>
  <c r="D489" i="138"/>
  <c r="C489" i="138"/>
  <c r="I481" i="138"/>
  <c r="H481" i="138"/>
  <c r="F481" i="138"/>
  <c r="E481" i="138"/>
  <c r="D481" i="138"/>
  <c r="C481" i="138"/>
  <c r="M473" i="138"/>
  <c r="L473" i="138"/>
  <c r="K473" i="138"/>
  <c r="J473" i="138"/>
  <c r="I473" i="138"/>
  <c r="H473" i="138"/>
  <c r="F473" i="138"/>
  <c r="E473" i="138"/>
  <c r="D473" i="138"/>
  <c r="C473" i="138"/>
  <c r="C459" i="138"/>
  <c r="M502" i="138"/>
  <c r="L502" i="138"/>
  <c r="K502" i="138"/>
  <c r="J502" i="138"/>
  <c r="I502" i="138"/>
  <c r="H502" i="138"/>
  <c r="F502" i="138"/>
  <c r="E502" i="138"/>
  <c r="D502" i="138"/>
  <c r="N501" i="138"/>
  <c r="G501" i="138"/>
  <c r="N500" i="138"/>
  <c r="G500" i="138"/>
  <c r="N499" i="138"/>
  <c r="G499" i="138"/>
  <c r="M459" i="138"/>
  <c r="L459" i="138"/>
  <c r="K459" i="138"/>
  <c r="J459" i="138"/>
  <c r="I459" i="138"/>
  <c r="H459" i="138"/>
  <c r="F459" i="138"/>
  <c r="E459" i="138"/>
  <c r="D459" i="138"/>
  <c r="N458" i="138"/>
  <c r="G458" i="138"/>
  <c r="N457" i="138"/>
  <c r="G457" i="138"/>
  <c r="N456" i="138"/>
  <c r="G456" i="138"/>
  <c r="M423" i="138"/>
  <c r="L423" i="138"/>
  <c r="K423" i="138"/>
  <c r="J423" i="138"/>
  <c r="I423" i="138"/>
  <c r="H423" i="138"/>
  <c r="M413" i="138"/>
  <c r="L413" i="138"/>
  <c r="K413" i="138"/>
  <c r="J413" i="138"/>
  <c r="I413" i="138"/>
  <c r="H413" i="138"/>
  <c r="F413" i="138"/>
  <c r="E413" i="138"/>
  <c r="D413" i="138"/>
  <c r="C413" i="138"/>
  <c r="M402" i="138"/>
  <c r="L402" i="138"/>
  <c r="K402" i="138"/>
  <c r="J402" i="138"/>
  <c r="I402" i="138"/>
  <c r="H402" i="138"/>
  <c r="F402" i="138"/>
  <c r="E402" i="138"/>
  <c r="D402" i="138"/>
  <c r="M391" i="138"/>
  <c r="L391" i="138"/>
  <c r="K391" i="138"/>
  <c r="J391" i="138"/>
  <c r="I391" i="138"/>
  <c r="H391" i="138"/>
  <c r="F391" i="138"/>
  <c r="E391" i="138"/>
  <c r="D391" i="138"/>
  <c r="C391" i="138"/>
  <c r="I369" i="138"/>
  <c r="M369" i="138"/>
  <c r="L369" i="138"/>
  <c r="K369" i="138"/>
  <c r="J369" i="138"/>
  <c r="H369" i="138"/>
  <c r="F369" i="138"/>
  <c r="E369" i="138"/>
  <c r="D369" i="138"/>
  <c r="C369" i="138"/>
  <c r="M358" i="138"/>
  <c r="L358" i="138"/>
  <c r="K358" i="138"/>
  <c r="J358" i="138"/>
  <c r="I358" i="138"/>
  <c r="H358" i="138"/>
  <c r="F358" i="138"/>
  <c r="E358" i="138"/>
  <c r="D358" i="138"/>
  <c r="C358" i="138"/>
  <c r="M347" i="138"/>
  <c r="L347" i="138"/>
  <c r="K347" i="138"/>
  <c r="J347" i="138"/>
  <c r="I347" i="138"/>
  <c r="H347" i="138"/>
  <c r="F347" i="138"/>
  <c r="E347" i="138"/>
  <c r="D347" i="138"/>
  <c r="C347" i="138"/>
  <c r="E337" i="138"/>
  <c r="M337" i="138"/>
  <c r="L337" i="138"/>
  <c r="K337" i="138"/>
  <c r="J337" i="138"/>
  <c r="I337" i="138"/>
  <c r="H337" i="138"/>
  <c r="F337" i="138"/>
  <c r="D337" i="138"/>
  <c r="C337" i="138"/>
  <c r="L327" i="138"/>
  <c r="K327" i="138"/>
  <c r="J327" i="138"/>
  <c r="I327" i="138"/>
  <c r="H327" i="138"/>
  <c r="F327" i="138"/>
  <c r="E327" i="138"/>
  <c r="D327" i="138"/>
  <c r="C327" i="138"/>
  <c r="L306" i="138"/>
  <c r="K306" i="138"/>
  <c r="J306" i="138"/>
  <c r="I306" i="138"/>
  <c r="H306" i="138"/>
  <c r="F306" i="138"/>
  <c r="E306" i="138"/>
  <c r="D306" i="138"/>
  <c r="C306" i="138"/>
  <c r="L296" i="138"/>
  <c r="K296" i="138"/>
  <c r="J296" i="138"/>
  <c r="I296" i="138"/>
  <c r="H296" i="138"/>
  <c r="F296" i="138"/>
  <c r="E296" i="138"/>
  <c r="D296" i="138"/>
  <c r="C296" i="138"/>
  <c r="K286" i="138"/>
  <c r="J286" i="138"/>
  <c r="I286" i="138"/>
  <c r="H286" i="138"/>
  <c r="F286" i="138"/>
  <c r="E286" i="138"/>
  <c r="D286" i="138"/>
  <c r="C286" i="138"/>
  <c r="M276" i="138"/>
  <c r="L276" i="138"/>
  <c r="K276" i="138"/>
  <c r="J276" i="138"/>
  <c r="I276" i="138"/>
  <c r="H276" i="138"/>
  <c r="F276" i="138"/>
  <c r="E276" i="138"/>
  <c r="D276" i="138"/>
  <c r="C276" i="138"/>
  <c r="C261" i="138"/>
  <c r="F261" i="138"/>
  <c r="K256" i="138"/>
  <c r="D247" i="138"/>
  <c r="C256" i="138"/>
  <c r="L256" i="138"/>
  <c r="E247" i="138"/>
  <c r="H238" i="138"/>
  <c r="M229" i="138"/>
  <c r="C229" i="138"/>
  <c r="C215" i="138"/>
  <c r="L210" i="138"/>
  <c r="I194" i="138"/>
  <c r="C178" i="138"/>
  <c r="L151" i="138"/>
  <c r="H143" i="138"/>
  <c r="C136" i="138"/>
  <c r="C123" i="138"/>
  <c r="I123" i="138"/>
  <c r="G122" i="138"/>
  <c r="G121" i="138"/>
  <c r="G120" i="138"/>
  <c r="L97" i="138"/>
  <c r="K90" i="138"/>
  <c r="C90" i="138"/>
  <c r="G76" i="138"/>
  <c r="G75" i="138"/>
  <c r="G74" i="138"/>
  <c r="L58" i="138"/>
  <c r="D58" i="138"/>
  <c r="C65" i="138"/>
  <c r="C51" i="138"/>
  <c r="N37" i="138"/>
  <c r="N35" i="138"/>
  <c r="N36" i="138"/>
  <c r="C33" i="138"/>
  <c r="C26" i="138"/>
  <c r="M12" i="138"/>
  <c r="L12" i="138"/>
  <c r="K12" i="138"/>
  <c r="J12" i="138"/>
  <c r="I12" i="138"/>
  <c r="H12" i="138"/>
  <c r="F12" i="138"/>
  <c r="E12" i="138"/>
  <c r="D12" i="138"/>
  <c r="C12" i="138"/>
  <c r="M428" i="138"/>
  <c r="L428" i="138"/>
  <c r="K428" i="138"/>
  <c r="J428" i="138"/>
  <c r="I428" i="138"/>
  <c r="H428" i="138"/>
  <c r="F428" i="138"/>
  <c r="E428" i="138"/>
  <c r="D428" i="138"/>
  <c r="C428" i="138"/>
  <c r="N427" i="138"/>
  <c r="G427" i="138"/>
  <c r="N426" i="138"/>
  <c r="G426" i="138"/>
  <c r="N425" i="138"/>
  <c r="G425" i="138"/>
  <c r="N375" i="138"/>
  <c r="M374" i="138"/>
  <c r="L374" i="138"/>
  <c r="K374" i="138"/>
  <c r="J374" i="138"/>
  <c r="I374" i="138"/>
  <c r="H374" i="138"/>
  <c r="F374" i="138"/>
  <c r="E374" i="138"/>
  <c r="D374" i="138"/>
  <c r="C374" i="138"/>
  <c r="N373" i="138"/>
  <c r="G373" i="138"/>
  <c r="N372" i="138"/>
  <c r="G372" i="138"/>
  <c r="N371" i="138"/>
  <c r="G371" i="138"/>
  <c r="C311" i="138"/>
  <c r="N312" i="138"/>
  <c r="M311" i="138"/>
  <c r="L311" i="138"/>
  <c r="K311" i="138"/>
  <c r="J311" i="138"/>
  <c r="I311" i="138"/>
  <c r="H311" i="138"/>
  <c r="F311" i="138"/>
  <c r="E311" i="138"/>
  <c r="D311" i="138"/>
  <c r="N310" i="138"/>
  <c r="G310" i="138"/>
  <c r="N309" i="138"/>
  <c r="G309" i="138"/>
  <c r="N308" i="138"/>
  <c r="G308" i="138"/>
  <c r="N262" i="138"/>
  <c r="M261" i="138"/>
  <c r="L261" i="138"/>
  <c r="K261" i="138"/>
  <c r="J261" i="138"/>
  <c r="I261" i="138"/>
  <c r="H261" i="138"/>
  <c r="E261" i="138"/>
  <c r="D261" i="138"/>
  <c r="N260" i="138"/>
  <c r="G260" i="138"/>
  <c r="N259" i="138"/>
  <c r="G259" i="138"/>
  <c r="N258" i="138"/>
  <c r="G258" i="138"/>
  <c r="N216" i="138"/>
  <c r="M215" i="138"/>
  <c r="L215" i="138"/>
  <c r="K215" i="138"/>
  <c r="J215" i="138"/>
  <c r="I215" i="138"/>
  <c r="H215" i="138"/>
  <c r="F215" i="138"/>
  <c r="E215" i="138"/>
  <c r="D215" i="138"/>
  <c r="N214" i="138"/>
  <c r="G214" i="138"/>
  <c r="N213" i="138"/>
  <c r="G213" i="138"/>
  <c r="N212" i="138"/>
  <c r="G212" i="138"/>
  <c r="G163" i="138"/>
  <c r="G162" i="138"/>
  <c r="G161" i="138"/>
  <c r="N163" i="138"/>
  <c r="N162" i="138"/>
  <c r="N161" i="138"/>
  <c r="E498" i="138" l="1"/>
  <c r="N502" i="138"/>
  <c r="H498" i="138"/>
  <c r="H503" i="138" s="1"/>
  <c r="N428" i="138"/>
  <c r="F498" i="138"/>
  <c r="D498" i="138"/>
  <c r="I498" i="138"/>
  <c r="J370" i="138"/>
  <c r="G428" i="138"/>
  <c r="E424" i="138"/>
  <c r="J424" i="138"/>
  <c r="E370" i="138"/>
  <c r="H424" i="138"/>
  <c r="L424" i="138"/>
  <c r="C307" i="138"/>
  <c r="H307" i="138"/>
  <c r="H312" i="138" s="1"/>
  <c r="F370" i="138"/>
  <c r="K370" i="138"/>
  <c r="G261" i="138"/>
  <c r="E307" i="138"/>
  <c r="J307" i="138"/>
  <c r="D307" i="138"/>
  <c r="I307" i="138"/>
  <c r="C370" i="138"/>
  <c r="H370" i="138"/>
  <c r="L370" i="138"/>
  <c r="G459" i="138"/>
  <c r="F307" i="138"/>
  <c r="K307" i="138"/>
  <c r="D370" i="138"/>
  <c r="D424" i="138"/>
  <c r="I424" i="138"/>
  <c r="M424" i="138"/>
  <c r="F424" i="138"/>
  <c r="K424" i="138"/>
  <c r="G502" i="138"/>
  <c r="N459" i="138"/>
  <c r="I370" i="138"/>
  <c r="N374" i="138"/>
  <c r="G374" i="138"/>
  <c r="N311" i="138"/>
  <c r="G311" i="138"/>
  <c r="N261" i="138"/>
  <c r="N215" i="138"/>
  <c r="G215" i="138"/>
  <c r="N122" i="138" l="1"/>
  <c r="N121" i="138"/>
  <c r="N120" i="138"/>
  <c r="N76" i="138"/>
  <c r="N75" i="138"/>
  <c r="N74" i="138"/>
  <c r="N165" i="138"/>
  <c r="N164" i="138"/>
  <c r="M164" i="138"/>
  <c r="L164" i="138"/>
  <c r="K164" i="138"/>
  <c r="J164" i="138"/>
  <c r="I164" i="138"/>
  <c r="H164" i="138"/>
  <c r="G164" i="138"/>
  <c r="F164" i="138"/>
  <c r="E164" i="138"/>
  <c r="D164" i="138"/>
  <c r="C164" i="138"/>
  <c r="N124" i="138"/>
  <c r="M123" i="138"/>
  <c r="L123" i="138"/>
  <c r="K123" i="138"/>
  <c r="J123" i="138"/>
  <c r="H123" i="138"/>
  <c r="G123" i="138"/>
  <c r="F123" i="138"/>
  <c r="E123" i="138"/>
  <c r="D123" i="138"/>
  <c r="N78" i="138"/>
  <c r="M77" i="138"/>
  <c r="L77" i="138"/>
  <c r="K77" i="138"/>
  <c r="J77" i="138"/>
  <c r="I77" i="138"/>
  <c r="H77" i="138"/>
  <c r="G77" i="138"/>
  <c r="F77" i="138"/>
  <c r="E77" i="138"/>
  <c r="D77" i="138"/>
  <c r="C77" i="138"/>
  <c r="N38" i="138"/>
  <c r="M38" i="138"/>
  <c r="L38" i="138"/>
  <c r="K38" i="138"/>
  <c r="J38" i="138"/>
  <c r="I38" i="138"/>
  <c r="H38" i="138"/>
  <c r="G38" i="138"/>
  <c r="F38" i="138"/>
  <c r="E38" i="138"/>
  <c r="D38" i="138"/>
  <c r="C38" i="138"/>
  <c r="N123" i="138" l="1"/>
  <c r="N77" i="138"/>
  <c r="C402" i="138"/>
  <c r="C424" i="138" s="1"/>
  <c r="N357" i="138"/>
  <c r="G357" i="138"/>
  <c r="G368" i="138"/>
  <c r="N390" i="138"/>
  <c r="G390" i="138"/>
  <c r="N401" i="138"/>
  <c r="G401" i="138"/>
  <c r="G275" i="138"/>
  <c r="G285" i="138"/>
  <c r="G295" i="138"/>
  <c r="N326" i="138"/>
  <c r="N336" i="138"/>
  <c r="N346" i="138"/>
  <c r="N355" i="138"/>
  <c r="N305" i="138"/>
  <c r="N294" i="138"/>
  <c r="N295" i="138"/>
  <c r="N284" i="138"/>
  <c r="N285" i="138"/>
  <c r="N274" i="138"/>
  <c r="N275" i="138"/>
  <c r="N283" i="138"/>
  <c r="N453" i="138"/>
  <c r="G274" i="138"/>
  <c r="G284" i="138"/>
  <c r="G294" i="138"/>
  <c r="G336" i="138"/>
  <c r="G326" i="138"/>
  <c r="N335" i="138"/>
  <c r="N325" i="138"/>
  <c r="G325" i="138"/>
  <c r="G283" i="138"/>
  <c r="N293" i="138"/>
  <c r="N304" i="138"/>
  <c r="G293" i="138"/>
  <c r="N273" i="138"/>
  <c r="G273" i="138"/>
  <c r="N452" i="138"/>
  <c r="G255" i="138"/>
  <c r="N303" i="138"/>
  <c r="G345" i="138"/>
  <c r="N451" i="138"/>
  <c r="G324" i="138"/>
  <c r="N334" i="138"/>
  <c r="N324" i="138"/>
  <c r="G344" i="138"/>
  <c r="G193" i="138"/>
  <c r="G185" i="138"/>
  <c r="G177" i="138"/>
  <c r="N209" i="138"/>
  <c r="N177" i="138"/>
  <c r="N193" i="138"/>
  <c r="N227" i="138"/>
  <c r="N244" i="138"/>
  <c r="N253" i="138"/>
  <c r="N236" i="138"/>
  <c r="G253" i="138"/>
  <c r="G244" i="138"/>
  <c r="G236" i="138"/>
  <c r="G227" i="138"/>
  <c r="G246" i="138"/>
  <c r="N246" i="138"/>
  <c r="N302" i="138"/>
  <c r="N272" i="138"/>
  <c r="G272" i="138"/>
  <c r="G282" i="138"/>
  <c r="G292" i="138"/>
  <c r="N281" i="138"/>
  <c r="N282" i="138"/>
  <c r="N292" i="138"/>
  <c r="N323" i="138"/>
  <c r="G323" i="138"/>
  <c r="N333" i="138"/>
  <c r="G343" i="138"/>
  <c r="G451" i="138"/>
  <c r="G452" i="138"/>
  <c r="G453" i="138"/>
  <c r="G440" i="138"/>
  <c r="G441" i="138"/>
  <c r="G442" i="138"/>
  <c r="G443" i="138"/>
  <c r="G419" i="138"/>
  <c r="G420" i="138"/>
  <c r="G421" i="138"/>
  <c r="G422" i="138"/>
  <c r="G408" i="138"/>
  <c r="G409" i="138"/>
  <c r="G410" i="138"/>
  <c r="G411" i="138"/>
  <c r="G412" i="138"/>
  <c r="G397" i="138"/>
  <c r="G398" i="138"/>
  <c r="G399" i="138"/>
  <c r="G400" i="138"/>
  <c r="G386" i="138"/>
  <c r="G387" i="138"/>
  <c r="G388" i="138"/>
  <c r="G389" i="138"/>
  <c r="G364" i="138"/>
  <c r="G365" i="138"/>
  <c r="G366" i="138"/>
  <c r="G352" i="138"/>
  <c r="G353" i="138"/>
  <c r="G354" i="138"/>
  <c r="G355" i="138"/>
  <c r="G333" i="138"/>
  <c r="G334" i="138"/>
  <c r="G335" i="138"/>
  <c r="N343" i="138"/>
  <c r="N344" i="138"/>
  <c r="N345" i="138"/>
  <c r="N353" i="138"/>
  <c r="N354" i="138"/>
  <c r="N386" i="138"/>
  <c r="N387" i="138"/>
  <c r="N388" i="138"/>
  <c r="N389" i="138"/>
  <c r="N396" i="138"/>
  <c r="N397" i="138"/>
  <c r="N398" i="138"/>
  <c r="N399" i="138"/>
  <c r="N400" i="138"/>
  <c r="N420" i="138"/>
  <c r="N421" i="138"/>
  <c r="N422" i="138"/>
  <c r="N408" i="138"/>
  <c r="N409" i="138"/>
  <c r="N410" i="138"/>
  <c r="N411" i="138"/>
  <c r="N419" i="138"/>
  <c r="N440" i="138"/>
  <c r="N441" i="138"/>
  <c r="N442" i="138"/>
  <c r="N443" i="138"/>
  <c r="N450" i="138"/>
  <c r="G450" i="138"/>
  <c r="N495" i="138"/>
  <c r="N182" i="138"/>
  <c r="G182" i="138"/>
  <c r="N190" i="138"/>
  <c r="G190" i="138"/>
  <c r="G225" i="138"/>
  <c r="G233" i="138"/>
  <c r="G242" i="138"/>
  <c r="N300" i="138"/>
  <c r="N321" i="138"/>
  <c r="G321" i="138"/>
  <c r="N331" i="138"/>
  <c r="G331" i="138"/>
  <c r="G341" i="138"/>
  <c r="G351" i="138"/>
  <c r="G384" i="138"/>
  <c r="G395" i="138"/>
  <c r="G406" i="138"/>
  <c r="G417" i="138"/>
  <c r="N438" i="138"/>
  <c r="G438" i="138"/>
  <c r="N493" i="138"/>
  <c r="G181" i="138"/>
  <c r="G189" i="138"/>
  <c r="G205" i="138"/>
  <c r="G224" i="138"/>
  <c r="G232" i="138"/>
  <c r="G241" i="138"/>
  <c r="N383" i="138"/>
  <c r="G383" i="138"/>
  <c r="N405" i="138"/>
  <c r="G405" i="138"/>
  <c r="N394" i="138"/>
  <c r="G394" i="138"/>
  <c r="N416" i="138"/>
  <c r="G416" i="138"/>
  <c r="M286" i="138" l="1"/>
  <c r="M296" i="138"/>
  <c r="M306" i="138"/>
  <c r="M327" i="138"/>
  <c r="M370" i="138" s="1"/>
  <c r="M540" i="138"/>
  <c r="L540" i="138"/>
  <c r="K540" i="138"/>
  <c r="J540" i="138"/>
  <c r="I540" i="138"/>
  <c r="H540" i="138"/>
  <c r="F540" i="138"/>
  <c r="E540" i="138"/>
  <c r="D540" i="138"/>
  <c r="C540" i="138"/>
  <c r="M532" i="138"/>
  <c r="L532" i="138"/>
  <c r="K532" i="138"/>
  <c r="J532" i="138"/>
  <c r="I532" i="138"/>
  <c r="H532" i="138"/>
  <c r="F532" i="138"/>
  <c r="E532" i="138"/>
  <c r="D532" i="138"/>
  <c r="C532" i="138"/>
  <c r="M524" i="138"/>
  <c r="L524" i="138"/>
  <c r="K524" i="138"/>
  <c r="J524" i="138"/>
  <c r="I524" i="138"/>
  <c r="H524" i="138"/>
  <c r="F524" i="138"/>
  <c r="E524" i="138"/>
  <c r="D524" i="138"/>
  <c r="C524" i="138"/>
  <c r="C497" i="138"/>
  <c r="C498" i="138" s="1"/>
  <c r="N496" i="138"/>
  <c r="N494" i="138"/>
  <c r="N492" i="138"/>
  <c r="N491" i="138"/>
  <c r="N490" i="138"/>
  <c r="M481" i="138"/>
  <c r="M498" i="138" s="1"/>
  <c r="L481" i="138"/>
  <c r="L498" i="138" s="1"/>
  <c r="K481" i="138"/>
  <c r="K498" i="138" s="1"/>
  <c r="J481" i="138"/>
  <c r="J498" i="138" s="1"/>
  <c r="M454" i="138"/>
  <c r="L454" i="138"/>
  <c r="K454" i="138"/>
  <c r="J454" i="138"/>
  <c r="I454" i="138"/>
  <c r="H454" i="138"/>
  <c r="F454" i="138"/>
  <c r="E454" i="138"/>
  <c r="D454" i="138"/>
  <c r="C454" i="138"/>
  <c r="N449" i="138"/>
  <c r="G449" i="138"/>
  <c r="N448" i="138"/>
  <c r="G448" i="138"/>
  <c r="N447" i="138"/>
  <c r="G447" i="138"/>
  <c r="N446" i="138"/>
  <c r="G446" i="138"/>
  <c r="N445" i="138"/>
  <c r="G445" i="138"/>
  <c r="M444" i="138"/>
  <c r="L444" i="138"/>
  <c r="L455" i="138" s="1"/>
  <c r="K444" i="138"/>
  <c r="K455" i="138" s="1"/>
  <c r="J444" i="138"/>
  <c r="I444" i="138"/>
  <c r="I455" i="138" s="1"/>
  <c r="H444" i="138"/>
  <c r="F444" i="138"/>
  <c r="F455" i="138" s="1"/>
  <c r="E444" i="138"/>
  <c r="E455" i="138" s="1"/>
  <c r="D444" i="138"/>
  <c r="C444" i="138"/>
  <c r="C455" i="138" s="1"/>
  <c r="N439" i="138"/>
  <c r="G439" i="138"/>
  <c r="N437" i="138"/>
  <c r="G437" i="138"/>
  <c r="N436" i="138"/>
  <c r="G436" i="138"/>
  <c r="N435" i="138"/>
  <c r="G435" i="138"/>
  <c r="N418" i="138"/>
  <c r="G418" i="138"/>
  <c r="N417" i="138"/>
  <c r="N415" i="138"/>
  <c r="G415" i="138"/>
  <c r="N414" i="138"/>
  <c r="G414" i="138"/>
  <c r="N412" i="138"/>
  <c r="N407" i="138"/>
  <c r="G407" i="138"/>
  <c r="N406" i="138"/>
  <c r="N404" i="138"/>
  <c r="G404" i="138"/>
  <c r="N403" i="138"/>
  <c r="G403" i="138"/>
  <c r="G396" i="138"/>
  <c r="N395" i="138"/>
  <c r="N393" i="138"/>
  <c r="G393" i="138"/>
  <c r="N392" i="138"/>
  <c r="G392" i="138"/>
  <c r="N385" i="138"/>
  <c r="G385" i="138"/>
  <c r="N384" i="138"/>
  <c r="N382" i="138"/>
  <c r="G382" i="138"/>
  <c r="N381" i="138"/>
  <c r="G381" i="138"/>
  <c r="G363" i="138"/>
  <c r="G362" i="138"/>
  <c r="G361" i="138"/>
  <c r="G360" i="138"/>
  <c r="G359" i="138"/>
  <c r="N352" i="138"/>
  <c r="N351" i="138"/>
  <c r="N350" i="138"/>
  <c r="G350" i="138"/>
  <c r="N349" i="138"/>
  <c r="G349" i="138"/>
  <c r="N348" i="138"/>
  <c r="G348" i="138"/>
  <c r="G346" i="138"/>
  <c r="N342" i="138"/>
  <c r="G342" i="138"/>
  <c r="N341" i="138"/>
  <c r="N340" i="138"/>
  <c r="G340" i="138"/>
  <c r="N339" i="138"/>
  <c r="G339" i="138"/>
  <c r="N338" i="138"/>
  <c r="G338" i="138"/>
  <c r="N332" i="138"/>
  <c r="G332" i="138"/>
  <c r="N330" i="138"/>
  <c r="G330" i="138"/>
  <c r="N329" i="138"/>
  <c r="G329" i="138"/>
  <c r="N328" i="138"/>
  <c r="G328" i="138"/>
  <c r="N322" i="138"/>
  <c r="G322" i="138"/>
  <c r="N320" i="138"/>
  <c r="G320" i="138"/>
  <c r="N319" i="138"/>
  <c r="G319" i="138"/>
  <c r="G318" i="138"/>
  <c r="N301" i="138"/>
  <c r="N299" i="138"/>
  <c r="N298" i="138"/>
  <c r="N291" i="138"/>
  <c r="G291" i="138"/>
  <c r="N290" i="138"/>
  <c r="G290" i="138"/>
  <c r="N289" i="138"/>
  <c r="G289" i="138"/>
  <c r="N288" i="138"/>
  <c r="G288" i="138"/>
  <c r="G287" i="138"/>
  <c r="L286" i="138"/>
  <c r="L307" i="138" s="1"/>
  <c r="G281" i="138"/>
  <c r="N280" i="138"/>
  <c r="G280" i="138"/>
  <c r="N279" i="138"/>
  <c r="G279" i="138"/>
  <c r="N278" i="138"/>
  <c r="G278" i="138"/>
  <c r="G277" i="138"/>
  <c r="N271" i="138"/>
  <c r="G271" i="138"/>
  <c r="N270" i="138"/>
  <c r="G270" i="138"/>
  <c r="N269" i="138"/>
  <c r="G269" i="138"/>
  <c r="G268" i="138"/>
  <c r="G228" i="138"/>
  <c r="G226" i="138"/>
  <c r="G223" i="138"/>
  <c r="G222" i="138"/>
  <c r="N228" i="138"/>
  <c r="N226" i="138"/>
  <c r="N225" i="138"/>
  <c r="N224" i="138"/>
  <c r="N223" i="138"/>
  <c r="N222" i="138"/>
  <c r="M256" i="138"/>
  <c r="J256" i="138"/>
  <c r="I256" i="138"/>
  <c r="H256" i="138"/>
  <c r="F256" i="138"/>
  <c r="E256" i="138"/>
  <c r="D256" i="138"/>
  <c r="N255" i="138"/>
  <c r="N252" i="138"/>
  <c r="G252" i="138"/>
  <c r="N251" i="138"/>
  <c r="G251" i="138"/>
  <c r="N250" i="138"/>
  <c r="G250" i="138"/>
  <c r="N249" i="138"/>
  <c r="G249" i="138"/>
  <c r="N248" i="138"/>
  <c r="G248" i="138"/>
  <c r="M247" i="138"/>
  <c r="L247" i="138"/>
  <c r="K247" i="138"/>
  <c r="J247" i="138"/>
  <c r="I247" i="138"/>
  <c r="H247" i="138"/>
  <c r="F247" i="138"/>
  <c r="C247" i="138"/>
  <c r="N243" i="138"/>
  <c r="G243" i="138"/>
  <c r="N242" i="138"/>
  <c r="N241" i="138"/>
  <c r="N240" i="138"/>
  <c r="G240" i="138"/>
  <c r="N239" i="138"/>
  <c r="M238" i="138"/>
  <c r="L238" i="138"/>
  <c r="K238" i="138"/>
  <c r="J238" i="138"/>
  <c r="I238" i="138"/>
  <c r="F238" i="138"/>
  <c r="E238" i="138"/>
  <c r="D238" i="138"/>
  <c r="C238" i="138"/>
  <c r="N237" i="138"/>
  <c r="G237" i="138"/>
  <c r="N234" i="138"/>
  <c r="G234" i="138"/>
  <c r="N233" i="138"/>
  <c r="N232" i="138"/>
  <c r="N231" i="138"/>
  <c r="G231" i="138"/>
  <c r="N230" i="138"/>
  <c r="G230" i="138"/>
  <c r="L229" i="138"/>
  <c r="K229" i="138"/>
  <c r="J229" i="138"/>
  <c r="I229" i="138"/>
  <c r="H229" i="138"/>
  <c r="F229" i="138"/>
  <c r="E229" i="138"/>
  <c r="D229" i="138"/>
  <c r="N39" i="138"/>
  <c r="C541" i="138" l="1"/>
  <c r="H541" i="138"/>
  <c r="H546" i="138" s="1"/>
  <c r="L541" i="138"/>
  <c r="D541" i="138"/>
  <c r="I541" i="138"/>
  <c r="I546" i="138" s="1"/>
  <c r="M541" i="138"/>
  <c r="E541" i="138"/>
  <c r="J541" i="138"/>
  <c r="J546" i="138" s="1"/>
  <c r="F541" i="138"/>
  <c r="K541" i="138"/>
  <c r="H455" i="138"/>
  <c r="H460" i="138" s="1"/>
  <c r="M455" i="138"/>
  <c r="D455" i="138"/>
  <c r="J257" i="138"/>
  <c r="J262" i="138" s="1"/>
  <c r="E257" i="138"/>
  <c r="C257" i="138"/>
  <c r="M257" i="138"/>
  <c r="F257" i="138"/>
  <c r="K257" i="138"/>
  <c r="H257" i="138"/>
  <c r="H262" i="138" s="1"/>
  <c r="L257" i="138"/>
  <c r="D257" i="138"/>
  <c r="I257" i="138"/>
  <c r="I262" i="138" s="1"/>
  <c r="G516" i="138"/>
  <c r="N473" i="138"/>
  <c r="G473" i="138"/>
  <c r="M307" i="138"/>
  <c r="N337" i="138"/>
  <c r="G481" i="138"/>
  <c r="G489" i="138"/>
  <c r="G497" i="138"/>
  <c r="N516" i="138"/>
  <c r="N489" i="138"/>
  <c r="N497" i="138"/>
  <c r="J455" i="138"/>
  <c r="J460" i="138" s="1"/>
  <c r="G358" i="138"/>
  <c r="G369" i="138"/>
  <c r="G413" i="138"/>
  <c r="G423" i="138"/>
  <c r="G229" i="138"/>
  <c r="G276" i="138"/>
  <c r="G296" i="138"/>
  <c r="N369" i="138"/>
  <c r="N238" i="138"/>
  <c r="G306" i="138"/>
  <c r="N358" i="138"/>
  <c r="N413" i="138"/>
  <c r="N423" i="138"/>
  <c r="G337" i="138"/>
  <c r="G347" i="138"/>
  <c r="G391" i="138"/>
  <c r="G402" i="138"/>
  <c r="G286" i="138"/>
  <c r="G327" i="138"/>
  <c r="N347" i="138"/>
  <c r="N391" i="138"/>
  <c r="N402" i="138"/>
  <c r="N318" i="138"/>
  <c r="N327" i="138" s="1"/>
  <c r="G532" i="138"/>
  <c r="I503" i="138"/>
  <c r="J503" i="138"/>
  <c r="G454" i="138"/>
  <c r="I460" i="138"/>
  <c r="N287" i="138"/>
  <c r="N296" i="138" s="1"/>
  <c r="N454" i="138"/>
  <c r="N524" i="138"/>
  <c r="N540" i="138"/>
  <c r="N444" i="138"/>
  <c r="N532" i="138"/>
  <c r="N277" i="138"/>
  <c r="N286" i="138" s="1"/>
  <c r="N297" i="138"/>
  <c r="N306" i="138" s="1"/>
  <c r="G444" i="138"/>
  <c r="N481" i="138"/>
  <c r="G524" i="138"/>
  <c r="G540" i="138"/>
  <c r="G247" i="138"/>
  <c r="N247" i="138"/>
  <c r="G256" i="138"/>
  <c r="N256" i="138"/>
  <c r="I312" i="138"/>
  <c r="J375" i="138"/>
  <c r="I375" i="138"/>
  <c r="H375" i="138"/>
  <c r="J429" i="138"/>
  <c r="I429" i="138"/>
  <c r="H429" i="138"/>
  <c r="J312" i="138"/>
  <c r="N268" i="138"/>
  <c r="N276" i="138" s="1"/>
  <c r="G238" i="138"/>
  <c r="N229" i="138"/>
  <c r="E29" i="145"/>
  <c r="E31" i="145" s="1"/>
  <c r="H69" i="145"/>
  <c r="E59" i="145"/>
  <c r="E61" i="145" s="1"/>
  <c r="E44" i="145"/>
  <c r="E46" i="145" s="1"/>
  <c r="E14" i="145"/>
  <c r="E16" i="145" s="1"/>
  <c r="I547" i="138" l="1"/>
  <c r="N541" i="138"/>
  <c r="G541" i="138"/>
  <c r="N257" i="138"/>
  <c r="G257" i="138"/>
  <c r="N498" i="138"/>
  <c r="G498" i="138"/>
  <c r="H505" i="138"/>
  <c r="I461" i="138"/>
  <c r="G455" i="138"/>
  <c r="N455" i="138"/>
  <c r="H70" i="145"/>
  <c r="I504" i="138"/>
  <c r="H462" i="138"/>
  <c r="G424" i="138"/>
  <c r="G307" i="138"/>
  <c r="N307" i="138"/>
  <c r="N424" i="138"/>
  <c r="N370" i="138"/>
  <c r="G370" i="138"/>
  <c r="H431" i="138"/>
  <c r="I430" i="138"/>
  <c r="H314" i="138"/>
  <c r="I376" i="138"/>
  <c r="H377" i="138"/>
  <c r="I313" i="138"/>
  <c r="H264" i="138"/>
  <c r="I263" i="138"/>
  <c r="M210" i="138" l="1"/>
  <c r="K210" i="138"/>
  <c r="J210" i="138"/>
  <c r="I210" i="138"/>
  <c r="H210" i="138"/>
  <c r="F210" i="138"/>
  <c r="E210" i="138"/>
  <c r="D210" i="138"/>
  <c r="C210" i="138"/>
  <c r="G209" i="138"/>
  <c r="N206" i="138"/>
  <c r="G206" i="138"/>
  <c r="N205" i="138"/>
  <c r="N204" i="138"/>
  <c r="G204" i="138"/>
  <c r="N203" i="138"/>
  <c r="G203" i="138"/>
  <c r="M194" i="138"/>
  <c r="L194" i="138"/>
  <c r="K194" i="138"/>
  <c r="J194" i="138"/>
  <c r="H194" i="138"/>
  <c r="F194" i="138"/>
  <c r="E194" i="138"/>
  <c r="D194" i="138"/>
  <c r="C194" i="138"/>
  <c r="N191" i="138"/>
  <c r="G191" i="138"/>
  <c r="N189" i="138"/>
  <c r="N188" i="138"/>
  <c r="G188" i="138"/>
  <c r="N187" i="138"/>
  <c r="G187" i="138"/>
  <c r="L186" i="138"/>
  <c r="K186" i="138"/>
  <c r="J186" i="138"/>
  <c r="I186" i="138"/>
  <c r="H186" i="138"/>
  <c r="F186" i="138"/>
  <c r="E186" i="138"/>
  <c r="D186" i="138"/>
  <c r="C186" i="138"/>
  <c r="G183" i="138"/>
  <c r="N181" i="138"/>
  <c r="N180" i="138"/>
  <c r="G180" i="138"/>
  <c r="N179" i="138"/>
  <c r="G179" i="138"/>
  <c r="C211" i="138" l="1"/>
  <c r="G186" i="138"/>
  <c r="G210" i="138"/>
  <c r="N194" i="138"/>
  <c r="N210" i="138"/>
  <c r="G194" i="138"/>
  <c r="N186" i="138"/>
  <c r="M186" i="138"/>
  <c r="L178" i="138"/>
  <c r="L211" i="138" s="1"/>
  <c r="K178" i="138"/>
  <c r="K211" i="138" s="1"/>
  <c r="J178" i="138"/>
  <c r="J211" i="138" s="1"/>
  <c r="J216" i="138" s="1"/>
  <c r="I178" i="138"/>
  <c r="I211" i="138" s="1"/>
  <c r="I216" i="138" s="1"/>
  <c r="H178" i="138"/>
  <c r="H211" i="138" s="1"/>
  <c r="F178" i="138"/>
  <c r="F211" i="138" s="1"/>
  <c r="E178" i="138"/>
  <c r="E211" i="138" s="1"/>
  <c r="D178" i="138"/>
  <c r="D211" i="138" s="1"/>
  <c r="N175" i="138"/>
  <c r="G175" i="138"/>
  <c r="N174" i="138"/>
  <c r="G174" i="138"/>
  <c r="N173" i="138"/>
  <c r="G173" i="138"/>
  <c r="N172" i="138"/>
  <c r="G172" i="138"/>
  <c r="N171" i="138"/>
  <c r="G171" i="138"/>
  <c r="G57" i="138"/>
  <c r="G11" i="138"/>
  <c r="G18" i="138"/>
  <c r="G25" i="138"/>
  <c r="G32" i="138"/>
  <c r="G56" i="138"/>
  <c r="G141" i="138"/>
  <c r="G148" i="138"/>
  <c r="G9" i="138"/>
  <c r="G140" i="138"/>
  <c r="G147" i="138"/>
  <c r="N22" i="138"/>
  <c r="I217" i="138" l="1"/>
  <c r="H216" i="138"/>
  <c r="H218" i="138" s="1"/>
  <c r="M178" i="138"/>
  <c r="M211" i="138" s="1"/>
  <c r="G178" i="138"/>
  <c r="G211" i="138" s="1"/>
  <c r="N178" i="138"/>
  <c r="N211" i="138" s="1"/>
  <c r="N21" i="138"/>
  <c r="N28" i="138"/>
  <c r="M111" i="138"/>
  <c r="M136" i="138"/>
  <c r="M143" i="138"/>
  <c r="M151" i="138"/>
  <c r="M159" i="138"/>
  <c r="C159" i="138"/>
  <c r="L159" i="138"/>
  <c r="K159" i="138"/>
  <c r="J159" i="138"/>
  <c r="I159" i="138"/>
  <c r="H159" i="138"/>
  <c r="F159" i="138"/>
  <c r="E159" i="138"/>
  <c r="D159" i="138"/>
  <c r="K151" i="138"/>
  <c r="J151" i="138"/>
  <c r="I151" i="138"/>
  <c r="H151" i="138"/>
  <c r="F151" i="138"/>
  <c r="E151" i="138"/>
  <c r="D151" i="138"/>
  <c r="C151" i="138"/>
  <c r="L143" i="138"/>
  <c r="K143" i="138"/>
  <c r="J143" i="138"/>
  <c r="I143" i="138"/>
  <c r="F143" i="138"/>
  <c r="E143" i="138"/>
  <c r="D143" i="138"/>
  <c r="C143" i="138"/>
  <c r="L136" i="138"/>
  <c r="K136" i="138"/>
  <c r="J136" i="138"/>
  <c r="I136" i="138"/>
  <c r="H136" i="138"/>
  <c r="F136" i="138"/>
  <c r="E136" i="138"/>
  <c r="D136" i="138"/>
  <c r="M118" i="138"/>
  <c r="L118" i="138"/>
  <c r="K118" i="138"/>
  <c r="J118" i="138"/>
  <c r="I118" i="138"/>
  <c r="H118" i="138"/>
  <c r="F118" i="138"/>
  <c r="E118" i="138"/>
  <c r="D118" i="138"/>
  <c r="C118" i="138"/>
  <c r="L111" i="138"/>
  <c r="K111" i="138"/>
  <c r="J111" i="138"/>
  <c r="I111" i="138"/>
  <c r="H111" i="138"/>
  <c r="F111" i="138"/>
  <c r="E111" i="138"/>
  <c r="D111" i="138"/>
  <c r="C111" i="138"/>
  <c r="L104" i="138"/>
  <c r="K104" i="138"/>
  <c r="J104" i="138"/>
  <c r="I104" i="138"/>
  <c r="H104" i="138"/>
  <c r="F104" i="138"/>
  <c r="E104" i="138"/>
  <c r="D104" i="138"/>
  <c r="C104" i="138"/>
  <c r="M97" i="138"/>
  <c r="K97" i="138"/>
  <c r="J97" i="138"/>
  <c r="I97" i="138"/>
  <c r="H97" i="138"/>
  <c r="F97" i="138"/>
  <c r="E97" i="138"/>
  <c r="D97" i="138"/>
  <c r="C97" i="138"/>
  <c r="M90" i="138"/>
  <c r="L90" i="138"/>
  <c r="J90" i="138"/>
  <c r="I90" i="138"/>
  <c r="H90" i="138"/>
  <c r="F90" i="138"/>
  <c r="E90" i="138"/>
  <c r="D90" i="138"/>
  <c r="M72" i="138"/>
  <c r="L72" i="138"/>
  <c r="K72" i="138"/>
  <c r="J72" i="138"/>
  <c r="I72" i="138"/>
  <c r="H72" i="138"/>
  <c r="F72" i="138"/>
  <c r="E72" i="138"/>
  <c r="D72" i="138"/>
  <c r="C72" i="138"/>
  <c r="M65" i="138"/>
  <c r="L65" i="138"/>
  <c r="K65" i="138"/>
  <c r="J65" i="138"/>
  <c r="I65" i="138"/>
  <c r="H65" i="138"/>
  <c r="F65" i="138"/>
  <c r="E65" i="138"/>
  <c r="D65" i="138"/>
  <c r="F26" i="138"/>
  <c r="M58" i="138"/>
  <c r="K58" i="138"/>
  <c r="J58" i="138"/>
  <c r="I58" i="138"/>
  <c r="H58" i="138"/>
  <c r="F58" i="138"/>
  <c r="E58" i="138"/>
  <c r="M51" i="138"/>
  <c r="L51" i="138"/>
  <c r="K51" i="138"/>
  <c r="J51" i="138"/>
  <c r="I51" i="138"/>
  <c r="H51" i="138"/>
  <c r="F51" i="138"/>
  <c r="E51" i="138"/>
  <c r="D51" i="138"/>
  <c r="M33" i="138"/>
  <c r="L33" i="138"/>
  <c r="K33" i="138"/>
  <c r="J33" i="138"/>
  <c r="I33" i="138"/>
  <c r="H33" i="138"/>
  <c r="F33" i="138"/>
  <c r="E33" i="138"/>
  <c r="D33" i="138"/>
  <c r="M26" i="138"/>
  <c r="L26" i="138"/>
  <c r="K26" i="138"/>
  <c r="J26" i="138"/>
  <c r="I26" i="138"/>
  <c r="H26" i="138"/>
  <c r="E26" i="138"/>
  <c r="D26" i="138"/>
  <c r="N7" i="138"/>
  <c r="N9" i="138"/>
  <c r="N11" i="138"/>
  <c r="N13" i="138"/>
  <c r="N14" i="138"/>
  <c r="N15" i="138"/>
  <c r="N18" i="138"/>
  <c r="N20" i="138"/>
  <c r="N25" i="138"/>
  <c r="N27" i="138"/>
  <c r="N29" i="138"/>
  <c r="N32" i="138"/>
  <c r="N45" i="138"/>
  <c r="N46" i="138"/>
  <c r="N47" i="138"/>
  <c r="N50" i="138"/>
  <c r="N52" i="138"/>
  <c r="N53" i="138"/>
  <c r="N54" i="138"/>
  <c r="N56" i="138"/>
  <c r="N57" i="138"/>
  <c r="N60" i="138"/>
  <c r="N61" i="138"/>
  <c r="N62" i="138"/>
  <c r="N63" i="138"/>
  <c r="N64" i="138"/>
  <c r="N67" i="138"/>
  <c r="N68" i="138"/>
  <c r="N69" i="138"/>
  <c r="N70" i="138"/>
  <c r="N71" i="138"/>
  <c r="N84" i="138"/>
  <c r="N85" i="138"/>
  <c r="N86" i="138"/>
  <c r="N87" i="138"/>
  <c r="N88" i="138"/>
  <c r="N89" i="138"/>
  <c r="N91" i="138"/>
  <c r="N92" i="138"/>
  <c r="N93" i="138"/>
  <c r="N94" i="138"/>
  <c r="N95" i="138"/>
  <c r="N96" i="138"/>
  <c r="N131" i="138"/>
  <c r="N132" i="138"/>
  <c r="N133" i="138"/>
  <c r="N134" i="138"/>
  <c r="N138" i="138"/>
  <c r="N139" i="138"/>
  <c r="N140" i="138"/>
  <c r="N141" i="138"/>
  <c r="N145" i="138"/>
  <c r="N146" i="138"/>
  <c r="N147" i="138"/>
  <c r="N148" i="138"/>
  <c r="N153" i="138"/>
  <c r="N154" i="138"/>
  <c r="N155" i="138"/>
  <c r="N156" i="138"/>
  <c r="N158" i="138"/>
  <c r="G50" i="138"/>
  <c r="G84" i="138"/>
  <c r="G91" i="138"/>
  <c r="G92" i="138"/>
  <c r="G130" i="138"/>
  <c r="G137" i="138"/>
  <c r="G138" i="138"/>
  <c r="G139" i="138"/>
  <c r="G144" i="138"/>
  <c r="G145" i="138"/>
  <c r="G146" i="138"/>
  <c r="N5" i="138"/>
  <c r="L19" i="138"/>
  <c r="M19" i="138"/>
  <c r="K19" i="138"/>
  <c r="J19" i="138"/>
  <c r="I19" i="138"/>
  <c r="H19" i="138"/>
  <c r="F19" i="138"/>
  <c r="E19" i="138"/>
  <c r="D19" i="138"/>
  <c r="C19" i="138"/>
  <c r="N19" i="138" l="1"/>
  <c r="C34" i="138"/>
  <c r="G159" i="138"/>
  <c r="G72" i="138"/>
  <c r="D34" i="138"/>
  <c r="C119" i="138"/>
  <c r="N58" i="138"/>
  <c r="C58" i="138"/>
  <c r="C73" i="138" s="1"/>
  <c r="G12" i="138"/>
  <c r="C160" i="138"/>
  <c r="Q19" i="138"/>
  <c r="N12" i="138"/>
  <c r="M104" i="138"/>
  <c r="M119" i="138" s="1"/>
  <c r="E119" i="138"/>
  <c r="J119" i="138"/>
  <c r="J124" i="138" s="1"/>
  <c r="N111" i="138"/>
  <c r="D73" i="138"/>
  <c r="I73" i="138"/>
  <c r="I78" i="138" s="1"/>
  <c r="M73" i="138"/>
  <c r="H119" i="138"/>
  <c r="H124" i="138" s="1"/>
  <c r="L119" i="138"/>
  <c r="N144" i="138"/>
  <c r="N151" i="138" s="1"/>
  <c r="F34" i="138"/>
  <c r="L34" i="138"/>
  <c r="F160" i="138"/>
  <c r="K160" i="138"/>
  <c r="M34" i="138"/>
  <c r="I34" i="138"/>
  <c r="I39" i="138" s="1"/>
  <c r="E73" i="138"/>
  <c r="J73" i="138"/>
  <c r="J78" i="138" s="1"/>
  <c r="D119" i="138"/>
  <c r="I119" i="138"/>
  <c r="I124" i="138" s="1"/>
  <c r="H160" i="138"/>
  <c r="H165" i="138" s="1"/>
  <c r="L160" i="138"/>
  <c r="H34" i="138"/>
  <c r="H39" i="138" s="1"/>
  <c r="J34" i="138"/>
  <c r="J39" i="138" s="1"/>
  <c r="F73" i="138"/>
  <c r="K73" i="138"/>
  <c r="D160" i="138"/>
  <c r="I160" i="138"/>
  <c r="I165" i="138" s="1"/>
  <c r="E34" i="138"/>
  <c r="N130" i="138"/>
  <c r="N136" i="138" s="1"/>
  <c r="K34" i="138"/>
  <c r="H73" i="138"/>
  <c r="H78" i="138" s="1"/>
  <c r="L73" i="138"/>
  <c r="F119" i="138"/>
  <c r="K119" i="138"/>
  <c r="E160" i="138"/>
  <c r="J160" i="138"/>
  <c r="J165" i="138" s="1"/>
  <c r="M160" i="138"/>
  <c r="G58" i="138"/>
  <c r="N137" i="138"/>
  <c r="N143" i="138" s="1"/>
  <c r="N152" i="138"/>
  <c r="N159" i="138" s="1"/>
  <c r="G151" i="138"/>
  <c r="G143" i="138"/>
  <c r="G136" i="138"/>
  <c r="N118" i="138"/>
  <c r="G118" i="138"/>
  <c r="G111" i="138"/>
  <c r="G104" i="138"/>
  <c r="N97" i="138"/>
  <c r="G97" i="138"/>
  <c r="G90" i="138"/>
  <c r="N90" i="138"/>
  <c r="G65" i="138"/>
  <c r="N72" i="138"/>
  <c r="N65" i="138"/>
  <c r="G51" i="138"/>
  <c r="G26" i="138"/>
  <c r="N51" i="138"/>
  <c r="N33" i="138"/>
  <c r="G33" i="138"/>
  <c r="G19" i="138"/>
  <c r="N26" i="138"/>
  <c r="H41" i="138" l="1"/>
  <c r="G73" i="138"/>
  <c r="H167" i="138"/>
  <c r="I125" i="138"/>
  <c r="I40" i="138"/>
  <c r="I166" i="138"/>
  <c r="I79" i="138"/>
  <c r="H80" i="138"/>
  <c r="H126" i="138"/>
  <c r="G160" i="138"/>
  <c r="N160" i="138"/>
  <c r="G119" i="138"/>
  <c r="N73" i="138"/>
  <c r="N119" i="138"/>
  <c r="G34" i="138"/>
  <c r="N34" i="138"/>
</calcChain>
</file>

<file path=xl/sharedStrings.xml><?xml version="1.0" encoding="utf-8"?>
<sst xmlns="http://schemas.openxmlformats.org/spreadsheetml/2006/main" count="5210" uniqueCount="245">
  <si>
    <t>TOTAL</t>
  </si>
  <si>
    <t>NAME</t>
  </si>
  <si>
    <t>PAYOUT</t>
  </si>
  <si>
    <t>P004</t>
  </si>
  <si>
    <t>Total:</t>
  </si>
  <si>
    <t>HENRY RENT</t>
  </si>
  <si>
    <t>D500</t>
  </si>
  <si>
    <t>Nikki (STD Bank):</t>
  </si>
  <si>
    <t>D200</t>
  </si>
  <si>
    <t>Danny (Corolla Insurance):</t>
  </si>
  <si>
    <t>D400</t>
  </si>
  <si>
    <t>MADALA MNISI</t>
  </si>
  <si>
    <t>JOSEPH MALALE</t>
  </si>
  <si>
    <t>HENRY STEYNBERG</t>
  </si>
  <si>
    <t>Dan Salary</t>
  </si>
  <si>
    <t>Leon Salary</t>
  </si>
  <si>
    <t>D300, D0LB, D302</t>
  </si>
  <si>
    <t>01</t>
  </si>
  <si>
    <t>03</t>
  </si>
  <si>
    <t>F002</t>
  </si>
  <si>
    <t>Patricia De Kok</t>
  </si>
  <si>
    <t>PAY WEEK</t>
  </si>
  <si>
    <t>BANK CODE</t>
  </si>
  <si>
    <t>PAY DATE</t>
  </si>
  <si>
    <t>DORA NTULO</t>
  </si>
  <si>
    <t>P001</t>
  </si>
  <si>
    <t>P003</t>
  </si>
  <si>
    <t>D300</t>
  </si>
  <si>
    <t>Leon (Tata Insurance):</t>
  </si>
  <si>
    <t>P002</t>
  </si>
  <si>
    <t>P020</t>
  </si>
  <si>
    <t>WILLIAM MAGOSO</t>
  </si>
  <si>
    <t>P005</t>
  </si>
  <si>
    <t>Juliana (Bakkie payment)</t>
  </si>
  <si>
    <t>D303</t>
  </si>
  <si>
    <t>Petro - Investment</t>
  </si>
  <si>
    <t>Petro - Living Assistance</t>
  </si>
  <si>
    <t>Petro - Home Loan</t>
  </si>
  <si>
    <t>02</t>
  </si>
  <si>
    <t>04</t>
  </si>
  <si>
    <t>Ouma Monies</t>
  </si>
  <si>
    <t>D503</t>
  </si>
  <si>
    <t>Dan DSTV (to Nikki)</t>
  </si>
  <si>
    <t>05</t>
  </si>
  <si>
    <t>06</t>
  </si>
  <si>
    <t>07</t>
  </si>
  <si>
    <t>08</t>
  </si>
  <si>
    <t>BAREND FULTON</t>
  </si>
  <si>
    <t>P008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</si>
  <si>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</si>
  <si>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</si>
  <si>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</si>
  <si>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</si>
  <si>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</si>
  <si>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</si>
  <si>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</si>
  <si>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</si>
  <si>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</si>
  <si>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</si>
  <si>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</si>
  <si>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</si>
  <si>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BASIC</t>
  </si>
  <si>
    <t>O/TIME</t>
  </si>
  <si>
    <t>PENSION</t>
  </si>
  <si>
    <t>UIF</t>
  </si>
  <si>
    <t>TAX</t>
  </si>
  <si>
    <t>OTHER</t>
  </si>
  <si>
    <t>MEDICAL</t>
  </si>
  <si>
    <t>HENRY</t>
  </si>
  <si>
    <t>CODE</t>
  </si>
  <si>
    <t>EMP201 / EMP501</t>
  </si>
  <si>
    <t>W/ENDING</t>
  </si>
  <si>
    <t>TAX CREDIT</t>
  </si>
  <si>
    <t>NON-TAX</t>
  </si>
  <si>
    <t>PER</t>
  </si>
  <si>
    <t>P007</t>
  </si>
  <si>
    <t>DORA</t>
  </si>
  <si>
    <t>JOSEPH</t>
  </si>
  <si>
    <t>MADALA</t>
  </si>
  <si>
    <t>WILLIAM</t>
  </si>
  <si>
    <t>BAREND</t>
  </si>
  <si>
    <t>B + M</t>
  </si>
  <si>
    <t>21</t>
  </si>
  <si>
    <t>22</t>
  </si>
  <si>
    <t>23</t>
  </si>
  <si>
    <t>24</t>
  </si>
  <si>
    <t>P010</t>
  </si>
  <si>
    <t>JAMES SMITH</t>
  </si>
  <si>
    <t>Wesbank Credit Card</t>
  </si>
  <si>
    <t>26</t>
  </si>
  <si>
    <t>27</t>
  </si>
  <si>
    <t>28</t>
  </si>
  <si>
    <t>29</t>
  </si>
  <si>
    <t>30</t>
  </si>
  <si>
    <t>31</t>
  </si>
  <si>
    <t>32</t>
  </si>
  <si>
    <t>33</t>
  </si>
  <si>
    <t>MONTH</t>
  </si>
  <si>
    <t>201803</t>
  </si>
  <si>
    <t>TOTALS</t>
  </si>
  <si>
    <t>SALARIES</t>
  </si>
  <si>
    <t>TO EMP201</t>
  </si>
  <si>
    <t>201804</t>
  </si>
  <si>
    <t>201805</t>
  </si>
  <si>
    <t>201811</t>
  </si>
  <si>
    <t>201812</t>
  </si>
  <si>
    <t>JAMES</t>
  </si>
  <si>
    <t>P011</t>
  </si>
  <si>
    <t>RIAAN</t>
  </si>
  <si>
    <t>SHAUN</t>
  </si>
  <si>
    <t>P014</t>
  </si>
  <si>
    <t>DANNY</t>
  </si>
  <si>
    <t>LEON</t>
  </si>
  <si>
    <t>NICOLE</t>
  </si>
  <si>
    <t>MARCH 2019</t>
  </si>
  <si>
    <t>SHAUN NTULO</t>
  </si>
  <si>
    <t>APRIL 2019</t>
  </si>
  <si>
    <t>201903</t>
  </si>
  <si>
    <t>201904</t>
  </si>
  <si>
    <t>201905</t>
  </si>
  <si>
    <t>201907</t>
  </si>
  <si>
    <t>201906</t>
  </si>
  <si>
    <t>201908</t>
  </si>
  <si>
    <t>201909</t>
  </si>
  <si>
    <t>201910</t>
  </si>
  <si>
    <t>201911</t>
  </si>
  <si>
    <t>201912</t>
  </si>
  <si>
    <t>202001</t>
  </si>
  <si>
    <t>202002</t>
  </si>
  <si>
    <t>MAY 2019</t>
  </si>
  <si>
    <t>06/05 Dora R1000 loan from Leon - R200 per week</t>
  </si>
  <si>
    <t>+250 out</t>
  </si>
  <si>
    <t>Difference from error</t>
  </si>
  <si>
    <t>deducted over 2 weeks</t>
  </si>
  <si>
    <t>JUNE 2019</t>
  </si>
  <si>
    <t>ELECTRICITY</t>
  </si>
  <si>
    <t>JULY 2019</t>
  </si>
  <si>
    <t>- R200 for R1500 loan</t>
  </si>
  <si>
    <t xml:space="preserve">                                   </t>
  </si>
  <si>
    <t>ü</t>
  </si>
  <si>
    <t>-</t>
  </si>
  <si>
    <t>2019/07</t>
  </si>
  <si>
    <t>R200 from R3000 loan</t>
  </si>
  <si>
    <t>AUGUST 2019</t>
  </si>
  <si>
    <t>25</t>
  </si>
  <si>
    <t xml:space="preserve"> - R250 for R2000 loan</t>
  </si>
  <si>
    <t>RIAAN DE RUYTER</t>
  </si>
  <si>
    <t>SEPTEMBER 2019</t>
  </si>
  <si>
    <t>J ENGELBRECHT</t>
  </si>
  <si>
    <t>P015</t>
  </si>
  <si>
    <t>JACQUES</t>
  </si>
  <si>
    <t>OCTOBER 2019</t>
  </si>
  <si>
    <t>34</t>
  </si>
  <si>
    <t>35</t>
  </si>
  <si>
    <t>Less R400 paid to Leon</t>
  </si>
  <si>
    <t>Electricity</t>
  </si>
  <si>
    <t>P016</t>
  </si>
  <si>
    <t>JACQUES ENGELBRECHT</t>
  </si>
  <si>
    <t>DERRICK VENTER</t>
  </si>
  <si>
    <t>DERRICK</t>
  </si>
  <si>
    <t>NOVEMBER 2019</t>
  </si>
  <si>
    <t>36</t>
  </si>
  <si>
    <t>37</t>
  </si>
  <si>
    <t>38</t>
  </si>
  <si>
    <t>39</t>
  </si>
  <si>
    <t>R1000 Loan</t>
  </si>
  <si>
    <t>R3000 Loan</t>
  </si>
  <si>
    <t>-R150 for R300 loan</t>
  </si>
  <si>
    <t xml:space="preserve"> - to Dora</t>
  </si>
  <si>
    <t xml:space="preserve"> - No payment</t>
  </si>
  <si>
    <t xml:space="preserve"> - R400</t>
  </si>
  <si>
    <t xml:space="preserve"> - 1 day</t>
  </si>
  <si>
    <t xml:space="preserve"> - 3hrs - R400 to Leon (R200 per week)</t>
  </si>
  <si>
    <t>DECEMBER 2019</t>
  </si>
  <si>
    <t>40</t>
  </si>
  <si>
    <t>41</t>
  </si>
  <si>
    <t>WAGE RATE</t>
  </si>
  <si>
    <t>SHIFTS WRKD</t>
  </si>
  <si>
    <t>BONUS</t>
  </si>
  <si>
    <t>LEAVE</t>
  </si>
  <si>
    <t>NORMAL WEEKS WAGES</t>
  </si>
  <si>
    <t>Start date</t>
  </si>
  <si>
    <t>END DECEMBER</t>
  </si>
  <si>
    <t>dora account</t>
  </si>
  <si>
    <t>WEEK</t>
  </si>
  <si>
    <t>days off</t>
  </si>
  <si>
    <t>Jan</t>
  </si>
  <si>
    <t>Feb</t>
  </si>
  <si>
    <t>March</t>
  </si>
  <si>
    <t>April</t>
  </si>
  <si>
    <t>May</t>
  </si>
  <si>
    <t>June</t>
  </si>
  <si>
    <t>July</t>
  </si>
  <si>
    <t>August</t>
  </si>
  <si>
    <t>Work days</t>
  </si>
  <si>
    <t>DANIEL GELDENHUYS</t>
  </si>
  <si>
    <t>LEON GELDENHUYS</t>
  </si>
  <si>
    <t>PETRO GELDENHUYS</t>
  </si>
  <si>
    <t>NICOLE GELDENHUYS</t>
  </si>
  <si>
    <t>LEAVE RENT / OT</t>
  </si>
  <si>
    <t>JANUARY 2020</t>
  </si>
  <si>
    <t>46</t>
  </si>
  <si>
    <t>47</t>
  </si>
  <si>
    <t>45</t>
  </si>
  <si>
    <t>48</t>
  </si>
  <si>
    <t>R500 loan = -100p/week</t>
  </si>
  <si>
    <t>49</t>
  </si>
  <si>
    <t>50</t>
  </si>
  <si>
    <t>51</t>
  </si>
  <si>
    <t>52</t>
  </si>
  <si>
    <t>Juliana Repay</t>
  </si>
  <si>
    <t>NL Potgieter</t>
  </si>
  <si>
    <t>DL Geldenhuys</t>
  </si>
  <si>
    <t>LB Geldenhuys</t>
  </si>
  <si>
    <t>CURRENT WEEKLY PAYOUT</t>
  </si>
  <si>
    <t>EMPLOYEE</t>
  </si>
  <si>
    <t>% Increase</t>
  </si>
  <si>
    <t>PROPOSED WEEKLY PAYOUT</t>
  </si>
  <si>
    <t>Current Wage Rate</t>
  </si>
  <si>
    <t>Proposed Wage Rate</t>
  </si>
  <si>
    <t>CURRENT MONTHLY PAYOUT</t>
  </si>
  <si>
    <t>PROPOSED MONTHLY PAYOUT</t>
  </si>
  <si>
    <t>EFFECTIVE INCREASE PM</t>
  </si>
  <si>
    <t>Total to be paid more per month</t>
  </si>
  <si>
    <t>+ RENT</t>
  </si>
  <si>
    <t>PROPOSED INCREASES 1</t>
  </si>
  <si>
    <t>PROPOSED INCREASES 2</t>
  </si>
  <si>
    <t>FEBRUARY 2020</t>
  </si>
  <si>
    <t>-R200 loan</t>
  </si>
  <si>
    <t>Jean-marie Nienaber</t>
  </si>
  <si>
    <t>Leon Geldenhuys Jnr</t>
  </si>
  <si>
    <t>GROSS</t>
  </si>
  <si>
    <t>TAX TOTAL</t>
  </si>
  <si>
    <t>EMP501</t>
  </si>
  <si>
    <t>EMP201</t>
  </si>
  <si>
    <t>TOTAL INCOME</t>
  </si>
  <si>
    <t>EMPLOY. PERIOD</t>
  </si>
  <si>
    <t>3810 + 4474</t>
  </si>
  <si>
    <t>TOTAL MEDICAL</t>
  </si>
  <si>
    <t>COIDA</t>
  </si>
  <si>
    <t>Month</t>
  </si>
  <si>
    <t>No of employees</t>
  </si>
  <si>
    <t>No of management</t>
  </si>
  <si>
    <t>Earnings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</si>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</sst>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[$$-C09]#,##0"/>
    <numFmt numFmtId="165" formatCode="_ * #,##0_ ;_ * \-#,##0_ ;_ * &quot;-&quot;??_ ;_ @_ "/>
  </numFmts>
  <fonts count="36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28"/>
      <color indexed="2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sz val="9"/>
      <color indexed="1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i/>
      <sz val="36"/>
      <color theme="4" tint="0.59999389629810485"/>
      <name val="Arial"/>
      <family val="2"/>
    </font>
    <font>
      <b/>
      <sz val="16"/>
      <color theme="0" tint="-0.499984740745262"/>
      <name val="Arial"/>
      <family val="2"/>
    </font>
    <font>
      <i/>
      <sz val="22"/>
      <color indexed="8"/>
      <name val="Arial Black"/>
      <family val="2"/>
    </font>
    <font>
      <sz val="10"/>
      <name val="Wingdings"/>
      <charset val="2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2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theme="8" tint="-0.249977111117893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Wingdings"/>
      <charset val="2"/>
    </font>
    <font>
      <b/>
      <i/>
      <sz val="22"/>
      <name val="Calibri"/>
      <family val="2"/>
      <scheme val="minor"/>
    </font>
    <font>
      <sz val="10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gray0625">
        <fgColor theme="4"/>
        <bgColor auto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164" fontId="0" fillId="0" borderId="0"/>
    <xf numFmtId="44" fontId="1" fillId="0" borderId="0" applyFont="0" applyFill="0" applyBorder="0" applyAlignment="0" applyProtection="0"/>
    <xf numFmtId="164" fontId="1" fillId="0" borderId="0"/>
    <xf numFmtId="164" fontId="2" fillId="0" borderId="0"/>
    <xf numFmtId="164" fontId="2" fillId="0" borderId="0"/>
    <xf numFmtId="43" fontId="11" fillId="0" borderId="0" applyFont="0" applyFill="0" applyBorder="0" applyAlignment="0" applyProtection="0"/>
  </cellStyleXfs>
  <cellXfs count="488">
    <xf numFmtId="164" fontId="0" fillId="0" borderId="0" xfId="0"/>
    <xf numFmtId="164" fontId="2" fillId="0" borderId="0" xfId="3"/>
    <xf numFmtId="164" fontId="3" fillId="0" borderId="0" xfId="3" applyFont="1" applyFill="1" applyBorder="1" applyAlignment="1">
      <alignment horizontal="center"/>
    </xf>
    <xf numFmtId="15" fontId="5" fillId="0" borderId="0" xfId="2" applyNumberFormat="1" applyFont="1" applyBorder="1"/>
    <xf numFmtId="164" fontId="1" fillId="0" borderId="0" xfId="2" applyBorder="1"/>
    <xf numFmtId="164" fontId="1" fillId="0" borderId="0" xfId="2"/>
    <xf numFmtId="164" fontId="1" fillId="0" borderId="0" xfId="2" applyAlignment="1">
      <alignment vertical="center"/>
    </xf>
    <xf numFmtId="164" fontId="7" fillId="0" borderId="0" xfId="2" applyFont="1" applyAlignment="1">
      <alignment horizontal="center"/>
    </xf>
    <xf numFmtId="164" fontId="5" fillId="0" borderId="0" xfId="2" applyFont="1"/>
    <xf numFmtId="164" fontId="5" fillId="0" borderId="0" xfId="2" applyFont="1" applyAlignment="1">
      <alignment horizontal="center"/>
    </xf>
    <xf numFmtId="164" fontId="6" fillId="0" borderId="0" xfId="2" applyFont="1" applyBorder="1" applyAlignment="1">
      <alignment horizontal="center"/>
    </xf>
    <xf numFmtId="164" fontId="1" fillId="0" borderId="0" xfId="2" applyAlignment="1">
      <alignment horizontal="center"/>
    </xf>
    <xf numFmtId="4" fontId="7" fillId="0" borderId="0" xfId="2" applyNumberFormat="1" applyFont="1" applyBorder="1"/>
    <xf numFmtId="164" fontId="1" fillId="0" borderId="5" xfId="2" applyFont="1" applyBorder="1" applyAlignment="1">
      <alignment horizontal="center"/>
    </xf>
    <xf numFmtId="164" fontId="6" fillId="0" borderId="0" xfId="2" applyFont="1" applyBorder="1" applyAlignment="1">
      <alignment horizontal="center" vertical="center"/>
    </xf>
    <xf numFmtId="2" fontId="5" fillId="0" borderId="0" xfId="2" applyNumberFormat="1" applyFont="1" applyBorder="1" applyAlignment="1">
      <alignment horizontal="left" vertical="center"/>
    </xf>
    <xf numFmtId="164" fontId="1" fillId="0" borderId="5" xfId="2" applyFont="1" applyBorder="1"/>
    <xf numFmtId="164" fontId="3" fillId="0" borderId="0" xfId="3" quotePrefix="1" applyFont="1" applyFill="1" applyBorder="1" applyAlignment="1">
      <alignment horizontal="center"/>
    </xf>
    <xf numFmtId="164" fontId="1" fillId="0" borderId="4" xfId="2" applyFont="1" applyBorder="1" applyAlignment="1">
      <alignment horizontal="center"/>
    </xf>
    <xf numFmtId="164" fontId="1" fillId="0" borderId="4" xfId="2" applyFont="1" applyBorder="1"/>
    <xf numFmtId="164" fontId="12" fillId="0" borderId="0" xfId="2" applyFont="1" applyBorder="1" applyAlignment="1">
      <alignment horizontal="right" vertical="center"/>
    </xf>
    <xf numFmtId="164" fontId="7" fillId="0" borderId="0" xfId="2" applyFont="1" applyBorder="1" applyAlignment="1">
      <alignment horizontal="center"/>
    </xf>
    <xf numFmtId="164" fontId="1" fillId="0" borderId="6" xfId="2" applyFont="1" applyBorder="1"/>
    <xf numFmtId="164" fontId="7" fillId="0" borderId="3" xfId="2" applyFont="1" applyBorder="1" applyAlignment="1">
      <alignment horizontal="center"/>
    </xf>
    <xf numFmtId="164" fontId="1" fillId="2" borderId="0" xfId="2" applyFill="1"/>
    <xf numFmtId="164" fontId="6" fillId="2" borderId="0" xfId="2" applyFont="1" applyFill="1" applyBorder="1" applyAlignment="1">
      <alignment horizontal="center"/>
    </xf>
    <xf numFmtId="164" fontId="6" fillId="2" borderId="0" xfId="2" applyFont="1" applyFill="1" applyBorder="1"/>
    <xf numFmtId="4" fontId="7" fillId="2" borderId="0" xfId="2" applyNumberFormat="1" applyFont="1" applyFill="1" applyBorder="1"/>
    <xf numFmtId="164" fontId="8" fillId="0" borderId="0" xfId="2" applyFont="1" applyBorder="1" applyAlignment="1">
      <alignment horizontal="right" indent="1"/>
    </xf>
    <xf numFmtId="43" fontId="2" fillId="0" borderId="7" xfId="5" applyFont="1" applyFill="1" applyBorder="1" applyAlignment="1">
      <alignment horizontal="right"/>
    </xf>
    <xf numFmtId="43" fontId="6" fillId="0" borderId="2" xfId="5" applyFont="1" applyBorder="1"/>
    <xf numFmtId="43" fontId="1" fillId="0" borderId="0" xfId="1" applyNumberFormat="1" applyFont="1" applyBorder="1" applyAlignment="1">
      <alignment vertical="center"/>
    </xf>
    <xf numFmtId="43" fontId="1" fillId="0" borderId="8" xfId="1" applyNumberFormat="1" applyFont="1" applyBorder="1" applyAlignment="1">
      <alignment vertical="center"/>
    </xf>
    <xf numFmtId="164" fontId="14" fillId="0" borderId="0" xfId="2" applyFont="1" applyBorder="1" applyAlignment="1">
      <alignment horizontal="left" vertical="center" indent="1"/>
    </xf>
    <xf numFmtId="2" fontId="8" fillId="0" borderId="0" xfId="2" applyNumberFormat="1" applyFont="1" applyBorder="1" applyAlignment="1">
      <alignment horizontal="right" vertical="center" indent="1"/>
    </xf>
    <xf numFmtId="44" fontId="6" fillId="0" borderId="1" xfId="1" applyFont="1" applyBorder="1" applyAlignment="1">
      <alignment horizontal="center" vertical="center"/>
    </xf>
    <xf numFmtId="164" fontId="1" fillId="0" borderId="6" xfId="2" applyFont="1" applyBorder="1" applyAlignment="1">
      <alignment horizontal="center"/>
    </xf>
    <xf numFmtId="44" fontId="1" fillId="0" borderId="0" xfId="1" applyFont="1" applyBorder="1" applyAlignment="1">
      <alignment horizontal="center" vertical="center"/>
    </xf>
    <xf numFmtId="164" fontId="13" fillId="0" borderId="0" xfId="2" quotePrefix="1" applyFont="1" applyAlignment="1">
      <alignment horizontal="center" vertical="center"/>
    </xf>
    <xf numFmtId="164" fontId="14" fillId="0" borderId="0" xfId="2" quotePrefix="1" applyFont="1" applyBorder="1" applyAlignment="1">
      <alignment horizontal="left" vertical="center" indent="1"/>
    </xf>
    <xf numFmtId="164" fontId="1" fillId="0" borderId="11" xfId="2" applyFont="1" applyBorder="1"/>
    <xf numFmtId="164" fontId="1" fillId="0" borderId="9" xfId="2" applyFont="1" applyBorder="1"/>
    <xf numFmtId="164" fontId="1" fillId="0" borderId="10" xfId="2" applyFont="1" applyBorder="1"/>
    <xf numFmtId="43" fontId="16" fillId="0" borderId="0" xfId="1" applyNumberFormat="1" applyFont="1" applyBorder="1" applyAlignment="1">
      <alignment horizontal="right" vertical="center" indent="3"/>
    </xf>
    <xf numFmtId="164" fontId="6" fillId="0" borderId="3" xfId="2" applyFont="1" applyBorder="1" applyAlignment="1">
      <alignment horizontal="center"/>
    </xf>
    <xf numFmtId="43" fontId="1" fillId="0" borderId="0" xfId="5" applyFont="1"/>
    <xf numFmtId="164" fontId="1" fillId="0" borderId="3" xfId="2" applyFont="1" applyBorder="1" applyAlignment="1">
      <alignment horizontal="center"/>
    </xf>
    <xf numFmtId="164" fontId="1" fillId="0" borderId="3" xfId="2" applyFont="1" applyBorder="1" applyAlignment="1">
      <alignment horizontal="left"/>
    </xf>
    <xf numFmtId="164" fontId="1" fillId="0" borderId="12" xfId="2" applyFont="1" applyBorder="1" applyAlignment="1">
      <alignment horizontal="left"/>
    </xf>
    <xf numFmtId="43" fontId="2" fillId="0" borderId="2" xfId="5" applyFont="1" applyFill="1" applyBorder="1" applyAlignment="1">
      <alignment horizontal="right"/>
    </xf>
    <xf numFmtId="164" fontId="1" fillId="0" borderId="13" xfId="2" applyFont="1" applyBorder="1"/>
    <xf numFmtId="43" fontId="16" fillId="0" borderId="0" xfId="1" applyNumberFormat="1" applyFont="1" applyBorder="1" applyAlignment="1">
      <alignment horizontal="center" vertical="center"/>
    </xf>
    <xf numFmtId="43" fontId="6" fillId="0" borderId="0" xfId="5" applyFont="1" applyBorder="1"/>
    <xf numFmtId="43" fontId="7" fillId="2" borderId="0" xfId="5" applyFont="1" applyFill="1" applyBorder="1"/>
    <xf numFmtId="43" fontId="7" fillId="0" borderId="0" xfId="5" applyFont="1" applyBorder="1"/>
    <xf numFmtId="43" fontId="4" fillId="0" borderId="0" xfId="5" applyFont="1" applyAlignment="1">
      <alignment horizontal="center"/>
    </xf>
    <xf numFmtId="43" fontId="1" fillId="0" borderId="0" xfId="5" applyFont="1" applyAlignment="1">
      <alignment horizontal="left" indent="1"/>
    </xf>
    <xf numFmtId="43" fontId="10" fillId="0" borderId="0" xfId="5" quotePrefix="1" applyFont="1"/>
    <xf numFmtId="43" fontId="10" fillId="0" borderId="0" xfId="5" quotePrefix="1" applyFont="1" applyBorder="1"/>
    <xf numFmtId="43" fontId="1" fillId="0" borderId="0" xfId="5" quotePrefix="1" applyFont="1" applyAlignment="1">
      <alignment horizontal="left" indent="1"/>
    </xf>
    <xf numFmtId="43" fontId="6" fillId="0" borderId="0" xfId="5" applyFont="1" applyBorder="1" applyAlignment="1">
      <alignment horizontal="center" vertical="center"/>
    </xf>
    <xf numFmtId="43" fontId="6" fillId="0" borderId="0" xfId="5" applyFont="1" applyBorder="1" applyAlignment="1">
      <alignment horizontal="right" vertical="center"/>
    </xf>
    <xf numFmtId="43" fontId="9" fillId="0" borderId="0" xfId="5" applyFont="1" applyBorder="1" applyAlignment="1">
      <alignment vertical="center"/>
    </xf>
    <xf numFmtId="43" fontId="5" fillId="0" borderId="0" xfId="5" applyFont="1"/>
    <xf numFmtId="43" fontId="7" fillId="2" borderId="0" xfId="5" applyFont="1" applyFill="1" applyBorder="1" applyAlignment="1">
      <alignment horizontal="left"/>
    </xf>
    <xf numFmtId="43" fontId="6" fillId="0" borderId="0" xfId="5" applyFont="1" applyBorder="1" applyAlignment="1">
      <alignment horizontal="left"/>
    </xf>
    <xf numFmtId="43" fontId="17" fillId="0" borderId="0" xfId="5" applyFont="1"/>
    <xf numFmtId="43" fontId="1" fillId="0" borderId="9" xfId="5" applyFont="1" applyFill="1" applyBorder="1" applyAlignment="1">
      <alignment horizontal="right"/>
    </xf>
    <xf numFmtId="43" fontId="1" fillId="0" borderId="10" xfId="5" applyFont="1" applyFill="1" applyBorder="1" applyAlignment="1">
      <alignment horizontal="right"/>
    </xf>
    <xf numFmtId="164" fontId="1" fillId="0" borderId="14" xfId="2" applyFont="1" applyBorder="1" applyAlignment="1">
      <alignment horizontal="center"/>
    </xf>
    <xf numFmtId="164" fontId="1" fillId="0" borderId="15" xfId="2" applyFont="1" applyBorder="1"/>
    <xf numFmtId="43" fontId="1" fillId="0" borderId="15" xfId="5" applyFont="1" applyFill="1" applyBorder="1" applyAlignment="1">
      <alignment horizontal="right"/>
    </xf>
    <xf numFmtId="164" fontId="1" fillId="0" borderId="16" xfId="2" applyFont="1" applyBorder="1" applyAlignment="1">
      <alignment horizontal="center"/>
    </xf>
    <xf numFmtId="164" fontId="1" fillId="0" borderId="14" xfId="2" applyFont="1" applyBorder="1"/>
    <xf numFmtId="164" fontId="1" fillId="0" borderId="16" xfId="2" applyFont="1" applyBorder="1"/>
    <xf numFmtId="164" fontId="1" fillId="0" borderId="1" xfId="2" applyFont="1" applyBorder="1" applyAlignment="1">
      <alignment horizontal="center"/>
    </xf>
    <xf numFmtId="164" fontId="1" fillId="0" borderId="17" xfId="2" applyFont="1" applyBorder="1" applyAlignment="1"/>
    <xf numFmtId="43" fontId="2" fillId="0" borderId="18" xfId="5" applyFont="1" applyFill="1" applyBorder="1" applyAlignment="1">
      <alignment horizontal="right"/>
    </xf>
    <xf numFmtId="164" fontId="18" fillId="0" borderId="0" xfId="0" applyFont="1"/>
    <xf numFmtId="164" fontId="19" fillId="0" borderId="0" xfId="0" applyFont="1" applyAlignment="1">
      <alignment horizontal="center" vertical="center"/>
    </xf>
    <xf numFmtId="164" fontId="18" fillId="0" borderId="0" xfId="0" applyFont="1" applyAlignment="1">
      <alignment horizontal="center"/>
    </xf>
    <xf numFmtId="164" fontId="18" fillId="0" borderId="20" xfId="0" applyFont="1" applyBorder="1" applyAlignment="1">
      <alignment horizontal="center"/>
    </xf>
    <xf numFmtId="164" fontId="18" fillId="0" borderId="20" xfId="0" applyFont="1" applyBorder="1"/>
    <xf numFmtId="164" fontId="18" fillId="0" borderId="21" xfId="0" applyFont="1" applyBorder="1" applyAlignment="1">
      <alignment horizontal="center"/>
    </xf>
    <xf numFmtId="164" fontId="18" fillId="0" borderId="21" xfId="0" applyFont="1" applyBorder="1"/>
    <xf numFmtId="164" fontId="19" fillId="0" borderId="22" xfId="0" applyFont="1" applyBorder="1" applyAlignment="1">
      <alignment horizontal="center" vertical="center"/>
    </xf>
    <xf numFmtId="164" fontId="19" fillId="0" borderId="23" xfId="2" applyFont="1" applyBorder="1" applyAlignment="1">
      <alignment horizontal="center" vertical="center"/>
    </xf>
    <xf numFmtId="43" fontId="19" fillId="0" borderId="23" xfId="5" applyFont="1" applyBorder="1" applyAlignment="1">
      <alignment horizontal="center" vertical="center"/>
    </xf>
    <xf numFmtId="43" fontId="18" fillId="0" borderId="21" xfId="5" applyFont="1" applyBorder="1"/>
    <xf numFmtId="43" fontId="18" fillId="0" borderId="20" xfId="5" applyFont="1" applyBorder="1"/>
    <xf numFmtId="43" fontId="18" fillId="0" borderId="0" xfId="5" applyFont="1"/>
    <xf numFmtId="49" fontId="18" fillId="0" borderId="0" xfId="0" applyNumberFormat="1" applyFont="1" applyAlignment="1">
      <alignment horizontal="center"/>
    </xf>
    <xf numFmtId="14" fontId="19" fillId="0" borderId="23" xfId="0" applyNumberFormat="1" applyFont="1" applyBorder="1" applyAlignment="1">
      <alignment horizontal="center" vertical="center"/>
    </xf>
    <xf numFmtId="49" fontId="19" fillId="0" borderId="24" xfId="0" applyNumberFormat="1" applyFont="1" applyBorder="1" applyAlignment="1">
      <alignment horizontal="center" vertical="center"/>
    </xf>
    <xf numFmtId="164" fontId="19" fillId="0" borderId="0" xfId="0" applyFont="1"/>
    <xf numFmtId="164" fontId="18" fillId="0" borderId="25" xfId="0" applyFont="1" applyBorder="1"/>
    <xf numFmtId="164" fontId="18" fillId="0" borderId="27" xfId="0" applyFont="1" applyBorder="1" applyAlignment="1">
      <alignment horizontal="center"/>
    </xf>
    <xf numFmtId="164" fontId="18" fillId="0" borderId="28" xfId="0" applyFont="1" applyBorder="1"/>
    <xf numFmtId="43" fontId="18" fillId="0" borderId="28" xfId="5" applyFont="1" applyBorder="1"/>
    <xf numFmtId="164" fontId="18" fillId="0" borderId="30" xfId="0" applyFont="1" applyBorder="1" applyAlignment="1">
      <alignment horizontal="center"/>
    </xf>
    <xf numFmtId="164" fontId="18" fillId="0" borderId="32" xfId="0" applyFont="1" applyBorder="1" applyAlignment="1">
      <alignment horizontal="center"/>
    </xf>
    <xf numFmtId="164" fontId="18" fillId="0" borderId="33" xfId="0" applyFont="1" applyBorder="1"/>
    <xf numFmtId="43" fontId="18" fillId="0" borderId="33" xfId="5" applyFont="1" applyBorder="1"/>
    <xf numFmtId="164" fontId="18" fillId="0" borderId="34" xfId="0" applyFont="1" applyBorder="1" applyAlignment="1">
      <alignment horizontal="center"/>
    </xf>
    <xf numFmtId="14" fontId="18" fillId="0" borderId="0" xfId="0" applyNumberFormat="1" applyFont="1" applyAlignment="1">
      <alignment horizontal="center" vertical="center"/>
    </xf>
    <xf numFmtId="14" fontId="18" fillId="0" borderId="21" xfId="0" applyNumberFormat="1" applyFont="1" applyBorder="1" applyAlignment="1">
      <alignment horizontal="center" vertical="center"/>
    </xf>
    <xf numFmtId="14" fontId="18" fillId="0" borderId="20" xfId="0" applyNumberFormat="1" applyFont="1" applyBorder="1" applyAlignment="1">
      <alignment horizontal="center" vertical="center"/>
    </xf>
    <xf numFmtId="14" fontId="18" fillId="0" borderId="26" xfId="0" applyNumberFormat="1" applyFont="1" applyBorder="1" applyAlignment="1">
      <alignment horizontal="center" vertical="center"/>
    </xf>
    <xf numFmtId="14" fontId="18" fillId="0" borderId="19" xfId="0" applyNumberFormat="1" applyFont="1" applyBorder="1" applyAlignment="1">
      <alignment horizontal="center" vertical="center"/>
    </xf>
    <xf numFmtId="49" fontId="18" fillId="3" borderId="21" xfId="0" quotePrefix="1" applyNumberFormat="1" applyFont="1" applyFill="1" applyBorder="1" applyAlignment="1">
      <alignment horizontal="center"/>
    </xf>
    <xf numFmtId="43" fontId="19" fillId="3" borderId="22" xfId="5" applyFont="1" applyFill="1" applyBorder="1"/>
    <xf numFmtId="49" fontId="18" fillId="4" borderId="29" xfId="0" applyNumberFormat="1" applyFont="1" applyFill="1" applyBorder="1" applyAlignment="1">
      <alignment horizontal="center"/>
    </xf>
    <xf numFmtId="49" fontId="18" fillId="4" borderId="31" xfId="0" applyNumberFormat="1" applyFont="1" applyFill="1" applyBorder="1" applyAlignment="1">
      <alignment horizontal="center"/>
    </xf>
    <xf numFmtId="49" fontId="18" fillId="4" borderId="35" xfId="0" applyNumberFormat="1" applyFont="1" applyFill="1" applyBorder="1" applyAlignment="1">
      <alignment horizontal="center"/>
    </xf>
    <xf numFmtId="43" fontId="19" fillId="4" borderId="22" xfId="5" applyFont="1" applyFill="1" applyBorder="1"/>
    <xf numFmtId="43" fontId="19" fillId="4" borderId="23" xfId="5" applyFont="1" applyFill="1" applyBorder="1"/>
    <xf numFmtId="43" fontId="19" fillId="4" borderId="33" xfId="5" applyFont="1" applyFill="1" applyBorder="1"/>
    <xf numFmtId="49" fontId="18" fillId="6" borderId="21" xfId="0" applyNumberFormat="1" applyFont="1" applyFill="1" applyBorder="1" applyAlignment="1">
      <alignment horizontal="center"/>
    </xf>
    <xf numFmtId="43" fontId="19" fillId="6" borderId="22" xfId="5" applyFont="1" applyFill="1" applyBorder="1"/>
    <xf numFmtId="43" fontId="19" fillId="6" borderId="23" xfId="5" applyFont="1" applyFill="1" applyBorder="1"/>
    <xf numFmtId="49" fontId="18" fillId="7" borderId="29" xfId="0" applyNumberFormat="1" applyFont="1" applyFill="1" applyBorder="1" applyAlignment="1">
      <alignment horizontal="center"/>
    </xf>
    <xf numFmtId="49" fontId="18" fillId="7" borderId="31" xfId="0" applyNumberFormat="1" applyFont="1" applyFill="1" applyBorder="1" applyAlignment="1">
      <alignment horizontal="center"/>
    </xf>
    <xf numFmtId="43" fontId="19" fillId="7" borderId="22" xfId="5" applyFont="1" applyFill="1" applyBorder="1"/>
    <xf numFmtId="43" fontId="19" fillId="7" borderId="23" xfId="5" applyFont="1" applyFill="1" applyBorder="1"/>
    <xf numFmtId="43" fontId="19" fillId="9" borderId="22" xfId="5" applyFont="1" applyFill="1" applyBorder="1"/>
    <xf numFmtId="43" fontId="19" fillId="9" borderId="23" xfId="5" applyFont="1" applyFill="1" applyBorder="1"/>
    <xf numFmtId="49" fontId="18" fillId="4" borderId="38" xfId="0" applyNumberFormat="1" applyFont="1" applyFill="1" applyBorder="1" applyAlignment="1">
      <alignment horizontal="center"/>
    </xf>
    <xf numFmtId="49" fontId="18" fillId="4" borderId="39" xfId="0" applyNumberFormat="1" applyFont="1" applyFill="1" applyBorder="1" applyAlignment="1">
      <alignment horizontal="center"/>
    </xf>
    <xf numFmtId="49" fontId="18" fillId="4" borderId="40" xfId="0" applyNumberFormat="1" applyFont="1" applyFill="1" applyBorder="1" applyAlignment="1">
      <alignment horizontal="center"/>
    </xf>
    <xf numFmtId="43" fontId="19" fillId="5" borderId="22" xfId="5" applyFont="1" applyFill="1" applyBorder="1"/>
    <xf numFmtId="49" fontId="18" fillId="6" borderId="20" xfId="0" applyNumberFormat="1" applyFont="1" applyFill="1" applyBorder="1" applyAlignment="1">
      <alignment horizontal="center"/>
    </xf>
    <xf numFmtId="49" fontId="18" fillId="7" borderId="20" xfId="0" applyNumberFormat="1" applyFont="1" applyFill="1" applyBorder="1" applyAlignment="1">
      <alignment horizontal="center"/>
    </xf>
    <xf numFmtId="49" fontId="18" fillId="8" borderId="20" xfId="0" applyNumberFormat="1" applyFont="1" applyFill="1" applyBorder="1" applyAlignment="1">
      <alignment horizontal="center"/>
    </xf>
    <xf numFmtId="43" fontId="19" fillId="8" borderId="22" xfId="5" applyFont="1" applyFill="1" applyBorder="1"/>
    <xf numFmtId="49" fontId="18" fillId="4" borderId="20" xfId="0" applyNumberFormat="1" applyFont="1" applyFill="1" applyBorder="1" applyAlignment="1">
      <alignment horizontal="center"/>
    </xf>
    <xf numFmtId="49" fontId="18" fillId="5" borderId="20" xfId="0" applyNumberFormat="1" applyFont="1" applyFill="1" applyBorder="1" applyAlignment="1">
      <alignment horizontal="center"/>
    </xf>
    <xf numFmtId="49" fontId="18" fillId="3" borderId="20" xfId="0" applyNumberFormat="1" applyFont="1" applyFill="1" applyBorder="1" applyAlignment="1">
      <alignment horizontal="center"/>
    </xf>
    <xf numFmtId="43" fontId="17" fillId="0" borderId="0" xfId="5" quotePrefix="1" applyFont="1"/>
    <xf numFmtId="164" fontId="1" fillId="0" borderId="0" xfId="2" quotePrefix="1"/>
    <xf numFmtId="43" fontId="1" fillId="0" borderId="0" xfId="5" applyFont="1" applyAlignment="1">
      <alignment horizontal="center"/>
    </xf>
    <xf numFmtId="164" fontId="4" fillId="0" borderId="0" xfId="2" applyFont="1" applyAlignment="1">
      <alignment horizontal="center"/>
    </xf>
    <xf numFmtId="164" fontId="19" fillId="0" borderId="0" xfId="0" applyFont="1" applyFill="1" applyBorder="1" applyAlignment="1">
      <alignment horizontal="center"/>
    </xf>
    <xf numFmtId="14" fontId="19" fillId="0" borderId="0" xfId="0" applyNumberFormat="1" applyFont="1" applyFill="1" applyBorder="1" applyAlignment="1">
      <alignment horizontal="center"/>
    </xf>
    <xf numFmtId="164" fontId="19" fillId="0" borderId="0" xfId="0" applyFont="1" applyFill="1"/>
    <xf numFmtId="164" fontId="18" fillId="0" borderId="0" xfId="0" quotePrefix="1" applyFont="1" applyAlignment="1">
      <alignment horizontal="center"/>
    </xf>
    <xf numFmtId="164" fontId="19" fillId="0" borderId="0" xfId="0" applyFont="1" applyAlignment="1">
      <alignment horizontal="center"/>
    </xf>
    <xf numFmtId="164" fontId="19" fillId="0" borderId="0" xfId="0" applyFont="1" applyFill="1" applyAlignment="1">
      <alignment horizontal="center"/>
    </xf>
    <xf numFmtId="164" fontId="19" fillId="0" borderId="1" xfId="0" applyFont="1" applyBorder="1" applyAlignment="1">
      <alignment horizontal="center" vertical="center"/>
    </xf>
    <xf numFmtId="49" fontId="18" fillId="9" borderId="29" xfId="0" applyNumberFormat="1" applyFont="1" applyFill="1" applyBorder="1" applyAlignment="1">
      <alignment horizontal="center"/>
    </xf>
    <xf numFmtId="49" fontId="18" fillId="9" borderId="40" xfId="0" applyNumberFormat="1" applyFont="1" applyFill="1" applyBorder="1" applyAlignment="1">
      <alignment horizontal="center"/>
    </xf>
    <xf numFmtId="43" fontId="18" fillId="0" borderId="43" xfId="5" applyFont="1" applyBorder="1"/>
    <xf numFmtId="49" fontId="18" fillId="9" borderId="44" xfId="0" applyNumberFormat="1" applyFont="1" applyFill="1" applyBorder="1" applyAlignment="1">
      <alignment horizontal="center"/>
    </xf>
    <xf numFmtId="164" fontId="21" fillId="0" borderId="0" xfId="0" applyFont="1" applyFill="1" applyAlignment="1">
      <alignment horizontal="center"/>
    </xf>
    <xf numFmtId="164" fontId="21" fillId="0" borderId="0" xfId="0" applyFont="1" applyFill="1"/>
    <xf numFmtId="43" fontId="19" fillId="0" borderId="0" xfId="5" applyFont="1" applyFill="1" applyBorder="1"/>
    <xf numFmtId="164" fontId="19" fillId="0" borderId="0" xfId="0" applyFont="1" applyFill="1" applyBorder="1"/>
    <xf numFmtId="164" fontId="19" fillId="0" borderId="0" xfId="0" quotePrefix="1" applyFont="1" applyFill="1" applyAlignment="1">
      <alignment horizontal="center"/>
    </xf>
    <xf numFmtId="14" fontId="21" fillId="0" borderId="45" xfId="0" applyNumberFormat="1" applyFont="1" applyFill="1" applyBorder="1" applyAlignment="1">
      <alignment horizontal="center"/>
    </xf>
    <xf numFmtId="14" fontId="21" fillId="0" borderId="47" xfId="0" applyNumberFormat="1" applyFont="1" applyFill="1" applyBorder="1" applyAlignment="1">
      <alignment horizontal="center"/>
    </xf>
    <xf numFmtId="43" fontId="19" fillId="0" borderId="43" xfId="5" applyFont="1" applyFill="1" applyBorder="1"/>
    <xf numFmtId="14" fontId="19" fillId="0" borderId="3" xfId="0" applyNumberFormat="1" applyFont="1" applyFill="1" applyBorder="1" applyAlignment="1">
      <alignment horizontal="center"/>
    </xf>
    <xf numFmtId="14" fontId="19" fillId="0" borderId="12" xfId="0" applyNumberFormat="1" applyFont="1" applyFill="1" applyBorder="1" applyAlignment="1">
      <alignment horizontal="center"/>
    </xf>
    <xf numFmtId="164" fontId="21" fillId="0" borderId="0" xfId="0" applyFont="1" applyFill="1" applyBorder="1" applyAlignment="1">
      <alignment horizontal="center"/>
    </xf>
    <xf numFmtId="43" fontId="19" fillId="0" borderId="41" xfId="5" applyFont="1" applyFill="1" applyBorder="1"/>
    <xf numFmtId="43" fontId="19" fillId="0" borderId="12" xfId="5" applyFont="1" applyFill="1" applyBorder="1"/>
    <xf numFmtId="49" fontId="18" fillId="11" borderId="20" xfId="0" applyNumberFormat="1" applyFont="1" applyFill="1" applyBorder="1" applyAlignment="1">
      <alignment horizontal="center"/>
    </xf>
    <xf numFmtId="43" fontId="19" fillId="11" borderId="22" xfId="5" applyFont="1" applyFill="1" applyBorder="1"/>
    <xf numFmtId="49" fontId="18" fillId="12" borderId="20" xfId="0" applyNumberFormat="1" applyFont="1" applyFill="1" applyBorder="1" applyAlignment="1">
      <alignment horizontal="center"/>
    </xf>
    <xf numFmtId="43" fontId="19" fillId="12" borderId="22" xfId="5" applyFont="1" applyFill="1" applyBorder="1"/>
    <xf numFmtId="164" fontId="21" fillId="0" borderId="0" xfId="0" applyFont="1" applyFill="1" applyBorder="1" applyAlignment="1">
      <alignment horizontal="center"/>
    </xf>
    <xf numFmtId="164" fontId="21" fillId="0" borderId="0" xfId="0" applyFont="1" applyFill="1" applyBorder="1" applyAlignment="1">
      <alignment horizontal="center"/>
    </xf>
    <xf numFmtId="43" fontId="21" fillId="0" borderId="22" xfId="5" applyFont="1" applyFill="1" applyBorder="1"/>
    <xf numFmtId="43" fontId="21" fillId="0" borderId="48" xfId="5" applyFont="1" applyFill="1" applyBorder="1"/>
    <xf numFmtId="43" fontId="21" fillId="0" borderId="37" xfId="5" applyFont="1" applyFill="1" applyBorder="1"/>
    <xf numFmtId="43" fontId="19" fillId="0" borderId="22" xfId="5" applyFont="1" applyFill="1" applyBorder="1"/>
    <xf numFmtId="164" fontId="18" fillId="0" borderId="20" xfId="0" applyFont="1" applyFill="1" applyBorder="1" applyAlignment="1">
      <alignment horizontal="center"/>
    </xf>
    <xf numFmtId="43" fontId="18" fillId="0" borderId="21" xfId="5" applyFont="1" applyFill="1" applyBorder="1"/>
    <xf numFmtId="14" fontId="18" fillId="0" borderId="20" xfId="0" applyNumberFormat="1" applyFont="1" applyFill="1" applyBorder="1" applyAlignment="1">
      <alignment horizontal="center"/>
    </xf>
    <xf numFmtId="14" fontId="18" fillId="0" borderId="42" xfId="0" applyNumberFormat="1" applyFont="1" applyFill="1" applyBorder="1" applyAlignment="1">
      <alignment horizontal="center"/>
    </xf>
    <xf numFmtId="164" fontId="18" fillId="0" borderId="0" xfId="0" applyFont="1" applyFill="1" applyAlignment="1">
      <alignment horizontal="center"/>
    </xf>
    <xf numFmtId="164" fontId="18" fillId="0" borderId="0" xfId="0" applyFont="1" applyFill="1"/>
    <xf numFmtId="43" fontId="18" fillId="0" borderId="20" xfId="5" applyFont="1" applyFill="1" applyBorder="1"/>
    <xf numFmtId="43" fontId="18" fillId="0" borderId="25" xfId="5" applyFont="1" applyFill="1" applyBorder="1"/>
    <xf numFmtId="164" fontId="18" fillId="0" borderId="20" xfId="0" applyFont="1" applyFill="1" applyBorder="1" applyAlignment="1">
      <alignment horizontal="left"/>
    </xf>
    <xf numFmtId="43" fontId="1" fillId="0" borderId="0" xfId="5" applyFont="1" applyAlignment="1">
      <alignment horizontal="center"/>
    </xf>
    <xf numFmtId="43" fontId="18" fillId="0" borderId="25" xfId="5" applyFont="1" applyBorder="1"/>
    <xf numFmtId="43" fontId="1" fillId="0" borderId="0" xfId="5" applyFont="1" applyAlignment="1">
      <alignment horizontal="center"/>
    </xf>
    <xf numFmtId="43" fontId="1" fillId="0" borderId="0" xfId="5" applyFont="1" applyAlignment="1"/>
    <xf numFmtId="43" fontId="17" fillId="0" borderId="0" xfId="5" quotePrefix="1" applyFont="1" applyAlignment="1">
      <alignment horizontal="left" indent="1"/>
    </xf>
    <xf numFmtId="164" fontId="1" fillId="0" borderId="0" xfId="2" applyFont="1" applyAlignment="1">
      <alignment horizontal="center"/>
    </xf>
    <xf numFmtId="43" fontId="1" fillId="0" borderId="0" xfId="5" applyFont="1" applyAlignment="1">
      <alignment horizontal="center"/>
    </xf>
    <xf numFmtId="164" fontId="21" fillId="0" borderId="0" xfId="0" applyFont="1" applyFill="1" applyBorder="1" applyAlignment="1">
      <alignment horizontal="center"/>
    </xf>
    <xf numFmtId="43" fontId="18" fillId="0" borderId="49" xfId="5" applyFont="1" applyBorder="1"/>
    <xf numFmtId="14" fontId="18" fillId="0" borderId="50" xfId="0" applyNumberFormat="1" applyFont="1" applyFill="1" applyBorder="1" applyAlignment="1">
      <alignment horizontal="center"/>
    </xf>
    <xf numFmtId="14" fontId="18" fillId="0" borderId="0" xfId="0" applyNumberFormat="1" applyFont="1" applyFill="1" applyBorder="1" applyAlignment="1">
      <alignment horizontal="center"/>
    </xf>
    <xf numFmtId="164" fontId="19" fillId="0" borderId="0" xfId="0" quotePrefix="1" applyFont="1" applyFill="1" applyBorder="1" applyAlignment="1">
      <alignment horizontal="center"/>
    </xf>
    <xf numFmtId="164" fontId="18" fillId="0" borderId="0" xfId="0" applyFont="1" applyFill="1" applyBorder="1" applyAlignment="1">
      <alignment horizontal="center"/>
    </xf>
    <xf numFmtId="43" fontId="19" fillId="0" borderId="1" xfId="5" applyFont="1" applyFill="1" applyBorder="1"/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164" fontId="1" fillId="0" borderId="0" xfId="2" applyFont="1" applyBorder="1" applyAlignment="1">
      <alignment horizontal="center"/>
    </xf>
    <xf numFmtId="164" fontId="1" fillId="0" borderId="0" xfId="2" applyFont="1" applyBorder="1" applyAlignment="1">
      <alignment horizontal="left"/>
    </xf>
    <xf numFmtId="164" fontId="1" fillId="0" borderId="42" xfId="2" applyFont="1" applyBorder="1" applyAlignment="1">
      <alignment horizontal="left"/>
    </xf>
    <xf numFmtId="43" fontId="18" fillId="0" borderId="0" xfId="1" applyNumberFormat="1" applyFont="1" applyBorder="1" applyAlignment="1">
      <alignment horizontal="left" vertic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14" fontId="21" fillId="0" borderId="51" xfId="0" applyNumberFormat="1" applyFont="1" applyFill="1" applyBorder="1" applyAlignment="1">
      <alignment horizontal="center"/>
    </xf>
    <xf numFmtId="14" fontId="19" fillId="0" borderId="50" xfId="0" applyNumberFormat="1" applyFont="1" applyFill="1" applyBorder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164" fontId="8" fillId="0" borderId="0" xfId="2" applyFont="1" applyBorder="1" applyAlignment="1">
      <alignment horizontal="left" indent="1"/>
    </xf>
    <xf numFmtId="49" fontId="18" fillId="11" borderId="21" xfId="0" applyNumberFormat="1" applyFont="1" applyFill="1" applyBorder="1" applyAlignment="1">
      <alignment horizontal="center"/>
    </xf>
    <xf numFmtId="164" fontId="18" fillId="0" borderId="52" xfId="0" applyFont="1" applyBorder="1" applyAlignment="1">
      <alignment horizontal="center"/>
    </xf>
    <xf numFmtId="164" fontId="18" fillId="0" borderId="52" xfId="0" quotePrefix="1" applyFont="1" applyBorder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43" fontId="1" fillId="0" borderId="7" xfId="5" applyFont="1" applyFill="1" applyBorder="1" applyAlignment="1">
      <alignment horizontal="right"/>
    </xf>
    <xf numFmtId="43" fontId="1" fillId="0" borderId="0" xfId="5" applyFont="1" applyAlignment="1">
      <alignment horizontal="center"/>
    </xf>
    <xf numFmtId="1" fontId="24" fillId="0" borderId="20" xfId="5" applyNumberFormat="1" applyFont="1" applyBorder="1" applyAlignment="1">
      <alignment horizontal="center" vertical="center"/>
    </xf>
    <xf numFmtId="43" fontId="10" fillId="0" borderId="20" xfId="5" applyFont="1" applyBorder="1" applyAlignment="1">
      <alignment vertical="center"/>
    </xf>
    <xf numFmtId="43" fontId="5" fillId="0" borderId="20" xfId="5" applyFont="1" applyBorder="1" applyAlignment="1">
      <alignment vertical="center"/>
    </xf>
    <xf numFmtId="164" fontId="25" fillId="0" borderId="0" xfId="2" applyFont="1"/>
    <xf numFmtId="44" fontId="6" fillId="0" borderId="0" xfId="1" applyFont="1" applyBorder="1" applyAlignment="1">
      <alignment horizontal="center" vertical="center"/>
    </xf>
    <xf numFmtId="2" fontId="24" fillId="0" borderId="53" xfId="5" applyNumberFormat="1" applyFont="1" applyBorder="1" applyAlignment="1">
      <alignment horizontal="center" vertical="center"/>
    </xf>
    <xf numFmtId="43" fontId="1" fillId="0" borderId="0" xfId="5" applyFont="1" applyBorder="1"/>
    <xf numFmtId="44" fontId="24" fillId="0" borderId="0" xfId="1" applyFont="1" applyBorder="1" applyAlignment="1">
      <alignment horizontal="center" vertical="center"/>
    </xf>
    <xf numFmtId="164" fontId="23" fillId="0" borderId="0" xfId="2" applyFont="1" applyAlignment="1">
      <alignment horizontal="center"/>
    </xf>
    <xf numFmtId="1" fontId="24" fillId="0" borderId="0" xfId="5" quotePrefix="1" applyNumberFormat="1" applyFont="1" applyAlignment="1">
      <alignment horizontal="center" vertical="center"/>
    </xf>
    <xf numFmtId="1" fontId="1" fillId="0" borderId="0" xfId="2" applyNumberFormat="1" applyAlignment="1">
      <alignment horizontal="center" vertical="center"/>
    </xf>
    <xf numFmtId="164" fontId="1" fillId="0" borderId="52" xfId="2" applyBorder="1" applyAlignment="1">
      <alignment horizontal="center"/>
    </xf>
    <xf numFmtId="164" fontId="2" fillId="0" borderId="0" xfId="3" applyAlignment="1">
      <alignment horizontal="center"/>
    </xf>
    <xf numFmtId="164" fontId="1" fillId="2" borderId="0" xfId="2" applyFill="1" applyAlignment="1">
      <alignment horizontal="center"/>
    </xf>
    <xf numFmtId="164" fontId="1" fillId="0" borderId="0" xfId="2" applyBorder="1" applyAlignment="1">
      <alignment horizontal="center"/>
    </xf>
    <xf numFmtId="14" fontId="24" fillId="0" borderId="0" xfId="2" quotePrefix="1" applyNumberFormat="1" applyFont="1" applyAlignment="1">
      <alignment horizontal="center" vertical="center"/>
    </xf>
    <xf numFmtId="164" fontId="1" fillId="0" borderId="0" xfId="2" applyAlignment="1">
      <alignment horizontal="center" vertical="center"/>
    </xf>
    <xf numFmtId="164" fontId="1" fillId="0" borderId="0" xfId="2" applyFont="1" applyBorder="1" applyAlignment="1">
      <alignment vertical="center" wrapText="1"/>
    </xf>
    <xf numFmtId="43" fontId="22" fillId="0" borderId="0" xfId="5" applyFont="1" applyAlignment="1">
      <alignment horizontal="center" wrapText="1"/>
    </xf>
    <xf numFmtId="164" fontId="22" fillId="0" borderId="0" xfId="2" applyFont="1" applyAlignment="1">
      <alignment horizontal="center" wrapText="1"/>
    </xf>
    <xf numFmtId="164" fontId="23" fillId="0" borderId="0" xfId="2" applyFont="1" applyAlignment="1">
      <alignment horizontal="center" wrapText="1"/>
    </xf>
    <xf numFmtId="43" fontId="7" fillId="0" borderId="1" xfId="5" applyFont="1" applyBorder="1"/>
    <xf numFmtId="43" fontId="6" fillId="0" borderId="52" xfId="5" applyFont="1" applyBorder="1"/>
    <xf numFmtId="43" fontId="1" fillId="0" borderId="0" xfId="5" applyFont="1" applyAlignment="1">
      <alignment horizontal="center"/>
    </xf>
    <xf numFmtId="43" fontId="1" fillId="0" borderId="54" xfId="5" applyFont="1" applyFill="1" applyBorder="1" applyAlignment="1">
      <alignment horizontal="right"/>
    </xf>
    <xf numFmtId="43" fontId="1" fillId="0" borderId="55" xfId="5" applyFont="1" applyFill="1" applyBorder="1" applyAlignment="1">
      <alignment horizontal="right"/>
    </xf>
    <xf numFmtId="43" fontId="1" fillId="0" borderId="56" xfId="5" applyFont="1" applyFill="1" applyBorder="1" applyAlignment="1">
      <alignment horizontal="right"/>
    </xf>
    <xf numFmtId="43" fontId="1" fillId="0" borderId="57" xfId="5" applyFont="1" applyFill="1" applyBorder="1" applyAlignment="1">
      <alignment horizontal="right"/>
    </xf>
    <xf numFmtId="164" fontId="21" fillId="0" borderId="0" xfId="0" applyFont="1" applyFill="1" applyBorder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164" fontId="1" fillId="0" borderId="0" xfId="2" applyFill="1"/>
    <xf numFmtId="164" fontId="6" fillId="0" borderId="0" xfId="2" applyFont="1" applyFill="1" applyBorder="1" applyAlignment="1">
      <alignment horizontal="center"/>
    </xf>
    <xf numFmtId="164" fontId="6" fillId="0" borderId="0" xfId="2" applyFont="1" applyFill="1" applyBorder="1"/>
    <xf numFmtId="4" fontId="7" fillId="0" borderId="0" xfId="2" applyNumberFormat="1" applyFont="1" applyFill="1" applyBorder="1"/>
    <xf numFmtId="43" fontId="7" fillId="0" borderId="0" xfId="5" applyFont="1" applyFill="1" applyBorder="1"/>
    <xf numFmtId="43" fontId="1" fillId="0" borderId="52" xfId="5" applyFont="1" applyFill="1" applyBorder="1" applyAlignment="1">
      <alignment horizontal="right"/>
    </xf>
    <xf numFmtId="43" fontId="1" fillId="0" borderId="58" xfId="5" applyFont="1" applyFill="1" applyBorder="1" applyAlignment="1">
      <alignment horizontal="right"/>
    </xf>
    <xf numFmtId="43" fontId="1" fillId="0" borderId="20" xfId="5" quotePrefix="1" applyFont="1" applyBorder="1" applyAlignment="1">
      <alignment horizontal="left" indent="1"/>
    </xf>
    <xf numFmtId="43" fontId="1" fillId="0" borderId="20" xfId="5" applyFont="1" applyBorder="1"/>
    <xf numFmtId="43" fontId="1" fillId="0" borderId="20" xfId="5" applyFont="1" applyBorder="1" applyAlignment="1">
      <alignment horizontal="center"/>
    </xf>
    <xf numFmtId="43" fontId="1" fillId="0" borderId="20" xfId="5" applyFont="1" applyFill="1" applyBorder="1" applyAlignment="1">
      <alignment horizontal="right"/>
    </xf>
    <xf numFmtId="43" fontId="1" fillId="2" borderId="0" xfId="5" applyFont="1" applyFill="1"/>
    <xf numFmtId="43" fontId="1" fillId="0" borderId="0" xfId="5" applyFont="1" applyFill="1"/>
    <xf numFmtId="43" fontId="1" fillId="0" borderId="0" xfId="5" applyFont="1" applyAlignment="1">
      <alignment vertical="center"/>
    </xf>
    <xf numFmtId="2" fontId="6" fillId="0" borderId="0" xfId="2" applyNumberFormat="1" applyFont="1" applyBorder="1" applyAlignment="1">
      <alignment horizontal="center" vertical="center"/>
    </xf>
    <xf numFmtId="2" fontId="6" fillId="0" borderId="0" xfId="5" applyNumberFormat="1" applyFont="1" applyBorder="1" applyAlignment="1">
      <alignment horizontal="center" vertical="center"/>
    </xf>
    <xf numFmtId="2" fontId="7" fillId="2" borderId="0" xfId="5" applyNumberFormat="1" applyFont="1" applyFill="1" applyBorder="1" applyAlignment="1">
      <alignment horizontal="center"/>
    </xf>
    <xf numFmtId="2" fontId="7" fillId="0" borderId="0" xfId="5" applyNumberFormat="1" applyFont="1" applyFill="1" applyBorder="1" applyAlignment="1">
      <alignment horizontal="center"/>
    </xf>
    <xf numFmtId="2" fontId="1" fillId="0" borderId="20" xfId="5" quotePrefix="1" applyNumberFormat="1" applyFont="1" applyBorder="1" applyAlignment="1">
      <alignment horizontal="center"/>
    </xf>
    <xf numFmtId="2" fontId="1" fillId="0" borderId="0" xfId="2" applyNumberFormat="1" applyAlignment="1">
      <alignment horizontal="center"/>
    </xf>
    <xf numFmtId="2" fontId="5" fillId="0" borderId="0" xfId="5" applyNumberFormat="1" applyFont="1" applyAlignment="1">
      <alignment horizontal="center"/>
    </xf>
    <xf numFmtId="2" fontId="1" fillId="0" borderId="0" xfId="5" applyNumberFormat="1" applyFont="1" applyAlignment="1">
      <alignment horizontal="center"/>
    </xf>
    <xf numFmtId="43" fontId="1" fillId="0" borderId="25" xfId="5" applyFont="1" applyBorder="1"/>
    <xf numFmtId="44" fontId="1" fillId="0" borderId="0" xfId="1" applyFont="1" applyBorder="1" applyAlignment="1">
      <alignment horizontal="right" vertical="center"/>
    </xf>
    <xf numFmtId="164" fontId="1" fillId="0" borderId="20" xfId="2" applyFont="1" applyBorder="1" applyAlignment="1">
      <alignment horizontal="center"/>
    </xf>
    <xf numFmtId="164" fontId="1" fillId="0" borderId="20" xfId="2" applyFont="1" applyBorder="1"/>
    <xf numFmtId="43" fontId="6" fillId="0" borderId="20" xfId="5" applyFont="1" applyBorder="1"/>
    <xf numFmtId="43" fontId="6" fillId="0" borderId="1" xfId="5" applyFont="1" applyBorder="1" applyAlignment="1">
      <alignment vertical="center"/>
    </xf>
    <xf numFmtId="43" fontId="7" fillId="0" borderId="20" xfId="5" applyFont="1" applyBorder="1"/>
    <xf numFmtId="164" fontId="7" fillId="0" borderId="0" xfId="2" applyFont="1" applyBorder="1" applyAlignment="1">
      <alignment horizontal="center" vertical="center" wrapText="1"/>
    </xf>
    <xf numFmtId="43" fontId="7" fillId="0" borderId="0" xfId="5" applyFont="1" applyAlignment="1">
      <alignment horizontal="center" vertical="center" wrapText="1"/>
    </xf>
    <xf numFmtId="2" fontId="7" fillId="0" borderId="0" xfId="2" applyNumberFormat="1" applyFont="1" applyAlignment="1">
      <alignment horizontal="center" vertical="center" wrapText="1"/>
    </xf>
    <xf numFmtId="164" fontId="7" fillId="0" borderId="0" xfId="2" applyFont="1" applyAlignment="1">
      <alignment horizontal="center" vertical="center" wrapText="1"/>
    </xf>
    <xf numFmtId="44" fontId="8" fillId="0" borderId="0" xfId="1" applyFont="1" applyBorder="1" applyAlignment="1">
      <alignment horizontal="right" vertical="center"/>
    </xf>
    <xf numFmtId="43" fontId="6" fillId="0" borderId="20" xfId="5" applyFont="1" applyBorder="1" applyAlignment="1">
      <alignment horizontal="left" indent="1"/>
    </xf>
    <xf numFmtId="43" fontId="6" fillId="0" borderId="20" xfId="5" quotePrefix="1" applyFont="1" applyBorder="1" applyAlignment="1">
      <alignment horizontal="left" indent="1"/>
    </xf>
    <xf numFmtId="164" fontId="1" fillId="0" borderId="59" xfId="2" applyFont="1" applyBorder="1"/>
    <xf numFmtId="43" fontId="2" fillId="0" borderId="57" xfId="5" applyFont="1" applyFill="1" applyBorder="1" applyAlignment="1">
      <alignment horizontal="right"/>
    </xf>
    <xf numFmtId="43" fontId="6" fillId="0" borderId="1" xfId="5" applyFont="1" applyBorder="1"/>
    <xf numFmtId="43" fontId="1" fillId="0" borderId="21" xfId="5" applyFont="1" applyBorder="1"/>
    <xf numFmtId="164" fontId="7" fillId="0" borderId="52" xfId="2" quotePrefix="1" applyFont="1" applyBorder="1" applyAlignment="1">
      <alignment horizontal="center" vertical="center" wrapText="1"/>
    </xf>
    <xf numFmtId="43" fontId="2" fillId="0" borderId="5" xfId="5" applyFont="1" applyFill="1" applyBorder="1" applyAlignment="1">
      <alignment horizontal="right"/>
    </xf>
    <xf numFmtId="164" fontId="7" fillId="0" borderId="0" xfId="2" applyFont="1" applyBorder="1" applyAlignment="1">
      <alignment horizontal="center" vertical="center" wrapText="1"/>
    </xf>
    <xf numFmtId="164" fontId="8" fillId="0" borderId="0" xfId="2" applyFont="1" applyBorder="1" applyAlignment="1">
      <alignment horizontal="left"/>
    </xf>
    <xf numFmtId="2" fontId="1" fillId="0" borderId="53" xfId="5" quotePrefix="1" applyNumberFormat="1" applyFont="1" applyBorder="1" applyAlignment="1">
      <alignment horizontal="center"/>
    </xf>
    <xf numFmtId="164" fontId="28" fillId="0" borderId="0" xfId="2" applyFont="1" applyBorder="1" applyAlignment="1">
      <alignment horizontal="center"/>
    </xf>
    <xf numFmtId="164" fontId="28" fillId="0" borderId="0" xfId="2" applyFont="1" applyBorder="1" applyAlignment="1">
      <alignment horizontal="center" vertical="center"/>
    </xf>
    <xf numFmtId="2" fontId="29" fillId="0" borderId="0" xfId="2" applyNumberFormat="1" applyFont="1" applyBorder="1" applyAlignment="1">
      <alignment horizontal="left" vertical="center"/>
    </xf>
    <xf numFmtId="43" fontId="27" fillId="0" borderId="0" xfId="1" applyNumberFormat="1" applyFont="1" applyBorder="1" applyAlignment="1">
      <alignment vertical="center"/>
    </xf>
    <xf numFmtId="43" fontId="30" fillId="0" borderId="0" xfId="1" applyNumberFormat="1" applyFont="1" applyBorder="1" applyAlignment="1">
      <alignment horizontal="right" vertical="center" indent="3"/>
    </xf>
    <xf numFmtId="164" fontId="27" fillId="0" borderId="0" xfId="2" applyFont="1" applyBorder="1" applyAlignment="1">
      <alignment vertical="center"/>
    </xf>
    <xf numFmtId="164" fontId="29" fillId="0" borderId="0" xfId="2" applyFont="1" applyBorder="1"/>
    <xf numFmtId="43" fontId="26" fillId="0" borderId="0" xfId="5" applyFont="1" applyBorder="1"/>
    <xf numFmtId="164" fontId="26" fillId="0" borderId="0" xfId="2" applyFont="1" applyBorder="1" applyAlignment="1">
      <alignment horizontal="center"/>
    </xf>
    <xf numFmtId="164" fontId="29" fillId="0" borderId="0" xfId="2" applyFont="1" applyBorder="1" applyAlignment="1">
      <alignment horizontal="center"/>
    </xf>
    <xf numFmtId="43" fontId="16" fillId="0" borderId="0" xfId="1" applyNumberFormat="1" applyFont="1" applyBorder="1" applyAlignment="1">
      <alignment horizontal="left" vertical="center"/>
    </xf>
    <xf numFmtId="164" fontId="7" fillId="0" borderId="0" xfId="2" applyFont="1" applyBorder="1" applyAlignment="1">
      <alignment horizontal="center" vertical="center" wrapText="1"/>
    </xf>
    <xf numFmtId="164" fontId="7" fillId="0" borderId="0" xfId="2" quotePrefix="1" applyFont="1" applyBorder="1" applyAlignment="1">
      <alignment horizontal="center" vertical="center" wrapText="1"/>
    </xf>
    <xf numFmtId="43" fontId="7" fillId="0" borderId="0" xfId="5" applyFont="1" applyBorder="1" applyAlignment="1">
      <alignment horizontal="center" vertical="center" wrapText="1"/>
    </xf>
    <xf numFmtId="43" fontId="1" fillId="0" borderId="0" xfId="5" applyFont="1" applyFill="1" applyBorder="1" applyAlignment="1">
      <alignment horizontal="right"/>
    </xf>
    <xf numFmtId="43" fontId="1" fillId="0" borderId="0" xfId="5" quotePrefix="1" applyFont="1" applyBorder="1" applyAlignment="1">
      <alignment horizontal="left" indent="1"/>
    </xf>
    <xf numFmtId="2" fontId="1" fillId="0" borderId="0" xfId="2" applyNumberFormat="1" applyFont="1" applyAlignment="1">
      <alignment horizontal="center"/>
    </xf>
    <xf numFmtId="164" fontId="1" fillId="0" borderId="0" xfId="2" applyFont="1"/>
    <xf numFmtId="43" fontId="19" fillId="0" borderId="0" xfId="5" applyFont="1" applyAlignment="1">
      <alignment horizontal="center" vertical="center"/>
    </xf>
    <xf numFmtId="43" fontId="19" fillId="0" borderId="0" xfId="5" applyFont="1"/>
    <xf numFmtId="43" fontId="21" fillId="0" borderId="0" xfId="5" applyFont="1" applyFill="1"/>
    <xf numFmtId="43" fontId="18" fillId="0" borderId="0" xfId="5" applyFont="1" applyFill="1"/>
    <xf numFmtId="43" fontId="19" fillId="0" borderId="0" xfId="5" applyFont="1" applyFill="1"/>
    <xf numFmtId="49" fontId="19" fillId="0" borderId="52" xfId="5" applyNumberFormat="1" applyFont="1" applyBorder="1" applyAlignment="1">
      <alignment horizontal="center"/>
    </xf>
    <xf numFmtId="43" fontId="18" fillId="0" borderId="50" xfId="5" applyFont="1" applyBorder="1"/>
    <xf numFmtId="43" fontId="18" fillId="0" borderId="26" xfId="5" applyFont="1" applyBorder="1"/>
    <xf numFmtId="164" fontId="19" fillId="0" borderId="0" xfId="0" applyFont="1" applyBorder="1"/>
    <xf numFmtId="164" fontId="19" fillId="0" borderId="52" xfId="0" applyFont="1" applyBorder="1"/>
    <xf numFmtId="164" fontId="19" fillId="0" borderId="33" xfId="0" applyFont="1" applyBorder="1" applyAlignment="1">
      <alignment horizontal="center" vertical="center" wrapText="1"/>
    </xf>
    <xf numFmtId="43" fontId="19" fillId="0" borderId="60" xfId="5" applyFont="1" applyBorder="1" applyAlignment="1">
      <alignment horizontal="center" vertical="center" wrapText="1"/>
    </xf>
    <xf numFmtId="43" fontId="19" fillId="0" borderId="61" xfId="5" applyFont="1" applyBorder="1" applyAlignment="1">
      <alignment horizontal="center" vertical="center" wrapText="1"/>
    </xf>
    <xf numFmtId="43" fontId="19" fillId="0" borderId="62" xfId="5" applyFont="1" applyBorder="1" applyAlignment="1">
      <alignment horizontal="center" vertical="center" wrapText="1"/>
    </xf>
    <xf numFmtId="164" fontId="18" fillId="0" borderId="0" xfId="0" applyFont="1" applyAlignment="1">
      <alignment wrapText="1"/>
    </xf>
    <xf numFmtId="164" fontId="19" fillId="0" borderId="22" xfId="0" applyFont="1" applyBorder="1" applyAlignment="1">
      <alignment horizontal="center" vertical="center" wrapText="1"/>
    </xf>
    <xf numFmtId="164" fontId="19" fillId="0" borderId="23" xfId="2" applyFont="1" applyBorder="1" applyAlignment="1">
      <alignment horizontal="center" vertical="center" wrapText="1"/>
    </xf>
    <xf numFmtId="43" fontId="19" fillId="0" borderId="23" xfId="5" applyFont="1" applyBorder="1" applyAlignment="1">
      <alignment horizontal="center" vertical="center" wrapText="1"/>
    </xf>
    <xf numFmtId="14" fontId="19" fillId="0" borderId="23" xfId="0" applyNumberFormat="1" applyFont="1" applyBorder="1" applyAlignment="1">
      <alignment horizontal="center" vertical="center" wrapText="1"/>
    </xf>
    <xf numFmtId="49" fontId="19" fillId="0" borderId="24" xfId="0" applyNumberFormat="1" applyFont="1" applyBorder="1" applyAlignment="1">
      <alignment horizontal="center" vertical="center" wrapText="1"/>
    </xf>
    <xf numFmtId="164" fontId="19" fillId="0" borderId="1" xfId="0" applyFont="1" applyBorder="1" applyAlignment="1">
      <alignment horizontal="center" vertical="center" wrapText="1"/>
    </xf>
    <xf numFmtId="43" fontId="19" fillId="0" borderId="0" xfId="5" applyFont="1" applyAlignment="1">
      <alignment horizontal="center" vertical="center" wrapText="1"/>
    </xf>
    <xf numFmtId="164" fontId="19" fillId="0" borderId="0" xfId="0" applyFont="1" applyAlignment="1">
      <alignment horizontal="center" vertical="center" wrapText="1"/>
    </xf>
    <xf numFmtId="0" fontId="32" fillId="0" borderId="0" xfId="5" applyNumberFormat="1" applyFont="1" applyAlignment="1">
      <alignment horizontal="center"/>
    </xf>
    <xf numFmtId="164" fontId="18" fillId="0" borderId="21" xfId="0" applyFont="1" applyFill="1" applyBorder="1" applyAlignment="1">
      <alignment horizontal="left"/>
    </xf>
    <xf numFmtId="0" fontId="19" fillId="0" borderId="0" xfId="0" applyNumberFormat="1" applyFont="1" applyAlignment="1">
      <alignment horizontal="center" vertical="center" wrapText="1"/>
    </xf>
    <xf numFmtId="0" fontId="18" fillId="0" borderId="0" xfId="0" applyNumberFormat="1" applyFont="1" applyAlignment="1">
      <alignment horizontal="center"/>
    </xf>
    <xf numFmtId="0" fontId="18" fillId="0" borderId="0" xfId="0" applyNumberFormat="1" applyFont="1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4" fontId="19" fillId="0" borderId="3" xfId="0" applyFont="1" applyBorder="1"/>
    <xf numFmtId="43" fontId="18" fillId="0" borderId="63" xfId="5" applyFont="1" applyBorder="1"/>
    <xf numFmtId="0" fontId="33" fillId="0" borderId="0" xfId="5" applyNumberFormat="1" applyFont="1" applyAlignment="1">
      <alignment horizontal="center"/>
    </xf>
    <xf numFmtId="164" fontId="18" fillId="4" borderId="0" xfId="0" applyFont="1" applyFill="1" applyAlignment="1">
      <alignment horizontal="center" vertical="center"/>
    </xf>
    <xf numFmtId="43" fontId="18" fillId="4" borderId="0" xfId="5" applyFont="1" applyFill="1" applyAlignment="1">
      <alignment horizontal="center" vertical="center" wrapText="1"/>
    </xf>
    <xf numFmtId="43" fontId="18" fillId="4" borderId="0" xfId="5" applyFont="1" applyFill="1" applyAlignment="1">
      <alignment horizontal="center" vertical="center"/>
    </xf>
    <xf numFmtId="164" fontId="35" fillId="0" borderId="0" xfId="0" quotePrefix="1" applyFont="1" applyAlignment="1">
      <alignment horizontal="center"/>
    </xf>
    <xf numFmtId="165" fontId="18" fillId="0" borderId="0" xfId="5" applyNumberFormat="1" applyFont="1" applyAlignment="1">
      <alignment horizontal="center"/>
    </xf>
    <xf numFmtId="0" fontId="18" fillId="0" borderId="0" xfId="5" applyNumberFormat="1" applyFont="1" applyAlignment="1">
      <alignment horizontal="center"/>
    </xf>
    <xf numFmtId="164" fontId="35" fillId="4" borderId="0" xfId="0" applyFont="1" applyFill="1" applyAlignment="1">
      <alignment horizontal="center"/>
    </xf>
    <xf numFmtId="164" fontId="18" fillId="0" borderId="64" xfId="0" applyFont="1" applyBorder="1" applyAlignment="1">
      <alignment horizontal="center"/>
    </xf>
    <xf numFmtId="14" fontId="18" fillId="0" borderId="28" xfId="0" applyNumberFormat="1" applyFont="1" applyBorder="1" applyAlignment="1">
      <alignment horizontal="center" vertical="center"/>
    </xf>
    <xf numFmtId="164" fontId="18" fillId="0" borderId="47" xfId="0" quotePrefix="1" applyFont="1" applyBorder="1" applyAlignment="1">
      <alignment horizontal="center"/>
    </xf>
    <xf numFmtId="164" fontId="18" fillId="0" borderId="42" xfId="0" quotePrefix="1" applyFont="1" applyBorder="1" applyAlignment="1">
      <alignment horizontal="center"/>
    </xf>
    <xf numFmtId="164" fontId="18" fillId="0" borderId="30" xfId="0" applyFont="1" applyFill="1" applyBorder="1" applyAlignment="1">
      <alignment horizontal="center"/>
    </xf>
    <xf numFmtId="164" fontId="18" fillId="0" borderId="42" xfId="0" applyFont="1" applyFill="1" applyBorder="1" applyAlignment="1">
      <alignment horizontal="center"/>
    </xf>
    <xf numFmtId="164" fontId="18" fillId="0" borderId="32" xfId="0" applyFont="1" applyFill="1" applyBorder="1" applyAlignment="1">
      <alignment horizontal="center"/>
    </xf>
    <xf numFmtId="164" fontId="18" fillId="0" borderId="33" xfId="0" applyFont="1" applyFill="1" applyBorder="1" applyAlignment="1">
      <alignment horizontal="left"/>
    </xf>
    <xf numFmtId="43" fontId="18" fillId="0" borderId="33" xfId="5" applyFont="1" applyFill="1" applyBorder="1"/>
    <xf numFmtId="164" fontId="18" fillId="0" borderId="12" xfId="0" applyFont="1" applyFill="1" applyBorder="1" applyAlignment="1">
      <alignment horizontal="center"/>
    </xf>
    <xf numFmtId="164" fontId="18" fillId="13" borderId="27" xfId="0" applyFont="1" applyFill="1" applyBorder="1" applyAlignment="1">
      <alignment horizontal="center"/>
    </xf>
    <xf numFmtId="164" fontId="18" fillId="13" borderId="28" xfId="0" applyFont="1" applyFill="1" applyBorder="1"/>
    <xf numFmtId="43" fontId="18" fillId="13" borderId="28" xfId="5" applyFont="1" applyFill="1" applyBorder="1"/>
    <xf numFmtId="14" fontId="18" fillId="13" borderId="28" xfId="0" applyNumberFormat="1" applyFont="1" applyFill="1" applyBorder="1" applyAlignment="1">
      <alignment horizontal="center" vertical="center"/>
    </xf>
    <xf numFmtId="49" fontId="18" fillId="13" borderId="28" xfId="0" quotePrefix="1" applyNumberFormat="1" applyFont="1" applyFill="1" applyBorder="1" applyAlignment="1">
      <alignment horizontal="center"/>
    </xf>
    <xf numFmtId="164" fontId="18" fillId="13" borderId="47" xfId="0" quotePrefix="1" applyFont="1" applyFill="1" applyBorder="1" applyAlignment="1">
      <alignment horizontal="center"/>
    </xf>
    <xf numFmtId="164" fontId="18" fillId="13" borderId="30" xfId="0" applyFont="1" applyFill="1" applyBorder="1" applyAlignment="1">
      <alignment horizontal="center"/>
    </xf>
    <xf numFmtId="164" fontId="18" fillId="13" borderId="20" xfId="0" applyFont="1" applyFill="1" applyBorder="1"/>
    <xf numFmtId="43" fontId="18" fillId="13" borderId="20" xfId="5" applyFont="1" applyFill="1" applyBorder="1"/>
    <xf numFmtId="43" fontId="18" fillId="13" borderId="21" xfId="5" applyFont="1" applyFill="1" applyBorder="1"/>
    <xf numFmtId="14" fontId="18" fillId="13" borderId="21" xfId="0" applyNumberFormat="1" applyFont="1" applyFill="1" applyBorder="1" applyAlignment="1">
      <alignment horizontal="center" vertical="center"/>
    </xf>
    <xf numFmtId="49" fontId="18" fillId="13" borderId="21" xfId="0" quotePrefix="1" applyNumberFormat="1" applyFont="1" applyFill="1" applyBorder="1" applyAlignment="1">
      <alignment horizontal="center"/>
    </xf>
    <xf numFmtId="164" fontId="18" fillId="13" borderId="42" xfId="0" quotePrefix="1" applyFont="1" applyFill="1" applyBorder="1" applyAlignment="1">
      <alignment horizontal="center"/>
    </xf>
    <xf numFmtId="43" fontId="18" fillId="13" borderId="33" xfId="5" applyFont="1" applyFill="1" applyBorder="1"/>
    <xf numFmtId="14" fontId="18" fillId="13" borderId="19" xfId="0" applyNumberFormat="1" applyFont="1" applyFill="1" applyBorder="1" applyAlignment="1">
      <alignment horizontal="center" vertical="center"/>
    </xf>
    <xf numFmtId="49" fontId="18" fillId="13" borderId="29" xfId="0" applyNumberFormat="1" applyFont="1" applyFill="1" applyBorder="1" applyAlignment="1">
      <alignment horizontal="center"/>
    </xf>
    <xf numFmtId="14" fontId="18" fillId="13" borderId="26" xfId="0" applyNumberFormat="1" applyFont="1" applyFill="1" applyBorder="1" applyAlignment="1">
      <alignment horizontal="center" vertical="center"/>
    </xf>
    <xf numFmtId="49" fontId="18" fillId="13" borderId="31" xfId="0" applyNumberFormat="1" applyFont="1" applyFill="1" applyBorder="1" applyAlignment="1">
      <alignment horizontal="center"/>
    </xf>
    <xf numFmtId="14" fontId="18" fillId="13" borderId="20" xfId="0" applyNumberFormat="1" applyFont="1" applyFill="1" applyBorder="1" applyAlignment="1">
      <alignment horizontal="center" vertical="center"/>
    </xf>
    <xf numFmtId="164" fontId="18" fillId="13" borderId="34" xfId="0" applyFont="1" applyFill="1" applyBorder="1" applyAlignment="1">
      <alignment horizontal="center"/>
    </xf>
    <xf numFmtId="164" fontId="18" fillId="13" borderId="25" xfId="0" applyFont="1" applyFill="1" applyBorder="1"/>
    <xf numFmtId="49" fontId="18" fillId="13" borderId="35" xfId="0" applyNumberFormat="1" applyFont="1" applyFill="1" applyBorder="1" applyAlignment="1">
      <alignment horizontal="center"/>
    </xf>
    <xf numFmtId="164" fontId="18" fillId="13" borderId="64" xfId="0" applyFont="1" applyFill="1" applyBorder="1" applyAlignment="1">
      <alignment horizontal="center"/>
    </xf>
    <xf numFmtId="164" fontId="18" fillId="13" borderId="21" xfId="0" applyFont="1" applyFill="1" applyBorder="1"/>
    <xf numFmtId="49" fontId="18" fillId="13" borderId="21" xfId="0" applyNumberFormat="1" applyFont="1" applyFill="1" applyBorder="1" applyAlignment="1">
      <alignment horizontal="center"/>
    </xf>
    <xf numFmtId="164" fontId="18" fillId="13" borderId="20" xfId="0" applyFont="1" applyFill="1" applyBorder="1" applyAlignment="1">
      <alignment horizontal="left"/>
    </xf>
    <xf numFmtId="14" fontId="18" fillId="13" borderId="20" xfId="0" applyNumberFormat="1" applyFont="1" applyFill="1" applyBorder="1" applyAlignment="1">
      <alignment horizontal="center"/>
    </xf>
    <xf numFmtId="14" fontId="18" fillId="13" borderId="42" xfId="0" applyNumberFormat="1" applyFont="1" applyFill="1" applyBorder="1" applyAlignment="1">
      <alignment horizontal="center"/>
    </xf>
    <xf numFmtId="164" fontId="18" fillId="13" borderId="42" xfId="0" applyFont="1" applyFill="1" applyBorder="1" applyAlignment="1">
      <alignment horizontal="center"/>
    </xf>
    <xf numFmtId="164" fontId="18" fillId="13" borderId="32" xfId="0" applyFont="1" applyFill="1" applyBorder="1" applyAlignment="1">
      <alignment horizontal="center"/>
    </xf>
    <xf numFmtId="164" fontId="18" fillId="13" borderId="33" xfId="0" applyFont="1" applyFill="1" applyBorder="1" applyAlignment="1">
      <alignment horizontal="left"/>
    </xf>
    <xf numFmtId="43" fontId="18" fillId="13" borderId="43" xfId="5" applyFont="1" applyFill="1" applyBorder="1"/>
    <xf numFmtId="14" fontId="18" fillId="13" borderId="33" xfId="0" applyNumberFormat="1" applyFont="1" applyFill="1" applyBorder="1" applyAlignment="1">
      <alignment horizontal="center"/>
    </xf>
    <xf numFmtId="14" fontId="18" fillId="13" borderId="12" xfId="0" applyNumberFormat="1" applyFont="1" applyFill="1" applyBorder="1" applyAlignment="1">
      <alignment horizontal="center"/>
    </xf>
    <xf numFmtId="164" fontId="18" fillId="13" borderId="12" xfId="0" applyFont="1" applyFill="1" applyBorder="1" applyAlignment="1">
      <alignment horizontal="center"/>
    </xf>
    <xf numFmtId="164" fontId="18" fillId="0" borderId="25" xfId="0" applyFont="1" applyFill="1" applyBorder="1" applyAlignment="1">
      <alignment horizontal="left"/>
    </xf>
    <xf numFmtId="14" fontId="18" fillId="0" borderId="25" xfId="0" applyNumberFormat="1" applyFont="1" applyFill="1" applyBorder="1" applyAlignment="1">
      <alignment horizontal="center"/>
    </xf>
    <xf numFmtId="49" fontId="18" fillId="7" borderId="21" xfId="0" applyNumberFormat="1" applyFont="1" applyFill="1" applyBorder="1" applyAlignment="1">
      <alignment horizontal="center"/>
    </xf>
    <xf numFmtId="14" fontId="18" fillId="0" borderId="63" xfId="0" applyNumberFormat="1" applyFont="1" applyFill="1" applyBorder="1" applyAlignment="1">
      <alignment horizontal="center"/>
    </xf>
    <xf numFmtId="49" fontId="18" fillId="13" borderId="28" xfId="0" applyNumberFormat="1" applyFont="1" applyFill="1" applyBorder="1" applyAlignment="1">
      <alignment horizontal="center"/>
    </xf>
    <xf numFmtId="49" fontId="18" fillId="13" borderId="20" xfId="0" applyNumberFormat="1" applyFont="1" applyFill="1" applyBorder="1" applyAlignment="1">
      <alignment horizontal="center"/>
    </xf>
    <xf numFmtId="43" fontId="18" fillId="13" borderId="49" xfId="5" applyFont="1" applyFill="1" applyBorder="1"/>
    <xf numFmtId="14" fontId="18" fillId="13" borderId="50" xfId="0" applyNumberFormat="1" applyFont="1" applyFill="1" applyBorder="1" applyAlignment="1">
      <alignment horizontal="center"/>
    </xf>
    <xf numFmtId="43" fontId="18" fillId="13" borderId="63" xfId="5" applyFont="1" applyFill="1" applyBorder="1"/>
    <xf numFmtId="14" fontId="18" fillId="13" borderId="63" xfId="0" applyNumberFormat="1" applyFont="1" applyFill="1" applyBorder="1" applyAlignment="1">
      <alignment horizontal="center"/>
    </xf>
    <xf numFmtId="49" fontId="18" fillId="7" borderId="28" xfId="0" applyNumberFormat="1" applyFont="1" applyFill="1" applyBorder="1" applyAlignment="1">
      <alignment horizontal="center"/>
    </xf>
    <xf numFmtId="14" fontId="18" fillId="0" borderId="3" xfId="0" applyNumberFormat="1" applyFont="1" applyFill="1" applyBorder="1" applyAlignment="1">
      <alignment horizontal="center"/>
    </xf>
    <xf numFmtId="14" fontId="18" fillId="13" borderId="0" xfId="0" applyNumberFormat="1" applyFont="1" applyFill="1" applyBorder="1" applyAlignment="1">
      <alignment horizontal="center"/>
    </xf>
    <xf numFmtId="14" fontId="18" fillId="13" borderId="3" xfId="0" applyNumberFormat="1" applyFont="1" applyFill="1" applyBorder="1" applyAlignment="1">
      <alignment horizontal="center"/>
    </xf>
    <xf numFmtId="164" fontId="18" fillId="0" borderId="65" xfId="0" applyFont="1" applyBorder="1" applyAlignment="1">
      <alignment horizontal="center"/>
    </xf>
    <xf numFmtId="164" fontId="18" fillId="13" borderId="65" xfId="0" applyFont="1" applyFill="1" applyBorder="1" applyAlignment="1">
      <alignment horizontal="center"/>
    </xf>
    <xf numFmtId="164" fontId="18" fillId="0" borderId="6" xfId="0" applyFont="1" applyBorder="1" applyAlignment="1">
      <alignment horizontal="center"/>
    </xf>
    <xf numFmtId="164" fontId="18" fillId="13" borderId="6" xfId="0" applyFont="1" applyFill="1" applyBorder="1" applyAlignment="1">
      <alignment horizontal="center"/>
    </xf>
    <xf numFmtId="43" fontId="18" fillId="0" borderId="8" xfId="5" applyFont="1" applyBorder="1"/>
    <xf numFmtId="164" fontId="18" fillId="0" borderId="34" xfId="0" applyFont="1" applyFill="1" applyBorder="1" applyAlignment="1">
      <alignment horizontal="center"/>
    </xf>
    <xf numFmtId="164" fontId="18" fillId="0" borderId="9" xfId="0" quotePrefix="1" applyFont="1" applyBorder="1" applyAlignment="1">
      <alignment horizontal="center"/>
    </xf>
    <xf numFmtId="164" fontId="18" fillId="0" borderId="64" xfId="0" applyFont="1" applyFill="1" applyBorder="1" applyAlignment="1">
      <alignment horizontal="center"/>
    </xf>
    <xf numFmtId="164" fontId="1" fillId="0" borderId="0" xfId="2" applyFont="1" applyBorder="1" applyAlignment="1">
      <alignment horizontal="center" vertical="center" wrapText="1"/>
    </xf>
    <xf numFmtId="43" fontId="1" fillId="0" borderId="0" xfId="5" applyFont="1" applyAlignment="1">
      <alignment horizontal="center"/>
    </xf>
    <xf numFmtId="49" fontId="15" fillId="0" borderId="0" xfId="3" applyNumberFormat="1" applyFont="1" applyAlignment="1">
      <alignment horizontal="center" vertical="center"/>
    </xf>
    <xf numFmtId="14" fontId="14" fillId="0" borderId="0" xfId="2" quotePrefix="1" applyNumberFormat="1" applyFont="1" applyBorder="1" applyAlignment="1">
      <alignment horizontal="center" vertical="top"/>
    </xf>
    <xf numFmtId="14" fontId="14" fillId="0" borderId="0" xfId="2" applyNumberFormat="1" applyFont="1" applyBorder="1" applyAlignment="1">
      <alignment horizontal="center" vertical="top"/>
    </xf>
    <xf numFmtId="164" fontId="19" fillId="4" borderId="17" xfId="0" applyFont="1" applyFill="1" applyBorder="1" applyAlignment="1">
      <alignment horizontal="center"/>
    </xf>
    <xf numFmtId="164" fontId="19" fillId="4" borderId="36" xfId="0" applyFont="1" applyFill="1" applyBorder="1" applyAlignment="1">
      <alignment horizontal="center"/>
    </xf>
    <xf numFmtId="14" fontId="19" fillId="4" borderId="36" xfId="0" applyNumberFormat="1" applyFont="1" applyFill="1" applyBorder="1" applyAlignment="1">
      <alignment horizontal="center"/>
    </xf>
    <xf numFmtId="14" fontId="19" fillId="4" borderId="37" xfId="0" applyNumberFormat="1" applyFont="1" applyFill="1" applyBorder="1" applyAlignment="1">
      <alignment horizontal="center"/>
    </xf>
    <xf numFmtId="14" fontId="19" fillId="11" borderId="36" xfId="0" applyNumberFormat="1" applyFont="1" applyFill="1" applyBorder="1" applyAlignment="1">
      <alignment horizontal="center"/>
    </xf>
    <xf numFmtId="14" fontId="19" fillId="11" borderId="37" xfId="0" applyNumberFormat="1" applyFont="1" applyFill="1" applyBorder="1" applyAlignment="1">
      <alignment horizontal="center"/>
    </xf>
    <xf numFmtId="164" fontId="19" fillId="11" borderId="17" xfId="0" applyFont="1" applyFill="1" applyBorder="1" applyAlignment="1">
      <alignment horizontal="center"/>
    </xf>
    <xf numFmtId="164" fontId="19" fillId="11" borderId="37" xfId="0" applyFont="1" applyFill="1" applyBorder="1" applyAlignment="1">
      <alignment horizontal="center"/>
    </xf>
    <xf numFmtId="164" fontId="21" fillId="0" borderId="46" xfId="0" applyFont="1" applyFill="1" applyBorder="1" applyAlignment="1">
      <alignment horizontal="center"/>
    </xf>
    <xf numFmtId="164" fontId="21" fillId="0" borderId="45" xfId="0" applyFont="1" applyFill="1" applyBorder="1" applyAlignment="1">
      <alignment horizontal="center"/>
    </xf>
    <xf numFmtId="164" fontId="21" fillId="0" borderId="41" xfId="0" applyFont="1" applyFill="1" applyBorder="1" applyAlignment="1">
      <alignment horizontal="center"/>
    </xf>
    <xf numFmtId="164" fontId="21" fillId="0" borderId="3" xfId="0" applyFont="1" applyFill="1" applyBorder="1" applyAlignment="1">
      <alignment horizontal="center"/>
    </xf>
    <xf numFmtId="164" fontId="21" fillId="0" borderId="0" xfId="0" applyFont="1" applyFill="1" applyBorder="1" applyAlignment="1">
      <alignment horizontal="center"/>
    </xf>
    <xf numFmtId="43" fontId="19" fillId="0" borderId="17" xfId="5" applyFont="1" applyFill="1" applyBorder="1" applyAlignment="1">
      <alignment horizontal="center"/>
    </xf>
    <xf numFmtId="43" fontId="19" fillId="0" borderId="37" xfId="5" applyFont="1" applyFill="1" applyBorder="1" applyAlignment="1">
      <alignment horizontal="center"/>
    </xf>
    <xf numFmtId="164" fontId="19" fillId="10" borderId="17" xfId="0" quotePrefix="1" applyFont="1" applyFill="1" applyBorder="1" applyAlignment="1">
      <alignment horizontal="center" vertical="center"/>
    </xf>
    <xf numFmtId="164" fontId="19" fillId="10" borderId="36" xfId="0" applyFont="1" applyFill="1" applyBorder="1" applyAlignment="1">
      <alignment horizontal="center" vertical="center"/>
    </xf>
    <xf numFmtId="164" fontId="19" fillId="10" borderId="37" xfId="0" applyFont="1" applyFill="1" applyBorder="1" applyAlignment="1">
      <alignment horizontal="center" vertical="center"/>
    </xf>
    <xf numFmtId="164" fontId="19" fillId="7" borderId="17" xfId="0" applyFont="1" applyFill="1" applyBorder="1" applyAlignment="1">
      <alignment horizontal="center"/>
    </xf>
    <xf numFmtId="164" fontId="19" fillId="7" borderId="36" xfId="0" applyFont="1" applyFill="1" applyBorder="1" applyAlignment="1">
      <alignment horizontal="center"/>
    </xf>
    <xf numFmtId="14" fontId="19" fillId="7" borderId="36" xfId="0" applyNumberFormat="1" applyFont="1" applyFill="1" applyBorder="1" applyAlignment="1">
      <alignment horizontal="center"/>
    </xf>
    <xf numFmtId="14" fontId="19" fillId="7" borderId="37" xfId="0" applyNumberFormat="1" applyFont="1" applyFill="1" applyBorder="1" applyAlignment="1">
      <alignment horizontal="center"/>
    </xf>
    <xf numFmtId="164" fontId="19" fillId="12" borderId="17" xfId="0" applyFont="1" applyFill="1" applyBorder="1" applyAlignment="1">
      <alignment horizontal="center"/>
    </xf>
    <xf numFmtId="164" fontId="19" fillId="12" borderId="36" xfId="0" applyFont="1" applyFill="1" applyBorder="1" applyAlignment="1">
      <alignment horizontal="center"/>
    </xf>
    <xf numFmtId="14" fontId="19" fillId="12" borderId="36" xfId="0" applyNumberFormat="1" applyFont="1" applyFill="1" applyBorder="1" applyAlignment="1">
      <alignment horizontal="center"/>
    </xf>
    <xf numFmtId="14" fontId="19" fillId="12" borderId="37" xfId="0" applyNumberFormat="1" applyFont="1" applyFill="1" applyBorder="1" applyAlignment="1">
      <alignment horizontal="center"/>
    </xf>
    <xf numFmtId="43" fontId="19" fillId="0" borderId="46" xfId="5" applyFont="1" applyFill="1" applyBorder="1" applyAlignment="1">
      <alignment horizontal="center"/>
    </xf>
    <xf numFmtId="43" fontId="19" fillId="0" borderId="47" xfId="5" applyFont="1" applyFill="1" applyBorder="1" applyAlignment="1">
      <alignment horizontal="center"/>
    </xf>
    <xf numFmtId="43" fontId="21" fillId="0" borderId="17" xfId="5" applyFont="1" applyFill="1" applyBorder="1" applyAlignment="1">
      <alignment horizontal="center"/>
    </xf>
    <xf numFmtId="43" fontId="21" fillId="0" borderId="36" xfId="5" applyFont="1" applyFill="1" applyBorder="1" applyAlignment="1">
      <alignment horizontal="center"/>
    </xf>
    <xf numFmtId="43" fontId="21" fillId="0" borderId="37" xfId="5" applyFont="1" applyFill="1" applyBorder="1" applyAlignment="1">
      <alignment horizontal="center"/>
    </xf>
    <xf numFmtId="164" fontId="19" fillId="11" borderId="36" xfId="0" applyFont="1" applyFill="1" applyBorder="1" applyAlignment="1">
      <alignment horizontal="center"/>
    </xf>
    <xf numFmtId="164" fontId="19" fillId="3" borderId="17" xfId="0" applyFont="1" applyFill="1" applyBorder="1" applyAlignment="1">
      <alignment horizontal="center"/>
    </xf>
    <xf numFmtId="164" fontId="19" fillId="3" borderId="36" xfId="0" applyFont="1" applyFill="1" applyBorder="1" applyAlignment="1">
      <alignment horizontal="center"/>
    </xf>
    <xf numFmtId="14" fontId="19" fillId="3" borderId="36" xfId="0" applyNumberFormat="1" applyFont="1" applyFill="1" applyBorder="1" applyAlignment="1">
      <alignment horizontal="center"/>
    </xf>
    <xf numFmtId="14" fontId="19" fillId="3" borderId="37" xfId="0" applyNumberFormat="1" applyFont="1" applyFill="1" applyBorder="1" applyAlignment="1">
      <alignment horizontal="center"/>
    </xf>
    <xf numFmtId="164" fontId="19" fillId="6" borderId="17" xfId="0" applyFont="1" applyFill="1" applyBorder="1" applyAlignment="1">
      <alignment horizontal="center"/>
    </xf>
    <xf numFmtId="164" fontId="19" fillId="6" borderId="36" xfId="0" applyFont="1" applyFill="1" applyBorder="1" applyAlignment="1">
      <alignment horizontal="center"/>
    </xf>
    <xf numFmtId="14" fontId="19" fillId="6" borderId="36" xfId="0" applyNumberFormat="1" applyFont="1" applyFill="1" applyBorder="1" applyAlignment="1">
      <alignment horizontal="center"/>
    </xf>
    <xf numFmtId="14" fontId="19" fillId="6" borderId="37" xfId="0" applyNumberFormat="1" applyFont="1" applyFill="1" applyBorder="1" applyAlignment="1">
      <alignment horizontal="center"/>
    </xf>
    <xf numFmtId="164" fontId="19" fillId="8" borderId="17" xfId="0" applyFont="1" applyFill="1" applyBorder="1" applyAlignment="1">
      <alignment horizontal="center"/>
    </xf>
    <xf numFmtId="164" fontId="19" fillId="8" borderId="36" xfId="0" applyFont="1" applyFill="1" applyBorder="1" applyAlignment="1">
      <alignment horizontal="center"/>
    </xf>
    <xf numFmtId="14" fontId="19" fillId="8" borderId="36" xfId="0" applyNumberFormat="1" applyFont="1" applyFill="1" applyBorder="1" applyAlignment="1">
      <alignment horizontal="center"/>
    </xf>
    <xf numFmtId="14" fontId="19" fillId="8" borderId="37" xfId="0" applyNumberFormat="1" applyFont="1" applyFill="1" applyBorder="1" applyAlignment="1">
      <alignment horizontal="center"/>
    </xf>
    <xf numFmtId="164" fontId="19" fillId="5" borderId="17" xfId="0" applyFont="1" applyFill="1" applyBorder="1" applyAlignment="1">
      <alignment horizontal="center"/>
    </xf>
    <xf numFmtId="164" fontId="19" fillId="5" borderId="36" xfId="0" applyFont="1" applyFill="1" applyBorder="1" applyAlignment="1">
      <alignment horizontal="center"/>
    </xf>
    <xf numFmtId="14" fontId="19" fillId="5" borderId="36" xfId="0" applyNumberFormat="1" applyFont="1" applyFill="1" applyBorder="1" applyAlignment="1">
      <alignment horizontal="center"/>
    </xf>
    <xf numFmtId="14" fontId="19" fillId="5" borderId="37" xfId="0" applyNumberFormat="1" applyFont="1" applyFill="1" applyBorder="1" applyAlignment="1">
      <alignment horizontal="center"/>
    </xf>
    <xf numFmtId="164" fontId="20" fillId="0" borderId="0" xfId="0" applyFont="1" applyAlignment="1">
      <alignment horizontal="center" vertical="center"/>
    </xf>
    <xf numFmtId="164" fontId="20" fillId="0" borderId="3" xfId="0" applyFont="1" applyBorder="1" applyAlignment="1">
      <alignment horizontal="center" vertical="center"/>
    </xf>
    <xf numFmtId="164" fontId="19" fillId="9" borderId="17" xfId="0" applyFont="1" applyFill="1" applyBorder="1" applyAlignment="1">
      <alignment horizontal="center"/>
    </xf>
    <xf numFmtId="164" fontId="19" fillId="9" borderId="36" xfId="0" applyFont="1" applyFill="1" applyBorder="1" applyAlignment="1">
      <alignment horizontal="center"/>
    </xf>
    <xf numFmtId="14" fontId="19" fillId="9" borderId="36" xfId="0" applyNumberFormat="1" applyFont="1" applyFill="1" applyBorder="1" applyAlignment="1">
      <alignment horizontal="center"/>
    </xf>
    <xf numFmtId="14" fontId="19" fillId="9" borderId="37" xfId="0" applyNumberFormat="1" applyFont="1" applyFill="1" applyBorder="1" applyAlignment="1">
      <alignment horizontal="center"/>
    </xf>
    <xf numFmtId="164" fontId="31" fillId="0" borderId="0" xfId="0" applyFont="1" applyAlignment="1">
      <alignment horizontal="center" vertical="center"/>
    </xf>
    <xf numFmtId="165" fontId="18" fillId="4" borderId="0" xfId="5" applyNumberFormat="1" applyFont="1" applyFill="1" applyAlignment="1">
      <alignment horizontal="center"/>
    </xf>
    <xf numFmtId="164" fontId="34" fillId="0" borderId="0" xfId="0" applyFont="1" applyAlignment="1">
      <alignment horizontal="center"/>
    </xf>
    <xf numFmtId="43" fontId="18" fillId="4" borderId="0" xfId="5" applyFont="1" applyFill="1" applyAlignment="1">
      <alignment horizontal="center" vertical="center"/>
    </xf>
    <xf numFmtId="164" fontId="7" fillId="0" borderId="0" xfId="2" applyFont="1" applyBorder="1" applyAlignment="1">
      <alignment horizontal="center" vertical="center" wrapText="1"/>
    </xf>
  </cellXfs>
  <cellStyles count="6">
    <cellStyle name="Comma" xfId="5" builtinId="3"/>
    <cellStyle name="Currency" xfId="1" builtinId="4"/>
    <cellStyle name="Normal" xfId="0" builtinId="0"/>
    <cellStyle name="Normal 2" xfId="4"/>
    <cellStyle name="Normal_PREMAC WAGES MARCH'05" xfId="2"/>
    <cellStyle name="Normal_Wages - 2005" xfId="3"/>
  </cellStyles>
  <dxfs count="0"/>
  <tableStyles count="0" defaultTableStyle="TableStyleMedium2" defaultPivotStyle="PivotStyleLight16"/>
  <colors>
    <mruColors>
      <color rgb="FFFF00FF"/>
      <color rgb="FFFF33CC"/>
      <color rgb="FF00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62</xdr:row>
      <xdr:rowOff>0</xdr:rowOff>
    </xdr:from>
    <xdr:to>
      <xdr:col>0</xdr:col>
      <xdr:colOff>463120</xdr:colOff>
      <xdr:row>62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71</xdr:row>
      <xdr:rowOff>0</xdr:rowOff>
    </xdr:from>
    <xdr:to>
      <xdr:col>0</xdr:col>
      <xdr:colOff>463120</xdr:colOff>
      <xdr:row>71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16971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437287</xdr:colOff>
      <xdr:row>71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16971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437287</xdr:colOff>
      <xdr:row>71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16971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62</xdr:row>
      <xdr:rowOff>0</xdr:rowOff>
    </xdr:from>
    <xdr:to>
      <xdr:col>0</xdr:col>
      <xdr:colOff>537855</xdr:colOff>
      <xdr:row>62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020229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62</xdr:row>
      <xdr:rowOff>0</xdr:rowOff>
    </xdr:from>
    <xdr:to>
      <xdr:col>0</xdr:col>
      <xdr:colOff>463120</xdr:colOff>
      <xdr:row>62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437287</xdr:colOff>
      <xdr:row>62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437287</xdr:colOff>
      <xdr:row>62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437287</xdr:colOff>
      <xdr:row>62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62</xdr:row>
      <xdr:rowOff>0</xdr:rowOff>
    </xdr:from>
    <xdr:to>
      <xdr:col>0</xdr:col>
      <xdr:colOff>463786</xdr:colOff>
      <xdr:row>62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437287</xdr:colOff>
      <xdr:row>62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437287</xdr:colOff>
      <xdr:row>62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437287</xdr:colOff>
      <xdr:row>33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261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437287</xdr:colOff>
      <xdr:row>41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33056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97712</xdr:colOff>
      <xdr:row>47</xdr:row>
      <xdr:rowOff>79163</xdr:rowOff>
    </xdr:from>
    <xdr:to>
      <xdr:col>0</xdr:col>
      <xdr:colOff>534999</xdr:colOff>
      <xdr:row>56</xdr:row>
      <xdr:rowOff>83441</xdr:rowOff>
    </xdr:to>
    <xdr:sp macro="" textlink="">
      <xdr:nvSpPr>
        <xdr:cNvPr id="28" name="TextBox 27"/>
        <xdr:cNvSpPr txBox="1"/>
      </xdr:nvSpPr>
      <xdr:spPr>
        <a:xfrm rot="4938974" flipH="1">
          <a:off x="-414446" y="5972946"/>
          <a:ext cx="14616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18</xdr:row>
      <xdr:rowOff>0</xdr:rowOff>
    </xdr:to>
    <xdr:sp macro="" textlink="">
      <xdr:nvSpPr>
        <xdr:cNvPr id="29" name="TextBox 28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18</xdr:row>
      <xdr:rowOff>0</xdr:rowOff>
    </xdr:to>
    <xdr:sp macro="" textlink="">
      <xdr:nvSpPr>
        <xdr:cNvPr id="30" name="TextBox 29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17</xdr:row>
      <xdr:rowOff>79524</xdr:rowOff>
    </xdr:from>
    <xdr:to>
      <xdr:col>0</xdr:col>
      <xdr:colOff>529625</xdr:colOff>
      <xdr:row>26</xdr:row>
      <xdr:rowOff>3416</xdr:rowOff>
    </xdr:to>
    <xdr:sp macro="" textlink="">
      <xdr:nvSpPr>
        <xdr:cNvPr id="31" name="TextBox 30"/>
        <xdr:cNvSpPr txBox="1"/>
      </xdr:nvSpPr>
      <xdr:spPr>
        <a:xfrm rot="4938974" flipH="1">
          <a:off x="-379627" y="3304214"/>
          <a:ext cx="13812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48</xdr:row>
      <xdr:rowOff>0</xdr:rowOff>
    </xdr:from>
    <xdr:to>
      <xdr:col>0</xdr:col>
      <xdr:colOff>463120</xdr:colOff>
      <xdr:row>48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2325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57</xdr:row>
      <xdr:rowOff>0</xdr:rowOff>
    </xdr:from>
    <xdr:to>
      <xdr:col>0</xdr:col>
      <xdr:colOff>463120</xdr:colOff>
      <xdr:row>57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37831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437287</xdr:colOff>
      <xdr:row>57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37831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437287</xdr:colOff>
      <xdr:row>57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37831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48</xdr:row>
      <xdr:rowOff>0</xdr:rowOff>
    </xdr:from>
    <xdr:to>
      <xdr:col>0</xdr:col>
      <xdr:colOff>537855</xdr:colOff>
      <xdr:row>48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228826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48</xdr:row>
      <xdr:rowOff>0</xdr:rowOff>
    </xdr:from>
    <xdr:to>
      <xdr:col>0</xdr:col>
      <xdr:colOff>463120</xdr:colOff>
      <xdr:row>48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2325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48</xdr:row>
      <xdr:rowOff>0</xdr:rowOff>
    </xdr:from>
    <xdr:to>
      <xdr:col>0</xdr:col>
      <xdr:colOff>437287</xdr:colOff>
      <xdr:row>48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2325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48</xdr:row>
      <xdr:rowOff>0</xdr:rowOff>
    </xdr:from>
    <xdr:to>
      <xdr:col>0</xdr:col>
      <xdr:colOff>437287</xdr:colOff>
      <xdr:row>48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2325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48</xdr:row>
      <xdr:rowOff>0</xdr:rowOff>
    </xdr:from>
    <xdr:to>
      <xdr:col>0</xdr:col>
      <xdr:colOff>437287</xdr:colOff>
      <xdr:row>48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2325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48</xdr:row>
      <xdr:rowOff>0</xdr:rowOff>
    </xdr:from>
    <xdr:to>
      <xdr:col>0</xdr:col>
      <xdr:colOff>463786</xdr:colOff>
      <xdr:row>48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2325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48</xdr:row>
      <xdr:rowOff>0</xdr:rowOff>
    </xdr:from>
    <xdr:to>
      <xdr:col>0</xdr:col>
      <xdr:colOff>437287</xdr:colOff>
      <xdr:row>48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2325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48</xdr:row>
      <xdr:rowOff>0</xdr:rowOff>
    </xdr:from>
    <xdr:to>
      <xdr:col>0</xdr:col>
      <xdr:colOff>437287</xdr:colOff>
      <xdr:row>48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2325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437287</xdr:colOff>
      <xdr:row>20</xdr:row>
      <xdr:rowOff>0</xdr:rowOff>
    </xdr:to>
    <xdr:sp macro="" textlink="">
      <xdr:nvSpPr>
        <xdr:cNvPr id="23" name="TextBox 22"/>
        <xdr:cNvSpPr txBox="1"/>
      </xdr:nvSpPr>
      <xdr:spPr>
        <a:xfrm rot="4938974">
          <a:off x="218644" y="32675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437287</xdr:colOff>
      <xdr:row>20</xdr:row>
      <xdr:rowOff>0</xdr:rowOff>
    </xdr:to>
    <xdr:sp macro="" textlink="">
      <xdr:nvSpPr>
        <xdr:cNvPr id="24" name="TextBox 23"/>
        <xdr:cNvSpPr txBox="1"/>
      </xdr:nvSpPr>
      <xdr:spPr>
        <a:xfrm rot="4938974" flipH="1">
          <a:off x="218644" y="32675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19</xdr:row>
      <xdr:rowOff>79524</xdr:rowOff>
    </xdr:from>
    <xdr:to>
      <xdr:col>0</xdr:col>
      <xdr:colOff>529625</xdr:colOff>
      <xdr:row>28</xdr:row>
      <xdr:rowOff>3416</xdr:rowOff>
    </xdr:to>
    <xdr:sp macro="" textlink="">
      <xdr:nvSpPr>
        <xdr:cNvPr id="25" name="TextBox 24"/>
        <xdr:cNvSpPr txBox="1"/>
      </xdr:nvSpPr>
      <xdr:spPr>
        <a:xfrm rot="4938974" flipH="1">
          <a:off x="-379627" y="3951914"/>
          <a:ext cx="13812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63</xdr:row>
      <xdr:rowOff>0</xdr:rowOff>
    </xdr:from>
    <xdr:to>
      <xdr:col>0</xdr:col>
      <xdr:colOff>463120</xdr:colOff>
      <xdr:row>63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2325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72</xdr:row>
      <xdr:rowOff>0</xdr:rowOff>
    </xdr:from>
    <xdr:to>
      <xdr:col>0</xdr:col>
      <xdr:colOff>463120</xdr:colOff>
      <xdr:row>72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37831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437287</xdr:colOff>
      <xdr:row>72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37831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437287</xdr:colOff>
      <xdr:row>72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37831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63</xdr:row>
      <xdr:rowOff>0</xdr:rowOff>
    </xdr:from>
    <xdr:to>
      <xdr:col>0</xdr:col>
      <xdr:colOff>537855</xdr:colOff>
      <xdr:row>63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228826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63</xdr:row>
      <xdr:rowOff>0</xdr:rowOff>
    </xdr:from>
    <xdr:to>
      <xdr:col>0</xdr:col>
      <xdr:colOff>463120</xdr:colOff>
      <xdr:row>63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2325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0</xdr:col>
      <xdr:colOff>437287</xdr:colOff>
      <xdr:row>63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2325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0</xdr:col>
      <xdr:colOff>437287</xdr:colOff>
      <xdr:row>63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2325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0</xdr:col>
      <xdr:colOff>437287</xdr:colOff>
      <xdr:row>63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2325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63</xdr:row>
      <xdr:rowOff>0</xdr:rowOff>
    </xdr:from>
    <xdr:to>
      <xdr:col>0</xdr:col>
      <xdr:colOff>463786</xdr:colOff>
      <xdr:row>63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2325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0</xdr:col>
      <xdr:colOff>437287</xdr:colOff>
      <xdr:row>63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2325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0</xdr:col>
      <xdr:colOff>437287</xdr:colOff>
      <xdr:row>63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2325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18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63631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437287</xdr:colOff>
      <xdr:row>1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26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704893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3" name="TextBox 22"/>
        <xdr:cNvSpPr txBox="1"/>
      </xdr:nvSpPr>
      <xdr:spPr>
        <a:xfrm rot="4938974">
          <a:off x="218644" y="32675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4" name="TextBox 23"/>
        <xdr:cNvSpPr txBox="1"/>
      </xdr:nvSpPr>
      <xdr:spPr>
        <a:xfrm rot="4938974" flipH="1">
          <a:off x="218644" y="32675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</xdr:row>
      <xdr:rowOff>79524</xdr:rowOff>
    </xdr:from>
    <xdr:to>
      <xdr:col>0</xdr:col>
      <xdr:colOff>529625</xdr:colOff>
      <xdr:row>10</xdr:row>
      <xdr:rowOff>3416</xdr:rowOff>
    </xdr:to>
    <xdr:sp macro="" textlink="">
      <xdr:nvSpPr>
        <xdr:cNvPr id="25" name="TextBox 24"/>
        <xdr:cNvSpPr txBox="1"/>
      </xdr:nvSpPr>
      <xdr:spPr>
        <a:xfrm rot="4938974" flipH="1">
          <a:off x="-379627" y="3951914"/>
          <a:ext cx="13812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91772</xdr:colOff>
      <xdr:row>49</xdr:row>
      <xdr:rowOff>79562</xdr:rowOff>
    </xdr:from>
    <xdr:to>
      <xdr:col>0</xdr:col>
      <xdr:colOff>529059</xdr:colOff>
      <xdr:row>57</xdr:row>
      <xdr:rowOff>156913</xdr:rowOff>
    </xdr:to>
    <xdr:sp macro="" textlink="">
      <xdr:nvSpPr>
        <xdr:cNvPr id="26" name="TextBox 25"/>
        <xdr:cNvSpPr txBox="1"/>
      </xdr:nvSpPr>
      <xdr:spPr>
        <a:xfrm rot="4938974" flipH="1">
          <a:off x="-375960" y="10138969"/>
          <a:ext cx="13727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119658</xdr:colOff>
      <xdr:row>33</xdr:row>
      <xdr:rowOff>77689</xdr:rowOff>
    </xdr:from>
    <xdr:to>
      <xdr:col>0</xdr:col>
      <xdr:colOff>556945</xdr:colOff>
      <xdr:row>44</xdr:row>
      <xdr:rowOff>0</xdr:rowOff>
    </xdr:to>
    <xdr:sp macro="" textlink="">
      <xdr:nvSpPr>
        <xdr:cNvPr id="27" name="TextBox 26"/>
        <xdr:cNvSpPr txBox="1"/>
      </xdr:nvSpPr>
      <xdr:spPr>
        <a:xfrm rot="4938974" flipH="1">
          <a:off x="-556641" y="7088113"/>
          <a:ext cx="178988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68</xdr:row>
      <xdr:rowOff>0</xdr:rowOff>
    </xdr:from>
    <xdr:to>
      <xdr:col>0</xdr:col>
      <xdr:colOff>463120</xdr:colOff>
      <xdr:row>68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0220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77</xdr:row>
      <xdr:rowOff>0</xdr:rowOff>
    </xdr:from>
    <xdr:to>
      <xdr:col>0</xdr:col>
      <xdr:colOff>463120</xdr:colOff>
      <xdr:row>77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1678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437287</xdr:colOff>
      <xdr:row>77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1678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437287</xdr:colOff>
      <xdr:row>77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1678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68</xdr:row>
      <xdr:rowOff>0</xdr:rowOff>
    </xdr:from>
    <xdr:to>
      <xdr:col>0</xdr:col>
      <xdr:colOff>537855</xdr:colOff>
      <xdr:row>68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01832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68</xdr:row>
      <xdr:rowOff>0</xdr:rowOff>
    </xdr:from>
    <xdr:to>
      <xdr:col>0</xdr:col>
      <xdr:colOff>463120</xdr:colOff>
      <xdr:row>68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0220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437287</xdr:colOff>
      <xdr:row>68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0220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437287</xdr:colOff>
      <xdr:row>68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0220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437287</xdr:colOff>
      <xdr:row>68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0220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3" name="TextBox 12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68</xdr:row>
      <xdr:rowOff>0</xdr:rowOff>
    </xdr:from>
    <xdr:to>
      <xdr:col>0</xdr:col>
      <xdr:colOff>463786</xdr:colOff>
      <xdr:row>68</xdr:row>
      <xdr:rowOff>0</xdr:rowOff>
    </xdr:to>
    <xdr:sp macro="" textlink="">
      <xdr:nvSpPr>
        <xdr:cNvPr id="14" name="TextBox 13"/>
        <xdr:cNvSpPr txBox="1"/>
      </xdr:nvSpPr>
      <xdr:spPr>
        <a:xfrm rot="4938974">
          <a:off x="245143" y="10220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437287</xdr:colOff>
      <xdr:row>68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218644" y="10220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437287</xdr:colOff>
      <xdr:row>68</xdr:row>
      <xdr:rowOff>0</xdr:rowOff>
    </xdr:to>
    <xdr:sp macro="" textlink="">
      <xdr:nvSpPr>
        <xdr:cNvPr id="16" name="TextBox 15"/>
        <xdr:cNvSpPr txBox="1"/>
      </xdr:nvSpPr>
      <xdr:spPr>
        <a:xfrm rot="4938974" flipH="1">
          <a:off x="218644" y="10220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18</xdr:row>
      <xdr:rowOff>0</xdr:rowOff>
    </xdr:to>
    <xdr:sp macro="" textlink="">
      <xdr:nvSpPr>
        <xdr:cNvPr id="17" name="TextBox 16"/>
        <xdr:cNvSpPr txBox="1"/>
      </xdr:nvSpPr>
      <xdr:spPr>
        <a:xfrm rot="4938974">
          <a:off x="218644" y="2800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437287</xdr:colOff>
      <xdr:row>1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26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-467156" y="34865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</xdr:row>
      <xdr:rowOff>79524</xdr:rowOff>
    </xdr:from>
    <xdr:to>
      <xdr:col>0</xdr:col>
      <xdr:colOff>529625</xdr:colOff>
      <xdr:row>10</xdr:row>
      <xdr:rowOff>3416</xdr:rowOff>
    </xdr:to>
    <xdr:sp macro="" textlink="">
      <xdr:nvSpPr>
        <xdr:cNvPr id="22" name="TextBox 21"/>
        <xdr:cNvSpPr txBox="1"/>
      </xdr:nvSpPr>
      <xdr:spPr>
        <a:xfrm rot="4938974" flipH="1">
          <a:off x="-379627" y="856289"/>
          <a:ext cx="13812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119658</xdr:colOff>
      <xdr:row>49</xdr:row>
      <xdr:rowOff>77689</xdr:rowOff>
    </xdr:from>
    <xdr:to>
      <xdr:col>0</xdr:col>
      <xdr:colOff>556945</xdr:colOff>
      <xdr:row>60</xdr:row>
      <xdr:rowOff>0</xdr:rowOff>
    </xdr:to>
    <xdr:sp macro="" textlink="">
      <xdr:nvSpPr>
        <xdr:cNvPr id="24" name="TextBox 23"/>
        <xdr:cNvSpPr txBox="1"/>
      </xdr:nvSpPr>
      <xdr:spPr>
        <a:xfrm rot="4938974" flipH="1">
          <a:off x="-513441" y="6254338"/>
          <a:ext cx="170348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85401</xdr:colOff>
      <xdr:row>33</xdr:row>
      <xdr:rowOff>79988</xdr:rowOff>
    </xdr:from>
    <xdr:to>
      <xdr:col>0</xdr:col>
      <xdr:colOff>522688</xdr:colOff>
      <xdr:row>41</xdr:row>
      <xdr:rowOff>62047</xdr:rowOff>
    </xdr:to>
    <xdr:sp macro="" textlink="">
      <xdr:nvSpPr>
        <xdr:cNvPr id="25" name="TextBox 24"/>
        <xdr:cNvSpPr txBox="1"/>
      </xdr:nvSpPr>
      <xdr:spPr>
        <a:xfrm rot="4938974" flipH="1">
          <a:off x="-334685" y="6043624"/>
          <a:ext cx="127745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25833</xdr:colOff>
      <xdr:row>17</xdr:row>
      <xdr:rowOff>0</xdr:rowOff>
    </xdr:from>
    <xdr:to>
      <xdr:col>0</xdr:col>
      <xdr:colOff>463120</xdr:colOff>
      <xdr:row>17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1678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437287</xdr:colOff>
      <xdr:row>17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1678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437287</xdr:colOff>
      <xdr:row>17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1678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37</xdr:row>
      <xdr:rowOff>0</xdr:rowOff>
    </xdr:from>
    <xdr:to>
      <xdr:col>0</xdr:col>
      <xdr:colOff>463120</xdr:colOff>
      <xdr:row>37</xdr:row>
      <xdr:rowOff>0</xdr:rowOff>
    </xdr:to>
    <xdr:sp macro="" textlink="">
      <xdr:nvSpPr>
        <xdr:cNvPr id="25" name="TextBox 24"/>
        <xdr:cNvSpPr txBox="1"/>
      </xdr:nvSpPr>
      <xdr:spPr>
        <a:xfrm rot="4938974">
          <a:off x="244477" y="2924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437287</xdr:colOff>
      <xdr:row>37</xdr:row>
      <xdr:rowOff>0</xdr:rowOff>
    </xdr:to>
    <xdr:sp macro="" textlink="">
      <xdr:nvSpPr>
        <xdr:cNvPr id="26" name="TextBox 25"/>
        <xdr:cNvSpPr txBox="1"/>
      </xdr:nvSpPr>
      <xdr:spPr>
        <a:xfrm rot="4938974">
          <a:off x="218644" y="2924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437287</xdr:colOff>
      <xdr:row>37</xdr:row>
      <xdr:rowOff>0</xdr:rowOff>
    </xdr:to>
    <xdr:sp macro="" textlink="">
      <xdr:nvSpPr>
        <xdr:cNvPr id="27" name="TextBox 26"/>
        <xdr:cNvSpPr txBox="1"/>
      </xdr:nvSpPr>
      <xdr:spPr>
        <a:xfrm rot="4938974">
          <a:off x="218644" y="2924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61</xdr:row>
      <xdr:rowOff>0</xdr:rowOff>
    </xdr:from>
    <xdr:to>
      <xdr:col>0</xdr:col>
      <xdr:colOff>463120</xdr:colOff>
      <xdr:row>61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0077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70</xdr:row>
      <xdr:rowOff>0</xdr:rowOff>
    </xdr:from>
    <xdr:to>
      <xdr:col>0</xdr:col>
      <xdr:colOff>463120</xdr:colOff>
      <xdr:row>70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1535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437287</xdr:colOff>
      <xdr:row>70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1535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437287</xdr:colOff>
      <xdr:row>70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1535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61</xdr:row>
      <xdr:rowOff>0</xdr:rowOff>
    </xdr:from>
    <xdr:to>
      <xdr:col>0</xdr:col>
      <xdr:colOff>537855</xdr:colOff>
      <xdr:row>61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004036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61</xdr:row>
      <xdr:rowOff>0</xdr:rowOff>
    </xdr:from>
    <xdr:to>
      <xdr:col>0</xdr:col>
      <xdr:colOff>463120</xdr:colOff>
      <xdr:row>61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0077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0077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0077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0077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61</xdr:row>
      <xdr:rowOff>0</xdr:rowOff>
    </xdr:from>
    <xdr:to>
      <xdr:col>0</xdr:col>
      <xdr:colOff>463786</xdr:colOff>
      <xdr:row>61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0077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0077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0077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437287</xdr:colOff>
      <xdr:row>32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5229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437287</xdr:colOff>
      <xdr:row>40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591545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97712</xdr:colOff>
      <xdr:row>46</xdr:row>
      <xdr:rowOff>79163</xdr:rowOff>
    </xdr:from>
    <xdr:to>
      <xdr:col>0</xdr:col>
      <xdr:colOff>534999</xdr:colOff>
      <xdr:row>55</xdr:row>
      <xdr:rowOff>83441</xdr:rowOff>
    </xdr:to>
    <xdr:sp macro="" textlink="">
      <xdr:nvSpPr>
        <xdr:cNvPr id="23" name="TextBox 22"/>
        <xdr:cNvSpPr txBox="1"/>
      </xdr:nvSpPr>
      <xdr:spPr>
        <a:xfrm rot="4938974" flipH="1">
          <a:off x="-414446" y="8420871"/>
          <a:ext cx="14616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437287</xdr:colOff>
      <xdr:row>17</xdr:row>
      <xdr:rowOff>0</xdr:rowOff>
    </xdr:to>
    <xdr:sp macro="" textlink="">
      <xdr:nvSpPr>
        <xdr:cNvPr id="24" name="TextBox 23"/>
        <xdr:cNvSpPr txBox="1"/>
      </xdr:nvSpPr>
      <xdr:spPr>
        <a:xfrm rot="4938974">
          <a:off x="218644" y="2781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437287</xdr:colOff>
      <xdr:row>17</xdr:row>
      <xdr:rowOff>0</xdr:rowOff>
    </xdr:to>
    <xdr:sp macro="" textlink="">
      <xdr:nvSpPr>
        <xdr:cNvPr id="25" name="TextBox 24"/>
        <xdr:cNvSpPr txBox="1"/>
      </xdr:nvSpPr>
      <xdr:spPr>
        <a:xfrm rot="4938974" flipH="1">
          <a:off x="218644" y="2781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16</xdr:row>
      <xdr:rowOff>79524</xdr:rowOff>
    </xdr:from>
    <xdr:to>
      <xdr:col>0</xdr:col>
      <xdr:colOff>529625</xdr:colOff>
      <xdr:row>25</xdr:row>
      <xdr:rowOff>3416</xdr:rowOff>
    </xdr:to>
    <xdr:sp macro="" textlink="">
      <xdr:nvSpPr>
        <xdr:cNvPr id="26" name="TextBox 25"/>
        <xdr:cNvSpPr txBox="1"/>
      </xdr:nvSpPr>
      <xdr:spPr>
        <a:xfrm rot="4938974" flipH="1">
          <a:off x="-379627" y="3466139"/>
          <a:ext cx="13812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74</xdr:row>
      <xdr:rowOff>0</xdr:rowOff>
    </xdr:from>
    <xdr:to>
      <xdr:col>0</xdr:col>
      <xdr:colOff>463120</xdr:colOff>
      <xdr:row>74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99159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83</xdr:row>
      <xdr:rowOff>0</xdr:rowOff>
    </xdr:from>
    <xdr:to>
      <xdr:col>0</xdr:col>
      <xdr:colOff>463120</xdr:colOff>
      <xdr:row>83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13732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83</xdr:row>
      <xdr:rowOff>0</xdr:rowOff>
    </xdr:from>
    <xdr:to>
      <xdr:col>0</xdr:col>
      <xdr:colOff>437287</xdr:colOff>
      <xdr:row>83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13732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83</xdr:row>
      <xdr:rowOff>0</xdr:rowOff>
    </xdr:from>
    <xdr:to>
      <xdr:col>0</xdr:col>
      <xdr:colOff>437287</xdr:colOff>
      <xdr:row>83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13732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74</xdr:row>
      <xdr:rowOff>0</xdr:rowOff>
    </xdr:from>
    <xdr:to>
      <xdr:col>0</xdr:col>
      <xdr:colOff>537855</xdr:colOff>
      <xdr:row>74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98784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74</xdr:row>
      <xdr:rowOff>0</xdr:rowOff>
    </xdr:from>
    <xdr:to>
      <xdr:col>0</xdr:col>
      <xdr:colOff>463120</xdr:colOff>
      <xdr:row>74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99159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437287</xdr:colOff>
      <xdr:row>74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99159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437287</xdr:colOff>
      <xdr:row>74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99159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437287</xdr:colOff>
      <xdr:row>74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99159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74</xdr:row>
      <xdr:rowOff>0</xdr:rowOff>
    </xdr:from>
    <xdr:to>
      <xdr:col>0</xdr:col>
      <xdr:colOff>463786</xdr:colOff>
      <xdr:row>74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99159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437287</xdr:colOff>
      <xdr:row>74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99159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437287</xdr:colOff>
      <xdr:row>74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99159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437287</xdr:colOff>
      <xdr:row>32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5067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437287</xdr:colOff>
      <xdr:row>40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575353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97712</xdr:colOff>
      <xdr:row>61</xdr:row>
      <xdr:rowOff>79163</xdr:rowOff>
    </xdr:from>
    <xdr:to>
      <xdr:col>0</xdr:col>
      <xdr:colOff>534999</xdr:colOff>
      <xdr:row>70</xdr:row>
      <xdr:rowOff>83441</xdr:rowOff>
    </xdr:to>
    <xdr:sp macro="" textlink="">
      <xdr:nvSpPr>
        <xdr:cNvPr id="23" name="TextBox 22"/>
        <xdr:cNvSpPr txBox="1"/>
      </xdr:nvSpPr>
      <xdr:spPr>
        <a:xfrm rot="4938974" flipH="1">
          <a:off x="-414446" y="8258946"/>
          <a:ext cx="14616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437287</xdr:colOff>
      <xdr:row>17</xdr:row>
      <xdr:rowOff>0</xdr:rowOff>
    </xdr:to>
    <xdr:sp macro="" textlink="">
      <xdr:nvSpPr>
        <xdr:cNvPr id="24" name="TextBox 23"/>
        <xdr:cNvSpPr txBox="1"/>
      </xdr:nvSpPr>
      <xdr:spPr>
        <a:xfrm rot="4938974">
          <a:off x="218644" y="261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437287</xdr:colOff>
      <xdr:row>17</xdr:row>
      <xdr:rowOff>0</xdr:rowOff>
    </xdr:to>
    <xdr:sp macro="" textlink="">
      <xdr:nvSpPr>
        <xdr:cNvPr id="25" name="TextBox 24"/>
        <xdr:cNvSpPr txBox="1"/>
      </xdr:nvSpPr>
      <xdr:spPr>
        <a:xfrm rot="4938974" flipH="1">
          <a:off x="218644" y="261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16</xdr:row>
      <xdr:rowOff>79524</xdr:rowOff>
    </xdr:from>
    <xdr:to>
      <xdr:col>0</xdr:col>
      <xdr:colOff>529625</xdr:colOff>
      <xdr:row>25</xdr:row>
      <xdr:rowOff>3416</xdr:rowOff>
    </xdr:to>
    <xdr:sp macro="" textlink="">
      <xdr:nvSpPr>
        <xdr:cNvPr id="26" name="TextBox 25"/>
        <xdr:cNvSpPr txBox="1"/>
      </xdr:nvSpPr>
      <xdr:spPr>
        <a:xfrm rot="4938974" flipH="1">
          <a:off x="-379627" y="3304214"/>
          <a:ext cx="13812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93855</xdr:colOff>
      <xdr:row>46</xdr:row>
      <xdr:rowOff>79421</xdr:rowOff>
    </xdr:from>
    <xdr:to>
      <xdr:col>0</xdr:col>
      <xdr:colOff>531142</xdr:colOff>
      <xdr:row>55</xdr:row>
      <xdr:rowOff>26013</xdr:rowOff>
    </xdr:to>
    <xdr:sp macro="" textlink="">
      <xdr:nvSpPr>
        <xdr:cNvPr id="27" name="TextBox 26"/>
        <xdr:cNvSpPr txBox="1"/>
      </xdr:nvSpPr>
      <xdr:spPr>
        <a:xfrm rot="4938974" flipH="1">
          <a:off x="-389460" y="8230361"/>
          <a:ext cx="14039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65</xdr:row>
      <xdr:rowOff>0</xdr:rowOff>
    </xdr:from>
    <xdr:to>
      <xdr:col>0</xdr:col>
      <xdr:colOff>463120</xdr:colOff>
      <xdr:row>65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2040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74</xdr:row>
      <xdr:rowOff>0</xdr:rowOff>
    </xdr:from>
    <xdr:to>
      <xdr:col>0</xdr:col>
      <xdr:colOff>463120</xdr:colOff>
      <xdr:row>74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3497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437287</xdr:colOff>
      <xdr:row>74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3497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437287</xdr:colOff>
      <xdr:row>74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3497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65</xdr:row>
      <xdr:rowOff>0</xdr:rowOff>
    </xdr:from>
    <xdr:to>
      <xdr:col>0</xdr:col>
      <xdr:colOff>537855</xdr:colOff>
      <xdr:row>65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200251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65</xdr:row>
      <xdr:rowOff>0</xdr:rowOff>
    </xdr:from>
    <xdr:to>
      <xdr:col>0</xdr:col>
      <xdr:colOff>463120</xdr:colOff>
      <xdr:row>65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2040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2040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2040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2040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65</xdr:row>
      <xdr:rowOff>0</xdr:rowOff>
    </xdr:from>
    <xdr:to>
      <xdr:col>0</xdr:col>
      <xdr:colOff>463786</xdr:colOff>
      <xdr:row>65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2040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2040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2040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437287</xdr:colOff>
      <xdr:row>32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5067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437287</xdr:colOff>
      <xdr:row>40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575353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437287</xdr:colOff>
      <xdr:row>17</xdr:row>
      <xdr:rowOff>0</xdr:rowOff>
    </xdr:to>
    <xdr:sp macro="" textlink="">
      <xdr:nvSpPr>
        <xdr:cNvPr id="24" name="TextBox 23"/>
        <xdr:cNvSpPr txBox="1"/>
      </xdr:nvSpPr>
      <xdr:spPr>
        <a:xfrm rot="4938974">
          <a:off x="218644" y="261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437287</xdr:colOff>
      <xdr:row>17</xdr:row>
      <xdr:rowOff>0</xdr:rowOff>
    </xdr:to>
    <xdr:sp macro="" textlink="">
      <xdr:nvSpPr>
        <xdr:cNvPr id="25" name="TextBox 24"/>
        <xdr:cNvSpPr txBox="1"/>
      </xdr:nvSpPr>
      <xdr:spPr>
        <a:xfrm rot="4938974" flipH="1">
          <a:off x="218644" y="261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16</xdr:row>
      <xdr:rowOff>79524</xdr:rowOff>
    </xdr:from>
    <xdr:to>
      <xdr:col>0</xdr:col>
      <xdr:colOff>529625</xdr:colOff>
      <xdr:row>25</xdr:row>
      <xdr:rowOff>3416</xdr:rowOff>
    </xdr:to>
    <xdr:sp macro="" textlink="">
      <xdr:nvSpPr>
        <xdr:cNvPr id="26" name="TextBox 25"/>
        <xdr:cNvSpPr txBox="1"/>
      </xdr:nvSpPr>
      <xdr:spPr>
        <a:xfrm rot="4938974" flipH="1">
          <a:off x="-379627" y="3304214"/>
          <a:ext cx="13812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93855</xdr:colOff>
      <xdr:row>49</xdr:row>
      <xdr:rowOff>79421</xdr:rowOff>
    </xdr:from>
    <xdr:to>
      <xdr:col>0</xdr:col>
      <xdr:colOff>531142</xdr:colOff>
      <xdr:row>58</xdr:row>
      <xdr:rowOff>26013</xdr:rowOff>
    </xdr:to>
    <xdr:sp macro="" textlink="">
      <xdr:nvSpPr>
        <xdr:cNvPr id="27" name="TextBox 26"/>
        <xdr:cNvSpPr txBox="1"/>
      </xdr:nvSpPr>
      <xdr:spPr>
        <a:xfrm rot="4938974" flipH="1">
          <a:off x="-389460" y="8230361"/>
          <a:ext cx="14039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79</xdr:row>
      <xdr:rowOff>0</xdr:rowOff>
    </xdr:from>
    <xdr:to>
      <xdr:col>0</xdr:col>
      <xdr:colOff>463120</xdr:colOff>
      <xdr:row>79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0563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88</xdr:row>
      <xdr:rowOff>0</xdr:rowOff>
    </xdr:from>
    <xdr:to>
      <xdr:col>0</xdr:col>
      <xdr:colOff>463120</xdr:colOff>
      <xdr:row>88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2020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88</xdr:row>
      <xdr:rowOff>0</xdr:rowOff>
    </xdr:from>
    <xdr:to>
      <xdr:col>0</xdr:col>
      <xdr:colOff>437287</xdr:colOff>
      <xdr:row>88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2020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88</xdr:row>
      <xdr:rowOff>0</xdr:rowOff>
    </xdr:from>
    <xdr:to>
      <xdr:col>0</xdr:col>
      <xdr:colOff>437287</xdr:colOff>
      <xdr:row>88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2020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79</xdr:row>
      <xdr:rowOff>0</xdr:rowOff>
    </xdr:from>
    <xdr:to>
      <xdr:col>0</xdr:col>
      <xdr:colOff>537855</xdr:colOff>
      <xdr:row>79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05261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79</xdr:row>
      <xdr:rowOff>0</xdr:rowOff>
    </xdr:from>
    <xdr:to>
      <xdr:col>0</xdr:col>
      <xdr:colOff>463120</xdr:colOff>
      <xdr:row>79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0563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79</xdr:row>
      <xdr:rowOff>0</xdr:rowOff>
    </xdr:from>
    <xdr:to>
      <xdr:col>0</xdr:col>
      <xdr:colOff>437287</xdr:colOff>
      <xdr:row>79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0563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79</xdr:row>
      <xdr:rowOff>0</xdr:rowOff>
    </xdr:from>
    <xdr:to>
      <xdr:col>0</xdr:col>
      <xdr:colOff>437287</xdr:colOff>
      <xdr:row>79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0563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79</xdr:row>
      <xdr:rowOff>0</xdr:rowOff>
    </xdr:from>
    <xdr:to>
      <xdr:col>0</xdr:col>
      <xdr:colOff>437287</xdr:colOff>
      <xdr:row>79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0563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79</xdr:row>
      <xdr:rowOff>0</xdr:rowOff>
    </xdr:from>
    <xdr:to>
      <xdr:col>0</xdr:col>
      <xdr:colOff>463786</xdr:colOff>
      <xdr:row>79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0563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79</xdr:row>
      <xdr:rowOff>0</xdr:rowOff>
    </xdr:from>
    <xdr:to>
      <xdr:col>0</xdr:col>
      <xdr:colOff>437287</xdr:colOff>
      <xdr:row>79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0563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79</xdr:row>
      <xdr:rowOff>0</xdr:rowOff>
    </xdr:from>
    <xdr:to>
      <xdr:col>0</xdr:col>
      <xdr:colOff>437287</xdr:colOff>
      <xdr:row>79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0563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437287</xdr:colOff>
      <xdr:row>34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5067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437287</xdr:colOff>
      <xdr:row>42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575353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18</xdr:row>
      <xdr:rowOff>0</xdr:rowOff>
    </xdr:to>
    <xdr:sp macro="" textlink="">
      <xdr:nvSpPr>
        <xdr:cNvPr id="23" name="TextBox 22"/>
        <xdr:cNvSpPr txBox="1"/>
      </xdr:nvSpPr>
      <xdr:spPr>
        <a:xfrm rot="4938974">
          <a:off x="218644" y="261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18</xdr:row>
      <xdr:rowOff>0</xdr:rowOff>
    </xdr:to>
    <xdr:sp macro="" textlink="">
      <xdr:nvSpPr>
        <xdr:cNvPr id="24" name="TextBox 23"/>
        <xdr:cNvSpPr txBox="1"/>
      </xdr:nvSpPr>
      <xdr:spPr>
        <a:xfrm rot="4938974" flipH="1">
          <a:off x="218644" y="261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17</xdr:row>
      <xdr:rowOff>79524</xdr:rowOff>
    </xdr:from>
    <xdr:to>
      <xdr:col>0</xdr:col>
      <xdr:colOff>529625</xdr:colOff>
      <xdr:row>26</xdr:row>
      <xdr:rowOff>3416</xdr:rowOff>
    </xdr:to>
    <xdr:sp macro="" textlink="">
      <xdr:nvSpPr>
        <xdr:cNvPr id="25" name="TextBox 24"/>
        <xdr:cNvSpPr txBox="1"/>
      </xdr:nvSpPr>
      <xdr:spPr>
        <a:xfrm rot="4938974" flipH="1">
          <a:off x="-379627" y="3304214"/>
          <a:ext cx="13812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93855</xdr:colOff>
      <xdr:row>49</xdr:row>
      <xdr:rowOff>79421</xdr:rowOff>
    </xdr:from>
    <xdr:to>
      <xdr:col>0</xdr:col>
      <xdr:colOff>531142</xdr:colOff>
      <xdr:row>58</xdr:row>
      <xdr:rowOff>26013</xdr:rowOff>
    </xdr:to>
    <xdr:sp macro="" textlink="">
      <xdr:nvSpPr>
        <xdr:cNvPr id="26" name="TextBox 25"/>
        <xdr:cNvSpPr txBox="1"/>
      </xdr:nvSpPr>
      <xdr:spPr>
        <a:xfrm rot="4938974" flipH="1">
          <a:off x="-389460" y="8716136"/>
          <a:ext cx="14039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93855</xdr:colOff>
      <xdr:row>65</xdr:row>
      <xdr:rowOff>79421</xdr:rowOff>
    </xdr:from>
    <xdr:to>
      <xdr:col>0</xdr:col>
      <xdr:colOff>531142</xdr:colOff>
      <xdr:row>74</xdr:row>
      <xdr:rowOff>26013</xdr:rowOff>
    </xdr:to>
    <xdr:sp macro="" textlink="">
      <xdr:nvSpPr>
        <xdr:cNvPr id="27" name="TextBox 26"/>
        <xdr:cNvSpPr txBox="1"/>
      </xdr:nvSpPr>
      <xdr:spPr>
        <a:xfrm rot="4938974" flipH="1">
          <a:off x="-389460" y="9039986"/>
          <a:ext cx="14039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68</xdr:row>
      <xdr:rowOff>0</xdr:rowOff>
    </xdr:from>
    <xdr:to>
      <xdr:col>0</xdr:col>
      <xdr:colOff>463120</xdr:colOff>
      <xdr:row>68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2849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77</xdr:row>
      <xdr:rowOff>0</xdr:rowOff>
    </xdr:from>
    <xdr:to>
      <xdr:col>0</xdr:col>
      <xdr:colOff>463120</xdr:colOff>
      <xdr:row>77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4306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437287</xdr:colOff>
      <xdr:row>77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4306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437287</xdr:colOff>
      <xdr:row>77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4306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68</xdr:row>
      <xdr:rowOff>0</xdr:rowOff>
    </xdr:from>
    <xdr:to>
      <xdr:col>0</xdr:col>
      <xdr:colOff>537855</xdr:colOff>
      <xdr:row>68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28121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68</xdr:row>
      <xdr:rowOff>0</xdr:rowOff>
    </xdr:from>
    <xdr:to>
      <xdr:col>0</xdr:col>
      <xdr:colOff>463120</xdr:colOff>
      <xdr:row>68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2849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437287</xdr:colOff>
      <xdr:row>68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2849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437287</xdr:colOff>
      <xdr:row>68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2849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437287</xdr:colOff>
      <xdr:row>68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2849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68</xdr:row>
      <xdr:rowOff>0</xdr:rowOff>
    </xdr:from>
    <xdr:to>
      <xdr:col>0</xdr:col>
      <xdr:colOff>463786</xdr:colOff>
      <xdr:row>68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2849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437287</xdr:colOff>
      <xdr:row>68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2849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437287</xdr:colOff>
      <xdr:row>68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2849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437287</xdr:colOff>
      <xdr:row>35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53915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437287</xdr:colOff>
      <xdr:row>43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60773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18</xdr:row>
      <xdr:rowOff>0</xdr:rowOff>
    </xdr:to>
    <xdr:sp macro="" textlink="">
      <xdr:nvSpPr>
        <xdr:cNvPr id="23" name="TextBox 22"/>
        <xdr:cNvSpPr txBox="1"/>
      </xdr:nvSpPr>
      <xdr:spPr>
        <a:xfrm rot="4938974">
          <a:off x="218644" y="2781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18</xdr:row>
      <xdr:rowOff>0</xdr:rowOff>
    </xdr:to>
    <xdr:sp macro="" textlink="">
      <xdr:nvSpPr>
        <xdr:cNvPr id="24" name="TextBox 23"/>
        <xdr:cNvSpPr txBox="1"/>
      </xdr:nvSpPr>
      <xdr:spPr>
        <a:xfrm rot="4938974" flipH="1">
          <a:off x="218644" y="2781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17</xdr:row>
      <xdr:rowOff>79524</xdr:rowOff>
    </xdr:from>
    <xdr:to>
      <xdr:col>0</xdr:col>
      <xdr:colOff>529625</xdr:colOff>
      <xdr:row>26</xdr:row>
      <xdr:rowOff>3416</xdr:rowOff>
    </xdr:to>
    <xdr:sp macro="" textlink="">
      <xdr:nvSpPr>
        <xdr:cNvPr id="25" name="TextBox 24"/>
        <xdr:cNvSpPr txBox="1"/>
      </xdr:nvSpPr>
      <xdr:spPr>
        <a:xfrm rot="4938974" flipH="1">
          <a:off x="-379627" y="3466139"/>
          <a:ext cx="13812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93855</xdr:colOff>
      <xdr:row>51</xdr:row>
      <xdr:rowOff>79421</xdr:rowOff>
    </xdr:from>
    <xdr:to>
      <xdr:col>0</xdr:col>
      <xdr:colOff>531142</xdr:colOff>
      <xdr:row>60</xdr:row>
      <xdr:rowOff>26013</xdr:rowOff>
    </xdr:to>
    <xdr:sp macro="" textlink="">
      <xdr:nvSpPr>
        <xdr:cNvPr id="26" name="TextBox 25"/>
        <xdr:cNvSpPr txBox="1"/>
      </xdr:nvSpPr>
      <xdr:spPr>
        <a:xfrm rot="4938974" flipH="1">
          <a:off x="-389460" y="8716136"/>
          <a:ext cx="14039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72</xdr:row>
      <xdr:rowOff>0</xdr:rowOff>
    </xdr:from>
    <xdr:to>
      <xdr:col>0</xdr:col>
      <xdr:colOff>463120</xdr:colOff>
      <xdr:row>72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10494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81</xdr:row>
      <xdr:rowOff>0</xdr:rowOff>
    </xdr:from>
    <xdr:to>
      <xdr:col>0</xdr:col>
      <xdr:colOff>463120</xdr:colOff>
      <xdr:row>81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2506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81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2506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81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2506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72</xdr:row>
      <xdr:rowOff>0</xdr:rowOff>
    </xdr:from>
    <xdr:to>
      <xdr:col>0</xdr:col>
      <xdr:colOff>537855</xdr:colOff>
      <xdr:row>72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101191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72</xdr:row>
      <xdr:rowOff>0</xdr:rowOff>
    </xdr:from>
    <xdr:to>
      <xdr:col>0</xdr:col>
      <xdr:colOff>463120</xdr:colOff>
      <xdr:row>72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10494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437287</xdr:colOff>
      <xdr:row>72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10494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437287</xdr:colOff>
      <xdr:row>72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10494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437287</xdr:colOff>
      <xdr:row>72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10494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72</xdr:row>
      <xdr:rowOff>0</xdr:rowOff>
    </xdr:from>
    <xdr:to>
      <xdr:col>0</xdr:col>
      <xdr:colOff>463786</xdr:colOff>
      <xdr:row>72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10494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437287</xdr:colOff>
      <xdr:row>72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10494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437287</xdr:colOff>
      <xdr:row>72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10494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437287</xdr:colOff>
      <xdr:row>37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55535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437287</xdr:colOff>
      <xdr:row>45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62393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437287</xdr:colOff>
      <xdr:row>19</xdr:row>
      <xdr:rowOff>0</xdr:rowOff>
    </xdr:to>
    <xdr:sp macro="" textlink="">
      <xdr:nvSpPr>
        <xdr:cNvPr id="23" name="TextBox 22"/>
        <xdr:cNvSpPr txBox="1"/>
      </xdr:nvSpPr>
      <xdr:spPr>
        <a:xfrm rot="4938974">
          <a:off x="218644" y="2781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437287</xdr:colOff>
      <xdr:row>19</xdr:row>
      <xdr:rowOff>0</xdr:rowOff>
    </xdr:to>
    <xdr:sp macro="" textlink="">
      <xdr:nvSpPr>
        <xdr:cNvPr id="24" name="TextBox 23"/>
        <xdr:cNvSpPr txBox="1"/>
      </xdr:nvSpPr>
      <xdr:spPr>
        <a:xfrm rot="4938974" flipH="1">
          <a:off x="218644" y="2781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18</xdr:row>
      <xdr:rowOff>79524</xdr:rowOff>
    </xdr:from>
    <xdr:to>
      <xdr:col>0</xdr:col>
      <xdr:colOff>529625</xdr:colOff>
      <xdr:row>27</xdr:row>
      <xdr:rowOff>3416</xdr:rowOff>
    </xdr:to>
    <xdr:sp macro="" textlink="">
      <xdr:nvSpPr>
        <xdr:cNvPr id="25" name="TextBox 24"/>
        <xdr:cNvSpPr txBox="1"/>
      </xdr:nvSpPr>
      <xdr:spPr>
        <a:xfrm rot="4938974" flipH="1">
          <a:off x="-379627" y="3466139"/>
          <a:ext cx="13812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93855</xdr:colOff>
      <xdr:row>54</xdr:row>
      <xdr:rowOff>79421</xdr:rowOff>
    </xdr:from>
    <xdr:to>
      <xdr:col>0</xdr:col>
      <xdr:colOff>531142</xdr:colOff>
      <xdr:row>63</xdr:row>
      <xdr:rowOff>26013</xdr:rowOff>
    </xdr:to>
    <xdr:sp macro="" textlink="">
      <xdr:nvSpPr>
        <xdr:cNvPr id="26" name="TextBox 25"/>
        <xdr:cNvSpPr txBox="1"/>
      </xdr:nvSpPr>
      <xdr:spPr>
        <a:xfrm rot="4938974" flipH="1">
          <a:off x="-389460" y="9039986"/>
          <a:ext cx="14039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93</xdr:row>
      <xdr:rowOff>0</xdr:rowOff>
    </xdr:from>
    <xdr:to>
      <xdr:col>0</xdr:col>
      <xdr:colOff>463120</xdr:colOff>
      <xdr:row>93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1659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102</xdr:row>
      <xdr:rowOff>0</xdr:rowOff>
    </xdr:from>
    <xdr:to>
      <xdr:col>0</xdr:col>
      <xdr:colOff>463120</xdr:colOff>
      <xdr:row>102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3116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437287</xdr:colOff>
      <xdr:row>102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3116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437287</xdr:colOff>
      <xdr:row>102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3116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93</xdr:row>
      <xdr:rowOff>0</xdr:rowOff>
    </xdr:from>
    <xdr:to>
      <xdr:col>0</xdr:col>
      <xdr:colOff>537855</xdr:colOff>
      <xdr:row>93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162151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93</xdr:row>
      <xdr:rowOff>0</xdr:rowOff>
    </xdr:from>
    <xdr:to>
      <xdr:col>0</xdr:col>
      <xdr:colOff>463120</xdr:colOff>
      <xdr:row>93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1659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437287</xdr:colOff>
      <xdr:row>93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1659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437287</xdr:colOff>
      <xdr:row>93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1659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437287</xdr:colOff>
      <xdr:row>93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1659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93</xdr:row>
      <xdr:rowOff>0</xdr:rowOff>
    </xdr:from>
    <xdr:to>
      <xdr:col>0</xdr:col>
      <xdr:colOff>463786</xdr:colOff>
      <xdr:row>93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1659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437287</xdr:colOff>
      <xdr:row>93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1659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437287</xdr:colOff>
      <xdr:row>93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1659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437287</xdr:colOff>
      <xdr:row>38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5877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437287</xdr:colOff>
      <xdr:row>46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656315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437287</xdr:colOff>
      <xdr:row>20</xdr:row>
      <xdr:rowOff>0</xdr:rowOff>
    </xdr:to>
    <xdr:sp macro="" textlink="">
      <xdr:nvSpPr>
        <xdr:cNvPr id="23" name="TextBox 22"/>
        <xdr:cNvSpPr txBox="1"/>
      </xdr:nvSpPr>
      <xdr:spPr>
        <a:xfrm rot="4938974">
          <a:off x="218644" y="2943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437287</xdr:colOff>
      <xdr:row>20</xdr:row>
      <xdr:rowOff>0</xdr:rowOff>
    </xdr:to>
    <xdr:sp macro="" textlink="">
      <xdr:nvSpPr>
        <xdr:cNvPr id="24" name="TextBox 23"/>
        <xdr:cNvSpPr txBox="1"/>
      </xdr:nvSpPr>
      <xdr:spPr>
        <a:xfrm rot="4938974" flipH="1">
          <a:off x="218644" y="2943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19</xdr:row>
      <xdr:rowOff>79524</xdr:rowOff>
    </xdr:from>
    <xdr:to>
      <xdr:col>0</xdr:col>
      <xdr:colOff>529625</xdr:colOff>
      <xdr:row>28</xdr:row>
      <xdr:rowOff>3416</xdr:rowOff>
    </xdr:to>
    <xdr:sp macro="" textlink="">
      <xdr:nvSpPr>
        <xdr:cNvPr id="25" name="TextBox 24"/>
        <xdr:cNvSpPr txBox="1"/>
      </xdr:nvSpPr>
      <xdr:spPr>
        <a:xfrm rot="4938974" flipH="1">
          <a:off x="-379627" y="3628064"/>
          <a:ext cx="13812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93855</xdr:colOff>
      <xdr:row>76</xdr:row>
      <xdr:rowOff>79421</xdr:rowOff>
    </xdr:from>
    <xdr:to>
      <xdr:col>0</xdr:col>
      <xdr:colOff>531142</xdr:colOff>
      <xdr:row>85</xdr:row>
      <xdr:rowOff>26013</xdr:rowOff>
    </xdr:to>
    <xdr:sp macro="" textlink="">
      <xdr:nvSpPr>
        <xdr:cNvPr id="26" name="TextBox 25"/>
        <xdr:cNvSpPr txBox="1"/>
      </xdr:nvSpPr>
      <xdr:spPr>
        <a:xfrm rot="4938974" flipH="1">
          <a:off x="-389460" y="9506711"/>
          <a:ext cx="14039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91772</xdr:colOff>
      <xdr:row>57</xdr:row>
      <xdr:rowOff>79562</xdr:rowOff>
    </xdr:from>
    <xdr:to>
      <xdr:col>0</xdr:col>
      <xdr:colOff>529059</xdr:colOff>
      <xdr:row>65</xdr:row>
      <xdr:rowOff>156913</xdr:rowOff>
    </xdr:to>
    <xdr:sp macro="" textlink="">
      <xdr:nvSpPr>
        <xdr:cNvPr id="27" name="TextBox 26"/>
        <xdr:cNvSpPr txBox="1"/>
      </xdr:nvSpPr>
      <xdr:spPr>
        <a:xfrm rot="4938974" flipH="1">
          <a:off x="-375960" y="9491269"/>
          <a:ext cx="13727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76</xdr:row>
      <xdr:rowOff>0</xdr:rowOff>
    </xdr:from>
    <xdr:to>
      <xdr:col>0</xdr:col>
      <xdr:colOff>463120</xdr:colOff>
      <xdr:row>76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505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85</xdr:row>
      <xdr:rowOff>0</xdr:rowOff>
    </xdr:from>
    <xdr:to>
      <xdr:col>0</xdr:col>
      <xdr:colOff>463120</xdr:colOff>
      <xdr:row>85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6516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85</xdr:row>
      <xdr:rowOff>0</xdr:rowOff>
    </xdr:from>
    <xdr:to>
      <xdr:col>0</xdr:col>
      <xdr:colOff>437287</xdr:colOff>
      <xdr:row>85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6516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85</xdr:row>
      <xdr:rowOff>0</xdr:rowOff>
    </xdr:from>
    <xdr:to>
      <xdr:col>0</xdr:col>
      <xdr:colOff>437287</xdr:colOff>
      <xdr:row>85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6516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76</xdr:row>
      <xdr:rowOff>0</xdr:rowOff>
    </xdr:from>
    <xdr:to>
      <xdr:col>0</xdr:col>
      <xdr:colOff>537855</xdr:colOff>
      <xdr:row>76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50219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76</xdr:row>
      <xdr:rowOff>0</xdr:rowOff>
    </xdr:from>
    <xdr:to>
      <xdr:col>0</xdr:col>
      <xdr:colOff>463120</xdr:colOff>
      <xdr:row>76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505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437287</xdr:colOff>
      <xdr:row>76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505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437287</xdr:colOff>
      <xdr:row>76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505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437287</xdr:colOff>
      <xdr:row>76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505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76</xdr:row>
      <xdr:rowOff>0</xdr:rowOff>
    </xdr:from>
    <xdr:to>
      <xdr:col>0</xdr:col>
      <xdr:colOff>463786</xdr:colOff>
      <xdr:row>76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505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437287</xdr:colOff>
      <xdr:row>76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505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437287</xdr:colOff>
      <xdr:row>76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505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437287</xdr:colOff>
      <xdr:row>40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60392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437287</xdr:colOff>
      <xdr:row>48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67250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437287</xdr:colOff>
      <xdr:row>21</xdr:row>
      <xdr:rowOff>0</xdr:rowOff>
    </xdr:to>
    <xdr:sp macro="" textlink="">
      <xdr:nvSpPr>
        <xdr:cNvPr id="23" name="TextBox 22"/>
        <xdr:cNvSpPr txBox="1"/>
      </xdr:nvSpPr>
      <xdr:spPr>
        <a:xfrm rot="4938974">
          <a:off x="218644" y="31055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437287</xdr:colOff>
      <xdr:row>21</xdr:row>
      <xdr:rowOff>0</xdr:rowOff>
    </xdr:to>
    <xdr:sp macro="" textlink="">
      <xdr:nvSpPr>
        <xdr:cNvPr id="24" name="TextBox 23"/>
        <xdr:cNvSpPr txBox="1"/>
      </xdr:nvSpPr>
      <xdr:spPr>
        <a:xfrm rot="4938974" flipH="1">
          <a:off x="218644" y="31055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20</xdr:row>
      <xdr:rowOff>79524</xdr:rowOff>
    </xdr:from>
    <xdr:to>
      <xdr:col>0</xdr:col>
      <xdr:colOff>529625</xdr:colOff>
      <xdr:row>29</xdr:row>
      <xdr:rowOff>3416</xdr:rowOff>
    </xdr:to>
    <xdr:sp macro="" textlink="">
      <xdr:nvSpPr>
        <xdr:cNvPr id="25" name="TextBox 24"/>
        <xdr:cNvSpPr txBox="1"/>
      </xdr:nvSpPr>
      <xdr:spPr>
        <a:xfrm rot="4938974" flipH="1">
          <a:off x="-379627" y="3789989"/>
          <a:ext cx="13812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91772</xdr:colOff>
      <xdr:row>58</xdr:row>
      <xdr:rowOff>79562</xdr:rowOff>
    </xdr:from>
    <xdr:to>
      <xdr:col>0</xdr:col>
      <xdr:colOff>529059</xdr:colOff>
      <xdr:row>66</xdr:row>
      <xdr:rowOff>156913</xdr:rowOff>
    </xdr:to>
    <xdr:sp macro="" textlink="">
      <xdr:nvSpPr>
        <xdr:cNvPr id="27" name="TextBox 26"/>
        <xdr:cNvSpPr txBox="1"/>
      </xdr:nvSpPr>
      <xdr:spPr>
        <a:xfrm rot="4938974" flipH="1">
          <a:off x="-375960" y="9977044"/>
          <a:ext cx="13727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28" zoomScaleNormal="100" workbookViewId="0">
      <selection activeCell="D42" sqref="D42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9.85546875" style="5" customWidth="1"/>
    <col min="5" max="5" width="10.5703125" style="5" customWidth="1"/>
    <col min="6" max="6" width="7" style="45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426" t="s">
        <v>114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0" s="24" customFormat="1" ht="6.75" customHeight="1" x14ac:dyDescent="0.2">
      <c r="B2" s="25"/>
      <c r="C2" s="26"/>
      <c r="D2" s="26"/>
      <c r="E2" s="27"/>
      <c r="F2" s="53"/>
      <c r="G2" s="64"/>
      <c r="H2" s="27"/>
      <c r="I2" s="27"/>
    </row>
    <row r="3" spans="1:10" ht="19.5" customHeight="1" x14ac:dyDescent="0.2">
      <c r="A3" s="38"/>
      <c r="B3" s="20" t="s">
        <v>21</v>
      </c>
      <c r="C3" s="39" t="s">
        <v>17</v>
      </c>
      <c r="D3" s="33"/>
      <c r="E3" s="12"/>
      <c r="F3" s="54"/>
      <c r="G3" s="12"/>
      <c r="H3" s="12"/>
      <c r="I3" s="12"/>
    </row>
    <row r="4" spans="1:10" ht="19.5" customHeight="1" x14ac:dyDescent="0.2">
      <c r="B4" s="20" t="s">
        <v>23</v>
      </c>
      <c r="C4" s="427">
        <v>43530</v>
      </c>
      <c r="D4" s="428"/>
      <c r="E4" s="12"/>
      <c r="F4" s="54"/>
      <c r="G4" s="12"/>
      <c r="H4" s="12"/>
      <c r="I4" s="12"/>
    </row>
    <row r="5" spans="1:10" ht="4.5" customHeight="1" x14ac:dyDescent="0.45">
      <c r="B5" s="2"/>
      <c r="C5" s="17"/>
      <c r="D5" s="17"/>
      <c r="E5" s="424"/>
      <c r="F5" s="424"/>
      <c r="G5" s="3"/>
      <c r="H5" s="4"/>
      <c r="I5" s="4"/>
    </row>
    <row r="6" spans="1:10" s="140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55"/>
    </row>
    <row r="7" spans="1:10" x14ac:dyDescent="0.2">
      <c r="B7" s="18" t="s">
        <v>25</v>
      </c>
      <c r="C7" s="19" t="s">
        <v>13</v>
      </c>
      <c r="D7" s="40"/>
      <c r="E7" s="67">
        <v>1541.52</v>
      </c>
      <c r="G7" s="56"/>
    </row>
    <row r="8" spans="1:10" x14ac:dyDescent="0.2">
      <c r="B8" s="36" t="s">
        <v>26</v>
      </c>
      <c r="C8" s="22" t="s">
        <v>24</v>
      </c>
      <c r="D8" s="41"/>
      <c r="E8" s="67">
        <v>602.47</v>
      </c>
      <c r="F8" s="59"/>
      <c r="G8" s="137"/>
      <c r="H8" s="45"/>
    </row>
    <row r="9" spans="1:10" x14ac:dyDescent="0.2">
      <c r="B9" s="36" t="s">
        <v>3</v>
      </c>
      <c r="C9" s="22" t="s">
        <v>12</v>
      </c>
      <c r="D9" s="41"/>
      <c r="E9" s="67">
        <v>1037.75</v>
      </c>
      <c r="F9" s="59"/>
      <c r="G9" s="138"/>
    </row>
    <row r="10" spans="1:10" x14ac:dyDescent="0.2">
      <c r="B10" s="13" t="s">
        <v>32</v>
      </c>
      <c r="C10" s="16" t="s">
        <v>11</v>
      </c>
      <c r="D10" s="42"/>
      <c r="E10" s="68">
        <v>977.47</v>
      </c>
    </row>
    <row r="11" spans="1:10" x14ac:dyDescent="0.2">
      <c r="B11" s="69" t="s">
        <v>26</v>
      </c>
      <c r="C11" s="73" t="s">
        <v>31</v>
      </c>
      <c r="D11" s="70"/>
      <c r="E11" s="71">
        <v>792</v>
      </c>
      <c r="G11" s="56"/>
      <c r="I11" s="139"/>
      <c r="J11" s="139"/>
    </row>
    <row r="12" spans="1:10" x14ac:dyDescent="0.2">
      <c r="B12" s="69" t="s">
        <v>48</v>
      </c>
      <c r="C12" s="73" t="s">
        <v>47</v>
      </c>
      <c r="D12" s="70"/>
      <c r="E12" s="71">
        <v>792</v>
      </c>
      <c r="G12" s="56"/>
      <c r="I12" s="139"/>
      <c r="J12" s="139"/>
    </row>
    <row r="13" spans="1:10" ht="12" customHeight="1" thickBot="1" x14ac:dyDescent="0.25">
      <c r="B13" s="72" t="s">
        <v>86</v>
      </c>
      <c r="C13" s="74" t="s">
        <v>87</v>
      </c>
      <c r="D13" s="50"/>
      <c r="E13" s="29">
        <v>790</v>
      </c>
      <c r="F13" s="57"/>
      <c r="G13" s="56"/>
      <c r="I13" s="425"/>
      <c r="J13" s="425"/>
    </row>
    <row r="14" spans="1:10" s="4" customFormat="1" ht="13.5" thickBot="1" x14ac:dyDescent="0.25">
      <c r="B14" s="46"/>
      <c r="C14" s="47"/>
      <c r="D14" s="48"/>
      <c r="E14" s="49">
        <f>SUM(E7:E13)</f>
        <v>6533.21</v>
      </c>
      <c r="F14" s="58"/>
      <c r="G14" s="65"/>
    </row>
    <row r="15" spans="1:10" ht="13.5" thickBot="1" x14ac:dyDescent="0.25">
      <c r="B15" s="75" t="s">
        <v>30</v>
      </c>
      <c r="C15" s="76" t="s">
        <v>5</v>
      </c>
      <c r="D15" s="76"/>
      <c r="E15" s="77">
        <v>1125</v>
      </c>
    </row>
    <row r="16" spans="1:10" ht="13.5" thickBot="1" x14ac:dyDescent="0.25">
      <c r="B16" s="10"/>
      <c r="C16" s="28" t="s">
        <v>0</v>
      </c>
      <c r="D16" s="28"/>
      <c r="E16" s="30">
        <f>SUM(E14:E15)</f>
        <v>7658.21</v>
      </c>
    </row>
    <row r="17" spans="1:10" x14ac:dyDescent="0.2">
      <c r="B17" s="10"/>
      <c r="C17" s="28"/>
      <c r="D17" s="28"/>
      <c r="E17" s="52"/>
    </row>
    <row r="18" spans="1:10" s="24" customFormat="1" ht="6.75" customHeight="1" x14ac:dyDescent="0.2">
      <c r="B18" s="25"/>
      <c r="C18" s="26"/>
      <c r="D18" s="26"/>
      <c r="E18" s="27"/>
      <c r="F18" s="53"/>
      <c r="G18" s="27"/>
      <c r="H18" s="27"/>
      <c r="I18" s="27"/>
    </row>
    <row r="19" spans="1:10" ht="19.5" customHeight="1" x14ac:dyDescent="0.2">
      <c r="A19" s="38"/>
      <c r="B19" s="20" t="s">
        <v>21</v>
      </c>
      <c r="C19" s="39" t="s">
        <v>38</v>
      </c>
      <c r="D19" s="33"/>
      <c r="E19" s="12"/>
      <c r="F19" s="54"/>
      <c r="G19" s="12"/>
      <c r="H19" s="12"/>
      <c r="I19" s="12"/>
    </row>
    <row r="20" spans="1:10" ht="19.5" customHeight="1" x14ac:dyDescent="0.2">
      <c r="B20" s="20" t="s">
        <v>23</v>
      </c>
      <c r="C20" s="427">
        <v>43537</v>
      </c>
      <c r="D20" s="428"/>
      <c r="E20" s="12"/>
      <c r="F20" s="54"/>
      <c r="G20" s="12"/>
      <c r="H20" s="12"/>
      <c r="I20" s="12"/>
    </row>
    <row r="21" spans="1:10" ht="4.5" customHeight="1" x14ac:dyDescent="0.45">
      <c r="B21" s="2"/>
      <c r="C21" s="17"/>
      <c r="D21" s="17"/>
      <c r="E21" s="424"/>
      <c r="F21" s="424"/>
      <c r="G21" s="3"/>
      <c r="H21" s="4"/>
      <c r="I21" s="4"/>
    </row>
    <row r="22" spans="1:10" s="140" customFormat="1" ht="13.5" thickBot="1" x14ac:dyDescent="0.25">
      <c r="B22" s="21" t="s">
        <v>22</v>
      </c>
      <c r="C22" s="44" t="s">
        <v>1</v>
      </c>
      <c r="D22" s="44"/>
      <c r="E22" s="23" t="s">
        <v>2</v>
      </c>
      <c r="F22" s="55"/>
    </row>
    <row r="23" spans="1:10" x14ac:dyDescent="0.2">
      <c r="B23" s="18" t="s">
        <v>25</v>
      </c>
      <c r="C23" s="19" t="s">
        <v>13</v>
      </c>
      <c r="D23" s="40"/>
      <c r="E23" s="67">
        <v>1541.52</v>
      </c>
      <c r="G23" s="56"/>
    </row>
    <row r="24" spans="1:10" x14ac:dyDescent="0.2">
      <c r="B24" s="36" t="s">
        <v>26</v>
      </c>
      <c r="C24" s="22" t="s">
        <v>24</v>
      </c>
      <c r="D24" s="41"/>
      <c r="E24" s="67">
        <v>702.47</v>
      </c>
      <c r="F24" s="59"/>
      <c r="G24" s="137"/>
      <c r="H24" s="45"/>
    </row>
    <row r="25" spans="1:10" x14ac:dyDescent="0.2">
      <c r="B25" s="36" t="s">
        <v>3</v>
      </c>
      <c r="C25" s="22" t="s">
        <v>12</v>
      </c>
      <c r="D25" s="41"/>
      <c r="E25" s="67">
        <v>1037.75</v>
      </c>
      <c r="F25" s="59"/>
      <c r="G25" s="138"/>
    </row>
    <row r="26" spans="1:10" x14ac:dyDescent="0.2">
      <c r="B26" s="13" t="s">
        <v>32</v>
      </c>
      <c r="C26" s="16" t="s">
        <v>11</v>
      </c>
      <c r="D26" s="42"/>
      <c r="E26" s="68">
        <v>977.47</v>
      </c>
    </row>
    <row r="27" spans="1:10" x14ac:dyDescent="0.2">
      <c r="B27" s="69" t="s">
        <v>26</v>
      </c>
      <c r="C27" s="73" t="s">
        <v>31</v>
      </c>
      <c r="D27" s="70"/>
      <c r="E27" s="71">
        <v>792</v>
      </c>
      <c r="G27" s="56"/>
      <c r="I27" s="139"/>
      <c r="J27" s="139"/>
    </row>
    <row r="28" spans="1:10" ht="12" customHeight="1" thickBot="1" x14ac:dyDescent="0.25">
      <c r="B28" s="72" t="s">
        <v>86</v>
      </c>
      <c r="C28" s="74" t="s">
        <v>87</v>
      </c>
      <c r="D28" s="50"/>
      <c r="E28" s="29">
        <v>790</v>
      </c>
      <c r="F28" s="57"/>
      <c r="G28" s="59"/>
      <c r="I28" s="425"/>
      <c r="J28" s="425"/>
    </row>
    <row r="29" spans="1:10" s="4" customFormat="1" ht="13.5" thickBot="1" x14ac:dyDescent="0.25">
      <c r="B29" s="46"/>
      <c r="C29" s="47"/>
      <c r="D29" s="48"/>
      <c r="E29" s="49">
        <f>SUM(E23:E28)</f>
        <v>5841.21</v>
      </c>
      <c r="F29" s="58"/>
      <c r="G29" s="65"/>
    </row>
    <row r="30" spans="1:10" ht="13.5" thickBot="1" x14ac:dyDescent="0.25">
      <c r="B30" s="75" t="s">
        <v>30</v>
      </c>
      <c r="C30" s="76" t="s">
        <v>5</v>
      </c>
      <c r="D30" s="76"/>
      <c r="E30" s="77">
        <v>1125</v>
      </c>
    </row>
    <row r="31" spans="1:10" ht="13.5" thickBot="1" x14ac:dyDescent="0.25">
      <c r="B31" s="10"/>
      <c r="C31" s="28" t="s">
        <v>0</v>
      </c>
      <c r="D31" s="28"/>
      <c r="E31" s="30">
        <f>SUM(E29:E30)</f>
        <v>6966.21</v>
      </c>
    </row>
    <row r="32" spans="1:10" x14ac:dyDescent="0.2">
      <c r="B32" s="10"/>
      <c r="C32" s="28"/>
      <c r="D32" s="28"/>
      <c r="E32" s="52"/>
    </row>
    <row r="33" spans="1:10" s="24" customFormat="1" ht="6.75" customHeight="1" x14ac:dyDescent="0.2">
      <c r="B33" s="25"/>
      <c r="C33" s="26"/>
      <c r="D33" s="26"/>
      <c r="E33" s="27"/>
      <c r="F33" s="53"/>
      <c r="G33" s="27"/>
      <c r="H33" s="27"/>
      <c r="I33" s="27"/>
    </row>
    <row r="34" spans="1:10" ht="19.5" customHeight="1" x14ac:dyDescent="0.2">
      <c r="A34" s="38"/>
      <c r="B34" s="20" t="s">
        <v>21</v>
      </c>
      <c r="C34" s="39" t="s">
        <v>18</v>
      </c>
      <c r="D34" s="33"/>
      <c r="E34" s="12"/>
      <c r="F34" s="54"/>
      <c r="G34" s="12"/>
      <c r="H34" s="12"/>
      <c r="I34" s="12"/>
    </row>
    <row r="35" spans="1:10" ht="19.5" customHeight="1" x14ac:dyDescent="0.2">
      <c r="B35" s="20" t="s">
        <v>23</v>
      </c>
      <c r="C35" s="428">
        <v>43544</v>
      </c>
      <c r="D35" s="428"/>
      <c r="E35" s="12"/>
      <c r="F35" s="54"/>
      <c r="G35" s="12"/>
      <c r="H35" s="12"/>
      <c r="I35" s="12"/>
    </row>
    <row r="36" spans="1:10" ht="4.5" customHeight="1" x14ac:dyDescent="0.45">
      <c r="B36" s="2"/>
      <c r="C36" s="17"/>
      <c r="D36" s="17"/>
      <c r="E36" s="424"/>
      <c r="F36" s="424"/>
      <c r="G36" s="3"/>
      <c r="H36" s="4"/>
      <c r="I36" s="4"/>
    </row>
    <row r="37" spans="1:10" s="140" customFormat="1" ht="13.5" thickBot="1" x14ac:dyDescent="0.25">
      <c r="B37" s="21" t="s">
        <v>22</v>
      </c>
      <c r="C37" s="44" t="s">
        <v>1</v>
      </c>
      <c r="D37" s="44"/>
      <c r="E37" s="23" t="s">
        <v>2</v>
      </c>
      <c r="F37" s="55"/>
    </row>
    <row r="38" spans="1:10" x14ac:dyDescent="0.2">
      <c r="B38" s="18" t="s">
        <v>25</v>
      </c>
      <c r="C38" s="19" t="s">
        <v>13</v>
      </c>
      <c r="D38" s="40"/>
      <c r="E38" s="67">
        <v>2014.52</v>
      </c>
      <c r="F38" s="59"/>
      <c r="G38" s="56"/>
    </row>
    <row r="39" spans="1:10" x14ac:dyDescent="0.2">
      <c r="B39" s="36" t="s">
        <v>26</v>
      </c>
      <c r="C39" s="22" t="s">
        <v>24</v>
      </c>
      <c r="D39" s="41"/>
      <c r="E39" s="67">
        <v>702.47</v>
      </c>
      <c r="F39" s="59"/>
      <c r="G39" s="66"/>
      <c r="H39" s="45"/>
    </row>
    <row r="40" spans="1:10" x14ac:dyDescent="0.2">
      <c r="B40" s="36" t="s">
        <v>3</v>
      </c>
      <c r="C40" s="22" t="s">
        <v>12</v>
      </c>
      <c r="D40" s="41"/>
      <c r="E40" s="67">
        <v>1037.75</v>
      </c>
      <c r="F40" s="59"/>
    </row>
    <row r="41" spans="1:10" x14ac:dyDescent="0.2">
      <c r="B41" s="13" t="s">
        <v>32</v>
      </c>
      <c r="C41" s="16" t="s">
        <v>11</v>
      </c>
      <c r="D41" s="42"/>
      <c r="E41" s="68">
        <v>977.47</v>
      </c>
    </row>
    <row r="42" spans="1:10" x14ac:dyDescent="0.2">
      <c r="B42" s="69" t="s">
        <v>75</v>
      </c>
      <c r="C42" s="73" t="s">
        <v>31</v>
      </c>
      <c r="D42" s="70"/>
      <c r="E42" s="71">
        <v>792</v>
      </c>
      <c r="G42" s="59"/>
      <c r="I42" s="139"/>
      <c r="J42" s="139"/>
    </row>
    <row r="43" spans="1:10" ht="13.5" thickBot="1" x14ac:dyDescent="0.25">
      <c r="B43" s="72" t="s">
        <v>86</v>
      </c>
      <c r="C43" s="74" t="s">
        <v>87</v>
      </c>
      <c r="D43" s="50"/>
      <c r="E43" s="29">
        <v>790</v>
      </c>
      <c r="F43" s="57"/>
      <c r="G43" s="59"/>
      <c r="I43" s="425"/>
      <c r="J43" s="425"/>
    </row>
    <row r="44" spans="1:10" s="4" customFormat="1" ht="13.5" thickBot="1" x14ac:dyDescent="0.25">
      <c r="B44" s="46"/>
      <c r="C44" s="47"/>
      <c r="D44" s="48"/>
      <c r="E44" s="49">
        <f>SUM(E38:E43)</f>
        <v>6314.21</v>
      </c>
      <c r="F44" s="58"/>
      <c r="G44" s="65"/>
    </row>
    <row r="45" spans="1:10" ht="13.5" thickBot="1" x14ac:dyDescent="0.25">
      <c r="B45" s="75" t="s">
        <v>30</v>
      </c>
      <c r="C45" s="76" t="s">
        <v>5</v>
      </c>
      <c r="D45" s="76"/>
      <c r="E45" s="77">
        <v>1125</v>
      </c>
    </row>
    <row r="46" spans="1:10" ht="13.5" thickBot="1" x14ac:dyDescent="0.25">
      <c r="B46" s="10"/>
      <c r="C46" s="28" t="s">
        <v>0</v>
      </c>
      <c r="D46" s="28"/>
      <c r="E46" s="30">
        <f>SUM(E44:E45)</f>
        <v>7439.21</v>
      </c>
    </row>
    <row r="47" spans="1:10" x14ac:dyDescent="0.2">
      <c r="B47" s="10"/>
      <c r="C47" s="28"/>
      <c r="D47" s="28"/>
      <c r="E47" s="52"/>
    </row>
    <row r="48" spans="1:10" s="24" customFormat="1" ht="6.75" customHeight="1" x14ac:dyDescent="0.2">
      <c r="B48" s="25"/>
      <c r="C48" s="26"/>
      <c r="D48" s="26"/>
      <c r="E48" s="27"/>
      <c r="F48" s="53"/>
      <c r="G48" s="27"/>
      <c r="H48" s="27"/>
      <c r="I48" s="27"/>
    </row>
    <row r="49" spans="1:10" ht="19.5" customHeight="1" x14ac:dyDescent="0.2">
      <c r="A49" s="38"/>
      <c r="B49" s="20" t="s">
        <v>21</v>
      </c>
      <c r="C49" s="39" t="s">
        <v>39</v>
      </c>
      <c r="D49" s="33"/>
      <c r="E49" s="12"/>
      <c r="F49" s="54"/>
      <c r="G49" s="12"/>
      <c r="H49" s="12"/>
      <c r="I49" s="12"/>
    </row>
    <row r="50" spans="1:10" ht="19.5" customHeight="1" x14ac:dyDescent="0.2">
      <c r="B50" s="20" t="s">
        <v>23</v>
      </c>
      <c r="C50" s="427">
        <v>43551</v>
      </c>
      <c r="D50" s="428"/>
      <c r="E50" s="12"/>
      <c r="F50" s="54"/>
      <c r="G50" s="12"/>
      <c r="H50" s="12"/>
      <c r="I50" s="12"/>
    </row>
    <row r="51" spans="1:10" ht="4.5" customHeight="1" x14ac:dyDescent="0.45">
      <c r="B51" s="2"/>
      <c r="C51" s="17"/>
      <c r="D51" s="17"/>
      <c r="E51" s="424"/>
      <c r="F51" s="424"/>
      <c r="G51" s="3"/>
      <c r="H51" s="4"/>
      <c r="I51" s="4"/>
    </row>
    <row r="52" spans="1:10" s="140" customFormat="1" ht="13.5" thickBot="1" x14ac:dyDescent="0.25">
      <c r="B52" s="21" t="s">
        <v>22</v>
      </c>
      <c r="C52" s="44" t="s">
        <v>1</v>
      </c>
      <c r="D52" s="44"/>
      <c r="E52" s="23" t="s">
        <v>2</v>
      </c>
      <c r="F52" s="55"/>
    </row>
    <row r="53" spans="1:10" x14ac:dyDescent="0.2">
      <c r="B53" s="18" t="s">
        <v>25</v>
      </c>
      <c r="C53" s="19" t="s">
        <v>13</v>
      </c>
      <c r="D53" s="40"/>
      <c r="E53" s="67">
        <v>2014.52</v>
      </c>
      <c r="F53" s="59"/>
      <c r="G53" s="56"/>
    </row>
    <row r="54" spans="1:10" x14ac:dyDescent="0.2">
      <c r="B54" s="36" t="s">
        <v>26</v>
      </c>
      <c r="C54" s="22" t="s">
        <v>24</v>
      </c>
      <c r="D54" s="41"/>
      <c r="E54" s="67">
        <v>702.47</v>
      </c>
      <c r="F54" s="59"/>
      <c r="G54" s="66"/>
      <c r="H54" s="45"/>
    </row>
    <row r="55" spans="1:10" x14ac:dyDescent="0.2">
      <c r="B55" s="36" t="s">
        <v>3</v>
      </c>
      <c r="C55" s="22" t="s">
        <v>12</v>
      </c>
      <c r="D55" s="41"/>
      <c r="E55" s="67">
        <v>1037.75</v>
      </c>
      <c r="F55" s="59"/>
    </row>
    <row r="56" spans="1:10" x14ac:dyDescent="0.2">
      <c r="B56" s="13" t="s">
        <v>32</v>
      </c>
      <c r="C56" s="16" t="s">
        <v>11</v>
      </c>
      <c r="D56" s="42"/>
      <c r="E56" s="68">
        <v>1154.71</v>
      </c>
    </row>
    <row r="57" spans="1:10" x14ac:dyDescent="0.2">
      <c r="B57" s="69" t="s">
        <v>75</v>
      </c>
      <c r="C57" s="73" t="s">
        <v>31</v>
      </c>
      <c r="D57" s="70"/>
      <c r="E57" s="71">
        <v>792</v>
      </c>
      <c r="G57" s="59"/>
      <c r="I57" s="139"/>
      <c r="J57" s="139"/>
    </row>
    <row r="58" spans="1:10" ht="13.5" thickBot="1" x14ac:dyDescent="0.25">
      <c r="B58" s="72" t="s">
        <v>26</v>
      </c>
      <c r="C58" s="74" t="s">
        <v>115</v>
      </c>
      <c r="D58" s="50"/>
      <c r="E58" s="29">
        <v>475.2</v>
      </c>
      <c r="F58" s="57"/>
      <c r="G58" s="56"/>
      <c r="I58" s="425"/>
      <c r="J58" s="425"/>
    </row>
    <row r="59" spans="1:10" s="4" customFormat="1" ht="13.5" thickBot="1" x14ac:dyDescent="0.25">
      <c r="B59" s="46"/>
      <c r="C59" s="47"/>
      <c r="D59" s="48"/>
      <c r="E59" s="49">
        <f>SUM(E53:E58)</f>
        <v>6176.65</v>
      </c>
      <c r="F59" s="58"/>
      <c r="G59" s="65"/>
    </row>
    <row r="60" spans="1:10" ht="13.5" thickBot="1" x14ac:dyDescent="0.25">
      <c r="B60" s="75" t="s">
        <v>30</v>
      </c>
      <c r="C60" s="76" t="s">
        <v>5</v>
      </c>
      <c r="D60" s="76"/>
      <c r="E60" s="77">
        <v>1125</v>
      </c>
    </row>
    <row r="61" spans="1:10" ht="13.5" thickBot="1" x14ac:dyDescent="0.25">
      <c r="B61" s="10"/>
      <c r="C61" s="28" t="s">
        <v>0</v>
      </c>
      <c r="D61" s="28"/>
      <c r="E61" s="30">
        <f>SUM(E59:E60)</f>
        <v>7301.65</v>
      </c>
    </row>
    <row r="62" spans="1:10" x14ac:dyDescent="0.2">
      <c r="B62" s="10"/>
      <c r="C62" s="28"/>
      <c r="D62" s="28"/>
      <c r="E62" s="52"/>
    </row>
    <row r="63" spans="1:10" s="6" customFormat="1" ht="13.15" customHeight="1" x14ac:dyDescent="0.2">
      <c r="A63" s="14" t="s">
        <v>6</v>
      </c>
      <c r="B63" s="15" t="s">
        <v>7</v>
      </c>
      <c r="C63" s="15"/>
      <c r="D63" s="31">
        <v>9000</v>
      </c>
      <c r="E63" s="43"/>
      <c r="F63" s="14" t="s">
        <v>34</v>
      </c>
      <c r="G63" s="15" t="s">
        <v>33</v>
      </c>
      <c r="H63" s="31">
        <v>3948.27</v>
      </c>
      <c r="I63" s="51"/>
    </row>
    <row r="64" spans="1:10" s="6" customFormat="1" ht="13.15" customHeight="1" x14ac:dyDescent="0.2">
      <c r="A64" s="14" t="s">
        <v>8</v>
      </c>
      <c r="B64" s="15" t="s">
        <v>9</v>
      </c>
      <c r="C64" s="15"/>
      <c r="D64" s="31">
        <v>311.83999999999997</v>
      </c>
      <c r="E64" s="43"/>
      <c r="F64" s="60" t="s">
        <v>41</v>
      </c>
      <c r="G64" s="15" t="s">
        <v>40</v>
      </c>
      <c r="H64" s="31">
        <v>0</v>
      </c>
      <c r="I64" s="51"/>
    </row>
    <row r="65" spans="1:9" s="6" customFormat="1" ht="13.15" customHeight="1" x14ac:dyDescent="0.2">
      <c r="A65" s="14" t="s">
        <v>27</v>
      </c>
      <c r="B65" s="15" t="s">
        <v>28</v>
      </c>
      <c r="C65" s="15"/>
      <c r="D65" s="31">
        <v>619.53</v>
      </c>
      <c r="E65" s="43"/>
      <c r="F65" s="60" t="s">
        <v>19</v>
      </c>
      <c r="G65" s="15" t="s">
        <v>20</v>
      </c>
      <c r="H65" s="31">
        <v>500</v>
      </c>
      <c r="I65" s="51"/>
    </row>
    <row r="66" spans="1:9" s="6" customFormat="1" ht="13.15" customHeight="1" x14ac:dyDescent="0.2">
      <c r="A66" s="14" t="s">
        <v>10</v>
      </c>
      <c r="B66" s="15" t="s">
        <v>35</v>
      </c>
      <c r="C66" s="31"/>
      <c r="D66" s="31">
        <v>5000</v>
      </c>
      <c r="E66" s="43"/>
      <c r="F66" s="60" t="s">
        <v>6</v>
      </c>
      <c r="G66" s="15" t="s">
        <v>42</v>
      </c>
      <c r="H66" s="31">
        <v>899</v>
      </c>
      <c r="I66" s="51"/>
    </row>
    <row r="67" spans="1:9" s="6" customFormat="1" ht="13.15" customHeight="1" x14ac:dyDescent="0.2">
      <c r="A67" s="14" t="s">
        <v>10</v>
      </c>
      <c r="B67" s="15" t="s">
        <v>36</v>
      </c>
      <c r="C67" s="31"/>
      <c r="D67" s="31">
        <v>4000</v>
      </c>
      <c r="E67" s="43"/>
      <c r="F67" s="60" t="s">
        <v>8</v>
      </c>
      <c r="G67" s="15" t="s">
        <v>14</v>
      </c>
      <c r="H67" s="31">
        <v>12000</v>
      </c>
      <c r="I67" s="51"/>
    </row>
    <row r="68" spans="1:9" s="6" customFormat="1" ht="13.15" customHeight="1" thickBot="1" x14ac:dyDescent="0.25">
      <c r="A68" s="14" t="s">
        <v>10</v>
      </c>
      <c r="B68" s="15" t="s">
        <v>37</v>
      </c>
      <c r="C68" s="31"/>
      <c r="D68" s="31">
        <v>1126.4100000000001</v>
      </c>
      <c r="E68" s="43"/>
      <c r="F68" s="61" t="s">
        <v>16</v>
      </c>
      <c r="G68" s="15" t="s">
        <v>15</v>
      </c>
      <c r="H68" s="32">
        <v>11000</v>
      </c>
      <c r="I68" s="51"/>
    </row>
    <row r="69" spans="1:9" s="6" customFormat="1" ht="13.15" customHeight="1" thickTop="1" thickBot="1" x14ac:dyDescent="0.25">
      <c r="A69" s="14"/>
      <c r="B69" s="15" t="s">
        <v>88</v>
      </c>
      <c r="C69" s="31"/>
      <c r="D69" s="31">
        <v>1000</v>
      </c>
      <c r="E69" s="43"/>
      <c r="F69" s="62"/>
      <c r="G69" s="15"/>
      <c r="H69" s="37">
        <f>SUM(H63:H68)+SUM(D63:D70)-D63</f>
        <v>40405.050000000003</v>
      </c>
      <c r="I69" s="51"/>
    </row>
    <row r="70" spans="1:9" s="6" customFormat="1" ht="13.15" customHeight="1" thickBot="1" x14ac:dyDescent="0.25">
      <c r="A70" s="14"/>
      <c r="B70" s="15"/>
      <c r="C70" s="31"/>
      <c r="D70" s="31"/>
      <c r="E70" s="31"/>
      <c r="F70" s="62"/>
      <c r="G70" s="34" t="s">
        <v>4</v>
      </c>
      <c r="H70" s="35">
        <f>E61+H69</f>
        <v>47706.700000000004</v>
      </c>
      <c r="I70" s="37"/>
    </row>
    <row r="71" spans="1:9" s="6" customFormat="1" ht="13.15" customHeight="1" x14ac:dyDescent="0.2">
      <c r="B71" s="14"/>
      <c r="C71" s="15"/>
      <c r="D71" s="8"/>
      <c r="E71" s="31"/>
      <c r="F71" s="63"/>
      <c r="G71" s="8"/>
      <c r="H71" s="8"/>
      <c r="I71" s="37"/>
    </row>
    <row r="72" spans="1:9" s="6" customFormat="1" ht="13.15" customHeight="1" x14ac:dyDescent="0.2">
      <c r="B72" s="14"/>
      <c r="C72" s="15"/>
      <c r="D72" s="7"/>
      <c r="E72" s="8"/>
      <c r="F72" s="63"/>
      <c r="G72" s="8"/>
      <c r="H72" s="8"/>
      <c r="I72" s="37"/>
    </row>
    <row r="73" spans="1:9" s="6" customFormat="1" ht="13.15" customHeight="1" x14ac:dyDescent="0.2">
      <c r="A73" s="8"/>
      <c r="B73" s="9"/>
      <c r="C73" s="8"/>
      <c r="D73" s="7"/>
      <c r="E73" s="8"/>
      <c r="F73" s="63"/>
      <c r="G73" s="8"/>
      <c r="H73" s="8"/>
      <c r="I73" s="37"/>
    </row>
    <row r="74" spans="1:9" s="6" customFormat="1" ht="13.15" customHeight="1" x14ac:dyDescent="0.2">
      <c r="A74" s="8"/>
      <c r="B74" s="9"/>
      <c r="C74" s="7"/>
      <c r="D74" s="7"/>
      <c r="E74" s="8"/>
      <c r="F74" s="63"/>
      <c r="G74" s="8"/>
      <c r="H74" s="8"/>
      <c r="I74" s="37"/>
    </row>
    <row r="75" spans="1:9" s="6" customFormat="1" ht="13.15" customHeight="1" x14ac:dyDescent="0.2">
      <c r="A75" s="8"/>
      <c r="B75" s="9"/>
      <c r="C75" s="7"/>
      <c r="D75" s="7"/>
      <c r="E75" s="8"/>
      <c r="F75" s="63"/>
      <c r="G75" s="8"/>
      <c r="H75" s="8"/>
      <c r="I75" s="37"/>
    </row>
    <row r="76" spans="1:9" s="6" customFormat="1" ht="13.15" customHeight="1" x14ac:dyDescent="0.2">
      <c r="A76" s="8"/>
      <c r="B76" s="9"/>
      <c r="C76" s="7"/>
      <c r="D76" s="7"/>
      <c r="E76" s="8"/>
      <c r="F76" s="63"/>
      <c r="G76" s="8"/>
      <c r="H76" s="8"/>
      <c r="I76" s="37"/>
    </row>
    <row r="77" spans="1:9" s="8" customFormat="1" ht="12" x14ac:dyDescent="0.2">
      <c r="B77" s="9"/>
      <c r="C77" s="7"/>
      <c r="F77" s="63"/>
    </row>
    <row r="78" spans="1:9" s="8" customFormat="1" ht="12" x14ac:dyDescent="0.2">
      <c r="B78" s="9"/>
      <c r="C78" s="7"/>
      <c r="F78" s="63"/>
    </row>
    <row r="79" spans="1:9" s="8" customFormat="1" ht="12" x14ac:dyDescent="0.2">
      <c r="B79" s="9"/>
      <c r="C79" s="7"/>
      <c r="F79" s="63"/>
    </row>
    <row r="80" spans="1:9" s="8" customFormat="1" ht="12" x14ac:dyDescent="0.2">
      <c r="B80" s="9"/>
      <c r="F80" s="63"/>
    </row>
    <row r="81" spans="1:9" s="8" customFormat="1" ht="12" x14ac:dyDescent="0.2">
      <c r="B81" s="9"/>
      <c r="F81" s="63"/>
    </row>
    <row r="82" spans="1:9" s="8" customFormat="1" ht="12" x14ac:dyDescent="0.2">
      <c r="B82" s="9"/>
      <c r="F82" s="63"/>
    </row>
    <row r="83" spans="1:9" s="8" customFormat="1" x14ac:dyDescent="0.2">
      <c r="B83" s="9"/>
      <c r="D83" s="5"/>
      <c r="F83" s="63"/>
    </row>
    <row r="84" spans="1:9" s="8" customFormat="1" x14ac:dyDescent="0.2">
      <c r="B84" s="9"/>
      <c r="D84" s="5"/>
      <c r="F84" s="45"/>
      <c r="G84" s="5"/>
      <c r="H84" s="5"/>
    </row>
    <row r="85" spans="1:9" s="8" customFormat="1" x14ac:dyDescent="0.2">
      <c r="B85" s="9"/>
      <c r="D85" s="5"/>
      <c r="E85" s="5"/>
      <c r="F85" s="45"/>
      <c r="G85" s="5"/>
      <c r="H85" s="5"/>
    </row>
    <row r="86" spans="1:9" s="8" customFormat="1" x14ac:dyDescent="0.2">
      <c r="B86" s="11"/>
      <c r="C86" s="5"/>
      <c r="D86" s="5"/>
      <c r="E86" s="5"/>
      <c r="F86" s="45"/>
      <c r="G86" s="5"/>
      <c r="H86" s="5"/>
    </row>
    <row r="87" spans="1:9" s="8" customFormat="1" x14ac:dyDescent="0.2">
      <c r="B87" s="11"/>
      <c r="C87" s="5"/>
      <c r="D87" s="5"/>
      <c r="E87" s="5"/>
      <c r="F87" s="45"/>
      <c r="G87" s="5"/>
      <c r="H87" s="5"/>
    </row>
    <row r="88" spans="1:9" s="8" customFormat="1" x14ac:dyDescent="0.2">
      <c r="B88" s="11"/>
      <c r="C88" s="5"/>
      <c r="D88" s="5"/>
      <c r="E88" s="5"/>
      <c r="F88" s="45"/>
      <c r="G88" s="5"/>
      <c r="H88" s="5"/>
    </row>
    <row r="89" spans="1:9" s="8" customFormat="1" x14ac:dyDescent="0.2">
      <c r="B89" s="11"/>
      <c r="C89" s="5"/>
      <c r="D89" s="5"/>
      <c r="E89" s="5"/>
      <c r="F89" s="45"/>
      <c r="G89" s="5"/>
      <c r="H89" s="5"/>
    </row>
    <row r="90" spans="1:9" s="8" customFormat="1" x14ac:dyDescent="0.2">
      <c r="A90" s="5"/>
      <c r="B90" s="11"/>
      <c r="C90" s="5"/>
      <c r="D90" s="5"/>
      <c r="E90" s="5"/>
      <c r="F90" s="45"/>
      <c r="G90" s="5"/>
      <c r="H90" s="5"/>
      <c r="I90" s="5"/>
    </row>
    <row r="91" spans="1:9" s="8" customFormat="1" x14ac:dyDescent="0.2">
      <c r="A91" s="5"/>
      <c r="B91" s="11"/>
      <c r="C91" s="5"/>
      <c r="D91" s="5"/>
      <c r="E91" s="5"/>
      <c r="F91" s="45"/>
      <c r="G91" s="5"/>
      <c r="H91" s="5"/>
      <c r="I91" s="5"/>
    </row>
    <row r="92" spans="1:9" s="8" customFormat="1" x14ac:dyDescent="0.2">
      <c r="A92" s="5"/>
      <c r="B92" s="11"/>
      <c r="C92" s="5"/>
      <c r="D92" s="5"/>
      <c r="E92" s="5"/>
      <c r="F92" s="45"/>
      <c r="G92" s="5"/>
      <c r="H92" s="5"/>
      <c r="I92" s="5"/>
    </row>
    <row r="93" spans="1:9" s="8" customFormat="1" x14ac:dyDescent="0.2">
      <c r="A93" s="5"/>
      <c r="B93" s="11"/>
      <c r="C93" s="5"/>
      <c r="D93" s="5"/>
      <c r="E93" s="5"/>
      <c r="F93" s="45"/>
      <c r="G93" s="5"/>
      <c r="H93" s="5"/>
      <c r="I93" s="5"/>
    </row>
  </sheetData>
  <mergeCells count="13">
    <mergeCell ref="E51:F51"/>
    <mergeCell ref="I58:J58"/>
    <mergeCell ref="A1:J1"/>
    <mergeCell ref="C4:D4"/>
    <mergeCell ref="E5:F5"/>
    <mergeCell ref="I13:J13"/>
    <mergeCell ref="C35:D35"/>
    <mergeCell ref="E36:F36"/>
    <mergeCell ref="C20:D20"/>
    <mergeCell ref="E21:F21"/>
    <mergeCell ref="I28:J28"/>
    <mergeCell ref="I43:J43"/>
    <mergeCell ref="C50:D50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opLeftCell="A13" zoomScaleNormal="100" workbookViewId="0">
      <selection activeCell="E49" sqref="E49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14.42578125" style="5" customWidth="1"/>
    <col min="5" max="5" width="10.7109375" style="5" customWidth="1"/>
    <col min="6" max="6" width="10.7109375" style="45" customWidth="1"/>
    <col min="7" max="15" width="10.7109375" style="5" customWidth="1"/>
    <col min="16" max="16" width="13.140625" style="5" customWidth="1"/>
    <col min="17" max="17" width="10.85546875" style="11" customWidth="1"/>
    <col min="18" max="18" width="10.85546875" style="5" customWidth="1"/>
    <col min="19" max="16384" width="8.85546875" style="5"/>
  </cols>
  <sheetData>
    <row r="1" spans="1:17" s="1" customFormat="1" ht="24" customHeight="1" x14ac:dyDescent="0.2">
      <c r="A1" s="426" t="s">
        <v>173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Q1" s="236"/>
    </row>
    <row r="2" spans="1:17" s="24" customFormat="1" ht="6.75" customHeight="1" x14ac:dyDescent="0.2">
      <c r="B2" s="25"/>
      <c r="C2" s="26"/>
      <c r="D2" s="26"/>
      <c r="E2" s="27"/>
      <c r="F2" s="53"/>
      <c r="G2" s="64"/>
      <c r="H2" s="64"/>
      <c r="I2" s="64"/>
      <c r="J2" s="27"/>
      <c r="K2" s="27"/>
      <c r="Q2" s="237"/>
    </row>
    <row r="3" spans="1:17" ht="19.5" customHeight="1" x14ac:dyDescent="0.2">
      <c r="A3" s="38"/>
      <c r="B3" s="20" t="s">
        <v>21</v>
      </c>
      <c r="C3" s="39" t="s">
        <v>174</v>
      </c>
      <c r="D3" s="33"/>
      <c r="E3" s="12"/>
      <c r="F3" s="54"/>
      <c r="G3" s="12"/>
      <c r="H3" s="12"/>
      <c r="I3" s="12"/>
      <c r="J3" s="12"/>
      <c r="K3" s="12"/>
    </row>
    <row r="4" spans="1:17" ht="19.5" customHeight="1" x14ac:dyDescent="0.2">
      <c r="B4" s="20" t="s">
        <v>23</v>
      </c>
      <c r="C4" s="427">
        <v>43803</v>
      </c>
      <c r="D4" s="428"/>
      <c r="E4" s="12"/>
      <c r="F4" s="54"/>
      <c r="G4" s="12"/>
      <c r="H4" s="12"/>
      <c r="I4" s="12"/>
      <c r="J4" s="12"/>
      <c r="K4" s="12"/>
    </row>
    <row r="5" spans="1:17" ht="4.5" customHeight="1" x14ac:dyDescent="0.45">
      <c r="B5" s="2"/>
      <c r="C5" s="17"/>
      <c r="D5" s="17"/>
      <c r="E5" s="424"/>
      <c r="F5" s="424"/>
      <c r="G5" s="3"/>
      <c r="H5" s="3"/>
      <c r="I5" s="3"/>
      <c r="J5" s="4"/>
      <c r="K5" s="4"/>
    </row>
    <row r="6" spans="1:17" s="140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55"/>
    </row>
    <row r="7" spans="1:17" x14ac:dyDescent="0.2">
      <c r="B7" s="18" t="s">
        <v>25</v>
      </c>
      <c r="C7" s="19" t="s">
        <v>13</v>
      </c>
      <c r="D7" s="40"/>
      <c r="E7" s="67">
        <v>2711.93</v>
      </c>
      <c r="G7" s="56"/>
      <c r="H7" s="56"/>
      <c r="I7" s="56"/>
    </row>
    <row r="8" spans="1:17" x14ac:dyDescent="0.2">
      <c r="B8" s="36" t="s">
        <v>26</v>
      </c>
      <c r="C8" s="22" t="s">
        <v>24</v>
      </c>
      <c r="D8" s="41"/>
      <c r="E8" s="67">
        <v>602.47</v>
      </c>
      <c r="F8" s="59"/>
      <c r="G8" s="137"/>
      <c r="H8" s="137"/>
      <c r="I8" s="137"/>
      <c r="J8" s="45"/>
    </row>
    <row r="9" spans="1:17" x14ac:dyDescent="0.2">
      <c r="B9" s="36" t="s">
        <v>3</v>
      </c>
      <c r="C9" s="22" t="s">
        <v>12</v>
      </c>
      <c r="D9" s="41"/>
      <c r="E9" s="67">
        <v>1037.75</v>
      </c>
      <c r="F9" s="59"/>
      <c r="G9" s="138"/>
      <c r="H9" s="138"/>
      <c r="I9" s="138"/>
    </row>
    <row r="10" spans="1:17" x14ac:dyDescent="0.2">
      <c r="B10" s="13" t="s">
        <v>32</v>
      </c>
      <c r="C10" s="16" t="s">
        <v>11</v>
      </c>
      <c r="D10" s="42"/>
      <c r="E10" s="68">
        <v>1261.05</v>
      </c>
    </row>
    <row r="11" spans="1:17" x14ac:dyDescent="0.2">
      <c r="B11" s="69" t="s">
        <v>26</v>
      </c>
      <c r="C11" s="73" t="s">
        <v>31</v>
      </c>
      <c r="D11" s="70"/>
      <c r="E11" s="71">
        <v>792</v>
      </c>
      <c r="G11" s="188" t="s">
        <v>183</v>
      </c>
      <c r="H11" s="188"/>
      <c r="I11" s="188"/>
      <c r="K11" s="223"/>
      <c r="L11" s="223"/>
    </row>
    <row r="12" spans="1:17" x14ac:dyDescent="0.2">
      <c r="B12" s="69" t="s">
        <v>86</v>
      </c>
      <c r="C12" s="73" t="s">
        <v>87</v>
      </c>
      <c r="D12" s="70"/>
      <c r="E12" s="71">
        <v>1287</v>
      </c>
      <c r="G12" s="56"/>
      <c r="H12" s="56"/>
      <c r="I12" s="56"/>
      <c r="K12" s="223"/>
      <c r="L12" s="223"/>
    </row>
    <row r="13" spans="1:17" x14ac:dyDescent="0.2">
      <c r="B13" s="69" t="s">
        <v>110</v>
      </c>
      <c r="C13" s="73" t="s">
        <v>146</v>
      </c>
      <c r="D13" s="70"/>
      <c r="E13" s="71">
        <v>1287</v>
      </c>
      <c r="G13" s="59"/>
      <c r="H13" s="59"/>
      <c r="I13" s="59"/>
      <c r="K13" s="223"/>
      <c r="L13" s="223"/>
    </row>
    <row r="14" spans="1:17" x14ac:dyDescent="0.2">
      <c r="B14" s="69" t="s">
        <v>26</v>
      </c>
      <c r="C14" s="73" t="s">
        <v>115</v>
      </c>
      <c r="D14" s="70"/>
      <c r="E14" s="71">
        <v>829.6</v>
      </c>
      <c r="G14" s="188"/>
      <c r="H14" s="188"/>
      <c r="I14" s="188"/>
      <c r="K14" s="223"/>
      <c r="L14" s="223"/>
    </row>
    <row r="15" spans="1:17" ht="13.5" thickBot="1" x14ac:dyDescent="0.25">
      <c r="B15" s="72" t="s">
        <v>149</v>
      </c>
      <c r="C15" s="74" t="s">
        <v>157</v>
      </c>
      <c r="D15" s="50"/>
      <c r="E15" s="222">
        <v>1287</v>
      </c>
      <c r="G15" s="188"/>
      <c r="H15" s="188"/>
      <c r="I15" s="188"/>
      <c r="K15" s="223"/>
      <c r="L15" s="223"/>
    </row>
    <row r="16" spans="1:17" s="4" customFormat="1" ht="13.5" thickBot="1" x14ac:dyDescent="0.25">
      <c r="B16" s="46"/>
      <c r="C16" s="47"/>
      <c r="D16" s="48"/>
      <c r="E16" s="49">
        <f>SUM(E7:E15)</f>
        <v>11095.800000000001</v>
      </c>
      <c r="F16" s="58"/>
      <c r="G16" s="65"/>
      <c r="H16" s="65"/>
      <c r="I16" s="65"/>
      <c r="Q16" s="238"/>
    </row>
    <row r="17" spans="1:17" ht="13.5" thickBot="1" x14ac:dyDescent="0.25">
      <c r="B17" s="75" t="s">
        <v>30</v>
      </c>
      <c r="C17" s="76" t="s">
        <v>5</v>
      </c>
      <c r="D17" s="76"/>
      <c r="E17" s="77">
        <v>1125</v>
      </c>
    </row>
    <row r="18" spans="1:17" ht="13.5" thickBot="1" x14ac:dyDescent="0.25">
      <c r="B18" s="10"/>
      <c r="C18" s="28" t="s">
        <v>0</v>
      </c>
      <c r="D18" s="28"/>
      <c r="E18" s="30">
        <f>SUM(E16:E17)</f>
        <v>12220.800000000001</v>
      </c>
      <c r="G18" s="5" t="s">
        <v>138</v>
      </c>
    </row>
    <row r="19" spans="1:17" x14ac:dyDescent="0.2">
      <c r="B19" s="10"/>
      <c r="C19" s="28"/>
      <c r="D19" s="28"/>
      <c r="E19" s="52"/>
    </row>
    <row r="20" spans="1:17" s="24" customFormat="1" ht="6.75" customHeight="1" x14ac:dyDescent="0.2">
      <c r="B20" s="25"/>
      <c r="C20" s="26"/>
      <c r="D20" s="26"/>
      <c r="E20" s="27"/>
      <c r="F20" s="53"/>
      <c r="G20" s="27"/>
      <c r="H20" s="27"/>
      <c r="I20" s="27"/>
      <c r="J20" s="27"/>
      <c r="K20" s="27"/>
      <c r="Q20" s="237"/>
    </row>
    <row r="21" spans="1:17" ht="19.5" customHeight="1" x14ac:dyDescent="0.2">
      <c r="A21" s="38"/>
      <c r="B21" s="20" t="s">
        <v>21</v>
      </c>
      <c r="C21" s="39" t="s">
        <v>175</v>
      </c>
      <c r="D21" s="33"/>
      <c r="E21" s="12"/>
      <c r="F21" s="54"/>
      <c r="G21" s="12"/>
      <c r="H21" s="12"/>
      <c r="I21" s="12"/>
      <c r="J21" s="12"/>
      <c r="K21" s="12"/>
    </row>
    <row r="22" spans="1:17" ht="19.5" customHeight="1" x14ac:dyDescent="0.2">
      <c r="B22" s="20" t="s">
        <v>23</v>
      </c>
      <c r="C22" s="427">
        <v>43810</v>
      </c>
      <c r="D22" s="428"/>
      <c r="E22" s="12"/>
      <c r="F22" s="54"/>
      <c r="G22" s="242"/>
      <c r="H22" s="243"/>
      <c r="I22" s="232"/>
      <c r="J22" s="232"/>
      <c r="K22" s="232"/>
      <c r="L22" s="244"/>
      <c r="M22" s="232"/>
      <c r="N22" s="232"/>
      <c r="O22" s="232"/>
      <c r="Q22" s="5"/>
    </row>
    <row r="23" spans="1:17" ht="4.5" customHeight="1" x14ac:dyDescent="0.45">
      <c r="B23" s="2"/>
      <c r="C23" s="17"/>
      <c r="D23" s="17"/>
      <c r="E23" s="241"/>
      <c r="F23" s="241"/>
      <c r="G23" s="242"/>
      <c r="H23" s="243"/>
      <c r="I23" s="232"/>
      <c r="J23" s="232"/>
      <c r="K23" s="232"/>
      <c r="L23" s="244"/>
      <c r="M23" s="232"/>
      <c r="N23" s="232"/>
      <c r="O23" s="232"/>
      <c r="Q23" s="5"/>
    </row>
    <row r="24" spans="1:17" s="140" customFormat="1" ht="34.5" thickBot="1" x14ac:dyDescent="0.25">
      <c r="B24" s="21" t="s">
        <v>22</v>
      </c>
      <c r="C24" s="44" t="s">
        <v>1</v>
      </c>
      <c r="D24" s="44"/>
      <c r="E24" s="23" t="s">
        <v>184</v>
      </c>
      <c r="F24" s="7"/>
      <c r="G24" s="242" t="s">
        <v>176</v>
      </c>
      <c r="H24" s="243" t="s">
        <v>177</v>
      </c>
      <c r="I24" s="232" t="s">
        <v>178</v>
      </c>
      <c r="J24" s="232" t="s">
        <v>179</v>
      </c>
      <c r="K24" s="244" t="s">
        <v>199</v>
      </c>
      <c r="L24" s="244" t="s">
        <v>180</v>
      </c>
      <c r="M24" s="232" t="s">
        <v>0</v>
      </c>
      <c r="N24" s="232" t="s">
        <v>181</v>
      </c>
    </row>
    <row r="25" spans="1:17" x14ac:dyDescent="0.2">
      <c r="B25" s="18" t="s">
        <v>25</v>
      </c>
      <c r="C25" s="19" t="s">
        <v>13</v>
      </c>
      <c r="D25" s="40"/>
      <c r="E25" s="248">
        <v>23139.98</v>
      </c>
      <c r="F25" s="43" t="s">
        <v>139</v>
      </c>
      <c r="G25" s="229">
        <v>85.38</v>
      </c>
      <c r="H25" s="224">
        <v>234</v>
      </c>
      <c r="I25" s="225">
        <f t="shared" ref="I25:I30" si="0">G25*40*52*0.0833*(H25/234)</f>
        <v>14793.28032</v>
      </c>
      <c r="J25" s="225">
        <f>L25*3*(H25/234)-(624-572.75)</f>
        <v>5301.53</v>
      </c>
      <c r="K25" s="225">
        <f>1125*3+1664.91-404</f>
        <v>4635.91</v>
      </c>
      <c r="L25" s="225">
        <v>1784.26</v>
      </c>
      <c r="M25" s="226">
        <f>I25+J25+L25+K25-1125*3</f>
        <v>23139.980319999999</v>
      </c>
      <c r="N25" s="11"/>
      <c r="Q25" s="5"/>
    </row>
    <row r="26" spans="1:17" x14ac:dyDescent="0.2">
      <c r="B26" s="36" t="s">
        <v>26</v>
      </c>
      <c r="C26" s="22" t="s">
        <v>24</v>
      </c>
      <c r="D26" s="41"/>
      <c r="E26" s="249">
        <v>6531.02</v>
      </c>
      <c r="F26" s="43" t="s">
        <v>139</v>
      </c>
      <c r="G26" s="229">
        <v>20.47</v>
      </c>
      <c r="H26" s="224">
        <v>234</v>
      </c>
      <c r="I26" s="225">
        <f t="shared" si="0"/>
        <v>3546.7140799999997</v>
      </c>
      <c r="J26" s="225">
        <f>L26*3*(H26/234)+50*3</f>
        <v>2557.41</v>
      </c>
      <c r="K26" s="225"/>
      <c r="L26" s="225">
        <v>802.47</v>
      </c>
      <c r="M26" s="226">
        <f>I26+J26+L26-(50*3)+(58.14*3)-400</f>
        <v>6531.0140799999999</v>
      </c>
      <c r="N26" s="11"/>
      <c r="Q26" s="5"/>
    </row>
    <row r="27" spans="1:17" x14ac:dyDescent="0.2">
      <c r="B27" s="36" t="s">
        <v>3</v>
      </c>
      <c r="C27" s="22" t="s">
        <v>12</v>
      </c>
      <c r="D27" s="41"/>
      <c r="E27" s="249">
        <v>9035.51</v>
      </c>
      <c r="F27" s="43" t="s">
        <v>139</v>
      </c>
      <c r="G27" s="229">
        <v>26.87</v>
      </c>
      <c r="H27" s="224">
        <v>234</v>
      </c>
      <c r="I27" s="225">
        <f t="shared" si="0"/>
        <v>4655.6036800000002</v>
      </c>
      <c r="J27" s="225">
        <f>L27*3*(H27/234)+50*3</f>
        <v>3263.25</v>
      </c>
      <c r="K27" s="225"/>
      <c r="L27" s="225">
        <v>1037.75</v>
      </c>
      <c r="M27" s="226">
        <f>I27+J27+L27-(50*3)+(76.3*3)</f>
        <v>9035.5036799999998</v>
      </c>
      <c r="N27" s="11"/>
      <c r="Q27" s="5"/>
    </row>
    <row r="28" spans="1:17" ht="12.75" customHeight="1" x14ac:dyDescent="0.2">
      <c r="B28" s="13" t="s">
        <v>32</v>
      </c>
      <c r="C28" s="16" t="s">
        <v>11</v>
      </c>
      <c r="D28" s="42"/>
      <c r="E28" s="250">
        <v>8069.59</v>
      </c>
      <c r="F28" s="43" t="s">
        <v>139</v>
      </c>
      <c r="G28" s="229">
        <v>23.7</v>
      </c>
      <c r="H28" s="224">
        <v>234</v>
      </c>
      <c r="I28" s="225">
        <f t="shared" si="0"/>
        <v>4106.3567999999996</v>
      </c>
      <c r="J28" s="225">
        <f>L28*3*(H28/234)+50*3</f>
        <v>3082.41</v>
      </c>
      <c r="K28" s="225"/>
      <c r="L28" s="225">
        <v>977.47</v>
      </c>
      <c r="M28" s="226">
        <f>I28+J28+L28-(100*3)+(67.78*3)</f>
        <v>8069.5767999999998</v>
      </c>
      <c r="N28" s="11"/>
      <c r="O28" s="4"/>
      <c r="Q28" s="5"/>
    </row>
    <row r="29" spans="1:17" x14ac:dyDescent="0.2">
      <c r="B29" s="69" t="s">
        <v>75</v>
      </c>
      <c r="C29" s="73" t="s">
        <v>31</v>
      </c>
      <c r="D29" s="70"/>
      <c r="E29" s="251">
        <v>6633.28</v>
      </c>
      <c r="F29" s="43" t="s">
        <v>139</v>
      </c>
      <c r="G29" s="229">
        <v>20</v>
      </c>
      <c r="H29" s="224">
        <v>234</v>
      </c>
      <c r="I29" s="225">
        <f t="shared" si="0"/>
        <v>3465.2799999999997</v>
      </c>
      <c r="J29" s="225">
        <f t="shared" ref="J29:J33" si="1">L29*3*(H29/234)</f>
        <v>2376</v>
      </c>
      <c r="K29" s="225"/>
      <c r="L29" s="225">
        <v>792</v>
      </c>
      <c r="M29" s="226">
        <f>I29+J29+L29</f>
        <v>6633.28</v>
      </c>
      <c r="N29" s="11"/>
      <c r="O29" s="235" t="s">
        <v>185</v>
      </c>
      <c r="Q29" s="5"/>
    </row>
    <row r="30" spans="1:17" x14ac:dyDescent="0.2">
      <c r="B30" s="69" t="s">
        <v>86</v>
      </c>
      <c r="C30" s="73" t="s">
        <v>87</v>
      </c>
      <c r="D30" s="70"/>
      <c r="E30" s="251">
        <v>6386.6</v>
      </c>
      <c r="F30" s="43" t="s">
        <v>139</v>
      </c>
      <c r="G30" s="229">
        <v>25</v>
      </c>
      <c r="H30" s="224">
        <f>234-O30</f>
        <v>167</v>
      </c>
      <c r="I30" s="225">
        <f t="shared" si="0"/>
        <v>3091.3555555555558</v>
      </c>
      <c r="J30" s="225">
        <f t="shared" si="1"/>
        <v>2119.6153846153848</v>
      </c>
      <c r="K30" s="225">
        <f>187.5-187.5*0.01</f>
        <v>185.625</v>
      </c>
      <c r="L30" s="225">
        <v>990</v>
      </c>
      <c r="M30" s="226">
        <f>I30+J30+L30+K30</f>
        <v>6386.5959401709406</v>
      </c>
      <c r="N30" s="239">
        <v>43479</v>
      </c>
      <c r="O30" s="233">
        <f>5+28+23+11</f>
        <v>67</v>
      </c>
      <c r="Q30" s="5"/>
    </row>
    <row r="31" spans="1:17" x14ac:dyDescent="0.2">
      <c r="B31" s="69" t="s">
        <v>110</v>
      </c>
      <c r="C31" s="73" t="s">
        <v>146</v>
      </c>
      <c r="D31" s="70"/>
      <c r="E31" s="251">
        <v>3330.25</v>
      </c>
      <c r="F31" s="43" t="s">
        <v>139</v>
      </c>
      <c r="G31" s="229">
        <v>25</v>
      </c>
      <c r="H31" s="224">
        <f>234-O31</f>
        <v>75</v>
      </c>
      <c r="I31" s="225">
        <f t="shared" ref="I31:I32" si="2">G31*40*52*0.0833*(H31/234)</f>
        <v>1388.3333333333335</v>
      </c>
      <c r="J31" s="225">
        <f t="shared" si="1"/>
        <v>951.92307692307702</v>
      </c>
      <c r="K31" s="225"/>
      <c r="L31" s="225">
        <v>990</v>
      </c>
      <c r="M31" s="226">
        <f>I31+J31+L31</f>
        <v>3330.2564102564106</v>
      </c>
      <c r="N31" s="239">
        <v>43693</v>
      </c>
      <c r="O31" s="233">
        <f>19+20+21+22+23+20+23+11</f>
        <v>159</v>
      </c>
      <c r="Q31" s="5"/>
    </row>
    <row r="32" spans="1:17" x14ac:dyDescent="0.2">
      <c r="B32" s="69" t="s">
        <v>26</v>
      </c>
      <c r="C32" s="73" t="s">
        <v>115</v>
      </c>
      <c r="D32" s="70"/>
      <c r="E32" s="251">
        <v>5210.3999999999996</v>
      </c>
      <c r="F32" s="43" t="s">
        <v>139</v>
      </c>
      <c r="G32" s="229">
        <v>20</v>
      </c>
      <c r="H32" s="224">
        <f>234-O32</f>
        <v>177</v>
      </c>
      <c r="I32" s="225">
        <f t="shared" si="2"/>
        <v>2621.1733333333332</v>
      </c>
      <c r="J32" s="225">
        <f t="shared" si="1"/>
        <v>1797.2307692307693</v>
      </c>
      <c r="K32" s="225"/>
      <c r="L32" s="225">
        <v>792</v>
      </c>
      <c r="M32" s="226">
        <f>I32+J32+L32</f>
        <v>5210.4041025641027</v>
      </c>
      <c r="N32" s="239">
        <v>43549</v>
      </c>
      <c r="O32" s="233">
        <f>19+20+16+1+1</f>
        <v>57</v>
      </c>
      <c r="Q32" s="5"/>
    </row>
    <row r="33" spans="1:19" ht="13.5" thickBot="1" x14ac:dyDescent="0.25">
      <c r="B33" s="72" t="s">
        <v>149</v>
      </c>
      <c r="C33" s="74" t="s">
        <v>157</v>
      </c>
      <c r="D33" s="50"/>
      <c r="E33" s="222">
        <v>3121.28</v>
      </c>
      <c r="F33" s="43" t="s">
        <v>139</v>
      </c>
      <c r="G33" s="229">
        <v>25</v>
      </c>
      <c r="H33" s="224">
        <f>234-O33</f>
        <v>57</v>
      </c>
      <c r="I33" s="225">
        <f>G33*40*52*0.0833*(H33/234)</f>
        <v>1055.1333333333334</v>
      </c>
      <c r="J33" s="225">
        <f t="shared" si="1"/>
        <v>723.46153846153845</v>
      </c>
      <c r="K33" s="225">
        <f>356.25-356.25*0.01</f>
        <v>352.6875</v>
      </c>
      <c r="L33" s="225">
        <v>990</v>
      </c>
      <c r="M33" s="226">
        <f>I33+J33+L33+K33</f>
        <v>3121.2823717948718</v>
      </c>
      <c r="N33" s="239">
        <v>43717</v>
      </c>
      <c r="O33" s="233">
        <f>19+20+21+22+23+20+23+22+5+2</f>
        <v>177</v>
      </c>
      <c r="Q33" s="5"/>
    </row>
    <row r="34" spans="1:19" s="4" customFormat="1" ht="13.5" thickBot="1" x14ac:dyDescent="0.25">
      <c r="B34" s="46"/>
      <c r="C34" s="47"/>
      <c r="D34" s="48"/>
      <c r="E34" s="49">
        <f>SUM(E25:E33)</f>
        <v>71457.91</v>
      </c>
      <c r="F34" s="65"/>
      <c r="G34" s="5"/>
      <c r="H34" s="5"/>
      <c r="I34" s="5"/>
      <c r="J34" s="5"/>
      <c r="K34" s="5"/>
      <c r="L34" s="5"/>
      <c r="M34" s="5"/>
      <c r="N34" s="11"/>
      <c r="O34" s="233"/>
    </row>
    <row r="35" spans="1:19" ht="13.5" thickBot="1" x14ac:dyDescent="0.25">
      <c r="B35" s="75" t="s">
        <v>30</v>
      </c>
      <c r="C35" s="76" t="s">
        <v>5</v>
      </c>
      <c r="D35" s="76"/>
      <c r="E35" s="77">
        <f>1125*4</f>
        <v>4500</v>
      </c>
      <c r="F35" s="43" t="s">
        <v>139</v>
      </c>
      <c r="N35" s="11"/>
      <c r="Q35" s="5"/>
    </row>
    <row r="36" spans="1:19" ht="13.5" thickBot="1" x14ac:dyDescent="0.25">
      <c r="B36" s="10"/>
      <c r="C36" s="28" t="s">
        <v>0</v>
      </c>
      <c r="D36" s="28"/>
      <c r="E36" s="30">
        <f>SUM(E34:E35)</f>
        <v>75957.91</v>
      </c>
      <c r="F36" s="230"/>
      <c r="N36" s="11"/>
      <c r="Q36" s="5"/>
    </row>
    <row r="37" spans="1:19" x14ac:dyDescent="0.2">
      <c r="B37" s="10"/>
      <c r="C37" s="28"/>
      <c r="D37" s="28"/>
      <c r="E37" s="52"/>
      <c r="F37" s="230"/>
      <c r="N37" s="11"/>
      <c r="Q37" s="5"/>
    </row>
    <row r="38" spans="1:19" x14ac:dyDescent="0.2">
      <c r="B38" s="10" t="s">
        <v>8</v>
      </c>
      <c r="C38" s="202" t="s">
        <v>195</v>
      </c>
      <c r="D38" s="28"/>
      <c r="E38" s="52">
        <v>12000</v>
      </c>
      <c r="F38" s="43" t="s">
        <v>139</v>
      </c>
      <c r="N38" s="11"/>
      <c r="Q38" s="5"/>
    </row>
    <row r="39" spans="1:19" x14ac:dyDescent="0.2">
      <c r="B39" s="10" t="s">
        <v>27</v>
      </c>
      <c r="C39" s="202" t="s">
        <v>196</v>
      </c>
      <c r="D39" s="28"/>
      <c r="E39" s="52">
        <v>12000</v>
      </c>
      <c r="F39" s="43" t="s">
        <v>139</v>
      </c>
      <c r="N39" s="11"/>
      <c r="Q39" s="5"/>
    </row>
    <row r="40" spans="1:19" x14ac:dyDescent="0.2">
      <c r="B40" s="10" t="s">
        <v>10</v>
      </c>
      <c r="C40" s="202" t="s">
        <v>197</v>
      </c>
      <c r="D40" s="28"/>
      <c r="E40" s="52"/>
      <c r="F40" s="230"/>
      <c r="N40" s="11"/>
      <c r="Q40" s="5"/>
    </row>
    <row r="41" spans="1:19" x14ac:dyDescent="0.2">
      <c r="B41" s="10" t="s">
        <v>6</v>
      </c>
      <c r="C41" s="202" t="s">
        <v>198</v>
      </c>
      <c r="D41" s="28"/>
      <c r="E41" s="246">
        <v>9000</v>
      </c>
      <c r="F41" s="43" t="s">
        <v>139</v>
      </c>
      <c r="N41" s="11"/>
      <c r="Q41" s="5"/>
    </row>
    <row r="42" spans="1:19" ht="13.5" thickBot="1" x14ac:dyDescent="0.25">
      <c r="B42" s="10"/>
      <c r="C42" s="202"/>
      <c r="D42" s="28"/>
      <c r="E42" s="52">
        <f>SUM(E38:E41)</f>
        <v>33000</v>
      </c>
      <c r="F42" s="43"/>
      <c r="N42" s="11"/>
      <c r="Q42" s="5"/>
    </row>
    <row r="43" spans="1:19" ht="13.5" thickBot="1" x14ac:dyDescent="0.25">
      <c r="B43" s="10"/>
      <c r="C43" s="202"/>
      <c r="D43" s="28"/>
      <c r="E43" s="245">
        <f>E42+E36</f>
        <v>108957.91</v>
      </c>
      <c r="F43" s="43"/>
      <c r="N43" s="11"/>
      <c r="Q43" s="5"/>
    </row>
    <row r="44" spans="1:19" x14ac:dyDescent="0.2">
      <c r="B44" s="10"/>
      <c r="C44" s="28"/>
      <c r="D44" s="28"/>
      <c r="E44" s="52"/>
    </row>
    <row r="45" spans="1:19" ht="6.75" customHeight="1" x14ac:dyDescent="0.2">
      <c r="A45" s="24"/>
      <c r="B45" s="25"/>
      <c r="C45" s="26"/>
      <c r="D45" s="26"/>
      <c r="E45" s="27"/>
      <c r="F45" s="53"/>
      <c r="G45" s="27"/>
      <c r="H45" s="27"/>
      <c r="I45" s="27"/>
      <c r="J45" s="27"/>
      <c r="K45" s="27"/>
      <c r="L45" s="24"/>
      <c r="M45" s="24"/>
      <c r="N45" s="24"/>
      <c r="O45" s="24"/>
      <c r="P45" s="24"/>
      <c r="Q45" s="237"/>
      <c r="R45" s="24"/>
    </row>
    <row r="46" spans="1:19" x14ac:dyDescent="0.2">
      <c r="B46" s="10"/>
      <c r="C46" s="28"/>
      <c r="D46" s="28"/>
      <c r="E46" s="52"/>
    </row>
    <row r="47" spans="1:19" ht="20.25" x14ac:dyDescent="0.3">
      <c r="A47" s="227" t="s">
        <v>182</v>
      </c>
      <c r="B47" s="10"/>
      <c r="C47" s="28"/>
      <c r="D47" s="28"/>
      <c r="E47" s="52"/>
      <c r="R47" s="5" t="s">
        <v>194</v>
      </c>
    </row>
    <row r="48" spans="1:19" x14ac:dyDescent="0.2">
      <c r="B48" s="10"/>
      <c r="C48" s="28"/>
      <c r="D48" s="28"/>
      <c r="E48" s="28"/>
      <c r="F48" s="52"/>
      <c r="G48" s="45"/>
      <c r="Q48" s="5"/>
      <c r="R48" s="11" t="s">
        <v>186</v>
      </c>
      <c r="S48" s="234">
        <f>19</f>
        <v>19</v>
      </c>
    </row>
    <row r="49" spans="1:19" x14ac:dyDescent="0.2">
      <c r="A49" s="14" t="s">
        <v>6</v>
      </c>
      <c r="B49" s="15" t="s">
        <v>7</v>
      </c>
      <c r="C49" s="15"/>
      <c r="D49" s="31">
        <v>9000</v>
      </c>
      <c r="E49" s="43" t="s">
        <v>139</v>
      </c>
      <c r="F49" s="14" t="s">
        <v>34</v>
      </c>
      <c r="G49" s="15" t="s">
        <v>33</v>
      </c>
      <c r="H49" s="15"/>
      <c r="I49" s="31">
        <v>3948.27</v>
      </c>
      <c r="J49" s="43" t="s">
        <v>139</v>
      </c>
      <c r="K49" s="6"/>
      <c r="L49" s="6"/>
      <c r="M49" s="6"/>
      <c r="N49" s="6"/>
      <c r="O49" s="6"/>
      <c r="P49" s="6"/>
      <c r="Q49" s="6"/>
      <c r="R49" s="240" t="s">
        <v>187</v>
      </c>
      <c r="S49" s="234">
        <v>20</v>
      </c>
    </row>
    <row r="50" spans="1:19" x14ac:dyDescent="0.2">
      <c r="A50" s="14" t="s">
        <v>8</v>
      </c>
      <c r="B50" s="15" t="s">
        <v>9</v>
      </c>
      <c r="C50" s="15"/>
      <c r="D50" s="31">
        <v>311.83999999999997</v>
      </c>
      <c r="E50" s="43" t="s">
        <v>139</v>
      </c>
      <c r="F50" s="60" t="s">
        <v>41</v>
      </c>
      <c r="G50" s="15" t="s">
        <v>40</v>
      </c>
      <c r="H50" s="15"/>
      <c r="I50" s="31">
        <v>0</v>
      </c>
      <c r="J50" s="51"/>
      <c r="K50" s="6"/>
      <c r="L50" s="6"/>
      <c r="M50" s="6"/>
      <c r="N50" s="6"/>
      <c r="O50" s="6"/>
      <c r="P50" s="6"/>
      <c r="Q50" s="6"/>
      <c r="R50" s="240" t="s">
        <v>188</v>
      </c>
      <c r="S50" s="234">
        <v>21</v>
      </c>
    </row>
    <row r="51" spans="1:19" s="6" customFormat="1" ht="13.15" customHeight="1" x14ac:dyDescent="0.2">
      <c r="A51" s="14" t="s">
        <v>27</v>
      </c>
      <c r="B51" s="15" t="s">
        <v>28</v>
      </c>
      <c r="C51" s="15"/>
      <c r="D51" s="31">
        <v>619.53</v>
      </c>
      <c r="E51" s="43" t="s">
        <v>139</v>
      </c>
      <c r="F51" s="60" t="s">
        <v>19</v>
      </c>
      <c r="G51" s="15" t="s">
        <v>20</v>
      </c>
      <c r="H51" s="15"/>
      <c r="I51" s="31">
        <v>500</v>
      </c>
      <c r="J51" s="43" t="s">
        <v>139</v>
      </c>
      <c r="R51" s="240" t="s">
        <v>189</v>
      </c>
      <c r="S51" s="234">
        <v>22</v>
      </c>
    </row>
    <row r="52" spans="1:19" s="6" customFormat="1" ht="13.15" customHeight="1" x14ac:dyDescent="0.2">
      <c r="A52" s="14" t="s">
        <v>10</v>
      </c>
      <c r="B52" s="15" t="s">
        <v>35</v>
      </c>
      <c r="C52" s="31"/>
      <c r="D52" s="31">
        <v>5000</v>
      </c>
      <c r="E52" s="43" t="s">
        <v>139</v>
      </c>
      <c r="F52" s="60" t="s">
        <v>6</v>
      </c>
      <c r="G52" s="15" t="s">
        <v>42</v>
      </c>
      <c r="H52" s="15"/>
      <c r="I52" s="31">
        <v>904</v>
      </c>
      <c r="J52" s="43" t="s">
        <v>139</v>
      </c>
      <c r="R52" s="240" t="s">
        <v>190</v>
      </c>
      <c r="S52" s="234">
        <v>23</v>
      </c>
    </row>
    <row r="53" spans="1:19" s="6" customFormat="1" ht="13.15" customHeight="1" x14ac:dyDescent="0.2">
      <c r="A53" s="14" t="s">
        <v>10</v>
      </c>
      <c r="B53" s="15" t="s">
        <v>36</v>
      </c>
      <c r="C53" s="31"/>
      <c r="D53" s="31">
        <v>4000</v>
      </c>
      <c r="E53" s="43" t="s">
        <v>139</v>
      </c>
      <c r="F53" s="60" t="s">
        <v>8</v>
      </c>
      <c r="G53" s="15" t="s">
        <v>14</v>
      </c>
      <c r="H53" s="15"/>
      <c r="I53" s="31">
        <v>12000</v>
      </c>
      <c r="J53" s="43" t="s">
        <v>139</v>
      </c>
      <c r="R53" s="240" t="s">
        <v>191</v>
      </c>
      <c r="S53" s="234">
        <v>20</v>
      </c>
    </row>
    <row r="54" spans="1:19" s="6" customFormat="1" ht="13.15" customHeight="1" thickBot="1" x14ac:dyDescent="0.25">
      <c r="A54" s="14" t="s">
        <v>10</v>
      </c>
      <c r="B54" s="15" t="s">
        <v>37</v>
      </c>
      <c r="C54" s="31"/>
      <c r="D54" s="31">
        <v>1126.4100000000001</v>
      </c>
      <c r="E54" s="31"/>
      <c r="F54" s="61" t="s">
        <v>16</v>
      </c>
      <c r="G54" s="15" t="s">
        <v>15</v>
      </c>
      <c r="H54" s="15"/>
      <c r="I54" s="32">
        <v>12000</v>
      </c>
      <c r="J54" s="43" t="s">
        <v>139</v>
      </c>
      <c r="R54" s="240" t="s">
        <v>192</v>
      </c>
      <c r="S54" s="234">
        <v>23</v>
      </c>
    </row>
    <row r="55" spans="1:19" s="6" customFormat="1" ht="13.15" customHeight="1" thickTop="1" x14ac:dyDescent="0.2">
      <c r="A55" s="14"/>
      <c r="B55" s="15" t="s">
        <v>88</v>
      </c>
      <c r="C55" s="31"/>
      <c r="D55" s="31">
        <v>1000</v>
      </c>
      <c r="E55" s="31"/>
      <c r="F55" s="43"/>
      <c r="G55" s="62"/>
      <c r="H55" s="15"/>
      <c r="I55" s="231">
        <f>SUM(I49:I54)+SUM(D49:D56)</f>
        <v>50410.05</v>
      </c>
      <c r="J55" s="51"/>
      <c r="R55" s="240" t="s">
        <v>193</v>
      </c>
      <c r="S55" s="234">
        <v>22</v>
      </c>
    </row>
    <row r="56" spans="1:19" s="6" customFormat="1" ht="13.15" customHeight="1" x14ac:dyDescent="0.2">
      <c r="A56" s="14"/>
      <c r="B56" s="15"/>
      <c r="C56" s="31"/>
      <c r="D56" s="31"/>
      <c r="E56" s="31"/>
      <c r="F56" s="31"/>
      <c r="G56" s="62"/>
      <c r="H56" s="34"/>
      <c r="I56" s="34"/>
      <c r="J56" s="34"/>
      <c r="K56" s="228"/>
      <c r="L56" s="37"/>
      <c r="R56" s="240"/>
      <c r="S56" s="234"/>
    </row>
    <row r="57" spans="1:19" s="6" customFormat="1" ht="13.15" customHeight="1" x14ac:dyDescent="0.2">
      <c r="B57" s="14"/>
      <c r="C57" s="15"/>
      <c r="D57" s="8"/>
      <c r="E57" s="31"/>
      <c r="F57" s="63"/>
      <c r="G57" s="8"/>
      <c r="H57" s="8"/>
      <c r="I57" s="8"/>
      <c r="J57" s="8"/>
      <c r="K57" s="37"/>
      <c r="Q57" s="240"/>
      <c r="R57" s="234"/>
    </row>
    <row r="58" spans="1:19" s="6" customFormat="1" ht="13.15" customHeight="1" x14ac:dyDescent="0.2">
      <c r="B58" s="14"/>
      <c r="C58" s="15"/>
      <c r="D58" s="7"/>
      <c r="E58" s="8"/>
      <c r="F58" s="63"/>
      <c r="G58" s="8"/>
      <c r="H58" s="8"/>
      <c r="I58" s="8"/>
      <c r="J58" s="8"/>
      <c r="K58" s="37"/>
      <c r="Q58" s="240"/>
      <c r="R58" s="234"/>
    </row>
    <row r="59" spans="1:19" s="6" customFormat="1" ht="13.15" customHeight="1" x14ac:dyDescent="0.2">
      <c r="A59" s="8"/>
      <c r="B59" s="9"/>
      <c r="C59" s="8"/>
      <c r="D59" s="7"/>
      <c r="E59" s="8"/>
      <c r="F59" s="63"/>
      <c r="G59" s="8"/>
      <c r="H59" s="8"/>
      <c r="I59" s="8"/>
      <c r="J59" s="8"/>
      <c r="K59" s="37"/>
      <c r="Q59" s="240"/>
      <c r="R59" s="234"/>
    </row>
    <row r="60" spans="1:19" s="6" customFormat="1" ht="13.15" customHeight="1" x14ac:dyDescent="0.2">
      <c r="A60" s="8"/>
      <c r="B60" s="9"/>
      <c r="C60" s="7"/>
      <c r="D60" s="7"/>
      <c r="E60" s="8"/>
      <c r="F60" s="63"/>
      <c r="G60" s="8"/>
      <c r="H60" s="8"/>
      <c r="I60" s="8"/>
      <c r="J60" s="8"/>
      <c r="K60" s="37"/>
      <c r="Q60" s="240"/>
    </row>
    <row r="61" spans="1:19" s="6" customFormat="1" ht="13.15" customHeight="1" x14ac:dyDescent="0.2">
      <c r="A61" s="8"/>
      <c r="B61" s="9"/>
      <c r="C61" s="7"/>
      <c r="D61" s="7"/>
      <c r="E61" s="8"/>
      <c r="F61" s="63"/>
      <c r="G61" s="8"/>
      <c r="H61" s="8"/>
      <c r="I61" s="8"/>
      <c r="J61" s="8"/>
      <c r="K61" s="37"/>
      <c r="Q61" s="240"/>
    </row>
    <row r="62" spans="1:19" s="6" customFormat="1" ht="13.15" customHeight="1" x14ac:dyDescent="0.2">
      <c r="A62" s="8"/>
      <c r="B62" s="9"/>
      <c r="C62" s="7"/>
      <c r="D62" s="7"/>
      <c r="E62" s="8"/>
      <c r="F62" s="63"/>
      <c r="G62" s="8"/>
      <c r="H62" s="8"/>
      <c r="I62" s="8"/>
      <c r="J62" s="8"/>
      <c r="K62" s="37"/>
      <c r="Q62" s="240"/>
    </row>
    <row r="63" spans="1:19" s="6" customFormat="1" ht="13.15" customHeight="1" x14ac:dyDescent="0.2">
      <c r="A63" s="8"/>
      <c r="B63" s="9"/>
      <c r="C63" s="7"/>
      <c r="D63" s="8"/>
      <c r="E63" s="8"/>
      <c r="F63" s="63"/>
      <c r="G63" s="8"/>
      <c r="H63" s="8"/>
      <c r="I63" s="8"/>
      <c r="J63" s="8"/>
      <c r="K63" s="8"/>
      <c r="L63" s="8"/>
      <c r="M63" s="8"/>
      <c r="N63" s="8"/>
      <c r="O63" s="8"/>
      <c r="P63" s="8"/>
      <c r="Q63" s="9"/>
      <c r="R63" s="8"/>
    </row>
    <row r="64" spans="1:19" s="6" customFormat="1" ht="13.15" customHeight="1" x14ac:dyDescent="0.2">
      <c r="A64" s="8"/>
      <c r="B64" s="9"/>
      <c r="C64" s="7"/>
      <c r="D64" s="8"/>
      <c r="E64" s="8"/>
      <c r="F64" s="63"/>
      <c r="G64" s="8"/>
      <c r="H64" s="8"/>
      <c r="I64" s="8"/>
      <c r="J64" s="8"/>
      <c r="K64" s="8"/>
      <c r="L64" s="8"/>
      <c r="M64" s="8"/>
      <c r="N64" s="8"/>
      <c r="O64" s="8"/>
      <c r="P64" s="8"/>
      <c r="Q64" s="9"/>
      <c r="R64" s="8"/>
    </row>
    <row r="65" spans="1:18" s="8" customFormat="1" ht="12" x14ac:dyDescent="0.2">
      <c r="B65" s="9"/>
      <c r="C65" s="7"/>
      <c r="F65" s="63"/>
      <c r="Q65" s="9"/>
    </row>
    <row r="66" spans="1:18" s="8" customFormat="1" ht="12" x14ac:dyDescent="0.2">
      <c r="B66" s="9"/>
      <c r="F66" s="63"/>
      <c r="Q66" s="9"/>
    </row>
    <row r="67" spans="1:18" s="8" customFormat="1" ht="12" x14ac:dyDescent="0.2">
      <c r="B67" s="9"/>
      <c r="F67" s="63"/>
      <c r="Q67" s="9"/>
    </row>
    <row r="68" spans="1:18" s="8" customFormat="1" ht="12" x14ac:dyDescent="0.2">
      <c r="B68" s="9"/>
      <c r="F68" s="63"/>
      <c r="Q68" s="9"/>
    </row>
    <row r="69" spans="1:18" s="8" customFormat="1" x14ac:dyDescent="0.2">
      <c r="B69" s="9"/>
      <c r="D69" s="5"/>
      <c r="F69" s="63"/>
      <c r="Q69" s="9"/>
    </row>
    <row r="70" spans="1:18" s="8" customFormat="1" x14ac:dyDescent="0.2">
      <c r="B70" s="9"/>
      <c r="D70" s="5"/>
      <c r="F70" s="45"/>
      <c r="G70" s="5"/>
      <c r="H70" s="5"/>
      <c r="I70" s="5"/>
      <c r="J70" s="5"/>
      <c r="Q70" s="9"/>
    </row>
    <row r="71" spans="1:18" s="8" customFormat="1" x14ac:dyDescent="0.2">
      <c r="B71" s="9"/>
      <c r="D71" s="5"/>
      <c r="E71" s="5"/>
      <c r="F71" s="45"/>
      <c r="G71" s="5"/>
      <c r="H71" s="5"/>
      <c r="I71" s="5"/>
      <c r="J71" s="5"/>
      <c r="Q71" s="9"/>
    </row>
    <row r="72" spans="1:18" s="8" customFormat="1" x14ac:dyDescent="0.2">
      <c r="B72" s="11"/>
      <c r="C72" s="5"/>
      <c r="D72" s="5"/>
      <c r="E72" s="5"/>
      <c r="F72" s="45"/>
      <c r="G72" s="5"/>
      <c r="H72" s="5"/>
      <c r="I72" s="5"/>
      <c r="J72" s="5"/>
      <c r="Q72" s="9"/>
    </row>
    <row r="73" spans="1:18" s="8" customFormat="1" x14ac:dyDescent="0.2">
      <c r="B73" s="11"/>
      <c r="C73" s="5"/>
      <c r="D73" s="5"/>
      <c r="E73" s="5"/>
      <c r="F73" s="45"/>
      <c r="G73" s="5"/>
      <c r="H73" s="5"/>
      <c r="I73" s="5"/>
      <c r="J73" s="5"/>
      <c r="Q73" s="9"/>
    </row>
    <row r="74" spans="1:18" s="8" customFormat="1" x14ac:dyDescent="0.2">
      <c r="B74" s="11"/>
      <c r="C74" s="5"/>
      <c r="D74" s="5"/>
      <c r="E74" s="5"/>
      <c r="F74" s="45"/>
      <c r="G74" s="5"/>
      <c r="H74" s="5"/>
      <c r="I74" s="5"/>
      <c r="J74" s="5"/>
      <c r="Q74" s="9"/>
    </row>
    <row r="75" spans="1:18" s="8" customFormat="1" x14ac:dyDescent="0.2">
      <c r="B75" s="11"/>
      <c r="C75" s="5"/>
      <c r="D75" s="5"/>
      <c r="E75" s="5"/>
      <c r="F75" s="45"/>
      <c r="G75" s="5"/>
      <c r="H75" s="5"/>
      <c r="I75" s="5"/>
      <c r="J75" s="5"/>
      <c r="Q75" s="9"/>
    </row>
    <row r="76" spans="1:18" s="8" customFormat="1" x14ac:dyDescent="0.2">
      <c r="A76" s="5"/>
      <c r="B76" s="11"/>
      <c r="C76" s="5"/>
      <c r="D76" s="5"/>
      <c r="E76" s="5"/>
      <c r="F76" s="45"/>
      <c r="G76" s="5"/>
      <c r="H76" s="5"/>
      <c r="I76" s="5"/>
      <c r="J76" s="5"/>
      <c r="K76" s="5"/>
      <c r="Q76" s="9"/>
    </row>
    <row r="77" spans="1:18" s="8" customFormat="1" x14ac:dyDescent="0.2">
      <c r="A77" s="5"/>
      <c r="B77" s="11"/>
      <c r="C77" s="5"/>
      <c r="D77" s="5"/>
      <c r="E77" s="5"/>
      <c r="F77" s="45"/>
      <c r="G77" s="5"/>
      <c r="H77" s="5"/>
      <c r="I77" s="5"/>
      <c r="J77" s="5"/>
      <c r="K77" s="5"/>
      <c r="Q77" s="9"/>
    </row>
    <row r="78" spans="1:18" s="8" customFormat="1" x14ac:dyDescent="0.2">
      <c r="A78" s="5"/>
      <c r="B78" s="11"/>
      <c r="C78" s="5"/>
      <c r="D78" s="5"/>
      <c r="E78" s="5"/>
      <c r="F78" s="45"/>
      <c r="G78" s="5"/>
      <c r="H78" s="5"/>
      <c r="I78" s="5"/>
      <c r="J78" s="5"/>
      <c r="K78" s="5"/>
      <c r="Q78" s="9"/>
    </row>
    <row r="79" spans="1:18" s="8" customFormat="1" x14ac:dyDescent="0.2">
      <c r="A79" s="5"/>
      <c r="B79" s="11"/>
      <c r="C79" s="5"/>
      <c r="D79" s="5"/>
      <c r="E79" s="5"/>
      <c r="F79" s="45"/>
      <c r="G79" s="5"/>
      <c r="H79" s="5"/>
      <c r="I79" s="5"/>
      <c r="J79" s="5"/>
      <c r="K79" s="5"/>
      <c r="Q79" s="9"/>
    </row>
    <row r="80" spans="1:18" s="8" customFormat="1" x14ac:dyDescent="0.2">
      <c r="A80" s="5"/>
      <c r="B80" s="11"/>
      <c r="C80" s="5"/>
      <c r="D80" s="5"/>
      <c r="E80" s="5"/>
      <c r="F80" s="45"/>
      <c r="G80" s="5"/>
      <c r="H80" s="5"/>
      <c r="I80" s="5"/>
      <c r="J80" s="5"/>
      <c r="K80" s="5"/>
      <c r="L80" s="5"/>
      <c r="M80" s="5"/>
      <c r="N80" s="5"/>
      <c r="O80" s="5"/>
      <c r="P80" s="5"/>
      <c r="Q80" s="11"/>
      <c r="R80" s="5"/>
    </row>
    <row r="81" spans="1:18" s="8" customFormat="1" x14ac:dyDescent="0.2">
      <c r="A81" s="5"/>
      <c r="B81" s="11"/>
      <c r="C81" s="5"/>
      <c r="D81" s="5"/>
      <c r="E81" s="5"/>
      <c r="F81" s="45"/>
      <c r="G81" s="5"/>
      <c r="H81" s="5"/>
      <c r="I81" s="5"/>
      <c r="J81" s="5"/>
      <c r="K81" s="5"/>
      <c r="L81" s="5"/>
      <c r="M81" s="5"/>
      <c r="N81" s="5"/>
      <c r="O81" s="5"/>
      <c r="P81" s="5"/>
      <c r="Q81" s="11"/>
      <c r="R81" s="5"/>
    </row>
  </sheetData>
  <mergeCells count="4">
    <mergeCell ref="A1:L1"/>
    <mergeCell ref="C4:D4"/>
    <mergeCell ref="E5:F5"/>
    <mergeCell ref="C22:D22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opLeftCell="A37" zoomScaleNormal="100" workbookViewId="0">
      <selection activeCell="I68" sqref="I68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14.42578125" style="5" customWidth="1"/>
    <col min="5" max="5" width="10.5703125" style="5" customWidth="1"/>
    <col min="6" max="6" width="7" style="45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426" t="s">
        <v>200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0" s="24" customFormat="1" ht="6.75" customHeight="1" x14ac:dyDescent="0.2">
      <c r="B2" s="25"/>
      <c r="C2" s="26"/>
      <c r="D2" s="26"/>
      <c r="E2" s="27"/>
      <c r="F2" s="53"/>
      <c r="G2" s="27"/>
      <c r="H2" s="27"/>
      <c r="I2" s="27"/>
    </row>
    <row r="3" spans="1:10" ht="19.5" customHeight="1" x14ac:dyDescent="0.2">
      <c r="A3" s="38"/>
      <c r="B3" s="20" t="s">
        <v>21</v>
      </c>
      <c r="C3" s="39" t="s">
        <v>203</v>
      </c>
      <c r="D3" s="33"/>
      <c r="E3" s="12"/>
      <c r="F3" s="54"/>
      <c r="G3" s="12"/>
      <c r="H3" s="12"/>
      <c r="I3" s="12"/>
    </row>
    <row r="4" spans="1:10" ht="19.5" customHeight="1" x14ac:dyDescent="0.2">
      <c r="B4" s="20" t="s">
        <v>23</v>
      </c>
      <c r="C4" s="427">
        <v>43838</v>
      </c>
      <c r="D4" s="428"/>
      <c r="E4" s="12"/>
      <c r="F4" s="54"/>
      <c r="G4" s="12"/>
      <c r="H4" s="12"/>
      <c r="I4" s="12"/>
    </row>
    <row r="5" spans="1:10" ht="4.5" customHeight="1" x14ac:dyDescent="0.45">
      <c r="B5" s="2"/>
      <c r="C5" s="17"/>
      <c r="D5" s="17"/>
      <c r="E5" s="424"/>
      <c r="F5" s="424"/>
      <c r="G5" s="3"/>
      <c r="H5" s="4"/>
      <c r="I5" s="4"/>
    </row>
    <row r="6" spans="1:10" s="140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55"/>
    </row>
    <row r="7" spans="1:10" x14ac:dyDescent="0.2">
      <c r="B7" s="18" t="s">
        <v>25</v>
      </c>
      <c r="C7" s="19" t="s">
        <v>13</v>
      </c>
      <c r="D7" s="40"/>
      <c r="E7" s="67">
        <v>3777.01</v>
      </c>
      <c r="G7" s="56"/>
    </row>
    <row r="8" spans="1:10" x14ac:dyDescent="0.2">
      <c r="B8" s="36" t="s">
        <v>26</v>
      </c>
      <c r="C8" s="22" t="s">
        <v>24</v>
      </c>
      <c r="D8" s="41"/>
      <c r="E8" s="67">
        <v>802.47</v>
      </c>
      <c r="F8" s="59"/>
      <c r="G8" s="137" t="s">
        <v>205</v>
      </c>
      <c r="H8" s="45"/>
    </row>
    <row r="9" spans="1:10" x14ac:dyDescent="0.2">
      <c r="B9" s="36" t="s">
        <v>3</v>
      </c>
      <c r="C9" s="22" t="s">
        <v>12</v>
      </c>
      <c r="D9" s="41"/>
      <c r="E9" s="67">
        <v>1037.75</v>
      </c>
      <c r="F9" s="59"/>
      <c r="G9" s="138"/>
    </row>
    <row r="10" spans="1:10" x14ac:dyDescent="0.2">
      <c r="B10" s="13" t="s">
        <v>32</v>
      </c>
      <c r="C10" s="16" t="s">
        <v>11</v>
      </c>
      <c r="D10" s="42"/>
      <c r="E10" s="68">
        <v>977.47</v>
      </c>
    </row>
    <row r="11" spans="1:10" x14ac:dyDescent="0.2">
      <c r="B11" s="69" t="s">
        <v>75</v>
      </c>
      <c r="C11" s="73" t="s">
        <v>31</v>
      </c>
      <c r="D11" s="70"/>
      <c r="E11" s="71">
        <v>792</v>
      </c>
      <c r="G11" s="56"/>
      <c r="I11" s="247"/>
      <c r="J11" s="247"/>
    </row>
    <row r="12" spans="1:10" x14ac:dyDescent="0.2">
      <c r="B12" s="69" t="s">
        <v>86</v>
      </c>
      <c r="C12" s="73" t="s">
        <v>87</v>
      </c>
      <c r="D12" s="70"/>
      <c r="E12" s="71">
        <v>890</v>
      </c>
      <c r="G12" s="56"/>
      <c r="I12" s="247"/>
      <c r="J12" s="247"/>
    </row>
    <row r="13" spans="1:10" ht="13.5" thickBot="1" x14ac:dyDescent="0.25">
      <c r="B13" s="72" t="s">
        <v>149</v>
      </c>
      <c r="C13" s="74" t="s">
        <v>157</v>
      </c>
      <c r="D13" s="50"/>
      <c r="E13" s="222">
        <v>396</v>
      </c>
      <c r="G13" s="188"/>
      <c r="I13" s="247"/>
      <c r="J13" s="247"/>
    </row>
    <row r="14" spans="1:10" s="4" customFormat="1" ht="13.5" thickBot="1" x14ac:dyDescent="0.25">
      <c r="B14" s="46"/>
      <c r="C14" s="47"/>
      <c r="D14" s="48"/>
      <c r="E14" s="49">
        <f>SUM(E7:E13)</f>
        <v>8672.7000000000007</v>
      </c>
      <c r="F14" s="58"/>
      <c r="G14" s="65"/>
    </row>
    <row r="15" spans="1:10" ht="13.5" thickBot="1" x14ac:dyDescent="0.25">
      <c r="B15" s="75" t="s">
        <v>30</v>
      </c>
      <c r="C15" s="76" t="s">
        <v>5</v>
      </c>
      <c r="D15" s="76"/>
      <c r="E15" s="77">
        <v>1125</v>
      </c>
    </row>
    <row r="16" spans="1:10" ht="13.5" thickBot="1" x14ac:dyDescent="0.25">
      <c r="B16" s="10"/>
      <c r="C16" s="28" t="s">
        <v>0</v>
      </c>
      <c r="D16" s="28"/>
      <c r="E16" s="30">
        <f>SUM(E14:E15)</f>
        <v>9797.7000000000007</v>
      </c>
    </row>
    <row r="17" spans="1:10" x14ac:dyDescent="0.2">
      <c r="B17" s="10"/>
      <c r="C17" s="28"/>
      <c r="D17" s="28"/>
      <c r="E17" s="52"/>
    </row>
    <row r="18" spans="1:10" s="24" customFormat="1" ht="6.75" customHeight="1" x14ac:dyDescent="0.2">
      <c r="B18" s="25"/>
      <c r="C18" s="26"/>
      <c r="D18" s="26"/>
      <c r="E18" s="27"/>
      <c r="F18" s="53"/>
      <c r="G18" s="27"/>
      <c r="H18" s="27"/>
      <c r="I18" s="27"/>
    </row>
    <row r="19" spans="1:10" ht="19.5" customHeight="1" x14ac:dyDescent="0.2">
      <c r="A19" s="38"/>
      <c r="B19" s="20" t="s">
        <v>21</v>
      </c>
      <c r="C19" s="39" t="s">
        <v>201</v>
      </c>
      <c r="D19" s="33"/>
      <c r="E19" s="12"/>
      <c r="F19" s="54"/>
      <c r="G19" s="12"/>
      <c r="H19" s="12"/>
      <c r="I19" s="12"/>
    </row>
    <row r="20" spans="1:10" ht="19.5" customHeight="1" x14ac:dyDescent="0.2">
      <c r="B20" s="20" t="s">
        <v>23</v>
      </c>
      <c r="C20" s="428">
        <v>43845</v>
      </c>
      <c r="D20" s="428"/>
      <c r="E20" s="12"/>
      <c r="F20" s="54"/>
      <c r="G20" s="12"/>
      <c r="H20" s="12"/>
      <c r="I20" s="12"/>
    </row>
    <row r="21" spans="1:10" ht="4.5" customHeight="1" x14ac:dyDescent="0.45">
      <c r="B21" s="2"/>
      <c r="C21" s="17"/>
      <c r="D21" s="17"/>
      <c r="E21" s="424"/>
      <c r="F21" s="424"/>
      <c r="G21" s="3"/>
      <c r="H21" s="4"/>
      <c r="I21" s="4"/>
    </row>
    <row r="22" spans="1:10" s="140" customFormat="1" ht="13.5" thickBot="1" x14ac:dyDescent="0.25">
      <c r="B22" s="21" t="s">
        <v>22</v>
      </c>
      <c r="C22" s="44" t="s">
        <v>1</v>
      </c>
      <c r="D22" s="44"/>
      <c r="E22" s="23" t="s">
        <v>2</v>
      </c>
      <c r="F22" s="55"/>
    </row>
    <row r="23" spans="1:10" x14ac:dyDescent="0.2">
      <c r="B23" s="18" t="s">
        <v>25</v>
      </c>
      <c r="C23" s="19" t="s">
        <v>13</v>
      </c>
      <c r="D23" s="40"/>
      <c r="E23" s="67">
        <v>1790.45</v>
      </c>
      <c r="F23" s="59"/>
      <c r="G23" s="56"/>
    </row>
    <row r="24" spans="1:10" x14ac:dyDescent="0.2">
      <c r="B24" s="36" t="s">
        <v>26</v>
      </c>
      <c r="C24" s="22" t="s">
        <v>24</v>
      </c>
      <c r="D24" s="41"/>
      <c r="E24" s="67">
        <v>702.47</v>
      </c>
      <c r="F24" s="59"/>
      <c r="G24" s="66"/>
      <c r="H24" s="45"/>
    </row>
    <row r="25" spans="1:10" x14ac:dyDescent="0.2">
      <c r="B25" s="36" t="s">
        <v>3</v>
      </c>
      <c r="C25" s="22" t="s">
        <v>12</v>
      </c>
      <c r="D25" s="41"/>
      <c r="E25" s="67">
        <v>1037.75</v>
      </c>
      <c r="F25" s="59"/>
    </row>
    <row r="26" spans="1:10" x14ac:dyDescent="0.2">
      <c r="B26" s="13" t="s">
        <v>32</v>
      </c>
      <c r="C26" s="16" t="s">
        <v>11</v>
      </c>
      <c r="D26" s="42"/>
      <c r="E26" s="68">
        <v>977.47</v>
      </c>
    </row>
    <row r="27" spans="1:10" x14ac:dyDescent="0.2">
      <c r="B27" s="69" t="s">
        <v>75</v>
      </c>
      <c r="C27" s="73" t="s">
        <v>31</v>
      </c>
      <c r="D27" s="70"/>
      <c r="E27" s="71">
        <v>792</v>
      </c>
      <c r="G27" s="59"/>
      <c r="I27" s="247"/>
      <c r="J27" s="247"/>
    </row>
    <row r="28" spans="1:10" x14ac:dyDescent="0.2">
      <c r="B28" s="69" t="s">
        <v>86</v>
      </c>
      <c r="C28" s="73" t="s">
        <v>87</v>
      </c>
      <c r="D28" s="70"/>
      <c r="E28" s="71">
        <v>890</v>
      </c>
      <c r="G28" s="59"/>
      <c r="I28" s="247"/>
      <c r="J28" s="247"/>
    </row>
    <row r="29" spans="1:10" ht="12" customHeight="1" thickBot="1" x14ac:dyDescent="0.25">
      <c r="B29" s="72" t="s">
        <v>149</v>
      </c>
      <c r="C29" s="74" t="s">
        <v>157</v>
      </c>
      <c r="D29" s="50"/>
      <c r="E29" s="29">
        <v>990</v>
      </c>
      <c r="F29" s="57"/>
      <c r="G29" s="188"/>
      <c r="H29" s="45"/>
      <c r="I29" s="425"/>
      <c r="J29" s="425"/>
    </row>
    <row r="30" spans="1:10" s="4" customFormat="1" ht="13.5" thickBot="1" x14ac:dyDescent="0.25">
      <c r="B30" s="46"/>
      <c r="C30" s="47"/>
      <c r="D30" s="48"/>
      <c r="E30" s="49">
        <f>SUM(E23:E29)</f>
        <v>7180.14</v>
      </c>
      <c r="F30" s="58"/>
      <c r="G30" s="65"/>
    </row>
    <row r="31" spans="1:10" ht="13.5" thickBot="1" x14ac:dyDescent="0.25">
      <c r="B31" s="75" t="s">
        <v>30</v>
      </c>
      <c r="C31" s="76" t="s">
        <v>5</v>
      </c>
      <c r="D31" s="76"/>
      <c r="E31" s="77">
        <v>1125</v>
      </c>
    </row>
    <row r="32" spans="1:10" ht="13.5" thickBot="1" x14ac:dyDescent="0.25">
      <c r="B32" s="10"/>
      <c r="C32" s="28" t="s">
        <v>0</v>
      </c>
      <c r="D32" s="28"/>
      <c r="E32" s="30">
        <f>SUM(E30:E31)</f>
        <v>8305.14</v>
      </c>
    </row>
    <row r="33" spans="1:10" x14ac:dyDescent="0.2">
      <c r="B33" s="10"/>
      <c r="C33" s="28"/>
      <c r="D33" s="28"/>
      <c r="E33" s="52"/>
    </row>
    <row r="34" spans="1:10" s="24" customFormat="1" ht="6.75" customHeight="1" x14ac:dyDescent="0.2">
      <c r="B34" s="25"/>
      <c r="C34" s="26"/>
      <c r="D34" s="26"/>
      <c r="E34" s="27"/>
      <c r="F34" s="53"/>
      <c r="G34" s="27"/>
      <c r="H34" s="27"/>
      <c r="I34" s="27"/>
    </row>
    <row r="35" spans="1:10" ht="19.5" customHeight="1" x14ac:dyDescent="0.2">
      <c r="A35" s="38"/>
      <c r="B35" s="20" t="s">
        <v>21</v>
      </c>
      <c r="C35" s="39" t="s">
        <v>202</v>
      </c>
      <c r="D35" s="33"/>
      <c r="E35" s="12"/>
      <c r="F35" s="54"/>
      <c r="G35" s="12"/>
      <c r="H35" s="12"/>
      <c r="I35" s="12"/>
    </row>
    <row r="36" spans="1:10" ht="19.5" customHeight="1" x14ac:dyDescent="0.2">
      <c r="B36" s="20" t="s">
        <v>23</v>
      </c>
      <c r="C36" s="428">
        <v>43852</v>
      </c>
      <c r="D36" s="428"/>
      <c r="E36" s="12"/>
      <c r="F36" s="54"/>
      <c r="G36" s="12"/>
      <c r="H36" s="12"/>
      <c r="I36" s="12"/>
    </row>
    <row r="37" spans="1:10" ht="4.5" customHeight="1" x14ac:dyDescent="0.45">
      <c r="B37" s="2"/>
      <c r="C37" s="17"/>
      <c r="D37" s="17"/>
      <c r="E37" s="424"/>
      <c r="F37" s="424"/>
      <c r="G37" s="3"/>
      <c r="H37" s="4"/>
      <c r="I37" s="4"/>
    </row>
    <row r="38" spans="1:10" s="140" customFormat="1" ht="13.5" thickBot="1" x14ac:dyDescent="0.25">
      <c r="B38" s="21" t="s">
        <v>22</v>
      </c>
      <c r="C38" s="44" t="s">
        <v>1</v>
      </c>
      <c r="D38" s="44"/>
      <c r="E38" s="23" t="s">
        <v>2</v>
      </c>
      <c r="F38" s="55"/>
    </row>
    <row r="39" spans="1:10" x14ac:dyDescent="0.2">
      <c r="B39" s="18" t="s">
        <v>25</v>
      </c>
      <c r="C39" s="19" t="s">
        <v>13</v>
      </c>
      <c r="D39" s="40"/>
      <c r="E39" s="67">
        <v>2583.0100000000002</v>
      </c>
      <c r="F39" s="59"/>
      <c r="G39" s="56"/>
    </row>
    <row r="40" spans="1:10" x14ac:dyDescent="0.2">
      <c r="B40" s="36" t="s">
        <v>26</v>
      </c>
      <c r="C40" s="22" t="s">
        <v>24</v>
      </c>
      <c r="D40" s="41"/>
      <c r="E40" s="67">
        <v>802.47</v>
      </c>
      <c r="F40" s="59"/>
      <c r="G40" s="66"/>
      <c r="H40" s="45"/>
    </row>
    <row r="41" spans="1:10" x14ac:dyDescent="0.2">
      <c r="B41" s="36" t="s">
        <v>3</v>
      </c>
      <c r="C41" s="22" t="s">
        <v>12</v>
      </c>
      <c r="D41" s="41"/>
      <c r="E41" s="67">
        <v>1037.75</v>
      </c>
      <c r="F41" s="59"/>
    </row>
    <row r="42" spans="1:10" x14ac:dyDescent="0.2">
      <c r="B42" s="13" t="s">
        <v>32</v>
      </c>
      <c r="C42" s="16" t="s">
        <v>11</v>
      </c>
      <c r="D42" s="42"/>
      <c r="E42" s="68">
        <v>977.47</v>
      </c>
    </row>
    <row r="43" spans="1:10" x14ac:dyDescent="0.2">
      <c r="B43" s="69" t="s">
        <v>75</v>
      </c>
      <c r="C43" s="73" t="s">
        <v>31</v>
      </c>
      <c r="D43" s="70"/>
      <c r="E43" s="71">
        <v>792</v>
      </c>
      <c r="G43" s="59"/>
      <c r="I43" s="247"/>
      <c r="J43" s="247"/>
    </row>
    <row r="44" spans="1:10" x14ac:dyDescent="0.2">
      <c r="B44" s="69" t="s">
        <v>86</v>
      </c>
      <c r="C44" s="73" t="s">
        <v>87</v>
      </c>
      <c r="D44" s="70"/>
      <c r="E44" s="71">
        <v>1187</v>
      </c>
      <c r="G44" s="59"/>
      <c r="I44" s="247"/>
      <c r="J44" s="247"/>
    </row>
    <row r="45" spans="1:10" ht="12" customHeight="1" thickBot="1" x14ac:dyDescent="0.25">
      <c r="B45" s="72" t="s">
        <v>149</v>
      </c>
      <c r="C45" s="74" t="s">
        <v>157</v>
      </c>
      <c r="D45" s="50"/>
      <c r="E45" s="29">
        <v>990</v>
      </c>
      <c r="F45" s="57"/>
      <c r="G45" s="188"/>
      <c r="H45" s="45"/>
      <c r="I45" s="425"/>
      <c r="J45" s="425"/>
    </row>
    <row r="46" spans="1:10" s="4" customFormat="1" ht="13.5" thickBot="1" x14ac:dyDescent="0.25">
      <c r="B46" s="46"/>
      <c r="C46" s="47"/>
      <c r="D46" s="48"/>
      <c r="E46" s="49">
        <f>SUM(E39:E45)</f>
        <v>8369.7000000000007</v>
      </c>
      <c r="F46" s="58"/>
      <c r="G46" s="65"/>
    </row>
    <row r="47" spans="1:10" ht="13.5" thickBot="1" x14ac:dyDescent="0.25">
      <c r="B47" s="75" t="s">
        <v>30</v>
      </c>
      <c r="C47" s="76" t="s">
        <v>5</v>
      </c>
      <c r="D47" s="76"/>
      <c r="E47" s="77">
        <v>1125</v>
      </c>
    </row>
    <row r="48" spans="1:10" ht="13.5" thickBot="1" x14ac:dyDescent="0.25">
      <c r="B48" s="10"/>
      <c r="C48" s="28" t="s">
        <v>0</v>
      </c>
      <c r="D48" s="28"/>
      <c r="E48" s="30">
        <f>SUM(E46:E47)</f>
        <v>9494.7000000000007</v>
      </c>
    </row>
    <row r="49" spans="1:10" x14ac:dyDescent="0.2">
      <c r="B49" s="10"/>
      <c r="C49" s="28"/>
      <c r="D49" s="28"/>
      <c r="E49" s="52"/>
    </row>
    <row r="50" spans="1:10" s="24" customFormat="1" ht="6.75" customHeight="1" x14ac:dyDescent="0.2">
      <c r="B50" s="25"/>
      <c r="C50" s="26"/>
      <c r="D50" s="26"/>
      <c r="E50" s="27"/>
      <c r="F50" s="53"/>
      <c r="G50" s="27"/>
      <c r="H50" s="27"/>
      <c r="I50" s="27"/>
    </row>
    <row r="51" spans="1:10" ht="19.5" customHeight="1" x14ac:dyDescent="0.2">
      <c r="A51" s="38"/>
      <c r="B51" s="20" t="s">
        <v>21</v>
      </c>
      <c r="C51" s="39" t="s">
        <v>204</v>
      </c>
      <c r="D51" s="33"/>
      <c r="E51" s="12"/>
      <c r="F51" s="54"/>
      <c r="G51" s="12"/>
      <c r="H51" s="12"/>
      <c r="I51" s="12"/>
    </row>
    <row r="52" spans="1:10" ht="19.5" customHeight="1" x14ac:dyDescent="0.2">
      <c r="B52" s="20" t="s">
        <v>23</v>
      </c>
      <c r="C52" s="428">
        <v>43859</v>
      </c>
      <c r="D52" s="428"/>
      <c r="E52" s="12"/>
      <c r="F52" s="54"/>
      <c r="G52" s="12"/>
      <c r="H52" s="12"/>
      <c r="I52" s="12"/>
    </row>
    <row r="53" spans="1:10" ht="4.5" customHeight="1" x14ac:dyDescent="0.45">
      <c r="B53" s="2"/>
      <c r="C53" s="17"/>
      <c r="D53" s="17"/>
      <c r="E53" s="424"/>
      <c r="F53" s="424"/>
      <c r="G53" s="3"/>
      <c r="H53" s="4"/>
      <c r="I53" s="4"/>
    </row>
    <row r="54" spans="1:10" s="140" customFormat="1" ht="13.5" thickBot="1" x14ac:dyDescent="0.25">
      <c r="B54" s="21" t="s">
        <v>22</v>
      </c>
      <c r="C54" s="44" t="s">
        <v>1</v>
      </c>
      <c r="D54" s="44"/>
      <c r="E54" s="23" t="s">
        <v>2</v>
      </c>
      <c r="F54" s="55"/>
    </row>
    <row r="55" spans="1:10" x14ac:dyDescent="0.2">
      <c r="B55" s="18" t="s">
        <v>25</v>
      </c>
      <c r="C55" s="19" t="s">
        <v>13</v>
      </c>
      <c r="D55" s="40"/>
      <c r="E55" s="67">
        <v>2887.01</v>
      </c>
      <c r="F55" s="59"/>
      <c r="G55" s="56"/>
    </row>
    <row r="56" spans="1:10" x14ac:dyDescent="0.2">
      <c r="B56" s="36" t="s">
        <v>26</v>
      </c>
      <c r="C56" s="22" t="s">
        <v>24</v>
      </c>
      <c r="D56" s="41"/>
      <c r="E56" s="67">
        <v>702.47</v>
      </c>
      <c r="F56" s="59"/>
      <c r="G56" s="66"/>
      <c r="H56" s="45"/>
    </row>
    <row r="57" spans="1:10" x14ac:dyDescent="0.2">
      <c r="B57" s="36" t="s">
        <v>3</v>
      </c>
      <c r="C57" s="22" t="s">
        <v>12</v>
      </c>
      <c r="D57" s="41"/>
      <c r="E57" s="67">
        <v>1037.75</v>
      </c>
      <c r="F57" s="59"/>
    </row>
    <row r="58" spans="1:10" x14ac:dyDescent="0.2">
      <c r="B58" s="13" t="s">
        <v>32</v>
      </c>
      <c r="C58" s="16" t="s">
        <v>11</v>
      </c>
      <c r="D58" s="42"/>
      <c r="E58" s="68">
        <v>977.47</v>
      </c>
    </row>
    <row r="59" spans="1:10" x14ac:dyDescent="0.2">
      <c r="B59" s="69" t="s">
        <v>75</v>
      </c>
      <c r="C59" s="73" t="s">
        <v>31</v>
      </c>
      <c r="D59" s="70"/>
      <c r="E59" s="71">
        <v>792</v>
      </c>
      <c r="G59" s="59"/>
      <c r="I59" s="247"/>
      <c r="J59" s="247"/>
    </row>
    <row r="60" spans="1:10" x14ac:dyDescent="0.2">
      <c r="B60" s="69" t="s">
        <v>86</v>
      </c>
      <c r="C60" s="73" t="s">
        <v>87</v>
      </c>
      <c r="D60" s="70"/>
      <c r="E60" s="71">
        <v>890</v>
      </c>
      <c r="G60" s="59"/>
      <c r="I60" s="247"/>
      <c r="J60" s="247"/>
    </row>
    <row r="61" spans="1:10" ht="13.5" thickBot="1" x14ac:dyDescent="0.25">
      <c r="B61" s="72" t="s">
        <v>149</v>
      </c>
      <c r="C61" s="74" t="s">
        <v>157</v>
      </c>
      <c r="D61" s="50"/>
      <c r="E61" s="222">
        <v>990</v>
      </c>
      <c r="G61" s="59"/>
      <c r="I61" s="247"/>
      <c r="J61" s="247"/>
    </row>
    <row r="62" spans="1:10" ht="13.5" thickBot="1" x14ac:dyDescent="0.25">
      <c r="B62" s="10"/>
      <c r="C62" s="28" t="s">
        <v>0</v>
      </c>
      <c r="D62" s="28"/>
      <c r="E62" s="30">
        <f>SUM(E55:E61)</f>
        <v>8276.7000000000007</v>
      </c>
    </row>
    <row r="63" spans="1:10" x14ac:dyDescent="0.2">
      <c r="B63" s="10"/>
      <c r="C63" s="28"/>
      <c r="D63" s="28"/>
      <c r="E63" s="52"/>
    </row>
    <row r="64" spans="1:10" s="6" customFormat="1" ht="13.15" customHeight="1" x14ac:dyDescent="0.2">
      <c r="A64" s="14" t="s">
        <v>6</v>
      </c>
      <c r="B64" s="15" t="s">
        <v>7</v>
      </c>
      <c r="C64" s="15"/>
      <c r="D64" s="31">
        <v>9000</v>
      </c>
      <c r="E64" s="43" t="s">
        <v>139</v>
      </c>
      <c r="F64" s="14" t="s">
        <v>34</v>
      </c>
      <c r="G64" s="15" t="s">
        <v>33</v>
      </c>
      <c r="H64" s="31">
        <v>3929.39</v>
      </c>
      <c r="I64" s="51" t="s">
        <v>139</v>
      </c>
    </row>
    <row r="65" spans="1:9" s="6" customFormat="1" ht="13.15" customHeight="1" x14ac:dyDescent="0.2">
      <c r="A65" s="14" t="s">
        <v>8</v>
      </c>
      <c r="B65" s="15" t="s">
        <v>9</v>
      </c>
      <c r="C65" s="15"/>
      <c r="D65" s="31">
        <v>311.83999999999997</v>
      </c>
      <c r="E65" s="43" t="s">
        <v>139</v>
      </c>
      <c r="F65" s="14" t="s">
        <v>34</v>
      </c>
      <c r="G65" s="15" t="s">
        <v>210</v>
      </c>
      <c r="H65" s="31">
        <v>2000</v>
      </c>
      <c r="I65" s="51" t="s">
        <v>139</v>
      </c>
    </row>
    <row r="66" spans="1:9" s="6" customFormat="1" ht="13.15" customHeight="1" x14ac:dyDescent="0.2">
      <c r="A66" s="14" t="s">
        <v>27</v>
      </c>
      <c r="B66" s="15" t="s">
        <v>28</v>
      </c>
      <c r="C66" s="15"/>
      <c r="D66" s="31">
        <v>619.53</v>
      </c>
      <c r="E66" s="43" t="s">
        <v>139</v>
      </c>
      <c r="F66" s="60" t="s">
        <v>19</v>
      </c>
      <c r="G66" s="15" t="s">
        <v>20</v>
      </c>
      <c r="H66" s="31">
        <v>500</v>
      </c>
      <c r="I66" s="51" t="s">
        <v>139</v>
      </c>
    </row>
    <row r="67" spans="1:9" s="6" customFormat="1" ht="13.15" customHeight="1" x14ac:dyDescent="0.2">
      <c r="A67" s="14" t="s">
        <v>10</v>
      </c>
      <c r="B67" s="15" t="s">
        <v>35</v>
      </c>
      <c r="C67" s="31"/>
      <c r="D67" s="31">
        <v>5000</v>
      </c>
      <c r="E67" s="43" t="s">
        <v>139</v>
      </c>
      <c r="F67" s="60" t="s">
        <v>6</v>
      </c>
      <c r="G67" s="15" t="s">
        <v>42</v>
      </c>
      <c r="H67" s="31">
        <v>904</v>
      </c>
      <c r="I67" s="51" t="s">
        <v>139</v>
      </c>
    </row>
    <row r="68" spans="1:9" s="6" customFormat="1" ht="13.15" customHeight="1" x14ac:dyDescent="0.2">
      <c r="A68" s="14" t="s">
        <v>10</v>
      </c>
      <c r="B68" s="15" t="s">
        <v>36</v>
      </c>
      <c r="C68" s="31"/>
      <c r="D68" s="31">
        <v>4000</v>
      </c>
      <c r="E68" s="43" t="s">
        <v>139</v>
      </c>
      <c r="F68" s="60" t="s">
        <v>8</v>
      </c>
      <c r="G68" s="15" t="s">
        <v>14</v>
      </c>
      <c r="H68" s="31">
        <v>12000</v>
      </c>
      <c r="I68" s="51" t="s">
        <v>139</v>
      </c>
    </row>
    <row r="69" spans="1:9" s="6" customFormat="1" ht="13.15" customHeight="1" thickBot="1" x14ac:dyDescent="0.25">
      <c r="A69" s="14" t="s">
        <v>10</v>
      </c>
      <c r="B69" s="15" t="s">
        <v>37</v>
      </c>
      <c r="C69" s="31"/>
      <c r="D69" s="31">
        <v>1126.4100000000001</v>
      </c>
      <c r="E69" s="43"/>
      <c r="F69" s="61" t="s">
        <v>16</v>
      </c>
      <c r="G69" s="15" t="s">
        <v>15</v>
      </c>
      <c r="H69" s="32">
        <v>12000</v>
      </c>
      <c r="I69" s="51" t="s">
        <v>139</v>
      </c>
    </row>
    <row r="70" spans="1:9" s="6" customFormat="1" ht="13.15" customHeight="1" thickTop="1" thickBot="1" x14ac:dyDescent="0.25">
      <c r="A70" s="14"/>
      <c r="B70" s="15"/>
      <c r="C70" s="31"/>
      <c r="D70" s="31"/>
      <c r="E70" s="43"/>
      <c r="F70" s="62"/>
      <c r="G70" s="15"/>
      <c r="H70" s="37">
        <f>SUM(H64:H69)+SUM(D64:D71)</f>
        <v>51391.17</v>
      </c>
      <c r="I70" s="51"/>
    </row>
    <row r="71" spans="1:9" s="6" customFormat="1" ht="13.15" customHeight="1" thickBot="1" x14ac:dyDescent="0.25">
      <c r="A71" s="14"/>
      <c r="B71" s="15"/>
      <c r="C71" s="31"/>
      <c r="D71" s="31"/>
      <c r="E71" s="31"/>
      <c r="F71" s="62"/>
      <c r="G71" s="34" t="s">
        <v>4</v>
      </c>
      <c r="H71" s="35">
        <f>E62+H70</f>
        <v>59667.869999999995</v>
      </c>
      <c r="I71" s="37"/>
    </row>
    <row r="72" spans="1:9" s="6" customFormat="1" ht="13.15" customHeight="1" x14ac:dyDescent="0.2">
      <c r="B72" s="14"/>
      <c r="C72" s="15"/>
      <c r="D72" s="8"/>
      <c r="E72" s="31"/>
      <c r="F72" s="63"/>
      <c r="G72" s="8"/>
      <c r="H72" s="8"/>
      <c r="I72" s="37"/>
    </row>
    <row r="73" spans="1:9" s="6" customFormat="1" ht="13.15" customHeight="1" x14ac:dyDescent="0.2">
      <c r="B73" s="14"/>
      <c r="C73" s="15"/>
      <c r="D73" s="7"/>
      <c r="E73" s="8"/>
      <c r="F73" s="63"/>
      <c r="G73" s="8"/>
      <c r="H73" s="8"/>
      <c r="I73" s="37"/>
    </row>
    <row r="74" spans="1:9" s="6" customFormat="1" ht="13.15" customHeight="1" x14ac:dyDescent="0.2">
      <c r="A74" s="8"/>
      <c r="B74" s="9"/>
      <c r="C74" s="8"/>
      <c r="D74" s="7"/>
      <c r="E74" s="8"/>
      <c r="F74" s="63"/>
      <c r="G74" s="8"/>
      <c r="H74" s="8"/>
      <c r="I74" s="37"/>
    </row>
    <row r="75" spans="1:9" s="6" customFormat="1" ht="13.15" customHeight="1" x14ac:dyDescent="0.2">
      <c r="A75" s="8"/>
      <c r="B75" s="9"/>
      <c r="C75" s="7"/>
      <c r="D75" s="7"/>
      <c r="E75" s="8"/>
      <c r="F75" s="63"/>
      <c r="G75" s="8"/>
      <c r="H75" s="8"/>
      <c r="I75" s="37"/>
    </row>
    <row r="76" spans="1:9" s="6" customFormat="1" ht="13.15" customHeight="1" x14ac:dyDescent="0.2">
      <c r="A76" s="8"/>
      <c r="B76" s="9"/>
      <c r="C76" s="7"/>
      <c r="D76" s="7"/>
      <c r="E76" s="8"/>
      <c r="F76" s="63"/>
      <c r="G76" s="8"/>
      <c r="H76" s="8"/>
      <c r="I76" s="37"/>
    </row>
    <row r="77" spans="1:9" s="6" customFormat="1" ht="13.15" customHeight="1" x14ac:dyDescent="0.2">
      <c r="A77" s="8"/>
      <c r="B77" s="9"/>
      <c r="C77" s="7"/>
      <c r="D77" s="7"/>
      <c r="E77" s="8"/>
      <c r="F77" s="63"/>
      <c r="G77" s="8"/>
      <c r="H77" s="8"/>
      <c r="I77" s="37"/>
    </row>
    <row r="78" spans="1:9" s="8" customFormat="1" ht="12" x14ac:dyDescent="0.2">
      <c r="B78" s="9"/>
      <c r="C78" s="7"/>
      <c r="F78" s="63"/>
    </row>
    <row r="79" spans="1:9" s="8" customFormat="1" ht="12" x14ac:dyDescent="0.2">
      <c r="B79" s="9"/>
      <c r="C79" s="7"/>
      <c r="F79" s="63"/>
    </row>
    <row r="80" spans="1:9" s="8" customFormat="1" ht="12" x14ac:dyDescent="0.2">
      <c r="B80" s="9"/>
      <c r="C80" s="7"/>
      <c r="F80" s="63"/>
    </row>
    <row r="81" spans="1:9" s="8" customFormat="1" ht="12" x14ac:dyDescent="0.2">
      <c r="B81" s="9"/>
      <c r="F81" s="63"/>
    </row>
    <row r="82" spans="1:9" s="8" customFormat="1" ht="12" x14ac:dyDescent="0.2">
      <c r="B82" s="9"/>
      <c r="F82" s="63"/>
    </row>
    <row r="83" spans="1:9" s="8" customFormat="1" ht="12" x14ac:dyDescent="0.2">
      <c r="B83" s="9"/>
      <c r="F83" s="63"/>
    </row>
    <row r="84" spans="1:9" s="8" customFormat="1" x14ac:dyDescent="0.2">
      <c r="B84" s="9"/>
      <c r="D84" s="5"/>
      <c r="F84" s="63"/>
    </row>
    <row r="85" spans="1:9" s="8" customFormat="1" x14ac:dyDescent="0.2">
      <c r="B85" s="9"/>
      <c r="D85" s="5"/>
      <c r="F85" s="45"/>
      <c r="G85" s="5"/>
      <c r="H85" s="5"/>
    </row>
    <row r="86" spans="1:9" s="8" customFormat="1" x14ac:dyDescent="0.2">
      <c r="B86" s="9"/>
      <c r="D86" s="5"/>
      <c r="E86" s="5"/>
      <c r="F86" s="45"/>
      <c r="G86" s="5"/>
      <c r="H86" s="5"/>
    </row>
    <row r="87" spans="1:9" s="8" customFormat="1" x14ac:dyDescent="0.2">
      <c r="B87" s="11"/>
      <c r="C87" s="5"/>
      <c r="D87" s="5"/>
      <c r="E87" s="5"/>
      <c r="F87" s="45"/>
      <c r="G87" s="5"/>
      <c r="H87" s="5"/>
    </row>
    <row r="88" spans="1:9" s="8" customFormat="1" x14ac:dyDescent="0.2">
      <c r="B88" s="11"/>
      <c r="C88" s="5"/>
      <c r="D88" s="5"/>
      <c r="E88" s="5"/>
      <c r="F88" s="45"/>
      <c r="G88" s="5"/>
      <c r="H88" s="5"/>
    </row>
    <row r="89" spans="1:9" s="8" customFormat="1" x14ac:dyDescent="0.2">
      <c r="B89" s="11"/>
      <c r="C89" s="5"/>
      <c r="D89" s="5"/>
      <c r="E89" s="5"/>
      <c r="F89" s="45"/>
      <c r="G89" s="5"/>
      <c r="H89" s="5"/>
    </row>
    <row r="90" spans="1:9" s="8" customFormat="1" x14ac:dyDescent="0.2">
      <c r="B90" s="11"/>
      <c r="C90" s="5"/>
      <c r="D90" s="5"/>
      <c r="E90" s="5"/>
      <c r="F90" s="45"/>
      <c r="G90" s="5"/>
      <c r="H90" s="5"/>
    </row>
    <row r="91" spans="1:9" s="8" customFormat="1" x14ac:dyDescent="0.2">
      <c r="A91" s="5"/>
      <c r="B91" s="11"/>
      <c r="C91" s="5"/>
      <c r="D91" s="5"/>
      <c r="E91" s="5"/>
      <c r="F91" s="45"/>
      <c r="G91" s="5"/>
      <c r="H91" s="5"/>
      <c r="I91" s="5"/>
    </row>
    <row r="92" spans="1:9" s="8" customFormat="1" x14ac:dyDescent="0.2">
      <c r="A92" s="5"/>
      <c r="B92" s="11"/>
      <c r="C92" s="5"/>
      <c r="D92" s="5"/>
      <c r="E92" s="5"/>
      <c r="F92" s="45"/>
      <c r="G92" s="5"/>
      <c r="H92" s="5"/>
      <c r="I92" s="5"/>
    </row>
    <row r="93" spans="1:9" s="8" customFormat="1" x14ac:dyDescent="0.2">
      <c r="A93" s="5"/>
      <c r="B93" s="11"/>
      <c r="C93" s="5"/>
      <c r="D93" s="5"/>
      <c r="E93" s="5"/>
      <c r="F93" s="45"/>
      <c r="G93" s="5"/>
      <c r="H93" s="5"/>
      <c r="I93" s="5"/>
    </row>
    <row r="94" spans="1:9" s="8" customFormat="1" x14ac:dyDescent="0.2">
      <c r="A94" s="5"/>
      <c r="B94" s="11"/>
      <c r="C94" s="5"/>
      <c r="D94" s="5"/>
      <c r="E94" s="5"/>
      <c r="F94" s="45"/>
      <c r="G94" s="5"/>
      <c r="H94" s="5"/>
      <c r="I94" s="5"/>
    </row>
  </sheetData>
  <mergeCells count="11">
    <mergeCell ref="E53:F53"/>
    <mergeCell ref="C36:D36"/>
    <mergeCell ref="E37:F37"/>
    <mergeCell ref="I45:J45"/>
    <mergeCell ref="A1:J1"/>
    <mergeCell ref="C4:D4"/>
    <mergeCell ref="E5:F5"/>
    <mergeCell ref="C20:D20"/>
    <mergeCell ref="E21:F21"/>
    <mergeCell ref="I29:J29"/>
    <mergeCell ref="C52:D52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opLeftCell="A39" zoomScaleNormal="100" workbookViewId="0">
      <selection activeCell="H80" sqref="H80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14.42578125" style="5" customWidth="1"/>
    <col min="5" max="5" width="10.5703125" style="5" customWidth="1"/>
    <col min="6" max="6" width="7" style="45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426" t="s">
        <v>227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0" s="24" customFormat="1" ht="6.75" customHeight="1" x14ac:dyDescent="0.2">
      <c r="B2" s="25"/>
      <c r="C2" s="26"/>
      <c r="D2" s="26"/>
      <c r="E2" s="27"/>
      <c r="F2" s="53"/>
      <c r="G2" s="27"/>
      <c r="H2" s="27"/>
      <c r="I2" s="27"/>
    </row>
    <row r="3" spans="1:10" ht="19.5" customHeight="1" x14ac:dyDescent="0.2">
      <c r="A3" s="38"/>
      <c r="B3" s="20" t="s">
        <v>21</v>
      </c>
      <c r="C3" s="39" t="s">
        <v>206</v>
      </c>
      <c r="D3" s="33"/>
      <c r="E3" s="12"/>
      <c r="F3" s="54"/>
      <c r="G3" s="12"/>
      <c r="H3" s="12"/>
      <c r="I3" s="12"/>
    </row>
    <row r="4" spans="1:10" ht="19.5" customHeight="1" x14ac:dyDescent="0.2">
      <c r="B4" s="20" t="s">
        <v>23</v>
      </c>
      <c r="C4" s="427">
        <v>43866</v>
      </c>
      <c r="D4" s="428"/>
      <c r="E4" s="12"/>
      <c r="F4" s="54"/>
      <c r="G4" s="12"/>
      <c r="H4" s="12"/>
      <c r="I4" s="12"/>
    </row>
    <row r="5" spans="1:10" ht="4.5" customHeight="1" x14ac:dyDescent="0.45">
      <c r="B5" s="2"/>
      <c r="C5" s="17"/>
      <c r="D5" s="17"/>
      <c r="E5" s="424"/>
      <c r="F5" s="424"/>
      <c r="G5" s="3"/>
      <c r="H5" s="4"/>
      <c r="I5" s="4"/>
    </row>
    <row r="6" spans="1:10" s="140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55"/>
    </row>
    <row r="7" spans="1:10" x14ac:dyDescent="0.2">
      <c r="B7" s="18" t="s">
        <v>25</v>
      </c>
      <c r="C7" s="19" t="s">
        <v>13</v>
      </c>
      <c r="D7" s="40"/>
      <c r="E7" s="67">
        <v>1791.01</v>
      </c>
      <c r="G7" s="56"/>
    </row>
    <row r="8" spans="1:10" x14ac:dyDescent="0.2">
      <c r="B8" s="36" t="s">
        <v>26</v>
      </c>
      <c r="C8" s="22" t="s">
        <v>24</v>
      </c>
      <c r="D8" s="41"/>
      <c r="E8" s="67">
        <v>702.47</v>
      </c>
      <c r="F8" s="59"/>
      <c r="G8" s="137" t="s">
        <v>228</v>
      </c>
      <c r="H8" s="45"/>
    </row>
    <row r="9" spans="1:10" x14ac:dyDescent="0.2">
      <c r="B9" s="36" t="s">
        <v>3</v>
      </c>
      <c r="C9" s="22" t="s">
        <v>12</v>
      </c>
      <c r="D9" s="41"/>
      <c r="E9" s="67">
        <v>1037.75</v>
      </c>
      <c r="F9" s="59"/>
      <c r="G9" s="138"/>
    </row>
    <row r="10" spans="1:10" x14ac:dyDescent="0.2">
      <c r="B10" s="13" t="s">
        <v>32</v>
      </c>
      <c r="C10" s="16" t="s">
        <v>11</v>
      </c>
      <c r="D10" s="42"/>
      <c r="E10" s="68">
        <v>977.47</v>
      </c>
    </row>
    <row r="11" spans="1:10" x14ac:dyDescent="0.2">
      <c r="B11" s="69" t="s">
        <v>75</v>
      </c>
      <c r="C11" s="73" t="s">
        <v>31</v>
      </c>
      <c r="D11" s="70"/>
      <c r="E11" s="71">
        <v>792</v>
      </c>
      <c r="G11" s="56"/>
      <c r="I11" s="254"/>
      <c r="J11" s="254"/>
    </row>
    <row r="12" spans="1:10" x14ac:dyDescent="0.2">
      <c r="B12" s="69" t="s">
        <v>86</v>
      </c>
      <c r="C12" s="73" t="s">
        <v>87</v>
      </c>
      <c r="D12" s="70"/>
      <c r="E12" s="71">
        <v>890</v>
      </c>
      <c r="G12" s="56"/>
      <c r="I12" s="254"/>
      <c r="J12" s="254"/>
    </row>
    <row r="13" spans="1:10" ht="13.5" thickBot="1" x14ac:dyDescent="0.25">
      <c r="B13" s="72" t="s">
        <v>149</v>
      </c>
      <c r="C13" s="74" t="s">
        <v>157</v>
      </c>
      <c r="D13" s="50"/>
      <c r="E13" s="29">
        <v>1008.56</v>
      </c>
      <c r="G13" s="188"/>
      <c r="I13" s="254"/>
      <c r="J13" s="254"/>
    </row>
    <row r="14" spans="1:10" s="4" customFormat="1" ht="13.5" thickBot="1" x14ac:dyDescent="0.25">
      <c r="B14" s="46"/>
      <c r="C14" s="47"/>
      <c r="D14" s="48"/>
      <c r="E14" s="49">
        <f>SUM(E7:E13)</f>
        <v>7199.26</v>
      </c>
      <c r="F14" s="58"/>
      <c r="G14" s="65"/>
    </row>
    <row r="15" spans="1:10" ht="13.5" thickBot="1" x14ac:dyDescent="0.25">
      <c r="B15" s="75" t="s">
        <v>30</v>
      </c>
      <c r="C15" s="76" t="s">
        <v>5</v>
      </c>
      <c r="D15" s="76"/>
      <c r="E15" s="77">
        <v>1125</v>
      </c>
    </row>
    <row r="16" spans="1:10" ht="13.5" thickBot="1" x14ac:dyDescent="0.25">
      <c r="B16" s="10"/>
      <c r="C16" s="28" t="s">
        <v>0</v>
      </c>
      <c r="D16" s="28"/>
      <c r="E16" s="30">
        <f>SUM(E14:E15)</f>
        <v>8324.26</v>
      </c>
    </row>
    <row r="17" spans="1:10" x14ac:dyDescent="0.2">
      <c r="B17" s="10"/>
      <c r="C17" s="28"/>
      <c r="D17" s="28"/>
      <c r="E17" s="52"/>
    </row>
    <row r="18" spans="1:10" s="24" customFormat="1" ht="6.75" customHeight="1" x14ac:dyDescent="0.2">
      <c r="B18" s="25"/>
      <c r="C18" s="26"/>
      <c r="D18" s="26"/>
      <c r="E18" s="27"/>
      <c r="F18" s="53"/>
      <c r="G18" s="27"/>
      <c r="H18" s="27"/>
      <c r="I18" s="27"/>
    </row>
    <row r="19" spans="1:10" ht="19.5" customHeight="1" x14ac:dyDescent="0.2">
      <c r="A19" s="38"/>
      <c r="B19" s="20" t="s">
        <v>21</v>
      </c>
      <c r="C19" s="39" t="s">
        <v>207</v>
      </c>
      <c r="D19" s="33"/>
      <c r="E19" s="12"/>
      <c r="F19" s="54"/>
      <c r="G19" s="12"/>
      <c r="H19" s="12"/>
      <c r="I19" s="12"/>
    </row>
    <row r="20" spans="1:10" ht="19.5" customHeight="1" x14ac:dyDescent="0.2">
      <c r="B20" s="20" t="s">
        <v>23</v>
      </c>
      <c r="C20" s="428">
        <v>43873</v>
      </c>
      <c r="D20" s="428"/>
      <c r="E20" s="12"/>
      <c r="F20" s="54"/>
      <c r="G20" s="12"/>
      <c r="H20" s="12"/>
      <c r="I20" s="12"/>
    </row>
    <row r="21" spans="1:10" ht="4.5" customHeight="1" x14ac:dyDescent="0.45">
      <c r="B21" s="2"/>
      <c r="C21" s="17"/>
      <c r="D21" s="17"/>
      <c r="E21" s="424"/>
      <c r="F21" s="424"/>
      <c r="G21" s="3"/>
      <c r="H21" s="4"/>
      <c r="I21" s="4"/>
    </row>
    <row r="22" spans="1:10" s="140" customFormat="1" ht="13.5" thickBot="1" x14ac:dyDescent="0.25">
      <c r="B22" s="21" t="s">
        <v>22</v>
      </c>
      <c r="C22" s="44" t="s">
        <v>1</v>
      </c>
      <c r="D22" s="44"/>
      <c r="E22" s="23" t="s">
        <v>2</v>
      </c>
      <c r="F22" s="55"/>
    </row>
    <row r="23" spans="1:10" x14ac:dyDescent="0.2">
      <c r="B23" s="18" t="s">
        <v>25</v>
      </c>
      <c r="C23" s="19" t="s">
        <v>13</v>
      </c>
      <c r="D23" s="40"/>
      <c r="E23" s="67">
        <v>1791.01</v>
      </c>
      <c r="F23" s="59"/>
      <c r="G23" s="56"/>
    </row>
    <row r="24" spans="1:10" x14ac:dyDescent="0.2">
      <c r="B24" s="36" t="s">
        <v>26</v>
      </c>
      <c r="C24" s="22" t="s">
        <v>24</v>
      </c>
      <c r="D24" s="41"/>
      <c r="E24" s="67">
        <v>702.47</v>
      </c>
      <c r="F24" s="59"/>
      <c r="G24" s="66"/>
      <c r="H24" s="45"/>
    </row>
    <row r="25" spans="1:10" x14ac:dyDescent="0.2">
      <c r="B25" s="36" t="s">
        <v>3</v>
      </c>
      <c r="C25" s="22" t="s">
        <v>12</v>
      </c>
      <c r="D25" s="41"/>
      <c r="E25" s="67">
        <v>1037.75</v>
      </c>
      <c r="F25" s="59"/>
    </row>
    <row r="26" spans="1:10" x14ac:dyDescent="0.2">
      <c r="B26" s="13" t="s">
        <v>32</v>
      </c>
      <c r="C26" s="16" t="s">
        <v>11</v>
      </c>
      <c r="D26" s="42"/>
      <c r="E26" s="68">
        <v>977.47</v>
      </c>
    </row>
    <row r="27" spans="1:10" x14ac:dyDescent="0.2">
      <c r="B27" s="69" t="s">
        <v>75</v>
      </c>
      <c r="C27" s="73" t="s">
        <v>31</v>
      </c>
      <c r="D27" s="70"/>
      <c r="E27" s="71">
        <v>792</v>
      </c>
      <c r="G27" s="59"/>
      <c r="I27" s="254"/>
      <c r="J27" s="254"/>
    </row>
    <row r="28" spans="1:10" x14ac:dyDescent="0.2">
      <c r="B28" s="69" t="s">
        <v>86</v>
      </c>
      <c r="C28" s="73" t="s">
        <v>87</v>
      </c>
      <c r="D28" s="70"/>
      <c r="E28" s="71">
        <v>890</v>
      </c>
      <c r="G28" s="59"/>
      <c r="I28" s="254"/>
      <c r="J28" s="254"/>
    </row>
    <row r="29" spans="1:10" ht="12" customHeight="1" thickBot="1" x14ac:dyDescent="0.25">
      <c r="B29" s="72" t="s">
        <v>149</v>
      </c>
      <c r="C29" s="74" t="s">
        <v>157</v>
      </c>
      <c r="D29" s="50"/>
      <c r="E29" s="29">
        <v>1027.1300000000001</v>
      </c>
      <c r="F29" s="57"/>
      <c r="G29" s="188"/>
      <c r="H29" s="45"/>
      <c r="I29" s="425"/>
      <c r="J29" s="425"/>
    </row>
    <row r="30" spans="1:10" s="4" customFormat="1" ht="13.5" thickBot="1" x14ac:dyDescent="0.25">
      <c r="B30" s="46"/>
      <c r="C30" s="47"/>
      <c r="D30" s="48"/>
      <c r="E30" s="49">
        <f>SUM(E23:E29)</f>
        <v>7217.83</v>
      </c>
      <c r="F30" s="58"/>
      <c r="G30" s="65"/>
    </row>
    <row r="31" spans="1:10" ht="13.5" thickBot="1" x14ac:dyDescent="0.25">
      <c r="B31" s="75" t="s">
        <v>30</v>
      </c>
      <c r="C31" s="76" t="s">
        <v>5</v>
      </c>
      <c r="D31" s="76"/>
      <c r="E31" s="77">
        <v>1125</v>
      </c>
    </row>
    <row r="32" spans="1:10" ht="13.5" thickBot="1" x14ac:dyDescent="0.25">
      <c r="B32" s="10"/>
      <c r="C32" s="28" t="s">
        <v>0</v>
      </c>
      <c r="D32" s="28"/>
      <c r="E32" s="30">
        <f>SUM(E30:E31)</f>
        <v>8342.83</v>
      </c>
    </row>
    <row r="33" spans="1:10" x14ac:dyDescent="0.2">
      <c r="B33" s="10"/>
      <c r="C33" s="28"/>
      <c r="D33" s="28"/>
      <c r="E33" s="52"/>
    </row>
    <row r="34" spans="1:10" s="24" customFormat="1" ht="6.75" customHeight="1" x14ac:dyDescent="0.2">
      <c r="B34" s="25"/>
      <c r="C34" s="26"/>
      <c r="D34" s="26"/>
      <c r="E34" s="27"/>
      <c r="F34" s="53"/>
      <c r="G34" s="27"/>
      <c r="H34" s="27"/>
      <c r="I34" s="27"/>
    </row>
    <row r="35" spans="1:10" ht="19.5" customHeight="1" x14ac:dyDescent="0.2">
      <c r="A35" s="38"/>
      <c r="B35" s="20" t="s">
        <v>21</v>
      </c>
      <c r="C35" s="39" t="s">
        <v>208</v>
      </c>
      <c r="D35" s="33"/>
      <c r="E35" s="12"/>
      <c r="F35" s="54"/>
      <c r="G35" s="12"/>
      <c r="H35" s="12"/>
      <c r="I35" s="12"/>
    </row>
    <row r="36" spans="1:10" ht="19.5" customHeight="1" x14ac:dyDescent="0.2">
      <c r="B36" s="20" t="s">
        <v>23</v>
      </c>
      <c r="C36" s="428">
        <v>43880</v>
      </c>
      <c r="D36" s="428"/>
      <c r="E36" s="12"/>
      <c r="F36" s="54"/>
      <c r="G36" s="12"/>
      <c r="H36" s="12"/>
      <c r="I36" s="12"/>
    </row>
    <row r="37" spans="1:10" ht="4.5" customHeight="1" x14ac:dyDescent="0.45">
      <c r="B37" s="2"/>
      <c r="C37" s="17"/>
      <c r="D37" s="17"/>
      <c r="E37" s="424"/>
      <c r="F37" s="424"/>
      <c r="G37" s="3"/>
      <c r="H37" s="4"/>
      <c r="I37" s="4"/>
    </row>
    <row r="38" spans="1:10" s="140" customFormat="1" ht="13.5" thickBot="1" x14ac:dyDescent="0.25">
      <c r="B38" s="21" t="s">
        <v>22</v>
      </c>
      <c r="C38" s="44" t="s">
        <v>1</v>
      </c>
      <c r="D38" s="44"/>
      <c r="E38" s="23" t="s">
        <v>2</v>
      </c>
      <c r="F38" s="55"/>
    </row>
    <row r="39" spans="1:10" x14ac:dyDescent="0.2">
      <c r="B39" s="18" t="s">
        <v>25</v>
      </c>
      <c r="C39" s="19" t="s">
        <v>13</v>
      </c>
      <c r="D39" s="40"/>
      <c r="E39" s="67">
        <v>1791.01</v>
      </c>
      <c r="F39" s="59"/>
      <c r="G39" s="56"/>
    </row>
    <row r="40" spans="1:10" x14ac:dyDescent="0.2">
      <c r="B40" s="36" t="s">
        <v>26</v>
      </c>
      <c r="C40" s="22" t="s">
        <v>24</v>
      </c>
      <c r="D40" s="41"/>
      <c r="E40" s="67">
        <v>702.47</v>
      </c>
      <c r="F40" s="59"/>
      <c r="G40" s="66"/>
      <c r="H40" s="45"/>
    </row>
    <row r="41" spans="1:10" x14ac:dyDescent="0.2">
      <c r="B41" s="36" t="s">
        <v>3</v>
      </c>
      <c r="C41" s="22" t="s">
        <v>12</v>
      </c>
      <c r="D41" s="41"/>
      <c r="E41" s="67">
        <v>1037.75</v>
      </c>
      <c r="F41" s="59"/>
    </row>
    <row r="42" spans="1:10" x14ac:dyDescent="0.2">
      <c r="B42" s="13" t="s">
        <v>32</v>
      </c>
      <c r="C42" s="16" t="s">
        <v>11</v>
      </c>
      <c r="D42" s="42"/>
      <c r="E42" s="68">
        <v>977.47</v>
      </c>
    </row>
    <row r="43" spans="1:10" x14ac:dyDescent="0.2">
      <c r="B43" s="69" t="s">
        <v>75</v>
      </c>
      <c r="C43" s="73" t="s">
        <v>31</v>
      </c>
      <c r="D43" s="70"/>
      <c r="E43" s="71">
        <v>792</v>
      </c>
      <c r="G43" s="59"/>
      <c r="I43" s="254"/>
      <c r="J43" s="254"/>
    </row>
    <row r="44" spans="1:10" x14ac:dyDescent="0.2">
      <c r="B44" s="69" t="s">
        <v>86</v>
      </c>
      <c r="C44" s="73" t="s">
        <v>87</v>
      </c>
      <c r="D44" s="70"/>
      <c r="E44" s="71">
        <v>890</v>
      </c>
      <c r="G44" s="59"/>
      <c r="I44" s="254"/>
      <c r="J44" s="254"/>
    </row>
    <row r="45" spans="1:10" ht="12" customHeight="1" thickBot="1" x14ac:dyDescent="0.25">
      <c r="B45" s="72" t="s">
        <v>149</v>
      </c>
      <c r="C45" s="74" t="s">
        <v>157</v>
      </c>
      <c r="D45" s="50"/>
      <c r="E45" s="29">
        <v>990</v>
      </c>
      <c r="F45" s="57"/>
      <c r="G45" s="188"/>
      <c r="H45" s="45"/>
      <c r="I45" s="425"/>
      <c r="J45" s="425"/>
    </row>
    <row r="46" spans="1:10" s="4" customFormat="1" ht="13.5" thickBot="1" x14ac:dyDescent="0.25">
      <c r="B46" s="46"/>
      <c r="C46" s="47"/>
      <c r="D46" s="48"/>
      <c r="E46" s="49">
        <f>SUM(E39:E45)</f>
        <v>7180.7</v>
      </c>
      <c r="F46" s="58"/>
      <c r="G46" s="65"/>
    </row>
    <row r="47" spans="1:10" ht="13.5" thickBot="1" x14ac:dyDescent="0.25">
      <c r="B47" s="75" t="s">
        <v>30</v>
      </c>
      <c r="C47" s="76" t="s">
        <v>5</v>
      </c>
      <c r="D47" s="76"/>
      <c r="E47" s="77">
        <v>1125</v>
      </c>
    </row>
    <row r="48" spans="1:10" ht="13.5" thickBot="1" x14ac:dyDescent="0.25">
      <c r="B48" s="10"/>
      <c r="C48" s="28" t="s">
        <v>0</v>
      </c>
      <c r="D48" s="28"/>
      <c r="E48" s="30">
        <f>SUM(E46:E47)</f>
        <v>8305.7000000000007</v>
      </c>
    </row>
    <row r="49" spans="1:10" x14ac:dyDescent="0.2">
      <c r="B49" s="10"/>
      <c r="C49" s="28"/>
      <c r="D49" s="28"/>
      <c r="E49" s="52"/>
    </row>
    <row r="50" spans="1:10" s="24" customFormat="1" ht="6.75" customHeight="1" x14ac:dyDescent="0.2">
      <c r="B50" s="25"/>
      <c r="C50" s="26"/>
      <c r="D50" s="26"/>
      <c r="E50" s="27"/>
      <c r="F50" s="53"/>
      <c r="G50" s="27"/>
      <c r="H50" s="27"/>
      <c r="I50" s="27"/>
    </row>
    <row r="51" spans="1:10" ht="19.5" customHeight="1" x14ac:dyDescent="0.2">
      <c r="A51" s="38"/>
      <c r="B51" s="20" t="s">
        <v>21</v>
      </c>
      <c r="C51" s="39" t="s">
        <v>209</v>
      </c>
      <c r="D51" s="33"/>
      <c r="E51" s="12"/>
      <c r="F51" s="54"/>
      <c r="G51" s="12"/>
      <c r="H51" s="12"/>
      <c r="I51" s="12"/>
    </row>
    <row r="52" spans="1:10" ht="19.5" customHeight="1" x14ac:dyDescent="0.2">
      <c r="B52" s="20" t="s">
        <v>23</v>
      </c>
      <c r="C52" s="428">
        <v>43852</v>
      </c>
      <c r="D52" s="428"/>
      <c r="E52" s="12"/>
      <c r="F52" s="54"/>
      <c r="G52" s="12"/>
      <c r="H52" s="12"/>
      <c r="I52" s="12"/>
    </row>
    <row r="53" spans="1:10" ht="4.5" customHeight="1" x14ac:dyDescent="0.45">
      <c r="B53" s="2"/>
      <c r="C53" s="17"/>
      <c r="D53" s="17">
        <v>43887</v>
      </c>
      <c r="E53" s="424"/>
      <c r="F53" s="424"/>
      <c r="G53" s="3"/>
      <c r="H53" s="4"/>
      <c r="I53" s="4"/>
    </row>
    <row r="54" spans="1:10" s="140" customFormat="1" ht="13.5" thickBot="1" x14ac:dyDescent="0.25">
      <c r="B54" s="21" t="s">
        <v>22</v>
      </c>
      <c r="C54" s="44" t="s">
        <v>1</v>
      </c>
      <c r="D54" s="44"/>
      <c r="E54" s="23" t="s">
        <v>2</v>
      </c>
      <c r="F54" s="55"/>
    </row>
    <row r="55" spans="1:10" x14ac:dyDescent="0.2">
      <c r="B55" s="18" t="s">
        <v>25</v>
      </c>
      <c r="C55" s="19" t="s">
        <v>13</v>
      </c>
      <c r="D55" s="40"/>
      <c r="E55" s="67">
        <v>1791.01</v>
      </c>
      <c r="F55" s="59"/>
      <c r="G55" s="56"/>
    </row>
    <row r="56" spans="1:10" x14ac:dyDescent="0.2">
      <c r="B56" s="36" t="s">
        <v>26</v>
      </c>
      <c r="C56" s="22" t="s">
        <v>24</v>
      </c>
      <c r="D56" s="41"/>
      <c r="E56" s="67">
        <v>702.47</v>
      </c>
      <c r="F56" s="59"/>
      <c r="G56" s="66"/>
      <c r="H56" s="45"/>
    </row>
    <row r="57" spans="1:10" x14ac:dyDescent="0.2">
      <c r="B57" s="36" t="s">
        <v>3</v>
      </c>
      <c r="C57" s="22" t="s">
        <v>12</v>
      </c>
      <c r="D57" s="41"/>
      <c r="E57" s="67">
        <v>1037.75</v>
      </c>
      <c r="F57" s="59"/>
    </row>
    <row r="58" spans="1:10" x14ac:dyDescent="0.2">
      <c r="B58" s="13" t="s">
        <v>32</v>
      </c>
      <c r="C58" s="16" t="s">
        <v>11</v>
      </c>
      <c r="D58" s="42"/>
      <c r="E58" s="68">
        <v>977.47</v>
      </c>
    </row>
    <row r="59" spans="1:10" x14ac:dyDescent="0.2">
      <c r="B59" s="69" t="s">
        <v>75</v>
      </c>
      <c r="C59" s="73" t="s">
        <v>31</v>
      </c>
      <c r="D59" s="70"/>
      <c r="E59" s="71">
        <v>792</v>
      </c>
      <c r="G59" s="59"/>
      <c r="I59" s="254"/>
      <c r="J59" s="254"/>
    </row>
    <row r="60" spans="1:10" x14ac:dyDescent="0.2">
      <c r="B60" s="69" t="s">
        <v>86</v>
      </c>
      <c r="C60" s="73" t="s">
        <v>87</v>
      </c>
      <c r="D60" s="70"/>
      <c r="E60" s="71">
        <v>890</v>
      </c>
      <c r="G60" s="59"/>
      <c r="I60" s="254"/>
      <c r="J60" s="254"/>
    </row>
    <row r="61" spans="1:10" ht="12" customHeight="1" thickBot="1" x14ac:dyDescent="0.25">
      <c r="B61" s="72" t="s">
        <v>149</v>
      </c>
      <c r="C61" s="74" t="s">
        <v>157</v>
      </c>
      <c r="D61" s="50"/>
      <c r="E61" s="29">
        <v>1017.84</v>
      </c>
      <c r="F61" s="57"/>
      <c r="G61" s="188"/>
      <c r="H61" s="45"/>
      <c r="I61" s="425"/>
      <c r="J61" s="425"/>
    </row>
    <row r="62" spans="1:10" s="4" customFormat="1" ht="13.5" thickBot="1" x14ac:dyDescent="0.25">
      <c r="B62" s="46"/>
      <c r="C62" s="47"/>
      <c r="D62" s="48"/>
      <c r="E62" s="49">
        <f>SUM(E55:E61)</f>
        <v>7208.54</v>
      </c>
      <c r="F62" s="58"/>
      <c r="G62" s="65"/>
    </row>
    <row r="63" spans="1:10" ht="13.5" thickBot="1" x14ac:dyDescent="0.25">
      <c r="B63" s="75" t="s">
        <v>30</v>
      </c>
      <c r="C63" s="76" t="s">
        <v>5</v>
      </c>
      <c r="D63" s="76"/>
      <c r="E63" s="77">
        <v>1125</v>
      </c>
    </row>
    <row r="64" spans="1:10" ht="13.5" thickBot="1" x14ac:dyDescent="0.25">
      <c r="B64" s="10"/>
      <c r="C64" s="28" t="s">
        <v>0</v>
      </c>
      <c r="D64" s="28"/>
      <c r="E64" s="30">
        <f>SUM(E62:E63)</f>
        <v>8333.5400000000009</v>
      </c>
      <c r="F64" s="310" t="s">
        <v>139</v>
      </c>
    </row>
    <row r="65" spans="1:10" x14ac:dyDescent="0.2">
      <c r="B65" s="10"/>
      <c r="C65" s="28"/>
      <c r="D65" s="28"/>
      <c r="E65" s="52"/>
    </row>
    <row r="66" spans="1:10" x14ac:dyDescent="0.2">
      <c r="B66" s="298"/>
      <c r="C66" s="28" t="s">
        <v>229</v>
      </c>
      <c r="D66" s="28"/>
      <c r="E66" s="230">
        <v>150</v>
      </c>
      <c r="F66" s="310" t="s">
        <v>139</v>
      </c>
    </row>
    <row r="67" spans="1:10" x14ac:dyDescent="0.2">
      <c r="B67" s="214" t="s">
        <v>230</v>
      </c>
      <c r="C67" s="28"/>
      <c r="D67" s="28"/>
      <c r="E67" s="230">
        <v>3000</v>
      </c>
      <c r="F67" s="310" t="s">
        <v>139</v>
      </c>
    </row>
    <row r="68" spans="1:10" x14ac:dyDescent="0.2">
      <c r="B68" s="10"/>
      <c r="C68" s="28"/>
      <c r="D68" s="28"/>
      <c r="E68" s="52"/>
    </row>
    <row r="69" spans="1:10" s="6" customFormat="1" ht="13.15" customHeight="1" x14ac:dyDescent="0.2">
      <c r="A69" s="14" t="s">
        <v>6</v>
      </c>
      <c r="B69" s="15" t="s">
        <v>7</v>
      </c>
      <c r="C69" s="15"/>
      <c r="D69" s="31">
        <v>9000</v>
      </c>
      <c r="E69" s="43" t="s">
        <v>139</v>
      </c>
      <c r="F69" s="14" t="s">
        <v>34</v>
      </c>
      <c r="G69" s="15" t="s">
        <v>33</v>
      </c>
      <c r="H69" s="31">
        <v>3929.39</v>
      </c>
      <c r="I69" s="51" t="s">
        <v>139</v>
      </c>
    </row>
    <row r="70" spans="1:10" s="6" customFormat="1" ht="13.15" customHeight="1" x14ac:dyDescent="0.2">
      <c r="A70" s="14" t="s">
        <v>8</v>
      </c>
      <c r="B70" s="15" t="s">
        <v>9</v>
      </c>
      <c r="C70" s="15"/>
      <c r="D70" s="31">
        <v>311.83999999999997</v>
      </c>
      <c r="E70" s="43" t="s">
        <v>139</v>
      </c>
      <c r="F70" s="14" t="s">
        <v>34</v>
      </c>
      <c r="G70" s="15" t="s">
        <v>210</v>
      </c>
      <c r="H70" s="31">
        <v>2000</v>
      </c>
      <c r="I70" s="51" t="s">
        <v>139</v>
      </c>
    </row>
    <row r="71" spans="1:10" s="6" customFormat="1" ht="13.15" customHeight="1" x14ac:dyDescent="0.2">
      <c r="A71" s="14" t="s">
        <v>27</v>
      </c>
      <c r="B71" s="15" t="s">
        <v>28</v>
      </c>
      <c r="C71" s="15"/>
      <c r="D71" s="31">
        <v>619.53</v>
      </c>
      <c r="E71" s="43" t="s">
        <v>139</v>
      </c>
      <c r="F71" s="60" t="s">
        <v>19</v>
      </c>
      <c r="G71" s="15" t="s">
        <v>20</v>
      </c>
      <c r="H71" s="31">
        <v>500</v>
      </c>
      <c r="I71" s="51" t="s">
        <v>139</v>
      </c>
    </row>
    <row r="72" spans="1:10" s="6" customFormat="1" ht="13.15" customHeight="1" x14ac:dyDescent="0.2">
      <c r="A72" s="14" t="s">
        <v>10</v>
      </c>
      <c r="B72" s="15" t="s">
        <v>35</v>
      </c>
      <c r="C72" s="31"/>
      <c r="D72" s="31">
        <v>5000</v>
      </c>
      <c r="E72" s="43" t="s">
        <v>139</v>
      </c>
      <c r="F72" s="60" t="s">
        <v>6</v>
      </c>
      <c r="G72" s="15" t="s">
        <v>42</v>
      </c>
      <c r="H72" s="31">
        <v>904</v>
      </c>
      <c r="I72" s="51"/>
    </row>
    <row r="73" spans="1:10" s="6" customFormat="1" ht="13.15" customHeight="1" x14ac:dyDescent="0.2">
      <c r="A73" s="14" t="s">
        <v>10</v>
      </c>
      <c r="B73" s="15" t="s">
        <v>36</v>
      </c>
      <c r="C73" s="31"/>
      <c r="D73" s="31">
        <v>4000</v>
      </c>
      <c r="E73" s="43" t="s">
        <v>139</v>
      </c>
      <c r="F73" s="60" t="s">
        <v>8</v>
      </c>
      <c r="G73" s="15" t="s">
        <v>14</v>
      </c>
      <c r="H73" s="31">
        <v>12000</v>
      </c>
      <c r="I73" s="51" t="s">
        <v>139</v>
      </c>
    </row>
    <row r="74" spans="1:10" s="6" customFormat="1" ht="13.15" customHeight="1" thickBot="1" x14ac:dyDescent="0.25">
      <c r="A74" s="14" t="s">
        <v>10</v>
      </c>
      <c r="B74" s="15" t="s">
        <v>37</v>
      </c>
      <c r="C74" s="31"/>
      <c r="D74" s="31">
        <v>1126.4100000000001</v>
      </c>
      <c r="E74" s="43"/>
      <c r="F74" s="61" t="s">
        <v>16</v>
      </c>
      <c r="G74" s="15" t="s">
        <v>15</v>
      </c>
      <c r="H74" s="32">
        <v>12000</v>
      </c>
      <c r="I74" s="51" t="s">
        <v>139</v>
      </c>
    </row>
    <row r="75" spans="1:10" s="6" customFormat="1" ht="13.15" customHeight="1" thickTop="1" thickBot="1" x14ac:dyDescent="0.25">
      <c r="A75" s="14"/>
      <c r="B75" s="15"/>
      <c r="C75" s="31"/>
      <c r="D75" s="31"/>
      <c r="E75" s="43"/>
      <c r="F75" s="62"/>
      <c r="G75" s="15"/>
      <c r="H75" s="37">
        <f>SUM(H69:H74)+SUM(D69:D74)</f>
        <v>51391.17</v>
      </c>
      <c r="I75" s="51"/>
    </row>
    <row r="76" spans="1:10" s="6" customFormat="1" ht="13.15" customHeight="1" thickBot="1" x14ac:dyDescent="0.25">
      <c r="A76" s="14"/>
      <c r="B76" s="15"/>
      <c r="C76" s="31"/>
      <c r="D76" s="31"/>
      <c r="E76" s="31"/>
      <c r="F76" s="62"/>
      <c r="G76" s="34" t="s">
        <v>4</v>
      </c>
      <c r="H76" s="35">
        <f>E64+H75+E66+E67</f>
        <v>62874.71</v>
      </c>
      <c r="I76" s="37"/>
      <c r="J76" s="268">
        <f>H76-E64-E66</f>
        <v>54391.17</v>
      </c>
    </row>
    <row r="77" spans="1:10" s="6" customFormat="1" ht="13.15" customHeight="1" x14ac:dyDescent="0.2">
      <c r="B77" s="14"/>
      <c r="C77" s="15"/>
      <c r="D77" s="8"/>
      <c r="E77" s="31"/>
      <c r="F77" s="63"/>
      <c r="G77" s="8"/>
      <c r="H77" s="8"/>
      <c r="I77" s="37"/>
    </row>
    <row r="78" spans="1:10" s="6" customFormat="1" ht="13.15" customHeight="1" x14ac:dyDescent="0.2">
      <c r="B78" s="14"/>
      <c r="C78" s="15"/>
      <c r="D78" s="7"/>
      <c r="E78" s="8"/>
      <c r="F78" s="63"/>
      <c r="G78" s="8"/>
      <c r="H78" s="8"/>
      <c r="I78" s="37"/>
    </row>
    <row r="79" spans="1:10" s="6" customFormat="1" ht="13.15" customHeight="1" x14ac:dyDescent="0.2">
      <c r="A79" s="8"/>
      <c r="B79" s="9"/>
      <c r="C79" s="8"/>
      <c r="D79" s="7"/>
      <c r="E79" s="8"/>
      <c r="F79" s="63"/>
      <c r="G79" s="8"/>
      <c r="H79" s="8">
        <f>SUM(D70:D73,H69:H74)-2000</f>
        <v>39264.759999999995</v>
      </c>
      <c r="I79" s="37"/>
    </row>
    <row r="80" spans="1:10" s="6" customFormat="1" ht="13.15" customHeight="1" x14ac:dyDescent="0.2">
      <c r="A80" s="8"/>
      <c r="B80" s="9"/>
      <c r="C80" s="7"/>
      <c r="D80" s="7"/>
      <c r="E80" s="8"/>
      <c r="F80" s="63"/>
      <c r="G80" s="8"/>
      <c r="H80" s="8"/>
      <c r="I80" s="37"/>
    </row>
    <row r="81" spans="1:9" s="6" customFormat="1" ht="13.15" customHeight="1" x14ac:dyDescent="0.2">
      <c r="A81" s="8"/>
      <c r="B81" s="9"/>
      <c r="C81" s="7"/>
      <c r="D81" s="7"/>
      <c r="E81" s="8"/>
      <c r="F81" s="63"/>
      <c r="G81" s="8"/>
      <c r="H81" s="8"/>
      <c r="I81" s="37"/>
    </row>
    <row r="82" spans="1:9" s="6" customFormat="1" ht="13.15" customHeight="1" x14ac:dyDescent="0.2">
      <c r="A82" s="8"/>
      <c r="B82" s="9"/>
      <c r="C82" s="7"/>
      <c r="D82" s="7"/>
      <c r="E82" s="8"/>
      <c r="F82" s="63"/>
      <c r="G82" s="8"/>
      <c r="H82" s="8"/>
      <c r="I82" s="37"/>
    </row>
    <row r="83" spans="1:9" s="8" customFormat="1" ht="12" x14ac:dyDescent="0.2">
      <c r="B83" s="9"/>
      <c r="C83" s="7"/>
      <c r="F83" s="63"/>
    </row>
    <row r="84" spans="1:9" s="8" customFormat="1" ht="12" x14ac:dyDescent="0.2">
      <c r="B84" s="9"/>
      <c r="C84" s="7"/>
      <c r="F84" s="63"/>
    </row>
    <row r="85" spans="1:9" s="8" customFormat="1" ht="12" x14ac:dyDescent="0.2">
      <c r="B85" s="9"/>
      <c r="C85" s="7"/>
      <c r="F85" s="63"/>
    </row>
    <row r="86" spans="1:9" s="8" customFormat="1" ht="12" x14ac:dyDescent="0.2">
      <c r="B86" s="9"/>
      <c r="F86" s="63"/>
    </row>
    <row r="87" spans="1:9" s="8" customFormat="1" ht="12" x14ac:dyDescent="0.2">
      <c r="B87" s="9"/>
      <c r="F87" s="63"/>
    </row>
    <row r="88" spans="1:9" s="8" customFormat="1" ht="12" x14ac:dyDescent="0.2">
      <c r="B88" s="9"/>
      <c r="F88" s="63"/>
    </row>
    <row r="89" spans="1:9" s="8" customFormat="1" x14ac:dyDescent="0.2">
      <c r="B89" s="9"/>
      <c r="D89" s="5"/>
      <c r="F89" s="63"/>
    </row>
    <row r="90" spans="1:9" s="8" customFormat="1" x14ac:dyDescent="0.2">
      <c r="B90" s="9"/>
      <c r="D90" s="5"/>
      <c r="F90" s="45"/>
      <c r="G90" s="5"/>
      <c r="H90" s="5"/>
    </row>
    <row r="91" spans="1:9" s="8" customFormat="1" x14ac:dyDescent="0.2">
      <c r="B91" s="9"/>
      <c r="D91" s="5"/>
      <c r="E91" s="5"/>
      <c r="F91" s="45"/>
      <c r="G91" s="5"/>
      <c r="H91" s="5"/>
    </row>
    <row r="92" spans="1:9" s="8" customFormat="1" x14ac:dyDescent="0.2">
      <c r="B92" s="11"/>
      <c r="C92" s="5"/>
      <c r="D92" s="5"/>
      <c r="E92" s="5"/>
      <c r="F92" s="45"/>
      <c r="G92" s="5"/>
      <c r="H92" s="5"/>
    </row>
    <row r="93" spans="1:9" s="8" customFormat="1" x14ac:dyDescent="0.2">
      <c r="B93" s="11"/>
      <c r="C93" s="5"/>
      <c r="D93" s="5"/>
      <c r="E93" s="5"/>
      <c r="F93" s="45"/>
      <c r="G93" s="5"/>
      <c r="H93" s="5"/>
    </row>
    <row r="94" spans="1:9" s="8" customFormat="1" x14ac:dyDescent="0.2">
      <c r="B94" s="11"/>
      <c r="C94" s="5"/>
      <c r="D94" s="5"/>
      <c r="E94" s="5"/>
      <c r="F94" s="45"/>
      <c r="G94" s="5"/>
      <c r="H94" s="5"/>
    </row>
    <row r="95" spans="1:9" s="8" customFormat="1" x14ac:dyDescent="0.2">
      <c r="B95" s="11"/>
      <c r="C95" s="5"/>
      <c r="D95" s="5"/>
      <c r="E95" s="5"/>
      <c r="F95" s="45"/>
      <c r="G95" s="5"/>
      <c r="H95" s="5"/>
    </row>
    <row r="96" spans="1:9" s="8" customFormat="1" x14ac:dyDescent="0.2">
      <c r="A96" s="5"/>
      <c r="B96" s="11"/>
      <c r="C96" s="5"/>
      <c r="D96" s="5"/>
      <c r="E96" s="5"/>
      <c r="F96" s="45"/>
      <c r="G96" s="5"/>
      <c r="H96" s="5"/>
      <c r="I96" s="5"/>
    </row>
    <row r="97" spans="1:9" s="8" customFormat="1" x14ac:dyDescent="0.2">
      <c r="A97" s="5"/>
      <c r="B97" s="11"/>
      <c r="C97" s="5"/>
      <c r="D97" s="5"/>
      <c r="E97" s="5"/>
      <c r="F97" s="45"/>
      <c r="G97" s="5"/>
      <c r="H97" s="5"/>
      <c r="I97" s="5"/>
    </row>
    <row r="98" spans="1:9" s="8" customFormat="1" x14ac:dyDescent="0.2">
      <c r="A98" s="5"/>
      <c r="B98" s="11"/>
      <c r="C98" s="5"/>
      <c r="D98" s="5"/>
      <c r="E98" s="5"/>
      <c r="F98" s="45"/>
      <c r="G98" s="5"/>
      <c r="H98" s="5"/>
      <c r="I98" s="5"/>
    </row>
    <row r="99" spans="1:9" s="8" customFormat="1" x14ac:dyDescent="0.2">
      <c r="A99" s="5"/>
      <c r="B99" s="11"/>
      <c r="C99" s="5"/>
      <c r="D99" s="5"/>
      <c r="E99" s="5"/>
      <c r="F99" s="45"/>
      <c r="G99" s="5"/>
      <c r="H99" s="5"/>
      <c r="I99" s="5"/>
    </row>
  </sheetData>
  <mergeCells count="12">
    <mergeCell ref="C52:D52"/>
    <mergeCell ref="E53:F53"/>
    <mergeCell ref="I61:J61"/>
    <mergeCell ref="C36:D36"/>
    <mergeCell ref="E37:F37"/>
    <mergeCell ref="I45:J45"/>
    <mergeCell ref="I29:J29"/>
    <mergeCell ref="A1:J1"/>
    <mergeCell ref="C4:D4"/>
    <mergeCell ref="E5:F5"/>
    <mergeCell ref="C20:D20"/>
    <mergeCell ref="E21:F21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7"/>
  <sheetViews>
    <sheetView zoomScaleNormal="100" workbookViewId="0">
      <pane ySplit="3" topLeftCell="A532" activePane="bottomLeft" state="frozen"/>
      <selection pane="bottomLeft" activeCell="A3" sqref="A3"/>
    </sheetView>
  </sheetViews>
  <sheetFormatPr defaultRowHeight="12.75" x14ac:dyDescent="0.2"/>
  <cols>
    <col min="1" max="1" width="6.28515625" style="80" customWidth="1"/>
    <col min="2" max="2" width="9.140625" style="78"/>
    <col min="3" max="3" width="11.7109375" style="90" customWidth="1"/>
    <col min="4" max="4" width="9.7109375" style="90" bestFit="1" customWidth="1"/>
    <col min="5" max="5" width="9.140625" style="90"/>
    <col min="6" max="6" width="10.140625" style="90" customWidth="1"/>
    <col min="7" max="7" width="11.7109375" style="90" customWidth="1"/>
    <col min="8" max="8" width="9.7109375" style="90" bestFit="1" customWidth="1"/>
    <col min="9" max="9" width="10" style="90" customWidth="1"/>
    <col min="10" max="12" width="9.140625" style="90"/>
    <col min="13" max="13" width="10.28515625" style="90" bestFit="1" customWidth="1"/>
    <col min="14" max="14" width="11.7109375" style="90" customWidth="1"/>
    <col min="15" max="15" width="11.7109375" style="104" customWidth="1"/>
    <col min="16" max="16" width="4.5703125" style="91" customWidth="1"/>
    <col min="17" max="17" width="9.140625" style="80"/>
    <col min="18" max="18" width="9.7109375" style="90" bestFit="1" customWidth="1"/>
    <col min="19" max="16384" width="9.140625" style="78"/>
  </cols>
  <sheetData>
    <row r="1" spans="1:18" ht="12.75" customHeight="1" x14ac:dyDescent="0.2">
      <c r="A1" s="477" t="s">
        <v>234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</row>
    <row r="2" spans="1:18" ht="13.5" customHeight="1" thickBot="1" x14ac:dyDescent="0.25">
      <c r="A2" s="478"/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</row>
    <row r="3" spans="1:18" s="79" customFormat="1" ht="13.5" thickBot="1" x14ac:dyDescent="0.25">
      <c r="A3" s="85" t="s">
        <v>69</v>
      </c>
      <c r="B3" s="86" t="s">
        <v>1</v>
      </c>
      <c r="C3" s="87" t="s">
        <v>61</v>
      </c>
      <c r="D3" s="87" t="s">
        <v>62</v>
      </c>
      <c r="E3" s="87" t="s">
        <v>73</v>
      </c>
      <c r="F3" s="87" t="s">
        <v>67</v>
      </c>
      <c r="G3" s="87" t="s">
        <v>81</v>
      </c>
      <c r="H3" s="87" t="s">
        <v>64</v>
      </c>
      <c r="I3" s="87" t="s">
        <v>65</v>
      </c>
      <c r="J3" s="87" t="s">
        <v>72</v>
      </c>
      <c r="K3" s="87" t="s">
        <v>67</v>
      </c>
      <c r="L3" s="87" t="s">
        <v>63</v>
      </c>
      <c r="M3" s="87" t="s">
        <v>66</v>
      </c>
      <c r="N3" s="87" t="s">
        <v>2</v>
      </c>
      <c r="O3" s="92" t="s">
        <v>71</v>
      </c>
      <c r="P3" s="93" t="s">
        <v>74</v>
      </c>
      <c r="Q3" s="147" t="s">
        <v>97</v>
      </c>
      <c r="R3" s="318"/>
    </row>
    <row r="4" spans="1:18" s="79" customFormat="1" ht="13.5" thickBot="1" x14ac:dyDescent="0.25">
      <c r="A4" s="444" t="s">
        <v>117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6"/>
      <c r="R4" s="318"/>
    </row>
    <row r="5" spans="1:18" x14ac:dyDescent="0.2">
      <c r="A5" s="83" t="s">
        <v>25</v>
      </c>
      <c r="B5" s="84" t="s">
        <v>68</v>
      </c>
      <c r="C5" s="88">
        <v>3119.2</v>
      </c>
      <c r="D5" s="88"/>
      <c r="E5" s="88">
        <v>490</v>
      </c>
      <c r="F5" s="88">
        <v>572.75</v>
      </c>
      <c r="G5" s="88">
        <f>C5+D5+F5+E5</f>
        <v>4181.95</v>
      </c>
      <c r="H5" s="88">
        <v>36.92</v>
      </c>
      <c r="I5" s="88">
        <v>288</v>
      </c>
      <c r="J5" s="88">
        <v>-155</v>
      </c>
      <c r="K5" s="88">
        <f>F5</f>
        <v>572.75</v>
      </c>
      <c r="L5" s="88">
        <v>200.01</v>
      </c>
      <c r="M5" s="88">
        <v>1125</v>
      </c>
      <c r="N5" s="88">
        <f>C5+D5+E5-H5-I5-J5-K5-L5-M5</f>
        <v>1541.5199999999995</v>
      </c>
      <c r="O5" s="105">
        <v>43530</v>
      </c>
      <c r="P5" s="109" t="s">
        <v>17</v>
      </c>
      <c r="Q5" s="144" t="s">
        <v>98</v>
      </c>
    </row>
    <row r="6" spans="1:18" x14ac:dyDescent="0.2">
      <c r="A6" s="81" t="s">
        <v>29</v>
      </c>
      <c r="B6" s="82" t="s">
        <v>76</v>
      </c>
      <c r="C6" s="89">
        <v>818.8</v>
      </c>
      <c r="D6" s="89"/>
      <c r="E6" s="89">
        <v>50</v>
      </c>
      <c r="F6" s="89"/>
      <c r="G6" s="88">
        <f>C6+D6+F6+E6</f>
        <v>868.8</v>
      </c>
      <c r="H6" s="89">
        <v>8.19</v>
      </c>
      <c r="I6" s="89"/>
      <c r="J6" s="89"/>
      <c r="K6" s="89"/>
      <c r="L6" s="89">
        <v>58.14</v>
      </c>
      <c r="M6" s="89">
        <v>200</v>
      </c>
      <c r="N6" s="88">
        <f t="shared" ref="N6:N91" si="0">C6+D6+E6-H6-I6-J6-K6-L6-M6</f>
        <v>602.46999999999991</v>
      </c>
      <c r="O6" s="105">
        <v>43530</v>
      </c>
      <c r="P6" s="109" t="s">
        <v>17</v>
      </c>
      <c r="Q6" s="144" t="s">
        <v>98</v>
      </c>
    </row>
    <row r="7" spans="1:18" x14ac:dyDescent="0.2">
      <c r="A7" s="81" t="s">
        <v>26</v>
      </c>
      <c r="B7" s="82" t="s">
        <v>77</v>
      </c>
      <c r="C7" s="89">
        <v>1074.8</v>
      </c>
      <c r="D7" s="89"/>
      <c r="E7" s="89">
        <v>50</v>
      </c>
      <c r="F7" s="89"/>
      <c r="G7" s="88">
        <f>C7+D7+F7+E7</f>
        <v>1124.8</v>
      </c>
      <c r="H7" s="89">
        <v>10.75</v>
      </c>
      <c r="I7" s="89"/>
      <c r="J7" s="89"/>
      <c r="K7" s="89"/>
      <c r="L7" s="89">
        <v>76.3</v>
      </c>
      <c r="M7" s="89"/>
      <c r="N7" s="88">
        <f t="shared" si="0"/>
        <v>1037.75</v>
      </c>
      <c r="O7" s="105">
        <v>43530</v>
      </c>
      <c r="P7" s="109" t="s">
        <v>17</v>
      </c>
      <c r="Q7" s="144" t="s">
        <v>98</v>
      </c>
    </row>
    <row r="8" spans="1:18" x14ac:dyDescent="0.2">
      <c r="A8" s="81" t="s">
        <v>3</v>
      </c>
      <c r="B8" s="82" t="s">
        <v>78</v>
      </c>
      <c r="C8" s="89">
        <v>954.8</v>
      </c>
      <c r="D8" s="89"/>
      <c r="E8" s="89">
        <v>100</v>
      </c>
      <c r="F8" s="89"/>
      <c r="G8" s="88">
        <f>C8+D8+F8+E8</f>
        <v>1054.8</v>
      </c>
      <c r="H8" s="89">
        <v>9.5500000000000007</v>
      </c>
      <c r="I8" s="89"/>
      <c r="J8" s="89"/>
      <c r="K8" s="89"/>
      <c r="L8" s="89">
        <v>67.78</v>
      </c>
      <c r="M8" s="89"/>
      <c r="N8" s="88">
        <f>C8+D8+E8-H8-I8-J8-K8-L8-M8</f>
        <v>977.47</v>
      </c>
      <c r="O8" s="105">
        <v>43530</v>
      </c>
      <c r="P8" s="109" t="s">
        <v>17</v>
      </c>
      <c r="Q8" s="144" t="s">
        <v>98</v>
      </c>
    </row>
    <row r="9" spans="1:18" x14ac:dyDescent="0.2">
      <c r="A9" s="81" t="s">
        <v>32</v>
      </c>
      <c r="B9" s="82" t="s">
        <v>79</v>
      </c>
      <c r="C9" s="89">
        <v>800</v>
      </c>
      <c r="D9" s="89"/>
      <c r="E9" s="89"/>
      <c r="F9" s="89"/>
      <c r="G9" s="88">
        <f t="shared" ref="G9:G91" si="1">C9+D9+F9</f>
        <v>800</v>
      </c>
      <c r="H9" s="89">
        <v>8</v>
      </c>
      <c r="I9" s="89"/>
      <c r="J9" s="89"/>
      <c r="K9" s="89"/>
      <c r="L9" s="89"/>
      <c r="M9" s="89"/>
      <c r="N9" s="88">
        <f t="shared" si="0"/>
        <v>792</v>
      </c>
      <c r="O9" s="105">
        <v>43530</v>
      </c>
      <c r="P9" s="109" t="s">
        <v>17</v>
      </c>
      <c r="Q9" s="144" t="s">
        <v>98</v>
      </c>
    </row>
    <row r="10" spans="1:18" x14ac:dyDescent="0.2">
      <c r="A10" s="81" t="s">
        <v>48</v>
      </c>
      <c r="B10" s="82" t="s">
        <v>80</v>
      </c>
      <c r="C10" s="89">
        <v>800</v>
      </c>
      <c r="D10" s="89"/>
      <c r="E10" s="89"/>
      <c r="F10" s="89"/>
      <c r="G10" s="88">
        <f t="shared" si="1"/>
        <v>800</v>
      </c>
      <c r="H10" s="89">
        <v>8</v>
      </c>
      <c r="I10" s="89"/>
      <c r="J10" s="89"/>
      <c r="K10" s="89"/>
      <c r="L10" s="89"/>
      <c r="M10" s="89"/>
      <c r="N10" s="88">
        <f t="shared" si="0"/>
        <v>792</v>
      </c>
      <c r="O10" s="105">
        <v>43530</v>
      </c>
      <c r="P10" s="109" t="s">
        <v>17</v>
      </c>
      <c r="Q10" s="144" t="s">
        <v>98</v>
      </c>
    </row>
    <row r="11" spans="1:18" ht="13.5" thickBot="1" x14ac:dyDescent="0.25">
      <c r="A11" s="81" t="s">
        <v>86</v>
      </c>
      <c r="B11" s="82" t="s">
        <v>106</v>
      </c>
      <c r="C11" s="89">
        <v>1000</v>
      </c>
      <c r="D11" s="89"/>
      <c r="E11" s="89"/>
      <c r="F11" s="89"/>
      <c r="G11" s="88">
        <f t="shared" si="1"/>
        <v>1000</v>
      </c>
      <c r="H11" s="89">
        <v>10</v>
      </c>
      <c r="I11" s="89"/>
      <c r="J11" s="89"/>
      <c r="K11" s="89"/>
      <c r="L11" s="89"/>
      <c r="M11" s="89">
        <v>200</v>
      </c>
      <c r="N11" s="102">
        <f t="shared" si="0"/>
        <v>790</v>
      </c>
      <c r="O11" s="105">
        <v>43530</v>
      </c>
      <c r="P11" s="109" t="s">
        <v>17</v>
      </c>
      <c r="Q11" s="144" t="s">
        <v>98</v>
      </c>
    </row>
    <row r="12" spans="1:18" s="94" customFormat="1" ht="13.5" thickBot="1" x14ac:dyDescent="0.25">
      <c r="A12" s="461" t="s">
        <v>0</v>
      </c>
      <c r="B12" s="462"/>
      <c r="C12" s="110">
        <f t="shared" ref="C12:N12" si="2">SUM(C5:C11)</f>
        <v>8567.6</v>
      </c>
      <c r="D12" s="110">
        <f t="shared" si="2"/>
        <v>0</v>
      </c>
      <c r="E12" s="110">
        <f t="shared" si="2"/>
        <v>690</v>
      </c>
      <c r="F12" s="110">
        <f t="shared" si="2"/>
        <v>572.75</v>
      </c>
      <c r="G12" s="110">
        <f t="shared" si="2"/>
        <v>9830.35</v>
      </c>
      <c r="H12" s="110">
        <f t="shared" si="2"/>
        <v>91.41</v>
      </c>
      <c r="I12" s="110">
        <f t="shared" si="2"/>
        <v>288</v>
      </c>
      <c r="J12" s="110">
        <f t="shared" si="2"/>
        <v>-155</v>
      </c>
      <c r="K12" s="110">
        <f t="shared" si="2"/>
        <v>572.75</v>
      </c>
      <c r="L12" s="110">
        <f t="shared" si="2"/>
        <v>402.23</v>
      </c>
      <c r="M12" s="110">
        <f t="shared" si="2"/>
        <v>1525</v>
      </c>
      <c r="N12" s="110">
        <f t="shared" si="2"/>
        <v>6533.2099999999991</v>
      </c>
      <c r="O12" s="463" t="s">
        <v>0</v>
      </c>
      <c r="P12" s="464"/>
      <c r="Q12" s="145"/>
      <c r="R12" s="319"/>
    </row>
    <row r="13" spans="1:18" x14ac:dyDescent="0.2">
      <c r="A13" s="96" t="s">
        <v>25</v>
      </c>
      <c r="B13" s="97" t="s">
        <v>68</v>
      </c>
      <c r="C13" s="88">
        <v>3119.2</v>
      </c>
      <c r="D13" s="88"/>
      <c r="E13" s="88">
        <v>490</v>
      </c>
      <c r="F13" s="88">
        <v>572.75</v>
      </c>
      <c r="G13" s="88">
        <f>C13+D13+F13+E13</f>
        <v>4181.95</v>
      </c>
      <c r="H13" s="88">
        <v>36.92</v>
      </c>
      <c r="I13" s="88">
        <v>288</v>
      </c>
      <c r="J13" s="88">
        <v>-155</v>
      </c>
      <c r="K13" s="88">
        <f>F13</f>
        <v>572.75</v>
      </c>
      <c r="L13" s="88">
        <v>200.01</v>
      </c>
      <c r="M13" s="88">
        <v>1125</v>
      </c>
      <c r="N13" s="88">
        <f t="shared" si="0"/>
        <v>1541.5199999999995</v>
      </c>
      <c r="O13" s="108">
        <v>43537</v>
      </c>
      <c r="P13" s="111" t="s">
        <v>38</v>
      </c>
      <c r="Q13" s="144" t="s">
        <v>98</v>
      </c>
    </row>
    <row r="14" spans="1:18" x14ac:dyDescent="0.2">
      <c r="A14" s="99" t="s">
        <v>26</v>
      </c>
      <c r="B14" s="82" t="s">
        <v>76</v>
      </c>
      <c r="C14" s="89">
        <v>818.8</v>
      </c>
      <c r="D14" s="89"/>
      <c r="E14" s="89">
        <v>50</v>
      </c>
      <c r="F14" s="89"/>
      <c r="G14" s="88">
        <f>C14+D14+F14+E14</f>
        <v>868.8</v>
      </c>
      <c r="H14" s="89">
        <v>8.19</v>
      </c>
      <c r="I14" s="89"/>
      <c r="J14" s="89"/>
      <c r="K14" s="89"/>
      <c r="L14" s="89">
        <v>58.14</v>
      </c>
      <c r="M14" s="89">
        <v>100</v>
      </c>
      <c r="N14" s="88">
        <f t="shared" si="0"/>
        <v>702.46999999999991</v>
      </c>
      <c r="O14" s="107">
        <v>43537</v>
      </c>
      <c r="P14" s="112" t="s">
        <v>38</v>
      </c>
      <c r="Q14" s="144" t="s">
        <v>98</v>
      </c>
    </row>
    <row r="15" spans="1:18" x14ac:dyDescent="0.2">
      <c r="A15" s="99" t="s">
        <v>3</v>
      </c>
      <c r="B15" s="82" t="s">
        <v>77</v>
      </c>
      <c r="C15" s="89">
        <v>1074.8</v>
      </c>
      <c r="D15" s="89"/>
      <c r="E15" s="89">
        <v>50</v>
      </c>
      <c r="F15" s="89"/>
      <c r="G15" s="88">
        <f>C15+D15+F15+E15</f>
        <v>1124.8</v>
      </c>
      <c r="H15" s="89">
        <v>10.75</v>
      </c>
      <c r="I15" s="89"/>
      <c r="J15" s="89"/>
      <c r="K15" s="89"/>
      <c r="L15" s="89">
        <v>76.3</v>
      </c>
      <c r="M15" s="89"/>
      <c r="N15" s="88">
        <f t="shared" si="0"/>
        <v>1037.75</v>
      </c>
      <c r="O15" s="106">
        <v>43537</v>
      </c>
      <c r="P15" s="112" t="s">
        <v>38</v>
      </c>
      <c r="Q15" s="144" t="s">
        <v>98</v>
      </c>
    </row>
    <row r="16" spans="1:18" x14ac:dyDescent="0.2">
      <c r="A16" s="99" t="s">
        <v>32</v>
      </c>
      <c r="B16" s="82" t="s">
        <v>78</v>
      </c>
      <c r="C16" s="89">
        <v>954.8</v>
      </c>
      <c r="D16" s="89"/>
      <c r="E16" s="89">
        <v>100</v>
      </c>
      <c r="F16" s="89"/>
      <c r="G16" s="88">
        <f>C16+D16+F16+E16</f>
        <v>1054.8</v>
      </c>
      <c r="H16" s="89">
        <v>9.5500000000000007</v>
      </c>
      <c r="I16" s="89"/>
      <c r="J16" s="89"/>
      <c r="K16" s="89"/>
      <c r="L16" s="89">
        <v>67.78</v>
      </c>
      <c r="M16" s="89"/>
      <c r="N16" s="88">
        <f>C16+D16+E16-H16-I16-J16-K16-L16-M16</f>
        <v>977.47</v>
      </c>
      <c r="O16" s="106">
        <v>43537</v>
      </c>
      <c r="P16" s="112" t="s">
        <v>38</v>
      </c>
      <c r="Q16" s="144" t="s">
        <v>98</v>
      </c>
    </row>
    <row r="17" spans="1:18" x14ac:dyDescent="0.2">
      <c r="A17" s="103" t="s">
        <v>75</v>
      </c>
      <c r="B17" s="95" t="s">
        <v>79</v>
      </c>
      <c r="C17" s="89">
        <v>800</v>
      </c>
      <c r="D17" s="89"/>
      <c r="E17" s="89"/>
      <c r="F17" s="89"/>
      <c r="G17" s="88">
        <f>C17+D17+F17</f>
        <v>800</v>
      </c>
      <c r="H17" s="89">
        <v>8</v>
      </c>
      <c r="I17" s="89"/>
      <c r="J17" s="89"/>
      <c r="K17" s="89"/>
      <c r="L17" s="89"/>
      <c r="M17" s="89"/>
      <c r="N17" s="88">
        <f t="shared" si="0"/>
        <v>792</v>
      </c>
      <c r="O17" s="106">
        <v>43537</v>
      </c>
      <c r="P17" s="112" t="s">
        <v>38</v>
      </c>
      <c r="Q17" s="144" t="s">
        <v>98</v>
      </c>
    </row>
    <row r="18" spans="1:18" ht="13.5" thickBot="1" x14ac:dyDescent="0.25">
      <c r="A18" s="103" t="s">
        <v>86</v>
      </c>
      <c r="B18" s="95" t="s">
        <v>106</v>
      </c>
      <c r="C18" s="89">
        <v>1000</v>
      </c>
      <c r="D18" s="89"/>
      <c r="E18" s="89"/>
      <c r="F18" s="89"/>
      <c r="G18" s="88">
        <f>C18+D18+F18</f>
        <v>1000</v>
      </c>
      <c r="H18" s="89">
        <v>10</v>
      </c>
      <c r="I18" s="89"/>
      <c r="J18" s="89"/>
      <c r="K18" s="89"/>
      <c r="L18" s="89"/>
      <c r="M18" s="89">
        <v>200</v>
      </c>
      <c r="N18" s="102">
        <f t="shared" si="0"/>
        <v>790</v>
      </c>
      <c r="O18" s="105">
        <v>43537</v>
      </c>
      <c r="P18" s="113" t="s">
        <v>38</v>
      </c>
      <c r="Q18" s="144" t="s">
        <v>98</v>
      </c>
    </row>
    <row r="19" spans="1:18" s="94" customFormat="1" ht="13.5" thickBot="1" x14ac:dyDescent="0.25">
      <c r="A19" s="429" t="s">
        <v>0</v>
      </c>
      <c r="B19" s="430"/>
      <c r="C19" s="114">
        <f t="shared" ref="C19:M19" si="3">SUM(C13:C18)</f>
        <v>7767.6</v>
      </c>
      <c r="D19" s="115">
        <f t="shared" si="3"/>
        <v>0</v>
      </c>
      <c r="E19" s="115">
        <f t="shared" si="3"/>
        <v>690</v>
      </c>
      <c r="F19" s="115">
        <f t="shared" si="3"/>
        <v>572.75</v>
      </c>
      <c r="G19" s="115">
        <f t="shared" si="3"/>
        <v>9030.35</v>
      </c>
      <c r="H19" s="115">
        <f t="shared" si="3"/>
        <v>83.41</v>
      </c>
      <c r="I19" s="115">
        <f t="shared" si="3"/>
        <v>288</v>
      </c>
      <c r="J19" s="115">
        <f t="shared" si="3"/>
        <v>-155</v>
      </c>
      <c r="K19" s="115">
        <f t="shared" si="3"/>
        <v>572.75</v>
      </c>
      <c r="L19" s="115">
        <f t="shared" si="3"/>
        <v>402.23</v>
      </c>
      <c r="M19" s="115">
        <f t="shared" si="3"/>
        <v>1425</v>
      </c>
      <c r="N19" s="116">
        <f>C19+D19+E19-H19-I19-J19-K19-L19-M19</f>
        <v>5841.2100000000009</v>
      </c>
      <c r="O19" s="431" t="s">
        <v>0</v>
      </c>
      <c r="P19" s="432"/>
      <c r="Q19" s="144">
        <f>SUM(N13:N18)</f>
        <v>5841.2099999999991</v>
      </c>
      <c r="R19" s="319"/>
    </row>
    <row r="20" spans="1:18" x14ac:dyDescent="0.2">
      <c r="A20" s="83" t="s">
        <v>25</v>
      </c>
      <c r="B20" s="84" t="s">
        <v>68</v>
      </c>
      <c r="C20" s="88">
        <v>3119.2</v>
      </c>
      <c r="D20" s="88">
        <v>584.85</v>
      </c>
      <c r="E20" s="88">
        <v>490</v>
      </c>
      <c r="F20" s="88">
        <v>572.75</v>
      </c>
      <c r="G20" s="88">
        <f>C20+D20+F20+E20</f>
        <v>4766.7999999999993</v>
      </c>
      <c r="H20" s="88">
        <v>42.77</v>
      </c>
      <c r="I20" s="88">
        <v>394</v>
      </c>
      <c r="J20" s="88">
        <v>-155</v>
      </c>
      <c r="K20" s="88">
        <f>F20</f>
        <v>572.75</v>
      </c>
      <c r="L20" s="88">
        <v>200.01</v>
      </c>
      <c r="M20" s="88">
        <v>1125</v>
      </c>
      <c r="N20" s="88">
        <f t="shared" si="0"/>
        <v>2014.5199999999986</v>
      </c>
      <c r="O20" s="105">
        <v>43544</v>
      </c>
      <c r="P20" s="117" t="s">
        <v>18</v>
      </c>
      <c r="Q20" s="144" t="s">
        <v>98</v>
      </c>
    </row>
    <row r="21" spans="1:18" x14ac:dyDescent="0.2">
      <c r="A21" s="81" t="s">
        <v>26</v>
      </c>
      <c r="B21" s="82" t="s">
        <v>76</v>
      </c>
      <c r="C21" s="89">
        <v>818.8</v>
      </c>
      <c r="D21" s="89"/>
      <c r="E21" s="89">
        <v>50</v>
      </c>
      <c r="F21" s="89"/>
      <c r="G21" s="88">
        <f>C21+D21+F21+E21</f>
        <v>868.8</v>
      </c>
      <c r="H21" s="89">
        <v>8.19</v>
      </c>
      <c r="I21" s="89"/>
      <c r="J21" s="89"/>
      <c r="K21" s="89"/>
      <c r="L21" s="89">
        <v>58.14</v>
      </c>
      <c r="M21" s="89">
        <v>100</v>
      </c>
      <c r="N21" s="88">
        <f>C21+D21+E21-H21-I21-J21-K21-L21-M21</f>
        <v>702.46999999999991</v>
      </c>
      <c r="O21" s="105">
        <v>43544</v>
      </c>
      <c r="P21" s="117" t="s">
        <v>18</v>
      </c>
      <c r="Q21" s="144" t="s">
        <v>98</v>
      </c>
    </row>
    <row r="22" spans="1:18" x14ac:dyDescent="0.2">
      <c r="A22" s="81" t="s">
        <v>3</v>
      </c>
      <c r="B22" s="82" t="s">
        <v>77</v>
      </c>
      <c r="C22" s="89">
        <v>1074.8</v>
      </c>
      <c r="D22" s="89"/>
      <c r="E22" s="89">
        <v>50</v>
      </c>
      <c r="F22" s="89"/>
      <c r="G22" s="88">
        <f>C22+D22+F22+E22</f>
        <v>1124.8</v>
      </c>
      <c r="H22" s="89">
        <v>10.75</v>
      </c>
      <c r="I22" s="89"/>
      <c r="J22" s="89"/>
      <c r="K22" s="89"/>
      <c r="L22" s="89">
        <v>76.3</v>
      </c>
      <c r="M22" s="89"/>
      <c r="N22" s="88">
        <f>C22+D22+E22-H22-I22-J22-K22-L22-M22</f>
        <v>1037.75</v>
      </c>
      <c r="O22" s="105">
        <v>43544</v>
      </c>
      <c r="P22" s="117" t="s">
        <v>18</v>
      </c>
      <c r="Q22" s="144" t="s">
        <v>98</v>
      </c>
    </row>
    <row r="23" spans="1:18" x14ac:dyDescent="0.2">
      <c r="A23" s="81" t="s">
        <v>32</v>
      </c>
      <c r="B23" s="82" t="s">
        <v>78</v>
      </c>
      <c r="C23" s="89">
        <v>954.8</v>
      </c>
      <c r="D23" s="89"/>
      <c r="E23" s="89">
        <v>100</v>
      </c>
      <c r="F23" s="89"/>
      <c r="G23" s="88">
        <f>C23+D23+F23+E23</f>
        <v>1054.8</v>
      </c>
      <c r="H23" s="89">
        <v>9.5500000000000007</v>
      </c>
      <c r="I23" s="89"/>
      <c r="J23" s="89"/>
      <c r="K23" s="89"/>
      <c r="L23" s="89">
        <v>67.78</v>
      </c>
      <c r="M23" s="89"/>
      <c r="N23" s="88">
        <f>C23+D23+E23-H23-I23-J23-K23-L23-M23</f>
        <v>977.47</v>
      </c>
      <c r="O23" s="105">
        <v>43544</v>
      </c>
      <c r="P23" s="117" t="s">
        <v>18</v>
      </c>
      <c r="Q23" s="144" t="s">
        <v>98</v>
      </c>
    </row>
    <row r="24" spans="1:18" x14ac:dyDescent="0.2">
      <c r="A24" s="81" t="s">
        <v>75</v>
      </c>
      <c r="B24" s="82" t="s">
        <v>79</v>
      </c>
      <c r="C24" s="89">
        <v>800</v>
      </c>
      <c r="D24" s="89"/>
      <c r="E24" s="89"/>
      <c r="F24" s="89"/>
      <c r="G24" s="88">
        <f>C24+D24+F24</f>
        <v>800</v>
      </c>
      <c r="H24" s="89">
        <v>8</v>
      </c>
      <c r="I24" s="89"/>
      <c r="J24" s="89"/>
      <c r="K24" s="89"/>
      <c r="L24" s="89"/>
      <c r="M24" s="89"/>
      <c r="N24" s="88">
        <f t="shared" si="0"/>
        <v>792</v>
      </c>
      <c r="O24" s="105">
        <v>43544</v>
      </c>
      <c r="P24" s="117" t="s">
        <v>18</v>
      </c>
      <c r="Q24" s="144" t="s">
        <v>98</v>
      </c>
    </row>
    <row r="25" spans="1:18" ht="13.5" thickBot="1" x14ac:dyDescent="0.25">
      <c r="A25" s="81" t="s">
        <v>86</v>
      </c>
      <c r="B25" s="82" t="s">
        <v>106</v>
      </c>
      <c r="C25" s="89">
        <v>1000</v>
      </c>
      <c r="D25" s="89"/>
      <c r="E25" s="89"/>
      <c r="F25" s="89"/>
      <c r="G25" s="88">
        <f>C25+D25+F25</f>
        <v>1000</v>
      </c>
      <c r="H25" s="89">
        <v>10</v>
      </c>
      <c r="I25" s="89"/>
      <c r="J25" s="89"/>
      <c r="K25" s="89"/>
      <c r="L25" s="89"/>
      <c r="M25" s="89">
        <v>200</v>
      </c>
      <c r="N25" s="88">
        <f t="shared" si="0"/>
        <v>790</v>
      </c>
      <c r="O25" s="105">
        <v>43544</v>
      </c>
      <c r="P25" s="117" t="s">
        <v>18</v>
      </c>
      <c r="Q25" s="144" t="s">
        <v>98</v>
      </c>
    </row>
    <row r="26" spans="1:18" s="94" customFormat="1" ht="13.5" thickBot="1" x14ac:dyDescent="0.25">
      <c r="A26" s="465" t="s">
        <v>0</v>
      </c>
      <c r="B26" s="466"/>
      <c r="C26" s="118">
        <f t="shared" ref="C26:N26" si="4">SUM(C20:C25)</f>
        <v>7767.6</v>
      </c>
      <c r="D26" s="119">
        <f t="shared" si="4"/>
        <v>584.85</v>
      </c>
      <c r="E26" s="119">
        <f t="shared" si="4"/>
        <v>690</v>
      </c>
      <c r="F26" s="119">
        <f t="shared" si="4"/>
        <v>572.75</v>
      </c>
      <c r="G26" s="119">
        <f t="shared" si="4"/>
        <v>9615.2000000000007</v>
      </c>
      <c r="H26" s="119">
        <f t="shared" si="4"/>
        <v>89.26</v>
      </c>
      <c r="I26" s="119">
        <f t="shared" si="4"/>
        <v>394</v>
      </c>
      <c r="J26" s="119">
        <f t="shared" si="4"/>
        <v>-155</v>
      </c>
      <c r="K26" s="119">
        <f t="shared" si="4"/>
        <v>572.75</v>
      </c>
      <c r="L26" s="119">
        <f t="shared" si="4"/>
        <v>402.23</v>
      </c>
      <c r="M26" s="119">
        <f t="shared" si="4"/>
        <v>1425</v>
      </c>
      <c r="N26" s="119">
        <f t="shared" si="4"/>
        <v>6314.2099999999982</v>
      </c>
      <c r="O26" s="467" t="s">
        <v>0</v>
      </c>
      <c r="P26" s="468"/>
      <c r="Q26" s="144"/>
      <c r="R26" s="319"/>
    </row>
    <row r="27" spans="1:18" x14ac:dyDescent="0.2">
      <c r="A27" s="96" t="s">
        <v>25</v>
      </c>
      <c r="B27" s="97" t="s">
        <v>68</v>
      </c>
      <c r="C27" s="88">
        <v>3119.2</v>
      </c>
      <c r="D27" s="88">
        <v>584.85</v>
      </c>
      <c r="E27" s="88">
        <v>490</v>
      </c>
      <c r="F27" s="88">
        <v>572.75</v>
      </c>
      <c r="G27" s="88">
        <f>C27+D27+F27+E27</f>
        <v>4766.7999999999993</v>
      </c>
      <c r="H27" s="88">
        <v>42.77</v>
      </c>
      <c r="I27" s="88">
        <v>394</v>
      </c>
      <c r="J27" s="88">
        <v>-155</v>
      </c>
      <c r="K27" s="88">
        <f>F27</f>
        <v>572.75</v>
      </c>
      <c r="L27" s="88">
        <v>200.01</v>
      </c>
      <c r="M27" s="88">
        <v>1125</v>
      </c>
      <c r="N27" s="88">
        <f t="shared" si="0"/>
        <v>2014.5199999999986</v>
      </c>
      <c r="O27" s="108">
        <v>43551</v>
      </c>
      <c r="P27" s="120" t="s">
        <v>39</v>
      </c>
      <c r="Q27" s="144" t="s">
        <v>98</v>
      </c>
    </row>
    <row r="28" spans="1:18" x14ac:dyDescent="0.2">
      <c r="A28" s="99" t="s">
        <v>26</v>
      </c>
      <c r="B28" s="82" t="s">
        <v>76</v>
      </c>
      <c r="C28" s="89">
        <v>818.8</v>
      </c>
      <c r="D28" s="89"/>
      <c r="E28" s="89">
        <v>50</v>
      </c>
      <c r="F28" s="89"/>
      <c r="G28" s="88">
        <f>C28+D28+F28+E28</f>
        <v>868.8</v>
      </c>
      <c r="H28" s="89">
        <v>8.19</v>
      </c>
      <c r="I28" s="89"/>
      <c r="J28" s="89"/>
      <c r="K28" s="89"/>
      <c r="L28" s="89">
        <v>58.14</v>
      </c>
      <c r="M28" s="89">
        <v>100</v>
      </c>
      <c r="N28" s="88">
        <f>C28+D28+E28-H28-I28-J28-K28-L28-M28</f>
        <v>702.46999999999991</v>
      </c>
      <c r="O28" s="106">
        <v>43551</v>
      </c>
      <c r="P28" s="121" t="s">
        <v>39</v>
      </c>
      <c r="Q28" s="144" t="s">
        <v>98</v>
      </c>
    </row>
    <row r="29" spans="1:18" x14ac:dyDescent="0.2">
      <c r="A29" s="99" t="s">
        <v>3</v>
      </c>
      <c r="B29" s="82" t="s">
        <v>77</v>
      </c>
      <c r="C29" s="89">
        <v>1074.8</v>
      </c>
      <c r="D29" s="89"/>
      <c r="E29" s="89">
        <v>50</v>
      </c>
      <c r="F29" s="89"/>
      <c r="G29" s="88">
        <f>C29+D29+F29+E29</f>
        <v>1124.8</v>
      </c>
      <c r="H29" s="89">
        <v>10.75</v>
      </c>
      <c r="I29" s="89"/>
      <c r="J29" s="89"/>
      <c r="K29" s="89"/>
      <c r="L29" s="89">
        <v>76.3</v>
      </c>
      <c r="M29" s="89"/>
      <c r="N29" s="88">
        <f t="shared" si="0"/>
        <v>1037.75</v>
      </c>
      <c r="O29" s="106">
        <v>43551</v>
      </c>
      <c r="P29" s="121" t="s">
        <v>39</v>
      </c>
      <c r="Q29" s="144" t="s">
        <v>98</v>
      </c>
    </row>
    <row r="30" spans="1:18" x14ac:dyDescent="0.2">
      <c r="A30" s="99" t="s">
        <v>32</v>
      </c>
      <c r="B30" s="82" t="s">
        <v>78</v>
      </c>
      <c r="C30" s="89">
        <v>954.8</v>
      </c>
      <c r="D30" s="89">
        <v>179.03</v>
      </c>
      <c r="E30" s="89">
        <v>100</v>
      </c>
      <c r="F30" s="89"/>
      <c r="G30" s="88">
        <f>C30+D30+F30+E30</f>
        <v>1233.83</v>
      </c>
      <c r="H30" s="89">
        <v>11.34</v>
      </c>
      <c r="I30" s="89"/>
      <c r="J30" s="89"/>
      <c r="K30" s="89"/>
      <c r="L30" s="89">
        <v>67.78</v>
      </c>
      <c r="M30" s="89"/>
      <c r="N30" s="88">
        <f>C30+D30+E30-H30-I30-J30-K30-L30-M30</f>
        <v>1154.71</v>
      </c>
      <c r="O30" s="106">
        <v>43551</v>
      </c>
      <c r="P30" s="121" t="s">
        <v>39</v>
      </c>
      <c r="Q30" s="144" t="s">
        <v>98</v>
      </c>
    </row>
    <row r="31" spans="1:18" x14ac:dyDescent="0.2">
      <c r="A31" s="99" t="s">
        <v>75</v>
      </c>
      <c r="B31" s="82" t="s">
        <v>79</v>
      </c>
      <c r="C31" s="89">
        <v>800</v>
      </c>
      <c r="D31" s="89"/>
      <c r="E31" s="89"/>
      <c r="F31" s="89"/>
      <c r="G31" s="88">
        <f>C31+D31+F31</f>
        <v>800</v>
      </c>
      <c r="H31" s="89">
        <v>8</v>
      </c>
      <c r="I31" s="89"/>
      <c r="J31" s="89"/>
      <c r="K31" s="89"/>
      <c r="L31" s="89"/>
      <c r="M31" s="89"/>
      <c r="N31" s="88">
        <f t="shared" si="0"/>
        <v>792</v>
      </c>
      <c r="O31" s="106">
        <v>43551</v>
      </c>
      <c r="P31" s="121" t="s">
        <v>39</v>
      </c>
      <c r="Q31" s="144" t="s">
        <v>98</v>
      </c>
    </row>
    <row r="32" spans="1:18" ht="13.5" thickBot="1" x14ac:dyDescent="0.25">
      <c r="A32" s="99" t="s">
        <v>110</v>
      </c>
      <c r="B32" s="82" t="s">
        <v>109</v>
      </c>
      <c r="C32" s="89">
        <v>480</v>
      </c>
      <c r="D32" s="89"/>
      <c r="E32" s="89"/>
      <c r="F32" s="89"/>
      <c r="G32" s="88">
        <f>C32+D32+F32</f>
        <v>480</v>
      </c>
      <c r="H32" s="89">
        <v>4.8</v>
      </c>
      <c r="I32" s="89"/>
      <c r="J32" s="89"/>
      <c r="K32" s="89"/>
      <c r="L32" s="89"/>
      <c r="M32" s="89"/>
      <c r="N32" s="88">
        <f t="shared" si="0"/>
        <v>475.2</v>
      </c>
      <c r="O32" s="105">
        <v>43551</v>
      </c>
      <c r="P32" s="121" t="s">
        <v>39</v>
      </c>
      <c r="Q32" s="144" t="s">
        <v>98</v>
      </c>
    </row>
    <row r="33" spans="1:18" s="94" customFormat="1" ht="13.5" thickBot="1" x14ac:dyDescent="0.25">
      <c r="A33" s="447" t="s">
        <v>0</v>
      </c>
      <c r="B33" s="448"/>
      <c r="C33" s="122">
        <f t="shared" ref="C33:N33" si="5">SUM(C27:C32)</f>
        <v>7247.6</v>
      </c>
      <c r="D33" s="123">
        <f t="shared" si="5"/>
        <v>763.88</v>
      </c>
      <c r="E33" s="123">
        <f t="shared" si="5"/>
        <v>690</v>
      </c>
      <c r="F33" s="123">
        <f t="shared" si="5"/>
        <v>572.75</v>
      </c>
      <c r="G33" s="123">
        <f t="shared" si="5"/>
        <v>9274.23</v>
      </c>
      <c r="H33" s="123">
        <f t="shared" si="5"/>
        <v>85.85</v>
      </c>
      <c r="I33" s="123">
        <f t="shared" si="5"/>
        <v>394</v>
      </c>
      <c r="J33" s="123">
        <f t="shared" si="5"/>
        <v>-155</v>
      </c>
      <c r="K33" s="123">
        <f t="shared" si="5"/>
        <v>572.75</v>
      </c>
      <c r="L33" s="123">
        <f t="shared" si="5"/>
        <v>402.23</v>
      </c>
      <c r="M33" s="123">
        <f t="shared" si="5"/>
        <v>1225</v>
      </c>
      <c r="N33" s="123">
        <f t="shared" si="5"/>
        <v>6176.6499999999987</v>
      </c>
      <c r="O33" s="449" t="s">
        <v>0</v>
      </c>
      <c r="P33" s="450"/>
      <c r="Q33" s="145"/>
      <c r="R33" s="319"/>
    </row>
    <row r="34" spans="1:18" s="153" customFormat="1" ht="13.5" thickBot="1" x14ac:dyDescent="0.25">
      <c r="A34" s="437" t="s">
        <v>99</v>
      </c>
      <c r="B34" s="438"/>
      <c r="C34" s="171">
        <f t="shared" ref="C34:N34" si="6">C33+C26+C19+C12</f>
        <v>31350.400000000001</v>
      </c>
      <c r="D34" s="172">
        <f t="shared" si="6"/>
        <v>1348.73</v>
      </c>
      <c r="E34" s="172">
        <f t="shared" si="6"/>
        <v>2760</v>
      </c>
      <c r="F34" s="172">
        <f t="shared" si="6"/>
        <v>2291</v>
      </c>
      <c r="G34" s="172">
        <f t="shared" si="6"/>
        <v>37750.129999999997</v>
      </c>
      <c r="H34" s="172">
        <f t="shared" si="6"/>
        <v>349.92999999999995</v>
      </c>
      <c r="I34" s="172">
        <f t="shared" si="6"/>
        <v>1364</v>
      </c>
      <c r="J34" s="172">
        <f t="shared" si="6"/>
        <v>-620</v>
      </c>
      <c r="K34" s="172">
        <f t="shared" si="6"/>
        <v>2291</v>
      </c>
      <c r="L34" s="172">
        <f t="shared" si="6"/>
        <v>1608.92</v>
      </c>
      <c r="M34" s="172">
        <f t="shared" si="6"/>
        <v>5600</v>
      </c>
      <c r="N34" s="173">
        <f t="shared" si="6"/>
        <v>24865.279999999999</v>
      </c>
      <c r="O34" s="157"/>
      <c r="P34" s="158"/>
      <c r="Q34" s="152"/>
      <c r="R34" s="320"/>
    </row>
    <row r="35" spans="1:18" s="180" customFormat="1" x14ac:dyDescent="0.2">
      <c r="A35" s="175" t="s">
        <v>8</v>
      </c>
      <c r="B35" s="183" t="s">
        <v>111</v>
      </c>
      <c r="C35" s="176">
        <v>13535</v>
      </c>
      <c r="D35" s="176"/>
      <c r="E35" s="176"/>
      <c r="F35" s="176">
        <v>5162</v>
      </c>
      <c r="G35" s="176"/>
      <c r="H35" s="176"/>
      <c r="I35" s="176">
        <v>2364</v>
      </c>
      <c r="J35" s="176">
        <v>-829</v>
      </c>
      <c r="K35" s="176"/>
      <c r="L35" s="176"/>
      <c r="M35" s="176"/>
      <c r="N35" s="88">
        <f t="shared" si="0"/>
        <v>12000</v>
      </c>
      <c r="O35" s="177"/>
      <c r="P35" s="178"/>
      <c r="Q35" s="179"/>
      <c r="R35" s="321"/>
    </row>
    <row r="36" spans="1:18" s="180" customFormat="1" x14ac:dyDescent="0.2">
      <c r="A36" s="175" t="s">
        <v>27</v>
      </c>
      <c r="B36" s="183" t="s">
        <v>112</v>
      </c>
      <c r="C36" s="181">
        <v>12113</v>
      </c>
      <c r="D36" s="181"/>
      <c r="E36" s="181"/>
      <c r="F36" s="181">
        <v>2400</v>
      </c>
      <c r="G36" s="181"/>
      <c r="H36" s="181"/>
      <c r="I36" s="181">
        <v>1423</v>
      </c>
      <c r="J36" s="181">
        <v>-310</v>
      </c>
      <c r="K36" s="181"/>
      <c r="L36" s="181"/>
      <c r="M36" s="181"/>
      <c r="N36" s="88">
        <f t="shared" si="0"/>
        <v>11000</v>
      </c>
      <c r="O36" s="177"/>
      <c r="P36" s="178"/>
      <c r="Q36" s="179"/>
      <c r="R36" s="321"/>
    </row>
    <row r="37" spans="1:18" s="180" customFormat="1" ht="13.5" thickBot="1" x14ac:dyDescent="0.25">
      <c r="A37" s="175" t="s">
        <v>6</v>
      </c>
      <c r="B37" s="183" t="s">
        <v>113</v>
      </c>
      <c r="C37" s="182">
        <v>11713.13</v>
      </c>
      <c r="D37" s="182"/>
      <c r="E37" s="182"/>
      <c r="F37" s="182">
        <v>2100</v>
      </c>
      <c r="G37" s="182"/>
      <c r="H37" s="182">
        <v>138.13</v>
      </c>
      <c r="I37" s="182">
        <v>1304</v>
      </c>
      <c r="J37" s="182">
        <v>-829</v>
      </c>
      <c r="K37" s="182">
        <v>2100</v>
      </c>
      <c r="L37" s="182"/>
      <c r="M37" s="182"/>
      <c r="N37" s="88">
        <f t="shared" si="0"/>
        <v>9000</v>
      </c>
      <c r="O37" s="177"/>
      <c r="P37" s="178"/>
      <c r="Q37" s="179"/>
      <c r="R37" s="321"/>
    </row>
    <row r="38" spans="1:18" s="143" customFormat="1" ht="13.5" thickBot="1" x14ac:dyDescent="0.25">
      <c r="A38" s="439" t="s">
        <v>100</v>
      </c>
      <c r="B38" s="440"/>
      <c r="C38" s="174">
        <f t="shared" ref="C38:N38" si="7">SUM(C35:C37)</f>
        <v>37361.129999999997</v>
      </c>
      <c r="D38" s="174">
        <f t="shared" si="7"/>
        <v>0</v>
      </c>
      <c r="E38" s="174">
        <f t="shared" si="7"/>
        <v>0</v>
      </c>
      <c r="F38" s="174">
        <f t="shared" si="7"/>
        <v>9662</v>
      </c>
      <c r="G38" s="174">
        <f t="shared" si="7"/>
        <v>0</v>
      </c>
      <c r="H38" s="174">
        <f t="shared" si="7"/>
        <v>138.13</v>
      </c>
      <c r="I38" s="174">
        <f t="shared" si="7"/>
        <v>5091</v>
      </c>
      <c r="J38" s="174">
        <f t="shared" si="7"/>
        <v>-1968</v>
      </c>
      <c r="K38" s="174">
        <f t="shared" si="7"/>
        <v>2100</v>
      </c>
      <c r="L38" s="174">
        <f t="shared" si="7"/>
        <v>0</v>
      </c>
      <c r="M38" s="174">
        <f t="shared" si="7"/>
        <v>0</v>
      </c>
      <c r="N38" s="174">
        <f t="shared" si="7"/>
        <v>32000</v>
      </c>
      <c r="O38" s="160"/>
      <c r="P38" s="161"/>
      <c r="Q38" s="146"/>
      <c r="R38" s="322"/>
    </row>
    <row r="39" spans="1:18" s="143" customFormat="1" ht="13.5" thickBot="1" x14ac:dyDescent="0.25">
      <c r="A39" s="441" t="s">
        <v>101</v>
      </c>
      <c r="B39" s="441"/>
      <c r="C39" s="154"/>
      <c r="D39" s="154"/>
      <c r="E39" s="154"/>
      <c r="F39" s="154"/>
      <c r="G39" s="154"/>
      <c r="H39" s="163">
        <f>(H34+H38)*2</f>
        <v>976.11999999999989</v>
      </c>
      <c r="I39" s="159">
        <f>I34+I38</f>
        <v>6455</v>
      </c>
      <c r="J39" s="164">
        <f>J34+J38</f>
        <v>-2588</v>
      </c>
      <c r="K39" s="154"/>
      <c r="L39" s="154"/>
      <c r="M39" s="154"/>
      <c r="N39" s="154">
        <f>9000+11000+12000</f>
        <v>32000</v>
      </c>
      <c r="O39" s="142"/>
      <c r="P39" s="142"/>
      <c r="Q39" s="156"/>
      <c r="R39" s="322"/>
    </row>
    <row r="40" spans="1:18" s="143" customFormat="1" ht="13.5" thickBot="1" x14ac:dyDescent="0.25">
      <c r="A40" s="162"/>
      <c r="B40" s="162"/>
      <c r="C40" s="154"/>
      <c r="D40" s="154"/>
      <c r="E40" s="154"/>
      <c r="F40" s="154"/>
      <c r="G40" s="154"/>
      <c r="H40" s="154"/>
      <c r="I40" s="455">
        <f>I39+J39</f>
        <v>3867</v>
      </c>
      <c r="J40" s="456"/>
      <c r="K40" s="154"/>
      <c r="L40" s="154"/>
      <c r="M40" s="154"/>
      <c r="N40" s="154"/>
      <c r="O40" s="142"/>
      <c r="P40" s="142"/>
      <c r="Q40" s="156"/>
      <c r="R40" s="322"/>
    </row>
    <row r="41" spans="1:18" s="143" customFormat="1" ht="13.5" thickBot="1" x14ac:dyDescent="0.25">
      <c r="A41" s="162"/>
      <c r="B41" s="162"/>
      <c r="C41" s="154"/>
      <c r="D41" s="154"/>
      <c r="E41" s="154"/>
      <c r="F41" s="154"/>
      <c r="G41" s="154"/>
      <c r="H41" s="457">
        <f>SUM(H39:J39)</f>
        <v>4843.12</v>
      </c>
      <c r="I41" s="458"/>
      <c r="J41" s="459"/>
      <c r="K41" s="154"/>
      <c r="L41" s="154"/>
      <c r="M41" s="154"/>
      <c r="N41" s="154"/>
      <c r="O41" s="142"/>
      <c r="P41" s="142"/>
      <c r="Q41" s="156"/>
      <c r="R41" s="322"/>
    </row>
    <row r="42" spans="1:18" s="155" customFormat="1" ht="13.5" thickBot="1" x14ac:dyDescent="0.25">
      <c r="A42" s="141"/>
      <c r="B42" s="141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42"/>
      <c r="P42" s="142"/>
      <c r="Q42" s="141"/>
      <c r="R42" s="154"/>
    </row>
    <row r="43" spans="1:18" s="79" customFormat="1" ht="13.5" thickBot="1" x14ac:dyDescent="0.25">
      <c r="A43" s="444" t="s">
        <v>118</v>
      </c>
      <c r="B43" s="445"/>
      <c r="C43" s="445"/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6"/>
      <c r="R43" s="318"/>
    </row>
    <row r="44" spans="1:18" s="79" customFormat="1" ht="13.5" thickBot="1" x14ac:dyDescent="0.25">
      <c r="A44" s="85" t="s">
        <v>69</v>
      </c>
      <c r="B44" s="86" t="s">
        <v>1</v>
      </c>
      <c r="C44" s="87" t="s">
        <v>61</v>
      </c>
      <c r="D44" s="87" t="s">
        <v>62</v>
      </c>
      <c r="E44" s="87" t="s">
        <v>73</v>
      </c>
      <c r="F44" s="87" t="s">
        <v>67</v>
      </c>
      <c r="G44" s="87" t="s">
        <v>81</v>
      </c>
      <c r="H44" s="87" t="s">
        <v>64</v>
      </c>
      <c r="I44" s="87" t="s">
        <v>65</v>
      </c>
      <c r="J44" s="87" t="s">
        <v>72</v>
      </c>
      <c r="K44" s="87" t="s">
        <v>67</v>
      </c>
      <c r="L44" s="87" t="s">
        <v>63</v>
      </c>
      <c r="M44" s="87" t="s">
        <v>66</v>
      </c>
      <c r="N44" s="87" t="s">
        <v>2</v>
      </c>
      <c r="O44" s="92" t="s">
        <v>71</v>
      </c>
      <c r="P44" s="93" t="s">
        <v>74</v>
      </c>
      <c r="Q44" s="147" t="s">
        <v>97</v>
      </c>
      <c r="R44" s="318"/>
    </row>
    <row r="45" spans="1:18" x14ac:dyDescent="0.2">
      <c r="A45" s="96" t="s">
        <v>25</v>
      </c>
      <c r="B45" s="97" t="s">
        <v>68</v>
      </c>
      <c r="C45" s="88">
        <v>3119.2</v>
      </c>
      <c r="D45" s="88">
        <v>935.76</v>
      </c>
      <c r="E45" s="88">
        <v>490</v>
      </c>
      <c r="F45" s="88">
        <v>572.75</v>
      </c>
      <c r="G45" s="88">
        <f>C45+D45+F45+E45</f>
        <v>5117.71</v>
      </c>
      <c r="H45" s="88">
        <v>46.28</v>
      </c>
      <c r="I45" s="88">
        <v>481</v>
      </c>
      <c r="J45" s="88">
        <v>-155</v>
      </c>
      <c r="K45" s="88">
        <f>F45</f>
        <v>572.75</v>
      </c>
      <c r="L45" s="88">
        <v>200.01</v>
      </c>
      <c r="M45" s="88">
        <v>1125</v>
      </c>
      <c r="N45" s="98">
        <f t="shared" si="0"/>
        <v>2274.92</v>
      </c>
      <c r="O45" s="108">
        <v>43558</v>
      </c>
      <c r="P45" s="148" t="s">
        <v>43</v>
      </c>
      <c r="Q45" s="144" t="s">
        <v>102</v>
      </c>
    </row>
    <row r="46" spans="1:18" x14ac:dyDescent="0.2">
      <c r="A46" s="99" t="s">
        <v>26</v>
      </c>
      <c r="B46" s="82" t="s">
        <v>76</v>
      </c>
      <c r="C46" s="89">
        <v>818.8</v>
      </c>
      <c r="D46" s="89"/>
      <c r="E46" s="89">
        <v>50</v>
      </c>
      <c r="F46" s="89"/>
      <c r="G46" s="88">
        <f>C46+D46+F46+E46</f>
        <v>868.8</v>
      </c>
      <c r="H46" s="89">
        <v>8.19</v>
      </c>
      <c r="I46" s="89"/>
      <c r="J46" s="89"/>
      <c r="K46" s="89"/>
      <c r="L46" s="89">
        <v>58.14</v>
      </c>
      <c r="M46" s="89">
        <v>100</v>
      </c>
      <c r="N46" s="88">
        <f t="shared" si="0"/>
        <v>702.46999999999991</v>
      </c>
      <c r="O46" s="106">
        <v>43558</v>
      </c>
      <c r="P46" s="149" t="s">
        <v>43</v>
      </c>
      <c r="Q46" s="144" t="s">
        <v>102</v>
      </c>
    </row>
    <row r="47" spans="1:18" x14ac:dyDescent="0.2">
      <c r="A47" s="99" t="s">
        <v>3</v>
      </c>
      <c r="B47" s="82" t="s">
        <v>77</v>
      </c>
      <c r="C47" s="89">
        <v>1074.8</v>
      </c>
      <c r="D47" s="89"/>
      <c r="E47" s="89">
        <v>50</v>
      </c>
      <c r="F47" s="89"/>
      <c r="G47" s="88">
        <f>C47+D47+F47+E47</f>
        <v>1124.8</v>
      </c>
      <c r="H47" s="89">
        <v>10.75</v>
      </c>
      <c r="I47" s="89"/>
      <c r="J47" s="89"/>
      <c r="K47" s="89"/>
      <c r="L47" s="89">
        <v>76.3</v>
      </c>
      <c r="M47" s="89"/>
      <c r="N47" s="88">
        <f t="shared" si="0"/>
        <v>1037.75</v>
      </c>
      <c r="O47" s="106">
        <v>43558</v>
      </c>
      <c r="P47" s="149" t="s">
        <v>43</v>
      </c>
      <c r="Q47" s="144" t="s">
        <v>102</v>
      </c>
    </row>
    <row r="48" spans="1:18" x14ac:dyDescent="0.2">
      <c r="A48" s="99" t="s">
        <v>32</v>
      </c>
      <c r="B48" s="82" t="s">
        <v>78</v>
      </c>
      <c r="C48" s="89">
        <v>954.8</v>
      </c>
      <c r="D48" s="89"/>
      <c r="E48" s="89">
        <v>100</v>
      </c>
      <c r="F48" s="89"/>
      <c r="G48" s="88">
        <f>C48+D48+F48+E48</f>
        <v>1054.8</v>
      </c>
      <c r="H48" s="89">
        <v>9.5500000000000007</v>
      </c>
      <c r="I48" s="89"/>
      <c r="J48" s="89"/>
      <c r="K48" s="89"/>
      <c r="L48" s="89">
        <v>67.78</v>
      </c>
      <c r="M48" s="89"/>
      <c r="N48" s="88">
        <f>C48+D48+E48-H48-I48-J48-K48-L48-M48</f>
        <v>977.47</v>
      </c>
      <c r="O48" s="106">
        <v>43558</v>
      </c>
      <c r="P48" s="149" t="s">
        <v>43</v>
      </c>
      <c r="Q48" s="144" t="s">
        <v>102</v>
      </c>
    </row>
    <row r="49" spans="1:18" x14ac:dyDescent="0.2">
      <c r="A49" s="103" t="s">
        <v>75</v>
      </c>
      <c r="B49" s="95" t="s">
        <v>79</v>
      </c>
      <c r="C49" s="185">
        <v>800</v>
      </c>
      <c r="D49" s="185"/>
      <c r="E49" s="185"/>
      <c r="F49" s="185"/>
      <c r="G49" s="88">
        <f>C49+D49+F49</f>
        <v>800</v>
      </c>
      <c r="H49" s="185">
        <v>8</v>
      </c>
      <c r="I49" s="185"/>
      <c r="J49" s="185"/>
      <c r="K49" s="185"/>
      <c r="L49" s="185"/>
      <c r="M49" s="185"/>
      <c r="N49" s="88">
        <f t="shared" ref="N49" si="8">C49+D49+E49-H49-I49-J49-K49-L49-M49</f>
        <v>792</v>
      </c>
      <c r="O49" s="106">
        <v>43558</v>
      </c>
      <c r="P49" s="149" t="s">
        <v>43</v>
      </c>
      <c r="Q49" s="144" t="s">
        <v>102</v>
      </c>
    </row>
    <row r="50" spans="1:18" ht="13.5" thickBot="1" x14ac:dyDescent="0.25">
      <c r="A50" s="100" t="s">
        <v>110</v>
      </c>
      <c r="B50" s="101" t="s">
        <v>109</v>
      </c>
      <c r="C50" s="102">
        <v>800</v>
      </c>
      <c r="D50" s="102"/>
      <c r="E50" s="102"/>
      <c r="F50" s="102"/>
      <c r="G50" s="150">
        <f t="shared" si="1"/>
        <v>800</v>
      </c>
      <c r="H50" s="102">
        <v>8</v>
      </c>
      <c r="I50" s="102"/>
      <c r="J50" s="102"/>
      <c r="K50" s="102"/>
      <c r="L50" s="102"/>
      <c r="M50" s="102"/>
      <c r="N50" s="150">
        <f t="shared" si="0"/>
        <v>792</v>
      </c>
      <c r="O50" s="105">
        <v>43558</v>
      </c>
      <c r="P50" s="151" t="s">
        <v>43</v>
      </c>
      <c r="Q50" s="144" t="s">
        <v>102</v>
      </c>
    </row>
    <row r="51" spans="1:18" s="94" customFormat="1" ht="13.5" thickBot="1" x14ac:dyDescent="0.25">
      <c r="A51" s="479" t="s">
        <v>0</v>
      </c>
      <c r="B51" s="480"/>
      <c r="C51" s="124">
        <f t="shared" ref="C51:N51" si="9">SUM(C45:C50)</f>
        <v>7567.6</v>
      </c>
      <c r="D51" s="125">
        <f t="shared" si="9"/>
        <v>935.76</v>
      </c>
      <c r="E51" s="125">
        <f t="shared" si="9"/>
        <v>690</v>
      </c>
      <c r="F51" s="125">
        <f t="shared" si="9"/>
        <v>572.75</v>
      </c>
      <c r="G51" s="125">
        <f t="shared" si="9"/>
        <v>9766.11</v>
      </c>
      <c r="H51" s="125">
        <f t="shared" si="9"/>
        <v>90.77</v>
      </c>
      <c r="I51" s="125">
        <f t="shared" si="9"/>
        <v>481</v>
      </c>
      <c r="J51" s="125">
        <f t="shared" si="9"/>
        <v>-155</v>
      </c>
      <c r="K51" s="125">
        <f t="shared" si="9"/>
        <v>572.75</v>
      </c>
      <c r="L51" s="125">
        <f t="shared" si="9"/>
        <v>402.23</v>
      </c>
      <c r="M51" s="125">
        <f t="shared" si="9"/>
        <v>1225</v>
      </c>
      <c r="N51" s="125">
        <f t="shared" si="9"/>
        <v>6576.61</v>
      </c>
      <c r="O51" s="481" t="s">
        <v>0</v>
      </c>
      <c r="P51" s="482"/>
      <c r="Q51" s="144"/>
      <c r="R51" s="319"/>
    </row>
    <row r="52" spans="1:18" x14ac:dyDescent="0.2">
      <c r="A52" s="96" t="s">
        <v>25</v>
      </c>
      <c r="B52" s="97" t="s">
        <v>68</v>
      </c>
      <c r="C52" s="88">
        <v>3119.2</v>
      </c>
      <c r="D52" s="88"/>
      <c r="E52" s="88">
        <v>490</v>
      </c>
      <c r="F52" s="88">
        <v>572.75</v>
      </c>
      <c r="G52" s="88">
        <f>C52+D52+F52+E52</f>
        <v>4181.95</v>
      </c>
      <c r="H52" s="88">
        <v>36.92</v>
      </c>
      <c r="I52" s="88">
        <v>288</v>
      </c>
      <c r="J52" s="88">
        <v>-155</v>
      </c>
      <c r="K52" s="88">
        <f>F52</f>
        <v>572.75</v>
      </c>
      <c r="L52" s="88">
        <v>200.01</v>
      </c>
      <c r="M52" s="88">
        <v>1125</v>
      </c>
      <c r="N52" s="88">
        <f t="shared" si="0"/>
        <v>1541.5199999999995</v>
      </c>
      <c r="O52" s="108">
        <v>43565</v>
      </c>
      <c r="P52" s="126" t="s">
        <v>44</v>
      </c>
      <c r="Q52" s="144" t="s">
        <v>102</v>
      </c>
    </row>
    <row r="53" spans="1:18" x14ac:dyDescent="0.2">
      <c r="A53" s="99" t="s">
        <v>26</v>
      </c>
      <c r="B53" s="82" t="s">
        <v>76</v>
      </c>
      <c r="C53" s="89">
        <v>818.8</v>
      </c>
      <c r="D53" s="89"/>
      <c r="E53" s="89">
        <v>50</v>
      </c>
      <c r="F53" s="89"/>
      <c r="G53" s="88">
        <f>C53+D53+F53+E53</f>
        <v>868.8</v>
      </c>
      <c r="H53" s="89">
        <v>8.19</v>
      </c>
      <c r="I53" s="89"/>
      <c r="J53" s="89"/>
      <c r="K53" s="89"/>
      <c r="L53" s="89">
        <v>58.14</v>
      </c>
      <c r="M53" s="89">
        <v>100</v>
      </c>
      <c r="N53" s="88">
        <f t="shared" si="0"/>
        <v>702.46999999999991</v>
      </c>
      <c r="O53" s="106">
        <v>43565</v>
      </c>
      <c r="P53" s="127" t="s">
        <v>44</v>
      </c>
      <c r="Q53" s="144" t="s">
        <v>102</v>
      </c>
    </row>
    <row r="54" spans="1:18" x14ac:dyDescent="0.2">
      <c r="A54" s="99" t="s">
        <v>3</v>
      </c>
      <c r="B54" s="82" t="s">
        <v>77</v>
      </c>
      <c r="C54" s="89">
        <v>1074.8</v>
      </c>
      <c r="D54" s="89"/>
      <c r="E54" s="89">
        <v>50</v>
      </c>
      <c r="F54" s="89"/>
      <c r="G54" s="88">
        <f>C54+D54+F54+E54</f>
        <v>1124.8</v>
      </c>
      <c r="H54" s="89">
        <v>10.75</v>
      </c>
      <c r="I54" s="89"/>
      <c r="J54" s="89"/>
      <c r="K54" s="89"/>
      <c r="L54" s="89">
        <v>76.3</v>
      </c>
      <c r="M54" s="89"/>
      <c r="N54" s="88">
        <f t="shared" si="0"/>
        <v>1037.75</v>
      </c>
      <c r="O54" s="106">
        <v>43565</v>
      </c>
      <c r="P54" s="112" t="s">
        <v>44</v>
      </c>
      <c r="Q54" s="144" t="s">
        <v>102</v>
      </c>
    </row>
    <row r="55" spans="1:18" x14ac:dyDescent="0.2">
      <c r="A55" s="99" t="s">
        <v>32</v>
      </c>
      <c r="B55" s="82" t="s">
        <v>78</v>
      </c>
      <c r="C55" s="89">
        <v>954.8</v>
      </c>
      <c r="D55" s="89"/>
      <c r="E55" s="89">
        <v>100</v>
      </c>
      <c r="F55" s="89"/>
      <c r="G55" s="88">
        <f>C55+D55+F55+E55</f>
        <v>1054.8</v>
      </c>
      <c r="H55" s="89">
        <v>9.5500000000000007</v>
      </c>
      <c r="I55" s="89"/>
      <c r="J55" s="89"/>
      <c r="K55" s="89"/>
      <c r="L55" s="89">
        <v>67.78</v>
      </c>
      <c r="M55" s="89"/>
      <c r="N55" s="88">
        <f>C55+D55+E55-H55-I55-J55-K55-L55-M55</f>
        <v>977.47</v>
      </c>
      <c r="O55" s="106">
        <v>43565</v>
      </c>
      <c r="P55" s="127" t="s">
        <v>44</v>
      </c>
      <c r="Q55" s="144" t="s">
        <v>102</v>
      </c>
    </row>
    <row r="56" spans="1:18" x14ac:dyDescent="0.2">
      <c r="A56" s="99" t="s">
        <v>75</v>
      </c>
      <c r="B56" s="82" t="s">
        <v>79</v>
      </c>
      <c r="C56" s="89">
        <v>800</v>
      </c>
      <c r="D56" s="89"/>
      <c r="E56" s="89"/>
      <c r="F56" s="89"/>
      <c r="G56" s="88">
        <f t="shared" si="1"/>
        <v>800</v>
      </c>
      <c r="H56" s="89">
        <v>8</v>
      </c>
      <c r="I56" s="89"/>
      <c r="J56" s="89"/>
      <c r="K56" s="89"/>
      <c r="L56" s="89"/>
      <c r="M56" s="89"/>
      <c r="N56" s="88">
        <f t="shared" si="0"/>
        <v>792</v>
      </c>
      <c r="O56" s="106">
        <v>43565</v>
      </c>
      <c r="P56" s="112" t="s">
        <v>44</v>
      </c>
      <c r="Q56" s="144" t="s">
        <v>102</v>
      </c>
    </row>
    <row r="57" spans="1:18" ht="13.5" thickBot="1" x14ac:dyDescent="0.25">
      <c r="A57" s="100" t="s">
        <v>110</v>
      </c>
      <c r="B57" s="101" t="s">
        <v>109</v>
      </c>
      <c r="C57" s="89">
        <v>800</v>
      </c>
      <c r="D57" s="89"/>
      <c r="E57" s="89"/>
      <c r="F57" s="89"/>
      <c r="G57" s="88">
        <f t="shared" si="1"/>
        <v>800</v>
      </c>
      <c r="H57" s="89">
        <v>8</v>
      </c>
      <c r="I57" s="89"/>
      <c r="J57" s="89"/>
      <c r="K57" s="89"/>
      <c r="L57" s="89"/>
      <c r="M57" s="89"/>
      <c r="N57" s="102">
        <f t="shared" si="0"/>
        <v>792</v>
      </c>
      <c r="O57" s="106">
        <v>43565</v>
      </c>
      <c r="P57" s="128" t="s">
        <v>44</v>
      </c>
      <c r="Q57" s="144" t="s">
        <v>102</v>
      </c>
    </row>
    <row r="58" spans="1:18" s="94" customFormat="1" ht="13.5" thickBot="1" x14ac:dyDescent="0.25">
      <c r="A58" s="429" t="s">
        <v>0</v>
      </c>
      <c r="B58" s="430"/>
      <c r="C58" s="114">
        <f t="shared" ref="C58:N58" si="10">SUM(C52:C57)</f>
        <v>7567.6</v>
      </c>
      <c r="D58" s="114">
        <f t="shared" si="10"/>
        <v>0</v>
      </c>
      <c r="E58" s="114">
        <f t="shared" si="10"/>
        <v>690</v>
      </c>
      <c r="F58" s="114">
        <f t="shared" si="10"/>
        <v>572.75</v>
      </c>
      <c r="G58" s="114">
        <f t="shared" si="10"/>
        <v>8830.35</v>
      </c>
      <c r="H58" s="114">
        <f t="shared" si="10"/>
        <v>81.41</v>
      </c>
      <c r="I58" s="114">
        <f t="shared" si="10"/>
        <v>288</v>
      </c>
      <c r="J58" s="114">
        <f t="shared" si="10"/>
        <v>-155</v>
      </c>
      <c r="K58" s="114">
        <f t="shared" si="10"/>
        <v>572.75</v>
      </c>
      <c r="L58" s="114">
        <f t="shared" si="10"/>
        <v>402.23</v>
      </c>
      <c r="M58" s="114">
        <f t="shared" si="10"/>
        <v>1225</v>
      </c>
      <c r="N58" s="115">
        <f t="shared" si="10"/>
        <v>5843.2099999999991</v>
      </c>
      <c r="O58" s="431" t="s">
        <v>0</v>
      </c>
      <c r="P58" s="432"/>
      <c r="Q58" s="144"/>
      <c r="R58" s="319"/>
    </row>
    <row r="59" spans="1:18" x14ac:dyDescent="0.2">
      <c r="A59" s="83" t="s">
        <v>25</v>
      </c>
      <c r="B59" s="84" t="s">
        <v>68</v>
      </c>
      <c r="C59" s="88">
        <v>3119.2</v>
      </c>
      <c r="D59" s="88"/>
      <c r="E59" s="88">
        <v>490</v>
      </c>
      <c r="F59" s="88">
        <v>572.75</v>
      </c>
      <c r="G59" s="88">
        <f>C59+D59+F59+E59</f>
        <v>4181.95</v>
      </c>
      <c r="H59" s="88">
        <v>36.92</v>
      </c>
      <c r="I59" s="88">
        <v>288</v>
      </c>
      <c r="J59" s="88">
        <v>-155</v>
      </c>
      <c r="K59" s="88">
        <f>F59</f>
        <v>572.75</v>
      </c>
      <c r="L59" s="88">
        <v>200.01</v>
      </c>
      <c r="M59" s="88">
        <v>1125</v>
      </c>
      <c r="N59" s="88">
        <f t="shared" ref="N59" si="11">C59+D59+E59-H59-I59-J59-K59-L59-M59</f>
        <v>1541.5199999999995</v>
      </c>
      <c r="O59" s="105">
        <v>43572</v>
      </c>
      <c r="P59" s="117" t="s">
        <v>45</v>
      </c>
      <c r="Q59" s="144" t="s">
        <v>102</v>
      </c>
    </row>
    <row r="60" spans="1:18" x14ac:dyDescent="0.2">
      <c r="A60" s="81" t="s">
        <v>26</v>
      </c>
      <c r="B60" s="82" t="s">
        <v>76</v>
      </c>
      <c r="C60" s="89">
        <v>818.8</v>
      </c>
      <c r="D60" s="89">
        <v>0</v>
      </c>
      <c r="E60" s="89">
        <v>50</v>
      </c>
      <c r="F60" s="89">
        <v>0</v>
      </c>
      <c r="G60" s="88">
        <f>C60+D60+F60</f>
        <v>818.8</v>
      </c>
      <c r="H60" s="89">
        <v>8.19</v>
      </c>
      <c r="I60" s="89">
        <v>0</v>
      </c>
      <c r="J60" s="89"/>
      <c r="K60" s="89"/>
      <c r="L60" s="89">
        <v>58.14</v>
      </c>
      <c r="M60" s="89">
        <v>0</v>
      </c>
      <c r="N60" s="88">
        <f t="shared" si="0"/>
        <v>802.46999999999991</v>
      </c>
      <c r="O60" s="105">
        <v>43572</v>
      </c>
      <c r="P60" s="117" t="s">
        <v>45</v>
      </c>
      <c r="Q60" s="144" t="s">
        <v>102</v>
      </c>
    </row>
    <row r="61" spans="1:18" x14ac:dyDescent="0.2">
      <c r="A61" s="81" t="s">
        <v>3</v>
      </c>
      <c r="B61" s="82" t="s">
        <v>77</v>
      </c>
      <c r="C61" s="89">
        <v>1074.8</v>
      </c>
      <c r="D61" s="89"/>
      <c r="E61" s="89">
        <v>50</v>
      </c>
      <c r="F61" s="89"/>
      <c r="G61" s="88">
        <f>C61+D61+F61+E61</f>
        <v>1124.8</v>
      </c>
      <c r="H61" s="89">
        <v>10.75</v>
      </c>
      <c r="I61" s="89"/>
      <c r="J61" s="89"/>
      <c r="K61" s="89"/>
      <c r="L61" s="89">
        <v>76.3</v>
      </c>
      <c r="M61" s="89"/>
      <c r="N61" s="88">
        <f t="shared" si="0"/>
        <v>1037.75</v>
      </c>
      <c r="O61" s="105">
        <v>43572</v>
      </c>
      <c r="P61" s="117" t="s">
        <v>45</v>
      </c>
      <c r="Q61" s="144" t="s">
        <v>102</v>
      </c>
    </row>
    <row r="62" spans="1:18" x14ac:dyDescent="0.2">
      <c r="A62" s="81" t="s">
        <v>32</v>
      </c>
      <c r="B62" s="82" t="s">
        <v>78</v>
      </c>
      <c r="C62" s="89">
        <v>954.8</v>
      </c>
      <c r="D62" s="89"/>
      <c r="E62" s="89">
        <v>100</v>
      </c>
      <c r="F62" s="89"/>
      <c r="G62" s="88">
        <f>C62+D62+F62+E62</f>
        <v>1054.8</v>
      </c>
      <c r="H62" s="89">
        <v>9.5500000000000007</v>
      </c>
      <c r="I62" s="89"/>
      <c r="J62" s="89"/>
      <c r="K62" s="89"/>
      <c r="L62" s="89">
        <v>67.78</v>
      </c>
      <c r="M62" s="89"/>
      <c r="N62" s="88">
        <f t="shared" si="0"/>
        <v>977.47</v>
      </c>
      <c r="O62" s="105">
        <v>43572</v>
      </c>
      <c r="P62" s="117" t="s">
        <v>45</v>
      </c>
      <c r="Q62" s="144" t="s">
        <v>102</v>
      </c>
    </row>
    <row r="63" spans="1:18" x14ac:dyDescent="0.2">
      <c r="A63" s="81" t="s">
        <v>75</v>
      </c>
      <c r="B63" s="82" t="s">
        <v>79</v>
      </c>
      <c r="C63" s="89">
        <v>800</v>
      </c>
      <c r="D63" s="89"/>
      <c r="E63" s="89"/>
      <c r="F63" s="89"/>
      <c r="G63" s="88">
        <f t="shared" ref="G63:G64" si="12">C63+D63+F63</f>
        <v>800</v>
      </c>
      <c r="H63" s="89">
        <v>8</v>
      </c>
      <c r="I63" s="89"/>
      <c r="J63" s="89"/>
      <c r="K63" s="89"/>
      <c r="L63" s="89"/>
      <c r="M63" s="89"/>
      <c r="N63" s="88">
        <f t="shared" si="0"/>
        <v>792</v>
      </c>
      <c r="O63" s="105">
        <v>43572</v>
      </c>
      <c r="P63" s="117" t="s">
        <v>45</v>
      </c>
      <c r="Q63" s="144" t="s">
        <v>102</v>
      </c>
    </row>
    <row r="64" spans="1:18" ht="13.5" thickBot="1" x14ac:dyDescent="0.25">
      <c r="A64" s="81" t="s">
        <v>110</v>
      </c>
      <c r="B64" s="82" t="s">
        <v>109</v>
      </c>
      <c r="C64" s="89">
        <v>800</v>
      </c>
      <c r="D64" s="89"/>
      <c r="E64" s="89"/>
      <c r="F64" s="89"/>
      <c r="G64" s="88">
        <f t="shared" si="12"/>
        <v>800</v>
      </c>
      <c r="H64" s="89">
        <v>8</v>
      </c>
      <c r="I64" s="89"/>
      <c r="J64" s="89"/>
      <c r="K64" s="89"/>
      <c r="L64" s="89"/>
      <c r="M64" s="89"/>
      <c r="N64" s="88">
        <f t="shared" si="0"/>
        <v>792</v>
      </c>
      <c r="O64" s="105">
        <v>43572</v>
      </c>
      <c r="P64" s="117" t="s">
        <v>45</v>
      </c>
      <c r="Q64" s="144" t="s">
        <v>102</v>
      </c>
    </row>
    <row r="65" spans="1:18" s="94" customFormat="1" ht="13.5" thickBot="1" x14ac:dyDescent="0.25">
      <c r="A65" s="465" t="s">
        <v>0</v>
      </c>
      <c r="B65" s="466"/>
      <c r="C65" s="118">
        <f>SUM(C59:C64)</f>
        <v>7567.6</v>
      </c>
      <c r="D65" s="118">
        <f t="shared" ref="D65:N65" si="13">SUM(D59:D64)</f>
        <v>0</v>
      </c>
      <c r="E65" s="118">
        <f t="shared" si="13"/>
        <v>690</v>
      </c>
      <c r="F65" s="118">
        <f t="shared" si="13"/>
        <v>572.75</v>
      </c>
      <c r="G65" s="118">
        <f t="shared" si="13"/>
        <v>8780.35</v>
      </c>
      <c r="H65" s="118">
        <f t="shared" si="13"/>
        <v>81.41</v>
      </c>
      <c r="I65" s="118">
        <f t="shared" si="13"/>
        <v>288</v>
      </c>
      <c r="J65" s="118">
        <f t="shared" si="13"/>
        <v>-155</v>
      </c>
      <c r="K65" s="118">
        <f t="shared" si="13"/>
        <v>572.75</v>
      </c>
      <c r="L65" s="118">
        <f t="shared" si="13"/>
        <v>402.23</v>
      </c>
      <c r="M65" s="118">
        <f t="shared" si="13"/>
        <v>1125</v>
      </c>
      <c r="N65" s="118">
        <f t="shared" si="13"/>
        <v>5943.2099999999991</v>
      </c>
      <c r="O65" s="467" t="s">
        <v>0</v>
      </c>
      <c r="P65" s="468"/>
      <c r="Q65" s="144"/>
      <c r="R65" s="319"/>
    </row>
    <row r="66" spans="1:18" x14ac:dyDescent="0.2">
      <c r="A66" s="83" t="s">
        <v>25</v>
      </c>
      <c r="B66" s="84" t="s">
        <v>68</v>
      </c>
      <c r="C66" s="88">
        <v>3119.2</v>
      </c>
      <c r="D66" s="88"/>
      <c r="E66" s="88">
        <v>490</v>
      </c>
      <c r="F66" s="88">
        <v>572.75</v>
      </c>
      <c r="G66" s="88">
        <f>C66+D66+F66+E66</f>
        <v>4181.95</v>
      </c>
      <c r="H66" s="88">
        <v>36.92</v>
      </c>
      <c r="I66" s="88">
        <v>288</v>
      </c>
      <c r="J66" s="88">
        <v>-155</v>
      </c>
      <c r="K66" s="88">
        <f>F66</f>
        <v>572.75</v>
      </c>
      <c r="L66" s="88">
        <v>200.01</v>
      </c>
      <c r="M66" s="88">
        <v>1125</v>
      </c>
      <c r="N66" s="88">
        <f t="shared" ref="N66" si="14">C66+D66+E66-H66-I66-J66-K66-L66-M66</f>
        <v>1541.5199999999995</v>
      </c>
      <c r="O66" s="106">
        <v>43579</v>
      </c>
      <c r="P66" s="131" t="s">
        <v>46</v>
      </c>
      <c r="Q66" s="144" t="s">
        <v>102</v>
      </c>
    </row>
    <row r="67" spans="1:18" x14ac:dyDescent="0.2">
      <c r="A67" s="81" t="s">
        <v>26</v>
      </c>
      <c r="B67" s="82" t="s">
        <v>76</v>
      </c>
      <c r="C67" s="89">
        <v>818.8</v>
      </c>
      <c r="D67" s="89">
        <v>0</v>
      </c>
      <c r="E67" s="89">
        <v>50</v>
      </c>
      <c r="F67" s="89">
        <v>0</v>
      </c>
      <c r="G67" s="88">
        <f>C67+D67+F67</f>
        <v>818.8</v>
      </c>
      <c r="H67" s="89">
        <v>8.19</v>
      </c>
      <c r="I67" s="89">
        <v>0</v>
      </c>
      <c r="J67" s="89"/>
      <c r="K67" s="89"/>
      <c r="L67" s="89">
        <v>58.14</v>
      </c>
      <c r="M67" s="89">
        <v>140</v>
      </c>
      <c r="N67" s="88">
        <f t="shared" si="0"/>
        <v>662.46999999999991</v>
      </c>
      <c r="O67" s="106">
        <v>43579</v>
      </c>
      <c r="P67" s="131" t="s">
        <v>46</v>
      </c>
      <c r="Q67" s="144" t="s">
        <v>102</v>
      </c>
    </row>
    <row r="68" spans="1:18" x14ac:dyDescent="0.2">
      <c r="A68" s="81" t="s">
        <v>3</v>
      </c>
      <c r="B68" s="82" t="s">
        <v>77</v>
      </c>
      <c r="C68" s="89">
        <v>1074.8</v>
      </c>
      <c r="D68" s="89"/>
      <c r="E68" s="89">
        <v>50</v>
      </c>
      <c r="F68" s="89"/>
      <c r="G68" s="88">
        <f>C68+D68+F68+E68</f>
        <v>1124.8</v>
      </c>
      <c r="H68" s="89">
        <v>10.75</v>
      </c>
      <c r="I68" s="89"/>
      <c r="J68" s="89"/>
      <c r="K68" s="89"/>
      <c r="L68" s="89">
        <v>76.3</v>
      </c>
      <c r="M68" s="89"/>
      <c r="N68" s="88">
        <f t="shared" si="0"/>
        <v>1037.75</v>
      </c>
      <c r="O68" s="106">
        <v>43579</v>
      </c>
      <c r="P68" s="131" t="s">
        <v>46</v>
      </c>
      <c r="Q68" s="144" t="s">
        <v>102</v>
      </c>
    </row>
    <row r="69" spans="1:18" x14ac:dyDescent="0.2">
      <c r="A69" s="81" t="s">
        <v>32</v>
      </c>
      <c r="B69" s="82" t="s">
        <v>78</v>
      </c>
      <c r="C69" s="89">
        <v>954.8</v>
      </c>
      <c r="D69" s="89"/>
      <c r="E69" s="89">
        <v>100</v>
      </c>
      <c r="F69" s="89"/>
      <c r="G69" s="88">
        <f>C69+D69+F69+E69</f>
        <v>1054.8</v>
      </c>
      <c r="H69" s="89">
        <v>9.5500000000000007</v>
      </c>
      <c r="I69" s="89"/>
      <c r="J69" s="89"/>
      <c r="K69" s="89"/>
      <c r="L69" s="89">
        <v>67.78</v>
      </c>
      <c r="M69" s="89"/>
      <c r="N69" s="88">
        <f t="shared" si="0"/>
        <v>977.47</v>
      </c>
      <c r="O69" s="106">
        <v>43579</v>
      </c>
      <c r="P69" s="131" t="s">
        <v>46</v>
      </c>
      <c r="Q69" s="144" t="s">
        <v>102</v>
      </c>
    </row>
    <row r="70" spans="1:18" x14ac:dyDescent="0.2">
      <c r="A70" s="81" t="s">
        <v>75</v>
      </c>
      <c r="B70" s="82" t="s">
        <v>79</v>
      </c>
      <c r="C70" s="89">
        <v>800</v>
      </c>
      <c r="D70" s="89"/>
      <c r="E70" s="89"/>
      <c r="F70" s="89"/>
      <c r="G70" s="88">
        <f t="shared" ref="G70:G71" si="15">C70+D70+F70</f>
        <v>800</v>
      </c>
      <c r="H70" s="89">
        <v>8</v>
      </c>
      <c r="I70" s="89"/>
      <c r="J70" s="89"/>
      <c r="K70" s="89"/>
      <c r="L70" s="89"/>
      <c r="M70" s="89"/>
      <c r="N70" s="88">
        <f t="shared" si="0"/>
        <v>792</v>
      </c>
      <c r="O70" s="106">
        <v>43579</v>
      </c>
      <c r="P70" s="131" t="s">
        <v>46</v>
      </c>
      <c r="Q70" s="144" t="s">
        <v>102</v>
      </c>
    </row>
    <row r="71" spans="1:18" ht="13.5" thickBot="1" x14ac:dyDescent="0.25">
      <c r="A71" s="81" t="s">
        <v>110</v>
      </c>
      <c r="B71" s="82" t="s">
        <v>109</v>
      </c>
      <c r="C71" s="89">
        <v>800</v>
      </c>
      <c r="D71" s="89"/>
      <c r="E71" s="89"/>
      <c r="F71" s="89"/>
      <c r="G71" s="88">
        <f t="shared" si="15"/>
        <v>800</v>
      </c>
      <c r="H71" s="89">
        <v>8</v>
      </c>
      <c r="I71" s="89"/>
      <c r="J71" s="89"/>
      <c r="K71" s="89"/>
      <c r="L71" s="89"/>
      <c r="M71" s="89"/>
      <c r="N71" s="88">
        <f t="shared" si="0"/>
        <v>792</v>
      </c>
      <c r="O71" s="106">
        <v>43579</v>
      </c>
      <c r="P71" s="131" t="s">
        <v>46</v>
      </c>
      <c r="Q71" s="144" t="s">
        <v>102</v>
      </c>
    </row>
    <row r="72" spans="1:18" s="94" customFormat="1" ht="13.5" thickBot="1" x14ac:dyDescent="0.25">
      <c r="A72" s="447" t="s">
        <v>0</v>
      </c>
      <c r="B72" s="448"/>
      <c r="C72" s="122">
        <f t="shared" ref="C72:N72" si="16">SUM(C66:C71)</f>
        <v>7567.6</v>
      </c>
      <c r="D72" s="122">
        <f t="shared" si="16"/>
        <v>0</v>
      </c>
      <c r="E72" s="122">
        <f t="shared" si="16"/>
        <v>690</v>
      </c>
      <c r="F72" s="122">
        <f t="shared" si="16"/>
        <v>572.75</v>
      </c>
      <c r="G72" s="122">
        <f>SUM(G66:G71)</f>
        <v>8780.35</v>
      </c>
      <c r="H72" s="122">
        <f t="shared" si="16"/>
        <v>81.41</v>
      </c>
      <c r="I72" s="122">
        <f t="shared" si="16"/>
        <v>288</v>
      </c>
      <c r="J72" s="122">
        <f t="shared" si="16"/>
        <v>-155</v>
      </c>
      <c r="K72" s="122">
        <f t="shared" si="16"/>
        <v>572.75</v>
      </c>
      <c r="L72" s="122">
        <f t="shared" si="16"/>
        <v>402.23</v>
      </c>
      <c r="M72" s="122">
        <f t="shared" si="16"/>
        <v>1265</v>
      </c>
      <c r="N72" s="122">
        <f t="shared" si="16"/>
        <v>5803.2099999999991</v>
      </c>
      <c r="O72" s="449" t="s">
        <v>0</v>
      </c>
      <c r="P72" s="450"/>
      <c r="Q72" s="145"/>
      <c r="R72" s="319"/>
    </row>
    <row r="73" spans="1:18" s="153" customFormat="1" ht="13.5" thickBot="1" x14ac:dyDescent="0.25">
      <c r="A73" s="437" t="s">
        <v>99</v>
      </c>
      <c r="B73" s="438"/>
      <c r="C73" s="171">
        <f t="shared" ref="C73:N73" si="17">C72+C65+C58+C51</f>
        <v>30270.400000000001</v>
      </c>
      <c r="D73" s="172">
        <f t="shared" si="17"/>
        <v>935.76</v>
      </c>
      <c r="E73" s="172">
        <f t="shared" si="17"/>
        <v>2760</v>
      </c>
      <c r="F73" s="172">
        <f t="shared" si="17"/>
        <v>2291</v>
      </c>
      <c r="G73" s="172">
        <f t="shared" si="17"/>
        <v>36157.160000000003</v>
      </c>
      <c r="H73" s="172">
        <f t="shared" si="17"/>
        <v>335</v>
      </c>
      <c r="I73" s="172">
        <f t="shared" si="17"/>
        <v>1345</v>
      </c>
      <c r="J73" s="172">
        <f t="shared" si="17"/>
        <v>-620</v>
      </c>
      <c r="K73" s="172">
        <f t="shared" si="17"/>
        <v>2291</v>
      </c>
      <c r="L73" s="172">
        <f t="shared" si="17"/>
        <v>1608.92</v>
      </c>
      <c r="M73" s="172">
        <f t="shared" si="17"/>
        <v>4840</v>
      </c>
      <c r="N73" s="173">
        <f t="shared" si="17"/>
        <v>24166.239999999998</v>
      </c>
      <c r="O73" s="157"/>
      <c r="P73" s="158"/>
      <c r="Q73" s="152"/>
      <c r="R73" s="320"/>
    </row>
    <row r="74" spans="1:18" s="180" customFormat="1" x14ac:dyDescent="0.2">
      <c r="A74" s="175" t="s">
        <v>8</v>
      </c>
      <c r="B74" s="183" t="s">
        <v>111</v>
      </c>
      <c r="C74" s="176">
        <v>13535</v>
      </c>
      <c r="D74" s="176"/>
      <c r="E74" s="176"/>
      <c r="F74" s="176">
        <v>5162</v>
      </c>
      <c r="G74" s="88">
        <f t="shared" si="1"/>
        <v>18697</v>
      </c>
      <c r="H74" s="176"/>
      <c r="I74" s="176">
        <v>2364</v>
      </c>
      <c r="J74" s="176">
        <v>-829</v>
      </c>
      <c r="K74" s="176"/>
      <c r="L74" s="176"/>
      <c r="M74" s="176"/>
      <c r="N74" s="88">
        <f t="shared" si="0"/>
        <v>12000</v>
      </c>
      <c r="O74" s="177"/>
      <c r="P74" s="178"/>
      <c r="Q74" s="179"/>
      <c r="R74" s="321"/>
    </row>
    <row r="75" spans="1:18" s="180" customFormat="1" x14ac:dyDescent="0.2">
      <c r="A75" s="175" t="s">
        <v>27</v>
      </c>
      <c r="B75" s="183" t="s">
        <v>112</v>
      </c>
      <c r="C75" s="181">
        <v>12113</v>
      </c>
      <c r="D75" s="181"/>
      <c r="E75" s="181"/>
      <c r="F75" s="181">
        <v>2400</v>
      </c>
      <c r="G75" s="88">
        <f t="shared" si="1"/>
        <v>14513</v>
      </c>
      <c r="H75" s="181"/>
      <c r="I75" s="181">
        <v>1423</v>
      </c>
      <c r="J75" s="181">
        <v>-310</v>
      </c>
      <c r="K75" s="181"/>
      <c r="L75" s="181"/>
      <c r="M75" s="181"/>
      <c r="N75" s="88">
        <f t="shared" si="0"/>
        <v>11000</v>
      </c>
      <c r="O75" s="177"/>
      <c r="P75" s="178"/>
      <c r="Q75" s="179"/>
      <c r="R75" s="321"/>
    </row>
    <row r="76" spans="1:18" s="180" customFormat="1" ht="13.5" thickBot="1" x14ac:dyDescent="0.25">
      <c r="A76" s="175" t="s">
        <v>6</v>
      </c>
      <c r="B76" s="183" t="s">
        <v>113</v>
      </c>
      <c r="C76" s="182">
        <v>11713.13</v>
      </c>
      <c r="D76" s="182"/>
      <c r="E76" s="182"/>
      <c r="F76" s="182">
        <v>2100</v>
      </c>
      <c r="G76" s="88">
        <f t="shared" si="1"/>
        <v>13813.13</v>
      </c>
      <c r="H76" s="182">
        <v>138.13</v>
      </c>
      <c r="I76" s="182">
        <v>1304</v>
      </c>
      <c r="J76" s="182">
        <v>-829</v>
      </c>
      <c r="K76" s="182">
        <v>2100</v>
      </c>
      <c r="L76" s="182"/>
      <c r="M76" s="182"/>
      <c r="N76" s="88">
        <f t="shared" si="0"/>
        <v>9000</v>
      </c>
      <c r="O76" s="177"/>
      <c r="P76" s="178"/>
      <c r="Q76" s="179"/>
      <c r="R76" s="321"/>
    </row>
    <row r="77" spans="1:18" s="143" customFormat="1" ht="13.5" thickBot="1" x14ac:dyDescent="0.25">
      <c r="A77" s="439" t="s">
        <v>100</v>
      </c>
      <c r="B77" s="440"/>
      <c r="C77" s="174">
        <f t="shared" ref="C77:N77" si="18">SUM(C74:C76)</f>
        <v>37361.129999999997</v>
      </c>
      <c r="D77" s="174">
        <f t="shared" si="18"/>
        <v>0</v>
      </c>
      <c r="E77" s="174">
        <f t="shared" si="18"/>
        <v>0</v>
      </c>
      <c r="F77" s="174">
        <f t="shared" si="18"/>
        <v>9662</v>
      </c>
      <c r="G77" s="174">
        <f t="shared" si="18"/>
        <v>47023.13</v>
      </c>
      <c r="H77" s="174">
        <f t="shared" si="18"/>
        <v>138.13</v>
      </c>
      <c r="I77" s="174">
        <f t="shared" si="18"/>
        <v>5091</v>
      </c>
      <c r="J77" s="174">
        <f t="shared" si="18"/>
        <v>-1968</v>
      </c>
      <c r="K77" s="174">
        <f t="shared" si="18"/>
        <v>2100</v>
      </c>
      <c r="L77" s="174">
        <f t="shared" si="18"/>
        <v>0</v>
      </c>
      <c r="M77" s="174">
        <f t="shared" si="18"/>
        <v>0</v>
      </c>
      <c r="N77" s="174">
        <f t="shared" si="18"/>
        <v>32000</v>
      </c>
      <c r="O77" s="160"/>
      <c r="P77" s="161"/>
      <c r="Q77" s="146"/>
      <c r="R77" s="322"/>
    </row>
    <row r="78" spans="1:18" s="143" customFormat="1" ht="13.5" thickBot="1" x14ac:dyDescent="0.25">
      <c r="A78" s="441" t="s">
        <v>101</v>
      </c>
      <c r="B78" s="441"/>
      <c r="C78" s="154"/>
      <c r="D78" s="154"/>
      <c r="E78" s="154"/>
      <c r="F78" s="154"/>
      <c r="G78" s="154"/>
      <c r="H78" s="163">
        <f>(H73+H77)*2</f>
        <v>946.26</v>
      </c>
      <c r="I78" s="159">
        <f>I73+I77</f>
        <v>6436</v>
      </c>
      <c r="J78" s="164">
        <f>J73+J77</f>
        <v>-2588</v>
      </c>
      <c r="K78" s="154"/>
      <c r="L78" s="154"/>
      <c r="M78" s="154"/>
      <c r="N78" s="154">
        <f>9000+11000+12000</f>
        <v>32000</v>
      </c>
      <c r="O78" s="142"/>
      <c r="P78" s="142"/>
      <c r="Q78" s="156"/>
      <c r="R78" s="322"/>
    </row>
    <row r="79" spans="1:18" s="143" customFormat="1" ht="13.5" thickBot="1" x14ac:dyDescent="0.25">
      <c r="A79" s="169"/>
      <c r="B79" s="169"/>
      <c r="C79" s="154"/>
      <c r="D79" s="154"/>
      <c r="E79" s="154"/>
      <c r="F79" s="154"/>
      <c r="G79" s="154"/>
      <c r="H79" s="154"/>
      <c r="I79" s="455">
        <f>I78+J78</f>
        <v>3848</v>
      </c>
      <c r="J79" s="456"/>
      <c r="K79" s="154"/>
      <c r="L79" s="154"/>
      <c r="M79" s="154"/>
      <c r="N79" s="154"/>
      <c r="O79" s="142"/>
      <c r="P79" s="142"/>
      <c r="Q79" s="156"/>
      <c r="R79" s="322"/>
    </row>
    <row r="80" spans="1:18" s="143" customFormat="1" ht="13.5" thickBot="1" x14ac:dyDescent="0.25">
      <c r="A80" s="169"/>
      <c r="B80" s="169"/>
      <c r="C80" s="154"/>
      <c r="D80" s="154"/>
      <c r="E80" s="154"/>
      <c r="F80" s="154"/>
      <c r="G80" s="154"/>
      <c r="H80" s="457">
        <f>SUM(H78:J78)</f>
        <v>4794.26</v>
      </c>
      <c r="I80" s="458"/>
      <c r="J80" s="459"/>
      <c r="K80" s="154"/>
      <c r="L80" s="154"/>
      <c r="M80" s="154"/>
      <c r="N80" s="154"/>
      <c r="O80" s="142"/>
      <c r="P80" s="142"/>
      <c r="Q80" s="156"/>
      <c r="R80" s="322"/>
    </row>
    <row r="81" spans="1:18" s="155" customFormat="1" ht="13.5" thickBot="1" x14ac:dyDescent="0.25">
      <c r="A81" s="141"/>
      <c r="B81" s="141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42"/>
      <c r="P81" s="142"/>
      <c r="Q81" s="141"/>
      <c r="R81" s="154"/>
    </row>
    <row r="82" spans="1:18" s="79" customFormat="1" ht="13.5" thickBot="1" x14ac:dyDescent="0.25">
      <c r="A82" s="444" t="s">
        <v>119</v>
      </c>
      <c r="B82" s="445"/>
      <c r="C82" s="445"/>
      <c r="D82" s="445"/>
      <c r="E82" s="445"/>
      <c r="F82" s="445"/>
      <c r="G82" s="445"/>
      <c r="H82" s="445"/>
      <c r="I82" s="445"/>
      <c r="J82" s="445"/>
      <c r="K82" s="445"/>
      <c r="L82" s="445"/>
      <c r="M82" s="445"/>
      <c r="N82" s="445"/>
      <c r="O82" s="445"/>
      <c r="P82" s="445"/>
      <c r="Q82" s="446"/>
      <c r="R82" s="318"/>
    </row>
    <row r="83" spans="1:18" s="79" customFormat="1" ht="13.5" thickBot="1" x14ac:dyDescent="0.25">
      <c r="A83" s="85" t="s">
        <v>69</v>
      </c>
      <c r="B83" s="86" t="s">
        <v>1</v>
      </c>
      <c r="C83" s="87" t="s">
        <v>61</v>
      </c>
      <c r="D83" s="87" t="s">
        <v>62</v>
      </c>
      <c r="E83" s="87" t="s">
        <v>73</v>
      </c>
      <c r="F83" s="87" t="s">
        <v>67</v>
      </c>
      <c r="G83" s="87" t="s">
        <v>81</v>
      </c>
      <c r="H83" s="87" t="s">
        <v>64</v>
      </c>
      <c r="I83" s="87" t="s">
        <v>65</v>
      </c>
      <c r="J83" s="87" t="s">
        <v>72</v>
      </c>
      <c r="K83" s="87" t="s">
        <v>67</v>
      </c>
      <c r="L83" s="87" t="s">
        <v>63</v>
      </c>
      <c r="M83" s="87" t="s">
        <v>66</v>
      </c>
      <c r="N83" s="87" t="s">
        <v>2</v>
      </c>
      <c r="O83" s="92" t="s">
        <v>71</v>
      </c>
      <c r="P83" s="93" t="s">
        <v>74</v>
      </c>
      <c r="Q83" s="147" t="s">
        <v>97</v>
      </c>
      <c r="R83" s="318"/>
    </row>
    <row r="84" spans="1:18" x14ac:dyDescent="0.2">
      <c r="A84" s="83" t="s">
        <v>25</v>
      </c>
      <c r="B84" s="84" t="s">
        <v>68</v>
      </c>
      <c r="C84" s="89">
        <v>3119.2</v>
      </c>
      <c r="D84" s="89">
        <v>994.25</v>
      </c>
      <c r="E84" s="89">
        <v>490</v>
      </c>
      <c r="F84" s="89">
        <v>572.75</v>
      </c>
      <c r="G84" s="88">
        <f t="shared" si="1"/>
        <v>4686.2</v>
      </c>
      <c r="H84" s="89">
        <v>29.74</v>
      </c>
      <c r="I84" s="89">
        <v>493</v>
      </c>
      <c r="J84" s="89">
        <v>-155</v>
      </c>
      <c r="K84" s="89">
        <v>572.75</v>
      </c>
      <c r="L84" s="89">
        <v>200.01</v>
      </c>
      <c r="M84" s="89">
        <v>1125</v>
      </c>
      <c r="N84" s="88">
        <f t="shared" si="0"/>
        <v>2337.9499999999998</v>
      </c>
      <c r="O84" s="106">
        <v>43586</v>
      </c>
      <c r="P84" s="132" t="s">
        <v>49</v>
      </c>
      <c r="Q84" s="144" t="s">
        <v>103</v>
      </c>
    </row>
    <row r="85" spans="1:18" x14ac:dyDescent="0.2">
      <c r="A85" s="81" t="s">
        <v>26</v>
      </c>
      <c r="B85" s="82" t="s">
        <v>76</v>
      </c>
      <c r="C85" s="89">
        <v>818.8</v>
      </c>
      <c r="D85" s="89">
        <v>0</v>
      </c>
      <c r="E85" s="89">
        <v>50</v>
      </c>
      <c r="F85" s="89">
        <v>0</v>
      </c>
      <c r="G85" s="88">
        <f>C85+D85+F85</f>
        <v>818.8</v>
      </c>
      <c r="H85" s="89">
        <v>8.19</v>
      </c>
      <c r="I85" s="89">
        <v>0</v>
      </c>
      <c r="J85" s="89"/>
      <c r="K85" s="89"/>
      <c r="L85" s="89">
        <v>58.14</v>
      </c>
      <c r="M85" s="89"/>
      <c r="N85" s="88">
        <f t="shared" si="0"/>
        <v>802.46999999999991</v>
      </c>
      <c r="O85" s="106">
        <v>43586</v>
      </c>
      <c r="P85" s="132" t="s">
        <v>49</v>
      </c>
      <c r="Q85" s="144" t="s">
        <v>103</v>
      </c>
    </row>
    <row r="86" spans="1:18" x14ac:dyDescent="0.2">
      <c r="A86" s="81" t="s">
        <v>3</v>
      </c>
      <c r="B86" s="82" t="s">
        <v>77</v>
      </c>
      <c r="C86" s="89">
        <v>1074.8</v>
      </c>
      <c r="D86" s="89"/>
      <c r="E86" s="89">
        <v>50</v>
      </c>
      <c r="F86" s="89"/>
      <c r="G86" s="88">
        <f>C86+D86+F86+E86</f>
        <v>1124.8</v>
      </c>
      <c r="H86" s="89">
        <v>10.75</v>
      </c>
      <c r="I86" s="89"/>
      <c r="J86" s="89"/>
      <c r="K86" s="89"/>
      <c r="L86" s="89">
        <v>76.3</v>
      </c>
      <c r="M86" s="89"/>
      <c r="N86" s="88">
        <f t="shared" si="0"/>
        <v>1037.75</v>
      </c>
      <c r="O86" s="106">
        <v>43586</v>
      </c>
      <c r="P86" s="132" t="s">
        <v>49</v>
      </c>
      <c r="Q86" s="144" t="s">
        <v>103</v>
      </c>
    </row>
    <row r="87" spans="1:18" x14ac:dyDescent="0.2">
      <c r="A87" s="81" t="s">
        <v>32</v>
      </c>
      <c r="B87" s="82" t="s">
        <v>78</v>
      </c>
      <c r="C87" s="89">
        <v>954.8</v>
      </c>
      <c r="D87" s="89"/>
      <c r="E87" s="89">
        <v>100</v>
      </c>
      <c r="F87" s="89"/>
      <c r="G87" s="88">
        <f>C87+D87+F87+E87</f>
        <v>1054.8</v>
      </c>
      <c r="H87" s="89">
        <v>9.5500000000000007</v>
      </c>
      <c r="I87" s="89"/>
      <c r="J87" s="89"/>
      <c r="K87" s="89"/>
      <c r="L87" s="89">
        <v>67.78</v>
      </c>
      <c r="M87" s="89"/>
      <c r="N87" s="88">
        <f t="shared" si="0"/>
        <v>977.47</v>
      </c>
      <c r="O87" s="106">
        <v>43586</v>
      </c>
      <c r="P87" s="132" t="s">
        <v>49</v>
      </c>
      <c r="Q87" s="144" t="s">
        <v>103</v>
      </c>
    </row>
    <row r="88" spans="1:18" x14ac:dyDescent="0.2">
      <c r="A88" s="81" t="s">
        <v>75</v>
      </c>
      <c r="B88" s="82" t="s">
        <v>79</v>
      </c>
      <c r="C88" s="89">
        <v>800</v>
      </c>
      <c r="D88" s="89"/>
      <c r="E88" s="89"/>
      <c r="F88" s="89"/>
      <c r="G88" s="88">
        <f t="shared" ref="G88:G89" si="19">C88+D88+F88</f>
        <v>800</v>
      </c>
      <c r="H88" s="89">
        <v>8</v>
      </c>
      <c r="I88" s="89"/>
      <c r="J88" s="89"/>
      <c r="K88" s="89"/>
      <c r="L88" s="89"/>
      <c r="M88" s="89"/>
      <c r="N88" s="88">
        <f t="shared" si="0"/>
        <v>792</v>
      </c>
      <c r="O88" s="106">
        <v>43586</v>
      </c>
      <c r="P88" s="132" t="s">
        <v>49</v>
      </c>
      <c r="Q88" s="144" t="s">
        <v>103</v>
      </c>
    </row>
    <row r="89" spans="1:18" ht="13.5" thickBot="1" x14ac:dyDescent="0.25">
      <c r="A89" s="81" t="s">
        <v>110</v>
      </c>
      <c r="B89" s="82" t="s">
        <v>109</v>
      </c>
      <c r="C89" s="89">
        <v>800</v>
      </c>
      <c r="D89" s="89"/>
      <c r="E89" s="89"/>
      <c r="F89" s="89"/>
      <c r="G89" s="88">
        <f t="shared" si="19"/>
        <v>800</v>
      </c>
      <c r="H89" s="89">
        <v>8</v>
      </c>
      <c r="I89" s="89"/>
      <c r="J89" s="89"/>
      <c r="K89" s="89"/>
      <c r="L89" s="89"/>
      <c r="M89" s="89"/>
      <c r="N89" s="88">
        <f t="shared" si="0"/>
        <v>792</v>
      </c>
      <c r="O89" s="106">
        <v>43586</v>
      </c>
      <c r="P89" s="132" t="s">
        <v>49</v>
      </c>
      <c r="Q89" s="144" t="s">
        <v>103</v>
      </c>
    </row>
    <row r="90" spans="1:18" s="94" customFormat="1" ht="13.5" thickBot="1" x14ac:dyDescent="0.25">
      <c r="A90" s="469" t="s">
        <v>0</v>
      </c>
      <c r="B90" s="470"/>
      <c r="C90" s="133">
        <f>SUM(C84:C89)</f>
        <v>7567.6</v>
      </c>
      <c r="D90" s="133">
        <f t="shared" ref="D90:N90" si="20">SUM(D84:D89)</f>
        <v>994.25</v>
      </c>
      <c r="E90" s="133">
        <f t="shared" si="20"/>
        <v>690</v>
      </c>
      <c r="F90" s="133">
        <f t="shared" si="20"/>
        <v>572.75</v>
      </c>
      <c r="G90" s="133">
        <f t="shared" si="20"/>
        <v>9284.6</v>
      </c>
      <c r="H90" s="133">
        <f t="shared" si="20"/>
        <v>74.23</v>
      </c>
      <c r="I90" s="133">
        <f t="shared" si="20"/>
        <v>493</v>
      </c>
      <c r="J90" s="133">
        <f t="shared" si="20"/>
        <v>-155</v>
      </c>
      <c r="K90" s="133">
        <f>SUM(K84:K89)</f>
        <v>572.75</v>
      </c>
      <c r="L90" s="133">
        <f t="shared" si="20"/>
        <v>402.23</v>
      </c>
      <c r="M90" s="133">
        <f t="shared" si="20"/>
        <v>1125</v>
      </c>
      <c r="N90" s="133">
        <f t="shared" si="20"/>
        <v>6739.64</v>
      </c>
      <c r="O90" s="471" t="s">
        <v>0</v>
      </c>
      <c r="P90" s="472"/>
      <c r="Q90" s="144"/>
      <c r="R90" s="319"/>
    </row>
    <row r="91" spans="1:18" x14ac:dyDescent="0.2">
      <c r="A91" s="83" t="s">
        <v>25</v>
      </c>
      <c r="B91" s="84" t="s">
        <v>68</v>
      </c>
      <c r="C91" s="89">
        <v>4132.9399999999996</v>
      </c>
      <c r="D91" s="89">
        <v>1345.16</v>
      </c>
      <c r="E91" s="89">
        <v>490</v>
      </c>
      <c r="F91" s="89">
        <v>572.75</v>
      </c>
      <c r="G91" s="88">
        <f t="shared" si="1"/>
        <v>6050.8499999999995</v>
      </c>
      <c r="H91" s="89">
        <v>29.74</v>
      </c>
      <c r="I91" s="89">
        <v>848</v>
      </c>
      <c r="J91" s="89">
        <v>-155</v>
      </c>
      <c r="K91" s="89">
        <v>572.75</v>
      </c>
      <c r="L91" s="89">
        <v>200.01</v>
      </c>
      <c r="M91" s="89">
        <v>1125</v>
      </c>
      <c r="N91" s="88">
        <f t="shared" si="0"/>
        <v>3347.5999999999995</v>
      </c>
      <c r="O91" s="106">
        <v>43593</v>
      </c>
      <c r="P91" s="134" t="s">
        <v>50</v>
      </c>
      <c r="Q91" s="144" t="s">
        <v>103</v>
      </c>
    </row>
    <row r="92" spans="1:18" x14ac:dyDescent="0.2">
      <c r="A92" s="81" t="s">
        <v>26</v>
      </c>
      <c r="B92" s="82" t="s">
        <v>76</v>
      </c>
      <c r="C92" s="89">
        <v>818.8</v>
      </c>
      <c r="D92" s="89">
        <v>0</v>
      </c>
      <c r="E92" s="89">
        <v>50</v>
      </c>
      <c r="F92" s="89">
        <v>0</v>
      </c>
      <c r="G92" s="88">
        <f>C92+D92+F92</f>
        <v>818.8</v>
      </c>
      <c r="H92" s="89">
        <v>8.19</v>
      </c>
      <c r="I92" s="89">
        <v>0</v>
      </c>
      <c r="J92" s="89"/>
      <c r="K92" s="89"/>
      <c r="L92" s="89">
        <v>58.14</v>
      </c>
      <c r="M92" s="89"/>
      <c r="N92" s="88">
        <f t="shared" ref="N92:N158" si="21">C92+D92+E92-H92-I92-J92-K92-L92-M92</f>
        <v>802.46999999999991</v>
      </c>
      <c r="O92" s="106">
        <v>43593</v>
      </c>
      <c r="P92" s="134" t="s">
        <v>50</v>
      </c>
      <c r="Q92" s="144" t="s">
        <v>103</v>
      </c>
    </row>
    <row r="93" spans="1:18" x14ac:dyDescent="0.2">
      <c r="A93" s="81" t="s">
        <v>3</v>
      </c>
      <c r="B93" s="82" t="s">
        <v>77</v>
      </c>
      <c r="C93" s="89">
        <v>1074.8</v>
      </c>
      <c r="D93" s="89"/>
      <c r="E93" s="89">
        <v>50</v>
      </c>
      <c r="F93" s="89"/>
      <c r="G93" s="88">
        <f>C93+D93+F93+E93</f>
        <v>1124.8</v>
      </c>
      <c r="H93" s="89">
        <v>10.75</v>
      </c>
      <c r="I93" s="89"/>
      <c r="J93" s="89"/>
      <c r="K93" s="89"/>
      <c r="L93" s="89">
        <v>76.3</v>
      </c>
      <c r="M93" s="89"/>
      <c r="N93" s="88">
        <f t="shared" si="21"/>
        <v>1037.75</v>
      </c>
      <c r="O93" s="106">
        <v>43593</v>
      </c>
      <c r="P93" s="134" t="s">
        <v>50</v>
      </c>
      <c r="Q93" s="144" t="s">
        <v>103</v>
      </c>
    </row>
    <row r="94" spans="1:18" x14ac:dyDescent="0.2">
      <c r="A94" s="81" t="s">
        <v>32</v>
      </c>
      <c r="B94" s="82" t="s">
        <v>78</v>
      </c>
      <c r="C94" s="89">
        <v>954.8</v>
      </c>
      <c r="D94" s="89"/>
      <c r="E94" s="89">
        <v>100</v>
      </c>
      <c r="F94" s="89"/>
      <c r="G94" s="88">
        <f>C94+D94+F94+E94</f>
        <v>1054.8</v>
      </c>
      <c r="H94" s="89">
        <v>9.5500000000000007</v>
      </c>
      <c r="I94" s="89"/>
      <c r="J94" s="89"/>
      <c r="K94" s="89"/>
      <c r="L94" s="89">
        <v>67.78</v>
      </c>
      <c r="M94" s="89"/>
      <c r="N94" s="88">
        <f t="shared" si="21"/>
        <v>977.47</v>
      </c>
      <c r="O94" s="106">
        <v>43593</v>
      </c>
      <c r="P94" s="134" t="s">
        <v>50</v>
      </c>
      <c r="Q94" s="144" t="s">
        <v>103</v>
      </c>
    </row>
    <row r="95" spans="1:18" x14ac:dyDescent="0.2">
      <c r="A95" s="81" t="s">
        <v>75</v>
      </c>
      <c r="B95" s="82" t="s">
        <v>79</v>
      </c>
      <c r="C95" s="89">
        <v>800</v>
      </c>
      <c r="D95" s="89"/>
      <c r="E95" s="89"/>
      <c r="F95" s="89"/>
      <c r="G95" s="88">
        <f t="shared" ref="G95:G96" si="22">C95+D95+F95</f>
        <v>800</v>
      </c>
      <c r="H95" s="89">
        <v>8</v>
      </c>
      <c r="I95" s="89"/>
      <c r="J95" s="89"/>
      <c r="K95" s="89"/>
      <c r="L95" s="89"/>
      <c r="M95" s="89"/>
      <c r="N95" s="88">
        <f t="shared" si="21"/>
        <v>792</v>
      </c>
      <c r="O95" s="106">
        <v>43593</v>
      </c>
      <c r="P95" s="134" t="s">
        <v>50</v>
      </c>
      <c r="Q95" s="144" t="s">
        <v>103</v>
      </c>
    </row>
    <row r="96" spans="1:18" ht="13.5" thickBot="1" x14ac:dyDescent="0.25">
      <c r="A96" s="81" t="s">
        <v>110</v>
      </c>
      <c r="B96" s="82" t="s">
        <v>109</v>
      </c>
      <c r="C96" s="89">
        <v>800</v>
      </c>
      <c r="D96" s="89"/>
      <c r="E96" s="89"/>
      <c r="F96" s="89"/>
      <c r="G96" s="88">
        <f t="shared" si="22"/>
        <v>800</v>
      </c>
      <c r="H96" s="89">
        <v>8</v>
      </c>
      <c r="I96" s="89"/>
      <c r="J96" s="89"/>
      <c r="K96" s="89"/>
      <c r="L96" s="89"/>
      <c r="M96" s="89"/>
      <c r="N96" s="88">
        <f t="shared" si="21"/>
        <v>792</v>
      </c>
      <c r="O96" s="106">
        <v>43593</v>
      </c>
      <c r="P96" s="134" t="s">
        <v>50</v>
      </c>
      <c r="Q96" s="144" t="s">
        <v>103</v>
      </c>
    </row>
    <row r="97" spans="1:18" s="94" customFormat="1" ht="13.5" thickBot="1" x14ac:dyDescent="0.25">
      <c r="A97" s="429" t="s">
        <v>0</v>
      </c>
      <c r="B97" s="430"/>
      <c r="C97" s="114">
        <f t="shared" ref="C97:N97" si="23">SUM(C91:C96)</f>
        <v>8581.34</v>
      </c>
      <c r="D97" s="114">
        <f t="shared" si="23"/>
        <v>1345.16</v>
      </c>
      <c r="E97" s="114">
        <f t="shared" si="23"/>
        <v>690</v>
      </c>
      <c r="F97" s="114">
        <f t="shared" si="23"/>
        <v>572.75</v>
      </c>
      <c r="G97" s="114">
        <f t="shared" si="23"/>
        <v>10649.25</v>
      </c>
      <c r="H97" s="114">
        <f t="shared" si="23"/>
        <v>74.23</v>
      </c>
      <c r="I97" s="114">
        <f t="shared" si="23"/>
        <v>848</v>
      </c>
      <c r="J97" s="114">
        <f t="shared" si="23"/>
        <v>-155</v>
      </c>
      <c r="K97" s="114">
        <f t="shared" si="23"/>
        <v>572.75</v>
      </c>
      <c r="L97" s="114">
        <f>SUM(L91:L96)</f>
        <v>402.23</v>
      </c>
      <c r="M97" s="114">
        <f t="shared" si="23"/>
        <v>1125</v>
      </c>
      <c r="N97" s="114">
        <f t="shared" si="23"/>
        <v>7749.29</v>
      </c>
      <c r="O97" s="431" t="s">
        <v>0</v>
      </c>
      <c r="P97" s="432"/>
      <c r="Q97" s="144"/>
      <c r="R97" s="319"/>
    </row>
    <row r="98" spans="1:18" x14ac:dyDescent="0.2">
      <c r="A98" s="83" t="s">
        <v>25</v>
      </c>
      <c r="B98" s="84" t="s">
        <v>68</v>
      </c>
      <c r="C98" s="89">
        <v>3119.2</v>
      </c>
      <c r="D98" s="89">
        <v>2982.74</v>
      </c>
      <c r="E98" s="89">
        <v>490</v>
      </c>
      <c r="F98" s="89">
        <v>572.75</v>
      </c>
      <c r="G98" s="88">
        <f t="shared" ref="G98" si="24">C98+D98+F98</f>
        <v>6674.69</v>
      </c>
      <c r="H98" s="89">
        <v>29.74</v>
      </c>
      <c r="I98" s="89">
        <v>1023</v>
      </c>
      <c r="J98" s="89">
        <v>-155</v>
      </c>
      <c r="K98" s="89">
        <v>572.75</v>
      </c>
      <c r="L98" s="89">
        <v>200.01</v>
      </c>
      <c r="M98" s="89">
        <v>1125</v>
      </c>
      <c r="N98" s="88">
        <f t="shared" si="21"/>
        <v>3796.4399999999996</v>
      </c>
      <c r="O98" s="106">
        <v>43600</v>
      </c>
      <c r="P98" s="136" t="s">
        <v>51</v>
      </c>
      <c r="Q98" s="144" t="s">
        <v>103</v>
      </c>
    </row>
    <row r="99" spans="1:18" x14ac:dyDescent="0.2">
      <c r="A99" s="81" t="s">
        <v>26</v>
      </c>
      <c r="B99" s="82" t="s">
        <v>76</v>
      </c>
      <c r="C99" s="89">
        <v>818.8</v>
      </c>
      <c r="D99" s="89">
        <v>0</v>
      </c>
      <c r="E99" s="89">
        <v>50</v>
      </c>
      <c r="F99" s="89">
        <v>0</v>
      </c>
      <c r="G99" s="88">
        <f>C99+D99+F99</f>
        <v>818.8</v>
      </c>
      <c r="H99" s="89">
        <v>8.19</v>
      </c>
      <c r="I99" s="89">
        <v>0</v>
      </c>
      <c r="J99" s="89"/>
      <c r="K99" s="89"/>
      <c r="L99" s="89">
        <v>58.14</v>
      </c>
      <c r="M99" s="89">
        <v>200</v>
      </c>
      <c r="N99" s="88">
        <f t="shared" si="21"/>
        <v>602.46999999999991</v>
      </c>
      <c r="O99" s="106">
        <v>43600</v>
      </c>
      <c r="P99" s="136" t="s">
        <v>51</v>
      </c>
      <c r="Q99" s="144" t="s">
        <v>103</v>
      </c>
    </row>
    <row r="100" spans="1:18" x14ac:dyDescent="0.2">
      <c r="A100" s="81" t="s">
        <v>3</v>
      </c>
      <c r="B100" s="82" t="s">
        <v>77</v>
      </c>
      <c r="C100" s="89">
        <v>1074.8</v>
      </c>
      <c r="D100" s="89"/>
      <c r="E100" s="89">
        <v>50</v>
      </c>
      <c r="F100" s="89"/>
      <c r="G100" s="88">
        <f>C100+D100+F100+E100</f>
        <v>1124.8</v>
      </c>
      <c r="H100" s="89">
        <v>10.75</v>
      </c>
      <c r="I100" s="89"/>
      <c r="J100" s="89"/>
      <c r="K100" s="89"/>
      <c r="L100" s="89">
        <v>76.3</v>
      </c>
      <c r="M100" s="89"/>
      <c r="N100" s="88">
        <f t="shared" si="21"/>
        <v>1037.75</v>
      </c>
      <c r="O100" s="106">
        <v>43600</v>
      </c>
      <c r="P100" s="136" t="s">
        <v>51</v>
      </c>
      <c r="Q100" s="144" t="s">
        <v>103</v>
      </c>
    </row>
    <row r="101" spans="1:18" x14ac:dyDescent="0.2">
      <c r="A101" s="81" t="s">
        <v>32</v>
      </c>
      <c r="B101" s="82" t="s">
        <v>78</v>
      </c>
      <c r="C101" s="89">
        <v>954.8</v>
      </c>
      <c r="D101" s="89"/>
      <c r="E101" s="89">
        <v>100</v>
      </c>
      <c r="F101" s="89"/>
      <c r="G101" s="88">
        <f>C101+D101+F101+E101</f>
        <v>1054.8</v>
      </c>
      <c r="H101" s="89">
        <v>9.5500000000000007</v>
      </c>
      <c r="I101" s="89"/>
      <c r="J101" s="89"/>
      <c r="K101" s="89"/>
      <c r="L101" s="89">
        <v>67.78</v>
      </c>
      <c r="M101" s="89"/>
      <c r="N101" s="88">
        <f t="shared" si="21"/>
        <v>977.47</v>
      </c>
      <c r="O101" s="106">
        <v>43600</v>
      </c>
      <c r="P101" s="136" t="s">
        <v>51</v>
      </c>
      <c r="Q101" s="144" t="s">
        <v>103</v>
      </c>
    </row>
    <row r="102" spans="1:18" x14ac:dyDescent="0.2">
      <c r="A102" s="81" t="s">
        <v>75</v>
      </c>
      <c r="B102" s="82" t="s">
        <v>79</v>
      </c>
      <c r="C102" s="89">
        <v>800</v>
      </c>
      <c r="D102" s="89"/>
      <c r="E102" s="89"/>
      <c r="F102" s="89"/>
      <c r="G102" s="88">
        <f t="shared" ref="G102:G103" si="25">C102+D102+F102</f>
        <v>800</v>
      </c>
      <c r="H102" s="89">
        <v>8</v>
      </c>
      <c r="I102" s="89"/>
      <c r="J102" s="89"/>
      <c r="K102" s="89"/>
      <c r="L102" s="89"/>
      <c r="M102" s="89"/>
      <c r="N102" s="88">
        <f t="shared" ref="N102" si="26">C102+D102+E102-H102-I102-J102-K102-L102-M102</f>
        <v>792</v>
      </c>
      <c r="O102" s="106">
        <v>43600</v>
      </c>
      <c r="P102" s="136" t="s">
        <v>51</v>
      </c>
      <c r="Q102" s="144" t="s">
        <v>103</v>
      </c>
    </row>
    <row r="103" spans="1:18" ht="13.5" thickBot="1" x14ac:dyDescent="0.25">
      <c r="A103" s="81" t="s">
        <v>110</v>
      </c>
      <c r="B103" s="82" t="s">
        <v>109</v>
      </c>
      <c r="C103" s="89">
        <v>800</v>
      </c>
      <c r="D103" s="89"/>
      <c r="E103" s="89"/>
      <c r="F103" s="89"/>
      <c r="G103" s="88">
        <f t="shared" si="25"/>
        <v>800</v>
      </c>
      <c r="H103" s="89">
        <v>8</v>
      </c>
      <c r="I103" s="89"/>
      <c r="J103" s="89"/>
      <c r="K103" s="89"/>
      <c r="L103" s="89"/>
      <c r="M103" s="89"/>
      <c r="N103" s="88">
        <f t="shared" si="21"/>
        <v>792</v>
      </c>
      <c r="O103" s="106">
        <v>43600</v>
      </c>
      <c r="P103" s="136" t="s">
        <v>51</v>
      </c>
      <c r="Q103" s="144" t="s">
        <v>103</v>
      </c>
    </row>
    <row r="104" spans="1:18" s="94" customFormat="1" ht="13.5" thickBot="1" x14ac:dyDescent="0.25">
      <c r="A104" s="461" t="s">
        <v>0</v>
      </c>
      <c r="B104" s="462"/>
      <c r="C104" s="110">
        <f t="shared" ref="C104:N104" si="27">SUM(C98:C103)</f>
        <v>7567.6</v>
      </c>
      <c r="D104" s="110">
        <f t="shared" si="27"/>
        <v>2982.74</v>
      </c>
      <c r="E104" s="110">
        <f t="shared" si="27"/>
        <v>690</v>
      </c>
      <c r="F104" s="110">
        <f t="shared" si="27"/>
        <v>572.75</v>
      </c>
      <c r="G104" s="110">
        <f t="shared" si="27"/>
        <v>11273.089999999998</v>
      </c>
      <c r="H104" s="110">
        <f t="shared" si="27"/>
        <v>74.23</v>
      </c>
      <c r="I104" s="110">
        <f t="shared" si="27"/>
        <v>1023</v>
      </c>
      <c r="J104" s="110">
        <f t="shared" si="27"/>
        <v>-155</v>
      </c>
      <c r="K104" s="110">
        <f t="shared" si="27"/>
        <v>572.75</v>
      </c>
      <c r="L104" s="110">
        <f t="shared" si="27"/>
        <v>402.23</v>
      </c>
      <c r="M104" s="110">
        <f t="shared" si="27"/>
        <v>1325</v>
      </c>
      <c r="N104" s="110">
        <f t="shared" si="27"/>
        <v>7998.13</v>
      </c>
      <c r="O104" s="463" t="s">
        <v>0</v>
      </c>
      <c r="P104" s="464"/>
      <c r="Q104" s="144"/>
      <c r="R104" s="319"/>
    </row>
    <row r="105" spans="1:18" x14ac:dyDescent="0.2">
      <c r="A105" s="83" t="s">
        <v>25</v>
      </c>
      <c r="B105" s="84" t="s">
        <v>68</v>
      </c>
      <c r="C105" s="89">
        <v>3415.2</v>
      </c>
      <c r="D105" s="89">
        <v>1152.6300000000001</v>
      </c>
      <c r="E105" s="89">
        <v>490</v>
      </c>
      <c r="F105" s="89">
        <v>572.75</v>
      </c>
      <c r="G105" s="88">
        <f t="shared" ref="G105" si="28">C105+D105+F105</f>
        <v>5140.58</v>
      </c>
      <c r="H105" s="89">
        <v>29.74</v>
      </c>
      <c r="I105" s="89">
        <v>614</v>
      </c>
      <c r="J105" s="89">
        <v>-155</v>
      </c>
      <c r="K105" s="89">
        <v>572.75</v>
      </c>
      <c r="L105" s="89">
        <v>200.01</v>
      </c>
      <c r="M105" s="89">
        <v>1125</v>
      </c>
      <c r="N105" s="88">
        <f t="shared" si="21"/>
        <v>2671.33</v>
      </c>
      <c r="O105" s="106">
        <v>43607</v>
      </c>
      <c r="P105" s="135" t="s">
        <v>52</v>
      </c>
      <c r="Q105" s="144" t="s">
        <v>103</v>
      </c>
    </row>
    <row r="106" spans="1:18" x14ac:dyDescent="0.2">
      <c r="A106" s="81" t="s">
        <v>26</v>
      </c>
      <c r="B106" s="82" t="s">
        <v>76</v>
      </c>
      <c r="C106" s="89">
        <v>818.8</v>
      </c>
      <c r="D106" s="89">
        <v>0</v>
      </c>
      <c r="E106" s="89">
        <v>50</v>
      </c>
      <c r="F106" s="89">
        <v>0</v>
      </c>
      <c r="G106" s="88">
        <f>C106+D106+F106</f>
        <v>818.8</v>
      </c>
      <c r="H106" s="89">
        <v>8.19</v>
      </c>
      <c r="I106" s="89">
        <v>0</v>
      </c>
      <c r="J106" s="89"/>
      <c r="K106" s="89"/>
      <c r="L106" s="89">
        <v>58.14</v>
      </c>
      <c r="M106" s="89">
        <v>200</v>
      </c>
      <c r="N106" s="88">
        <f t="shared" si="21"/>
        <v>602.46999999999991</v>
      </c>
      <c r="O106" s="106">
        <v>43607</v>
      </c>
      <c r="P106" s="135" t="s">
        <v>52</v>
      </c>
      <c r="Q106" s="144" t="s">
        <v>103</v>
      </c>
    </row>
    <row r="107" spans="1:18" x14ac:dyDescent="0.2">
      <c r="A107" s="81" t="s">
        <v>3</v>
      </c>
      <c r="B107" s="82" t="s">
        <v>77</v>
      </c>
      <c r="C107" s="89">
        <v>1074.8</v>
      </c>
      <c r="D107" s="89"/>
      <c r="E107" s="89">
        <v>50</v>
      </c>
      <c r="F107" s="89"/>
      <c r="G107" s="88">
        <f>C107+D107+F107+E107</f>
        <v>1124.8</v>
      </c>
      <c r="H107" s="89">
        <v>10.75</v>
      </c>
      <c r="I107" s="89"/>
      <c r="J107" s="89"/>
      <c r="K107" s="89"/>
      <c r="L107" s="89">
        <v>76.3</v>
      </c>
      <c r="M107" s="89"/>
      <c r="N107" s="88">
        <f t="shared" si="21"/>
        <v>1037.75</v>
      </c>
      <c r="O107" s="106">
        <v>43607</v>
      </c>
      <c r="P107" s="135" t="s">
        <v>52</v>
      </c>
      <c r="Q107" s="144" t="s">
        <v>103</v>
      </c>
    </row>
    <row r="108" spans="1:18" x14ac:dyDescent="0.2">
      <c r="A108" s="81" t="s">
        <v>32</v>
      </c>
      <c r="B108" s="82" t="s">
        <v>78</v>
      </c>
      <c r="C108" s="89">
        <v>954.8</v>
      </c>
      <c r="D108" s="89">
        <v>286.44</v>
      </c>
      <c r="E108" s="89">
        <v>100</v>
      </c>
      <c r="F108" s="89"/>
      <c r="G108" s="88">
        <f>C108+D108+F108+E108</f>
        <v>1341.24</v>
      </c>
      <c r="H108" s="89">
        <v>12.41</v>
      </c>
      <c r="I108" s="89"/>
      <c r="J108" s="89"/>
      <c r="K108" s="89"/>
      <c r="L108" s="89">
        <v>67.78</v>
      </c>
      <c r="M108" s="89"/>
      <c r="N108" s="88">
        <f t="shared" si="21"/>
        <v>1261.05</v>
      </c>
      <c r="O108" s="106">
        <v>43607</v>
      </c>
      <c r="P108" s="135" t="s">
        <v>52</v>
      </c>
      <c r="Q108" s="144" t="s">
        <v>103</v>
      </c>
    </row>
    <row r="109" spans="1:18" x14ac:dyDescent="0.2">
      <c r="A109" s="81" t="s">
        <v>75</v>
      </c>
      <c r="B109" s="82" t="s">
        <v>79</v>
      </c>
      <c r="C109" s="89">
        <v>800</v>
      </c>
      <c r="D109" s="89"/>
      <c r="E109" s="89"/>
      <c r="F109" s="89"/>
      <c r="G109" s="88">
        <f t="shared" ref="G109:G110" si="29">C109+D109+F109</f>
        <v>800</v>
      </c>
      <c r="H109" s="89">
        <v>8</v>
      </c>
      <c r="I109" s="89"/>
      <c r="J109" s="89"/>
      <c r="K109" s="89"/>
      <c r="L109" s="89"/>
      <c r="M109" s="89"/>
      <c r="N109" s="88">
        <f t="shared" ref="N109" si="30">C109+D109+E109-H109-I109-J109-K109-L109-M109</f>
        <v>792</v>
      </c>
      <c r="O109" s="106">
        <v>43607</v>
      </c>
      <c r="P109" s="135" t="s">
        <v>52</v>
      </c>
      <c r="Q109" s="144" t="s">
        <v>103</v>
      </c>
    </row>
    <row r="110" spans="1:18" ht="13.5" thickBot="1" x14ac:dyDescent="0.25">
      <c r="A110" s="81" t="s">
        <v>110</v>
      </c>
      <c r="B110" s="82" t="s">
        <v>109</v>
      </c>
      <c r="C110" s="89">
        <v>800</v>
      </c>
      <c r="D110" s="89">
        <v>240</v>
      </c>
      <c r="E110" s="89"/>
      <c r="F110" s="89"/>
      <c r="G110" s="88">
        <f t="shared" si="29"/>
        <v>1040</v>
      </c>
      <c r="H110" s="89">
        <v>10.4</v>
      </c>
      <c r="I110" s="89"/>
      <c r="J110" s="89"/>
      <c r="K110" s="89"/>
      <c r="L110" s="89"/>
      <c r="M110" s="89"/>
      <c r="N110" s="88">
        <f t="shared" si="21"/>
        <v>1029.5999999999999</v>
      </c>
      <c r="O110" s="106">
        <v>43607</v>
      </c>
      <c r="P110" s="135" t="s">
        <v>52</v>
      </c>
      <c r="Q110" s="144" t="s">
        <v>103</v>
      </c>
    </row>
    <row r="111" spans="1:18" s="94" customFormat="1" ht="13.5" thickBot="1" x14ac:dyDescent="0.25">
      <c r="A111" s="473" t="s">
        <v>0</v>
      </c>
      <c r="B111" s="474"/>
      <c r="C111" s="129">
        <f t="shared" ref="C111:N111" si="31">SUM(C105:C110)</f>
        <v>7863.6</v>
      </c>
      <c r="D111" s="129">
        <f t="shared" si="31"/>
        <v>1679.0700000000002</v>
      </c>
      <c r="E111" s="129">
        <f t="shared" si="31"/>
        <v>690</v>
      </c>
      <c r="F111" s="129">
        <f t="shared" si="31"/>
        <v>572.75</v>
      </c>
      <c r="G111" s="129">
        <f t="shared" si="31"/>
        <v>10265.42</v>
      </c>
      <c r="H111" s="129">
        <f t="shared" si="31"/>
        <v>79.490000000000009</v>
      </c>
      <c r="I111" s="129">
        <f t="shared" si="31"/>
        <v>614</v>
      </c>
      <c r="J111" s="129">
        <f t="shared" si="31"/>
        <v>-155</v>
      </c>
      <c r="K111" s="129">
        <f t="shared" si="31"/>
        <v>572.75</v>
      </c>
      <c r="L111" s="129">
        <f t="shared" si="31"/>
        <v>402.23</v>
      </c>
      <c r="M111" s="129">
        <f t="shared" si="31"/>
        <v>1325</v>
      </c>
      <c r="N111" s="129">
        <f t="shared" si="31"/>
        <v>7394.1999999999989</v>
      </c>
      <c r="O111" s="475" t="s">
        <v>0</v>
      </c>
      <c r="P111" s="476"/>
      <c r="Q111" s="144"/>
      <c r="R111" s="319"/>
    </row>
    <row r="112" spans="1:18" x14ac:dyDescent="0.2">
      <c r="A112" s="83" t="s">
        <v>25</v>
      </c>
      <c r="B112" s="84" t="s">
        <v>68</v>
      </c>
      <c r="C112" s="89">
        <v>3415.2</v>
      </c>
      <c r="D112" s="89">
        <v>2177.19</v>
      </c>
      <c r="E112" s="89">
        <v>0</v>
      </c>
      <c r="F112" s="89">
        <v>0</v>
      </c>
      <c r="G112" s="88">
        <f t="shared" ref="G112" si="32">C112+D112+F112</f>
        <v>5592.3899999999994</v>
      </c>
      <c r="H112" s="89">
        <v>29.74</v>
      </c>
      <c r="I112" s="89">
        <v>881</v>
      </c>
      <c r="J112" s="89">
        <v>0</v>
      </c>
      <c r="K112" s="89">
        <v>0</v>
      </c>
      <c r="L112" s="89">
        <v>200.01</v>
      </c>
      <c r="M112" s="89">
        <v>0</v>
      </c>
      <c r="N112" s="88">
        <f t="shared" si="21"/>
        <v>4481.6399999999994</v>
      </c>
      <c r="O112" s="106">
        <v>43614</v>
      </c>
      <c r="P112" s="130" t="s">
        <v>53</v>
      </c>
      <c r="Q112" s="144" t="s">
        <v>103</v>
      </c>
    </row>
    <row r="113" spans="1:18" x14ac:dyDescent="0.2">
      <c r="A113" s="81" t="s">
        <v>26</v>
      </c>
      <c r="B113" s="82" t="s">
        <v>76</v>
      </c>
      <c r="C113" s="89">
        <v>818.8</v>
      </c>
      <c r="D113" s="89">
        <v>0</v>
      </c>
      <c r="E113" s="89">
        <v>50</v>
      </c>
      <c r="F113" s="89">
        <v>0</v>
      </c>
      <c r="G113" s="88">
        <f>C113+D113+F113</f>
        <v>818.8</v>
      </c>
      <c r="H113" s="89">
        <v>8.19</v>
      </c>
      <c r="I113" s="89">
        <v>0</v>
      </c>
      <c r="J113" s="89"/>
      <c r="K113" s="89"/>
      <c r="L113" s="89">
        <v>58.14</v>
      </c>
      <c r="M113" s="89"/>
      <c r="N113" s="88">
        <f t="shared" ref="N113" si="33">C113+D113+E113-H113-I113-J113-K113-L113-M113</f>
        <v>802.46999999999991</v>
      </c>
      <c r="O113" s="106">
        <v>43614</v>
      </c>
      <c r="P113" s="130" t="s">
        <v>53</v>
      </c>
      <c r="Q113" s="144" t="s">
        <v>103</v>
      </c>
    </row>
    <row r="114" spans="1:18" x14ac:dyDescent="0.2">
      <c r="A114" s="81" t="s">
        <v>3</v>
      </c>
      <c r="B114" s="82" t="s">
        <v>77</v>
      </c>
      <c r="C114" s="89">
        <v>1074.8</v>
      </c>
      <c r="D114" s="89"/>
      <c r="E114" s="89">
        <v>50</v>
      </c>
      <c r="F114" s="89"/>
      <c r="G114" s="88">
        <f>C114+D114+F114+E114</f>
        <v>1124.8</v>
      </c>
      <c r="H114" s="89">
        <v>10.75</v>
      </c>
      <c r="I114" s="89"/>
      <c r="J114" s="89"/>
      <c r="K114" s="89"/>
      <c r="L114" s="89">
        <v>76.3</v>
      </c>
      <c r="M114" s="89"/>
      <c r="N114" s="88">
        <f t="shared" si="21"/>
        <v>1037.75</v>
      </c>
      <c r="O114" s="106">
        <v>43614</v>
      </c>
      <c r="P114" s="130" t="s">
        <v>53</v>
      </c>
      <c r="Q114" s="144" t="s">
        <v>103</v>
      </c>
    </row>
    <row r="115" spans="1:18" x14ac:dyDescent="0.2">
      <c r="A115" s="81" t="s">
        <v>32</v>
      </c>
      <c r="B115" s="82" t="s">
        <v>78</v>
      </c>
      <c r="C115" s="89">
        <v>954.8</v>
      </c>
      <c r="D115" s="89"/>
      <c r="E115" s="89">
        <v>100</v>
      </c>
      <c r="F115" s="89"/>
      <c r="G115" s="88">
        <f>C115+D115+F115+E115</f>
        <v>1054.8</v>
      </c>
      <c r="H115" s="89">
        <v>9.5500000000000007</v>
      </c>
      <c r="I115" s="89"/>
      <c r="J115" s="89"/>
      <c r="K115" s="89"/>
      <c r="L115" s="89">
        <v>67.78</v>
      </c>
      <c r="M115" s="89"/>
      <c r="N115" s="88">
        <f t="shared" si="21"/>
        <v>977.47</v>
      </c>
      <c r="O115" s="106">
        <v>43614</v>
      </c>
      <c r="P115" s="130" t="s">
        <v>53</v>
      </c>
      <c r="Q115" s="144" t="s">
        <v>103</v>
      </c>
    </row>
    <row r="116" spans="1:18" x14ac:dyDescent="0.2">
      <c r="A116" s="81" t="s">
        <v>75</v>
      </c>
      <c r="B116" s="82" t="s">
        <v>79</v>
      </c>
      <c r="C116" s="89">
        <v>800</v>
      </c>
      <c r="D116" s="89"/>
      <c r="E116" s="89"/>
      <c r="F116" s="89"/>
      <c r="G116" s="88">
        <f t="shared" ref="G116:G117" si="34">C116+D116+F116</f>
        <v>800</v>
      </c>
      <c r="H116" s="89">
        <v>8</v>
      </c>
      <c r="I116" s="89"/>
      <c r="J116" s="89"/>
      <c r="K116" s="89"/>
      <c r="L116" s="89"/>
      <c r="M116" s="89"/>
      <c r="N116" s="88">
        <f t="shared" ref="N116" si="35">C116+D116+E116-H116-I116-J116-K116-L116-M116</f>
        <v>792</v>
      </c>
      <c r="O116" s="106">
        <v>43614</v>
      </c>
      <c r="P116" s="130" t="s">
        <v>53</v>
      </c>
      <c r="Q116" s="144" t="s">
        <v>103</v>
      </c>
    </row>
    <row r="117" spans="1:18" ht="13.5" thickBot="1" x14ac:dyDescent="0.25">
      <c r="A117" s="81" t="s">
        <v>110</v>
      </c>
      <c r="B117" s="82" t="s">
        <v>109</v>
      </c>
      <c r="C117" s="89">
        <v>800</v>
      </c>
      <c r="D117" s="89"/>
      <c r="E117" s="89"/>
      <c r="F117" s="89"/>
      <c r="G117" s="88">
        <f t="shared" si="34"/>
        <v>800</v>
      </c>
      <c r="H117" s="89">
        <v>8</v>
      </c>
      <c r="I117" s="89"/>
      <c r="J117" s="89"/>
      <c r="K117" s="89"/>
      <c r="L117" s="89"/>
      <c r="M117" s="89"/>
      <c r="N117" s="88">
        <f t="shared" si="21"/>
        <v>792</v>
      </c>
      <c r="O117" s="106">
        <v>43614</v>
      </c>
      <c r="P117" s="130" t="s">
        <v>53</v>
      </c>
      <c r="Q117" s="144" t="s">
        <v>103</v>
      </c>
    </row>
    <row r="118" spans="1:18" s="94" customFormat="1" ht="13.5" thickBot="1" x14ac:dyDescent="0.25">
      <c r="A118" s="465" t="s">
        <v>0</v>
      </c>
      <c r="B118" s="466"/>
      <c r="C118" s="118">
        <f t="shared" ref="C118:N118" si="36">SUM(C112:C117)</f>
        <v>7863.6</v>
      </c>
      <c r="D118" s="118">
        <f t="shared" si="36"/>
        <v>2177.19</v>
      </c>
      <c r="E118" s="118">
        <f t="shared" si="36"/>
        <v>200</v>
      </c>
      <c r="F118" s="118">
        <f t="shared" si="36"/>
        <v>0</v>
      </c>
      <c r="G118" s="118">
        <f t="shared" si="36"/>
        <v>10190.789999999999</v>
      </c>
      <c r="H118" s="118">
        <f t="shared" si="36"/>
        <v>74.23</v>
      </c>
      <c r="I118" s="118">
        <f t="shared" si="36"/>
        <v>881</v>
      </c>
      <c r="J118" s="118">
        <f t="shared" si="36"/>
        <v>0</v>
      </c>
      <c r="K118" s="118">
        <f t="shared" si="36"/>
        <v>0</v>
      </c>
      <c r="L118" s="118">
        <f t="shared" si="36"/>
        <v>402.23</v>
      </c>
      <c r="M118" s="118">
        <f t="shared" si="36"/>
        <v>0</v>
      </c>
      <c r="N118" s="118">
        <f t="shared" si="36"/>
        <v>8883.33</v>
      </c>
      <c r="O118" s="467" t="s">
        <v>0</v>
      </c>
      <c r="P118" s="468"/>
      <c r="Q118" s="144"/>
      <c r="R118" s="319"/>
    </row>
    <row r="119" spans="1:18" s="153" customFormat="1" ht="13.5" thickBot="1" x14ac:dyDescent="0.25">
      <c r="A119" s="437" t="s">
        <v>99</v>
      </c>
      <c r="B119" s="438"/>
      <c r="C119" s="171">
        <f>C118+C111+C104+C97+C90</f>
        <v>39443.740000000005</v>
      </c>
      <c r="D119" s="172">
        <f t="shared" ref="D119:N119" si="37">D118+D111+D104+D97+D90</f>
        <v>9178.41</v>
      </c>
      <c r="E119" s="172">
        <f t="shared" si="37"/>
        <v>2960</v>
      </c>
      <c r="F119" s="172">
        <f t="shared" si="37"/>
        <v>2291</v>
      </c>
      <c r="G119" s="172">
        <f t="shared" si="37"/>
        <v>51663.149999999994</v>
      </c>
      <c r="H119" s="172">
        <f t="shared" si="37"/>
        <v>376.41000000000008</v>
      </c>
      <c r="I119" s="172">
        <f t="shared" si="37"/>
        <v>3859</v>
      </c>
      <c r="J119" s="172">
        <f t="shared" si="37"/>
        <v>-620</v>
      </c>
      <c r="K119" s="172">
        <f t="shared" si="37"/>
        <v>2291</v>
      </c>
      <c r="L119" s="172">
        <f t="shared" si="37"/>
        <v>2011.15</v>
      </c>
      <c r="M119" s="172">
        <f t="shared" si="37"/>
        <v>4900</v>
      </c>
      <c r="N119" s="173">
        <f t="shared" si="37"/>
        <v>38764.590000000004</v>
      </c>
      <c r="O119" s="157"/>
      <c r="P119" s="158"/>
      <c r="Q119" s="152"/>
      <c r="R119" s="320"/>
    </row>
    <row r="120" spans="1:18" s="180" customFormat="1" x14ac:dyDescent="0.2">
      <c r="A120" s="175" t="s">
        <v>8</v>
      </c>
      <c r="B120" s="183" t="s">
        <v>111</v>
      </c>
      <c r="C120" s="176">
        <v>13535</v>
      </c>
      <c r="D120" s="176"/>
      <c r="E120" s="176"/>
      <c r="F120" s="176">
        <v>5162</v>
      </c>
      <c r="G120" s="88">
        <f t="shared" ref="G120:G122" si="38">C120+D120+F120</f>
        <v>18697</v>
      </c>
      <c r="H120" s="176">
        <v>0</v>
      </c>
      <c r="I120" s="176">
        <v>2364</v>
      </c>
      <c r="J120" s="176">
        <v>-829</v>
      </c>
      <c r="K120" s="176"/>
      <c r="L120" s="176"/>
      <c r="M120" s="176"/>
      <c r="N120" s="192">
        <f t="shared" si="21"/>
        <v>12000</v>
      </c>
      <c r="O120" s="193"/>
      <c r="P120" s="178"/>
      <c r="Q120" s="179"/>
      <c r="R120" s="321"/>
    </row>
    <row r="121" spans="1:18" s="180" customFormat="1" x14ac:dyDescent="0.2">
      <c r="A121" s="175" t="s">
        <v>27</v>
      </c>
      <c r="B121" s="183" t="s">
        <v>112</v>
      </c>
      <c r="C121" s="181">
        <v>12113</v>
      </c>
      <c r="D121" s="181"/>
      <c r="E121" s="181"/>
      <c r="F121" s="181">
        <v>2400</v>
      </c>
      <c r="G121" s="88">
        <f t="shared" si="38"/>
        <v>14513</v>
      </c>
      <c r="H121" s="181">
        <v>0</v>
      </c>
      <c r="I121" s="181">
        <v>1423</v>
      </c>
      <c r="J121" s="181">
        <v>-310</v>
      </c>
      <c r="K121" s="181"/>
      <c r="L121" s="181"/>
      <c r="M121" s="181"/>
      <c r="N121" s="192">
        <f t="shared" si="21"/>
        <v>11000</v>
      </c>
      <c r="O121" s="193"/>
      <c r="P121" s="178"/>
      <c r="Q121" s="179"/>
      <c r="R121" s="321"/>
    </row>
    <row r="122" spans="1:18" s="180" customFormat="1" ht="13.5" thickBot="1" x14ac:dyDescent="0.25">
      <c r="A122" s="175" t="s">
        <v>6</v>
      </c>
      <c r="B122" s="183" t="s">
        <v>113</v>
      </c>
      <c r="C122" s="182">
        <v>11713.13</v>
      </c>
      <c r="D122" s="182"/>
      <c r="E122" s="182"/>
      <c r="F122" s="182">
        <v>2100</v>
      </c>
      <c r="G122" s="88">
        <f t="shared" si="38"/>
        <v>13813.13</v>
      </c>
      <c r="H122" s="182">
        <v>138.13</v>
      </c>
      <c r="I122" s="182">
        <v>1304</v>
      </c>
      <c r="J122" s="182">
        <v>-829</v>
      </c>
      <c r="K122" s="182">
        <v>2100</v>
      </c>
      <c r="L122" s="182"/>
      <c r="M122" s="182"/>
      <c r="N122" s="192">
        <f t="shared" si="21"/>
        <v>9000</v>
      </c>
      <c r="O122" s="193"/>
      <c r="P122" s="178"/>
      <c r="Q122" s="179"/>
      <c r="R122" s="321"/>
    </row>
    <row r="123" spans="1:18" s="143" customFormat="1" ht="13.5" thickBot="1" x14ac:dyDescent="0.25">
      <c r="A123" s="439" t="s">
        <v>100</v>
      </c>
      <c r="B123" s="440"/>
      <c r="C123" s="174">
        <f>SUM(C120:C122)</f>
        <v>37361.129999999997</v>
      </c>
      <c r="D123" s="174">
        <f t="shared" ref="D123:N123" si="39">SUM(D120:D122)</f>
        <v>0</v>
      </c>
      <c r="E123" s="174">
        <f t="shared" si="39"/>
        <v>0</v>
      </c>
      <c r="F123" s="174">
        <f t="shared" si="39"/>
        <v>9662</v>
      </c>
      <c r="G123" s="174">
        <f t="shared" si="39"/>
        <v>47023.13</v>
      </c>
      <c r="H123" s="174">
        <f t="shared" si="39"/>
        <v>138.13</v>
      </c>
      <c r="I123" s="174">
        <f>SUM(I120:I122)</f>
        <v>5091</v>
      </c>
      <c r="J123" s="174">
        <f t="shared" si="39"/>
        <v>-1968</v>
      </c>
      <c r="K123" s="174">
        <f t="shared" si="39"/>
        <v>2100</v>
      </c>
      <c r="L123" s="174">
        <f t="shared" si="39"/>
        <v>0</v>
      </c>
      <c r="M123" s="174">
        <f t="shared" si="39"/>
        <v>0</v>
      </c>
      <c r="N123" s="174">
        <f t="shared" si="39"/>
        <v>32000</v>
      </c>
      <c r="O123" s="160"/>
      <c r="P123" s="161"/>
      <c r="Q123" s="146"/>
      <c r="R123" s="322"/>
    </row>
    <row r="124" spans="1:18" s="143" customFormat="1" ht="13.5" thickBot="1" x14ac:dyDescent="0.25">
      <c r="A124" s="441" t="s">
        <v>101</v>
      </c>
      <c r="B124" s="441"/>
      <c r="C124" s="154"/>
      <c r="D124" s="154"/>
      <c r="E124" s="154"/>
      <c r="F124" s="154"/>
      <c r="G124" s="154"/>
      <c r="H124" s="163">
        <f>(H119+H123)*2</f>
        <v>1029.0800000000002</v>
      </c>
      <c r="I124" s="159">
        <f>I119+I123</f>
        <v>8950</v>
      </c>
      <c r="J124" s="164">
        <f>J119+J123</f>
        <v>-2588</v>
      </c>
      <c r="K124" s="154"/>
      <c r="L124" s="154"/>
      <c r="M124" s="154"/>
      <c r="N124" s="154">
        <f>9000+11000+12000</f>
        <v>32000</v>
      </c>
      <c r="O124" s="142"/>
      <c r="P124" s="142"/>
      <c r="Q124" s="156"/>
      <c r="R124" s="322"/>
    </row>
    <row r="125" spans="1:18" s="143" customFormat="1" ht="13.5" thickBot="1" x14ac:dyDescent="0.25">
      <c r="A125" s="169"/>
      <c r="B125" s="169"/>
      <c r="C125" s="154"/>
      <c r="D125" s="154"/>
      <c r="E125" s="154"/>
      <c r="F125" s="154"/>
      <c r="G125" s="154"/>
      <c r="H125" s="154"/>
      <c r="I125" s="455">
        <f>I124+J124</f>
        <v>6362</v>
      </c>
      <c r="J125" s="456"/>
      <c r="K125" s="154"/>
      <c r="L125" s="154"/>
      <c r="M125" s="154"/>
      <c r="N125" s="154"/>
      <c r="O125" s="142"/>
      <c r="P125" s="142"/>
      <c r="Q125" s="156"/>
      <c r="R125" s="322"/>
    </row>
    <row r="126" spans="1:18" s="143" customFormat="1" ht="13.5" thickBot="1" x14ac:dyDescent="0.25">
      <c r="A126" s="169"/>
      <c r="B126" s="169"/>
      <c r="C126" s="154"/>
      <c r="D126" s="154"/>
      <c r="E126" s="154"/>
      <c r="F126" s="154"/>
      <c r="G126" s="154"/>
      <c r="H126" s="457">
        <f>SUM(H124:J124)</f>
        <v>7391.08</v>
      </c>
      <c r="I126" s="458"/>
      <c r="J126" s="459"/>
      <c r="K126" s="154"/>
      <c r="L126" s="154"/>
      <c r="M126" s="154"/>
      <c r="N126" s="154"/>
      <c r="O126" s="142"/>
      <c r="P126" s="142"/>
      <c r="Q126" s="156"/>
      <c r="R126" s="322"/>
    </row>
    <row r="127" spans="1:18" s="155" customFormat="1" ht="13.5" thickBot="1" x14ac:dyDescent="0.25">
      <c r="A127" s="141"/>
      <c r="B127" s="141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  <c r="M127" s="154"/>
      <c r="N127" s="154"/>
      <c r="O127" s="142"/>
      <c r="P127" s="142"/>
      <c r="Q127" s="141"/>
      <c r="R127" s="154"/>
    </row>
    <row r="128" spans="1:18" s="79" customFormat="1" ht="13.5" thickBot="1" x14ac:dyDescent="0.25">
      <c r="A128" s="444" t="s">
        <v>121</v>
      </c>
      <c r="B128" s="445"/>
      <c r="C128" s="445"/>
      <c r="D128" s="445"/>
      <c r="E128" s="445"/>
      <c r="F128" s="445"/>
      <c r="G128" s="445"/>
      <c r="H128" s="445"/>
      <c r="I128" s="445"/>
      <c r="J128" s="445"/>
      <c r="K128" s="445"/>
      <c r="L128" s="445"/>
      <c r="M128" s="445"/>
      <c r="N128" s="445"/>
      <c r="O128" s="445"/>
      <c r="P128" s="445"/>
      <c r="Q128" s="446"/>
      <c r="R128" s="318"/>
    </row>
    <row r="129" spans="1:18" s="79" customFormat="1" ht="13.5" thickBot="1" x14ac:dyDescent="0.25">
      <c r="A129" s="85" t="s">
        <v>69</v>
      </c>
      <c r="B129" s="86" t="s">
        <v>1</v>
      </c>
      <c r="C129" s="87" t="s">
        <v>61</v>
      </c>
      <c r="D129" s="87" t="s">
        <v>62</v>
      </c>
      <c r="E129" s="87" t="s">
        <v>73</v>
      </c>
      <c r="F129" s="87" t="s">
        <v>67</v>
      </c>
      <c r="G129" s="87" t="s">
        <v>81</v>
      </c>
      <c r="H129" s="87" t="s">
        <v>64</v>
      </c>
      <c r="I129" s="87" t="s">
        <v>65</v>
      </c>
      <c r="J129" s="87" t="s">
        <v>72</v>
      </c>
      <c r="K129" s="87" t="s">
        <v>67</v>
      </c>
      <c r="L129" s="87" t="s">
        <v>63</v>
      </c>
      <c r="M129" s="87" t="s">
        <v>66</v>
      </c>
      <c r="N129" s="87" t="s">
        <v>2</v>
      </c>
      <c r="O129" s="92" t="s">
        <v>71</v>
      </c>
      <c r="P129" s="93" t="s">
        <v>74</v>
      </c>
      <c r="Q129" s="147" t="s">
        <v>97</v>
      </c>
      <c r="R129" s="318"/>
    </row>
    <row r="130" spans="1:18" x14ac:dyDescent="0.2">
      <c r="A130" s="83" t="s">
        <v>25</v>
      </c>
      <c r="B130" s="84" t="s">
        <v>68</v>
      </c>
      <c r="C130" s="89">
        <v>3415.2</v>
      </c>
      <c r="D130" s="89">
        <v>1024.56</v>
      </c>
      <c r="E130" s="89">
        <v>490</v>
      </c>
      <c r="F130" s="89">
        <v>572.75</v>
      </c>
      <c r="G130" s="88">
        <f t="shared" ref="G130" si="40">C130+D130+F130</f>
        <v>5012.51</v>
      </c>
      <c r="H130" s="89">
        <v>37.18</v>
      </c>
      <c r="I130" s="89">
        <v>581</v>
      </c>
      <c r="J130" s="89">
        <v>-155</v>
      </c>
      <c r="K130" s="89">
        <v>572.75</v>
      </c>
      <c r="L130" s="89">
        <v>200.01</v>
      </c>
      <c r="M130" s="89">
        <v>1125</v>
      </c>
      <c r="N130" s="88">
        <f t="shared" si="21"/>
        <v>2568.8199999999997</v>
      </c>
      <c r="O130" s="106">
        <v>43621</v>
      </c>
      <c r="P130" s="131" t="s">
        <v>54</v>
      </c>
      <c r="Q130" s="144" t="s">
        <v>121</v>
      </c>
    </row>
    <row r="131" spans="1:18" x14ac:dyDescent="0.2">
      <c r="A131" s="81" t="s">
        <v>26</v>
      </c>
      <c r="B131" s="82" t="s">
        <v>76</v>
      </c>
      <c r="C131" s="89">
        <v>818.8</v>
      </c>
      <c r="D131" s="89">
        <v>0</v>
      </c>
      <c r="E131" s="89">
        <v>50</v>
      </c>
      <c r="F131" s="89">
        <v>0</v>
      </c>
      <c r="G131" s="88">
        <f>C131+D131+F131</f>
        <v>818.8</v>
      </c>
      <c r="H131" s="89">
        <v>8.19</v>
      </c>
      <c r="I131" s="89">
        <v>0</v>
      </c>
      <c r="J131" s="89"/>
      <c r="K131" s="89"/>
      <c r="L131" s="89">
        <v>58.14</v>
      </c>
      <c r="M131" s="89"/>
      <c r="N131" s="88">
        <f t="shared" si="21"/>
        <v>802.46999999999991</v>
      </c>
      <c r="O131" s="106">
        <v>43621</v>
      </c>
      <c r="P131" s="131" t="s">
        <v>54</v>
      </c>
      <c r="Q131" s="144" t="s">
        <v>121</v>
      </c>
    </row>
    <row r="132" spans="1:18" x14ac:dyDescent="0.2">
      <c r="A132" s="81" t="s">
        <v>3</v>
      </c>
      <c r="B132" s="82" t="s">
        <v>77</v>
      </c>
      <c r="C132" s="89">
        <v>1074.8</v>
      </c>
      <c r="D132" s="89"/>
      <c r="E132" s="89">
        <v>50</v>
      </c>
      <c r="F132" s="89"/>
      <c r="G132" s="88">
        <f>C132+D132+F132+E132</f>
        <v>1124.8</v>
      </c>
      <c r="H132" s="89">
        <v>10.75</v>
      </c>
      <c r="I132" s="89"/>
      <c r="J132" s="89"/>
      <c r="K132" s="89"/>
      <c r="L132" s="89">
        <v>76.3</v>
      </c>
      <c r="M132" s="89"/>
      <c r="N132" s="88">
        <f t="shared" si="21"/>
        <v>1037.75</v>
      </c>
      <c r="O132" s="106">
        <v>43621</v>
      </c>
      <c r="P132" s="131" t="s">
        <v>54</v>
      </c>
      <c r="Q132" s="144" t="s">
        <v>121</v>
      </c>
    </row>
    <row r="133" spans="1:18" x14ac:dyDescent="0.2">
      <c r="A133" s="81" t="s">
        <v>32</v>
      </c>
      <c r="B133" s="82" t="s">
        <v>78</v>
      </c>
      <c r="C133" s="89">
        <v>954.8</v>
      </c>
      <c r="D133" s="89"/>
      <c r="E133" s="89">
        <v>100</v>
      </c>
      <c r="F133" s="89"/>
      <c r="G133" s="88">
        <f>C133+D133+F133+E133</f>
        <v>1054.8</v>
      </c>
      <c r="H133" s="89">
        <v>9.5500000000000007</v>
      </c>
      <c r="I133" s="89"/>
      <c r="J133" s="89"/>
      <c r="K133" s="89"/>
      <c r="L133" s="89">
        <v>67.78</v>
      </c>
      <c r="M133" s="89"/>
      <c r="N133" s="88">
        <f t="shared" si="21"/>
        <v>977.47</v>
      </c>
      <c r="O133" s="106">
        <v>43621</v>
      </c>
      <c r="P133" s="131" t="s">
        <v>54</v>
      </c>
      <c r="Q133" s="144" t="s">
        <v>121</v>
      </c>
    </row>
    <row r="134" spans="1:18" ht="13.5" thickBot="1" x14ac:dyDescent="0.25">
      <c r="A134" s="81" t="s">
        <v>75</v>
      </c>
      <c r="B134" s="82" t="s">
        <v>79</v>
      </c>
      <c r="C134" s="89">
        <v>800</v>
      </c>
      <c r="D134" s="89"/>
      <c r="E134" s="89"/>
      <c r="F134" s="89"/>
      <c r="G134" s="88">
        <f t="shared" ref="G134:G135" si="41">C134+D134+F134</f>
        <v>800</v>
      </c>
      <c r="H134" s="89">
        <v>8</v>
      </c>
      <c r="I134" s="89"/>
      <c r="J134" s="89"/>
      <c r="K134" s="89"/>
      <c r="L134" s="89"/>
      <c r="M134" s="89"/>
      <c r="N134" s="88">
        <f t="shared" si="21"/>
        <v>792</v>
      </c>
      <c r="O134" s="106">
        <v>43621</v>
      </c>
      <c r="P134" s="131" t="s">
        <v>54</v>
      </c>
      <c r="Q134" s="144" t="s">
        <v>121</v>
      </c>
    </row>
    <row r="135" spans="1:18" ht="13.5" thickBot="1" x14ac:dyDescent="0.25">
      <c r="A135" s="81" t="s">
        <v>110</v>
      </c>
      <c r="B135" s="82" t="s">
        <v>109</v>
      </c>
      <c r="C135" s="89">
        <v>800</v>
      </c>
      <c r="D135" s="89"/>
      <c r="E135" s="89"/>
      <c r="F135" s="89"/>
      <c r="G135" s="88">
        <f t="shared" si="41"/>
        <v>800</v>
      </c>
      <c r="H135" s="89">
        <v>8</v>
      </c>
      <c r="I135" s="89"/>
      <c r="J135" s="89"/>
      <c r="K135" s="89"/>
      <c r="L135" s="89"/>
      <c r="M135" s="89"/>
      <c r="N135" s="88">
        <f t="shared" si="21"/>
        <v>792</v>
      </c>
      <c r="O135" s="106">
        <v>43621</v>
      </c>
      <c r="P135" s="131" t="s">
        <v>54</v>
      </c>
      <c r="Q135" s="144" t="s">
        <v>121</v>
      </c>
    </row>
    <row r="136" spans="1:18" s="94" customFormat="1" ht="13.5" thickBot="1" x14ac:dyDescent="0.25">
      <c r="A136" s="447" t="s">
        <v>0</v>
      </c>
      <c r="B136" s="448"/>
      <c r="C136" s="122">
        <f t="shared" ref="C136:N136" si="42">SUM(C130:C135)</f>
        <v>7863.6</v>
      </c>
      <c r="D136" s="122">
        <f t="shared" si="42"/>
        <v>1024.56</v>
      </c>
      <c r="E136" s="122">
        <f t="shared" si="42"/>
        <v>690</v>
      </c>
      <c r="F136" s="122">
        <f t="shared" si="42"/>
        <v>572.75</v>
      </c>
      <c r="G136" s="122">
        <f t="shared" si="42"/>
        <v>9610.91</v>
      </c>
      <c r="H136" s="122">
        <f t="shared" si="42"/>
        <v>81.67</v>
      </c>
      <c r="I136" s="122">
        <f t="shared" si="42"/>
        <v>581</v>
      </c>
      <c r="J136" s="122">
        <f t="shared" si="42"/>
        <v>-155</v>
      </c>
      <c r="K136" s="122">
        <f t="shared" si="42"/>
        <v>572.75</v>
      </c>
      <c r="L136" s="122">
        <f t="shared" si="42"/>
        <v>402.23</v>
      </c>
      <c r="M136" s="122">
        <f t="shared" si="42"/>
        <v>1125</v>
      </c>
      <c r="N136" s="122">
        <f t="shared" si="42"/>
        <v>6970.5099999999993</v>
      </c>
      <c r="O136" s="449" t="s">
        <v>0</v>
      </c>
      <c r="P136" s="450"/>
      <c r="Q136" s="144"/>
      <c r="R136" s="319"/>
    </row>
    <row r="137" spans="1:18" x14ac:dyDescent="0.2">
      <c r="A137" s="83" t="s">
        <v>25</v>
      </c>
      <c r="B137" s="84" t="s">
        <v>68</v>
      </c>
      <c r="C137" s="89">
        <v>3415.2</v>
      </c>
      <c r="D137" s="89">
        <v>1024.56</v>
      </c>
      <c r="E137" s="89">
        <v>490</v>
      </c>
      <c r="F137" s="89">
        <v>572.75</v>
      </c>
      <c r="G137" s="88">
        <f t="shared" ref="G137:G142" si="43">C137+D137+F137</f>
        <v>5012.51</v>
      </c>
      <c r="H137" s="89">
        <v>37.18</v>
      </c>
      <c r="I137" s="89">
        <v>581</v>
      </c>
      <c r="J137" s="89">
        <v>-155</v>
      </c>
      <c r="K137" s="89">
        <v>572.75</v>
      </c>
      <c r="L137" s="89">
        <v>200.01</v>
      </c>
      <c r="M137" s="89">
        <v>1125</v>
      </c>
      <c r="N137" s="88">
        <f t="shared" si="21"/>
        <v>2568.8199999999997</v>
      </c>
      <c r="O137" s="106">
        <v>43628</v>
      </c>
      <c r="P137" s="132" t="s">
        <v>55</v>
      </c>
      <c r="Q137" s="144" t="s">
        <v>121</v>
      </c>
    </row>
    <row r="138" spans="1:18" x14ac:dyDescent="0.2">
      <c r="A138" s="81" t="s">
        <v>26</v>
      </c>
      <c r="B138" s="82" t="s">
        <v>76</v>
      </c>
      <c r="C138" s="89">
        <v>818.8</v>
      </c>
      <c r="D138" s="89">
        <v>0</v>
      </c>
      <c r="E138" s="89">
        <v>50</v>
      </c>
      <c r="F138" s="89">
        <v>0</v>
      </c>
      <c r="G138" s="88">
        <f t="shared" si="43"/>
        <v>818.8</v>
      </c>
      <c r="H138" s="89">
        <v>8.19</v>
      </c>
      <c r="I138" s="89">
        <v>0</v>
      </c>
      <c r="J138" s="89"/>
      <c r="K138" s="89"/>
      <c r="L138" s="89">
        <v>58.14</v>
      </c>
      <c r="M138" s="89">
        <v>200</v>
      </c>
      <c r="N138" s="88">
        <f t="shared" si="21"/>
        <v>602.46999999999991</v>
      </c>
      <c r="O138" s="106">
        <v>43628</v>
      </c>
      <c r="P138" s="132" t="s">
        <v>55</v>
      </c>
      <c r="Q138" s="144" t="s">
        <v>121</v>
      </c>
    </row>
    <row r="139" spans="1:18" x14ac:dyDescent="0.2">
      <c r="A139" s="81" t="s">
        <v>3</v>
      </c>
      <c r="B139" s="82" t="s">
        <v>77</v>
      </c>
      <c r="C139" s="89">
        <v>1074.8</v>
      </c>
      <c r="D139" s="89"/>
      <c r="E139" s="89">
        <v>50</v>
      </c>
      <c r="F139" s="89"/>
      <c r="G139" s="88">
        <f t="shared" si="43"/>
        <v>1074.8</v>
      </c>
      <c r="H139" s="89">
        <v>10.75</v>
      </c>
      <c r="I139" s="89"/>
      <c r="J139" s="89"/>
      <c r="K139" s="89"/>
      <c r="L139" s="89">
        <v>76.3</v>
      </c>
      <c r="M139" s="89"/>
      <c r="N139" s="88">
        <f t="shared" si="21"/>
        <v>1037.75</v>
      </c>
      <c r="O139" s="106">
        <v>43628</v>
      </c>
      <c r="P139" s="132" t="s">
        <v>55</v>
      </c>
      <c r="Q139" s="144" t="s">
        <v>121</v>
      </c>
    </row>
    <row r="140" spans="1:18" x14ac:dyDescent="0.2">
      <c r="A140" s="81" t="s">
        <v>32</v>
      </c>
      <c r="B140" s="82" t="s">
        <v>78</v>
      </c>
      <c r="C140" s="89">
        <v>954.8</v>
      </c>
      <c r="D140" s="89"/>
      <c r="E140" s="89">
        <v>100</v>
      </c>
      <c r="F140" s="89"/>
      <c r="G140" s="88">
        <f t="shared" si="43"/>
        <v>954.8</v>
      </c>
      <c r="H140" s="89">
        <v>9.5500000000000007</v>
      </c>
      <c r="I140" s="89"/>
      <c r="J140" s="89"/>
      <c r="K140" s="89"/>
      <c r="L140" s="89">
        <v>67.78</v>
      </c>
      <c r="M140" s="89"/>
      <c r="N140" s="88">
        <f t="shared" si="21"/>
        <v>977.47</v>
      </c>
      <c r="O140" s="106">
        <v>43628</v>
      </c>
      <c r="P140" s="132" t="s">
        <v>55</v>
      </c>
      <c r="Q140" s="144" t="s">
        <v>121</v>
      </c>
    </row>
    <row r="141" spans="1:18" ht="13.5" thickBot="1" x14ac:dyDescent="0.25">
      <c r="A141" s="81" t="s">
        <v>75</v>
      </c>
      <c r="B141" s="82" t="s">
        <v>79</v>
      </c>
      <c r="C141" s="89">
        <v>800</v>
      </c>
      <c r="D141" s="89"/>
      <c r="E141" s="89"/>
      <c r="F141" s="89"/>
      <c r="G141" s="88">
        <f t="shared" si="43"/>
        <v>800</v>
      </c>
      <c r="H141" s="89">
        <v>8</v>
      </c>
      <c r="I141" s="89"/>
      <c r="J141" s="89"/>
      <c r="K141" s="89"/>
      <c r="L141" s="89"/>
      <c r="M141" s="89"/>
      <c r="N141" s="88">
        <f t="shared" si="21"/>
        <v>792</v>
      </c>
      <c r="O141" s="106">
        <v>43628</v>
      </c>
      <c r="P141" s="132" t="s">
        <v>55</v>
      </c>
      <c r="Q141" s="144" t="s">
        <v>121</v>
      </c>
    </row>
    <row r="142" spans="1:18" ht="13.5" thickBot="1" x14ac:dyDescent="0.25">
      <c r="A142" s="81" t="s">
        <v>110</v>
      </c>
      <c r="B142" s="82" t="s">
        <v>109</v>
      </c>
      <c r="C142" s="89">
        <v>800</v>
      </c>
      <c r="D142" s="89"/>
      <c r="E142" s="89"/>
      <c r="F142" s="89"/>
      <c r="G142" s="88">
        <f t="shared" si="43"/>
        <v>800</v>
      </c>
      <c r="H142" s="89">
        <v>8</v>
      </c>
      <c r="I142" s="89"/>
      <c r="J142" s="89"/>
      <c r="K142" s="89"/>
      <c r="L142" s="89"/>
      <c r="M142" s="89"/>
      <c r="N142" s="88">
        <f t="shared" si="21"/>
        <v>792</v>
      </c>
      <c r="O142" s="106">
        <v>43628</v>
      </c>
      <c r="P142" s="132" t="s">
        <v>55</v>
      </c>
      <c r="Q142" s="144" t="s">
        <v>121</v>
      </c>
    </row>
    <row r="143" spans="1:18" s="94" customFormat="1" ht="13.5" thickBot="1" x14ac:dyDescent="0.25">
      <c r="A143" s="469" t="s">
        <v>0</v>
      </c>
      <c r="B143" s="470"/>
      <c r="C143" s="133">
        <f t="shared" ref="C143:N143" si="44">SUM(C137:C142)</f>
        <v>7863.6</v>
      </c>
      <c r="D143" s="133">
        <f t="shared" si="44"/>
        <v>1024.56</v>
      </c>
      <c r="E143" s="133">
        <f t="shared" si="44"/>
        <v>690</v>
      </c>
      <c r="F143" s="133">
        <f t="shared" si="44"/>
        <v>572.75</v>
      </c>
      <c r="G143" s="133">
        <f t="shared" si="44"/>
        <v>9460.91</v>
      </c>
      <c r="H143" s="133">
        <f t="shared" si="44"/>
        <v>81.67</v>
      </c>
      <c r="I143" s="133">
        <f t="shared" si="44"/>
        <v>581</v>
      </c>
      <c r="J143" s="133">
        <f t="shared" si="44"/>
        <v>-155</v>
      </c>
      <c r="K143" s="133">
        <f t="shared" si="44"/>
        <v>572.75</v>
      </c>
      <c r="L143" s="133">
        <f t="shared" si="44"/>
        <v>402.23</v>
      </c>
      <c r="M143" s="133">
        <f t="shared" si="44"/>
        <v>1325</v>
      </c>
      <c r="N143" s="133">
        <f t="shared" si="44"/>
        <v>6770.5099999999993</v>
      </c>
      <c r="O143" s="471" t="s">
        <v>0</v>
      </c>
      <c r="P143" s="472"/>
      <c r="Q143" s="144"/>
      <c r="R143" s="319"/>
    </row>
    <row r="144" spans="1:18" x14ac:dyDescent="0.2">
      <c r="A144" s="83" t="s">
        <v>25</v>
      </c>
      <c r="B144" s="84" t="s">
        <v>68</v>
      </c>
      <c r="C144" s="89">
        <v>3415.2</v>
      </c>
      <c r="D144" s="89">
        <v>1216.67</v>
      </c>
      <c r="E144" s="89">
        <v>490</v>
      </c>
      <c r="F144" s="89">
        <v>572.75</v>
      </c>
      <c r="G144" s="88">
        <f t="shared" ref="G144:G158" si="45">C144+D144+F144</f>
        <v>5204.62</v>
      </c>
      <c r="H144" s="89">
        <v>37.18</v>
      </c>
      <c r="I144" s="89">
        <v>630</v>
      </c>
      <c r="J144" s="89">
        <v>-155</v>
      </c>
      <c r="K144" s="89">
        <v>572.75</v>
      </c>
      <c r="L144" s="89">
        <v>200.01</v>
      </c>
      <c r="M144" s="89">
        <v>1125</v>
      </c>
      <c r="N144" s="88">
        <f t="shared" si="21"/>
        <v>2711.9299999999994</v>
      </c>
      <c r="O144" s="106">
        <v>43635</v>
      </c>
      <c r="P144" s="134" t="s">
        <v>56</v>
      </c>
      <c r="Q144" s="144" t="s">
        <v>121</v>
      </c>
    </row>
    <row r="145" spans="1:18" x14ac:dyDescent="0.2">
      <c r="A145" s="81" t="s">
        <v>26</v>
      </c>
      <c r="B145" s="82" t="s">
        <v>76</v>
      </c>
      <c r="C145" s="89">
        <v>818.8</v>
      </c>
      <c r="D145" s="89">
        <v>53.73</v>
      </c>
      <c r="E145" s="89">
        <v>50</v>
      </c>
      <c r="F145" s="89">
        <v>0</v>
      </c>
      <c r="G145" s="88">
        <f t="shared" si="45"/>
        <v>872.53</v>
      </c>
      <c r="H145" s="89">
        <v>8.73</v>
      </c>
      <c r="I145" s="89">
        <v>0</v>
      </c>
      <c r="J145" s="89"/>
      <c r="K145" s="89"/>
      <c r="L145" s="89">
        <v>58.14</v>
      </c>
      <c r="M145" s="89">
        <v>200</v>
      </c>
      <c r="N145" s="88">
        <f t="shared" si="21"/>
        <v>655.66</v>
      </c>
      <c r="O145" s="106">
        <v>43635</v>
      </c>
      <c r="P145" s="134" t="s">
        <v>56</v>
      </c>
      <c r="Q145" s="144" t="s">
        <v>121</v>
      </c>
    </row>
    <row r="146" spans="1:18" x14ac:dyDescent="0.2">
      <c r="A146" s="81" t="s">
        <v>3</v>
      </c>
      <c r="B146" s="82" t="s">
        <v>77</v>
      </c>
      <c r="C146" s="89">
        <v>1074.8</v>
      </c>
      <c r="D146" s="89"/>
      <c r="E146" s="89">
        <v>50</v>
      </c>
      <c r="F146" s="89"/>
      <c r="G146" s="88">
        <f t="shared" si="45"/>
        <v>1074.8</v>
      </c>
      <c r="H146" s="89">
        <v>10.75</v>
      </c>
      <c r="I146" s="89"/>
      <c r="J146" s="89"/>
      <c r="K146" s="89"/>
      <c r="L146" s="89">
        <v>76.3</v>
      </c>
      <c r="M146" s="89"/>
      <c r="N146" s="88">
        <f t="shared" si="21"/>
        <v>1037.75</v>
      </c>
      <c r="O146" s="106">
        <v>43635</v>
      </c>
      <c r="P146" s="134" t="s">
        <v>56</v>
      </c>
      <c r="Q146" s="144" t="s">
        <v>121</v>
      </c>
    </row>
    <row r="147" spans="1:18" x14ac:dyDescent="0.2">
      <c r="A147" s="81" t="s">
        <v>32</v>
      </c>
      <c r="B147" s="82" t="s">
        <v>78</v>
      </c>
      <c r="C147" s="89">
        <v>954.8</v>
      </c>
      <c r="D147" s="89"/>
      <c r="E147" s="89">
        <v>100</v>
      </c>
      <c r="F147" s="89"/>
      <c r="G147" s="88">
        <f t="shared" si="45"/>
        <v>954.8</v>
      </c>
      <c r="H147" s="89">
        <v>9.5500000000000007</v>
      </c>
      <c r="I147" s="89"/>
      <c r="J147" s="89"/>
      <c r="K147" s="89"/>
      <c r="L147" s="89">
        <v>67.78</v>
      </c>
      <c r="M147" s="89"/>
      <c r="N147" s="88">
        <f t="shared" si="21"/>
        <v>977.47</v>
      </c>
      <c r="O147" s="106">
        <v>43635</v>
      </c>
      <c r="P147" s="134" t="s">
        <v>56</v>
      </c>
      <c r="Q147" s="144" t="s">
        <v>121</v>
      </c>
    </row>
    <row r="148" spans="1:18" x14ac:dyDescent="0.2">
      <c r="A148" s="81" t="s">
        <v>75</v>
      </c>
      <c r="B148" s="82" t="s">
        <v>79</v>
      </c>
      <c r="C148" s="89">
        <v>800</v>
      </c>
      <c r="D148" s="89"/>
      <c r="E148" s="89"/>
      <c r="F148" s="89"/>
      <c r="G148" s="88">
        <f t="shared" si="45"/>
        <v>800</v>
      </c>
      <c r="H148" s="89">
        <v>8</v>
      </c>
      <c r="I148" s="89"/>
      <c r="J148" s="89"/>
      <c r="K148" s="89"/>
      <c r="L148" s="89"/>
      <c r="M148" s="89"/>
      <c r="N148" s="88">
        <f t="shared" si="21"/>
        <v>792</v>
      </c>
      <c r="O148" s="106">
        <v>43635</v>
      </c>
      <c r="P148" s="134" t="s">
        <v>56</v>
      </c>
      <c r="Q148" s="144" t="s">
        <v>121</v>
      </c>
    </row>
    <row r="149" spans="1:18" x14ac:dyDescent="0.2">
      <c r="A149" s="81" t="s">
        <v>86</v>
      </c>
      <c r="B149" s="82" t="s">
        <v>106</v>
      </c>
      <c r="C149" s="89">
        <v>400</v>
      </c>
      <c r="D149" s="89"/>
      <c r="E149" s="89"/>
      <c r="F149" s="89"/>
      <c r="G149" s="88">
        <f t="shared" si="45"/>
        <v>400</v>
      </c>
      <c r="H149" s="89">
        <v>4</v>
      </c>
      <c r="I149" s="89"/>
      <c r="J149" s="89"/>
      <c r="K149" s="89"/>
      <c r="L149" s="89"/>
      <c r="M149" s="89"/>
      <c r="N149" s="88">
        <f t="shared" ref="N149" si="46">C149+D149+E149-H149-I149-J149-K149-L149-M149</f>
        <v>396</v>
      </c>
      <c r="O149" s="106">
        <v>43635</v>
      </c>
      <c r="P149" s="134" t="s">
        <v>56</v>
      </c>
      <c r="Q149" s="144" t="s">
        <v>121</v>
      </c>
    </row>
    <row r="150" spans="1:18" ht="13.5" thickBot="1" x14ac:dyDescent="0.25">
      <c r="A150" s="81" t="s">
        <v>110</v>
      </c>
      <c r="B150" s="82" t="s">
        <v>109</v>
      </c>
      <c r="C150" s="89">
        <v>800</v>
      </c>
      <c r="D150" s="89"/>
      <c r="E150" s="89"/>
      <c r="F150" s="89"/>
      <c r="G150" s="88">
        <f t="shared" si="45"/>
        <v>800</v>
      </c>
      <c r="H150" s="89">
        <v>8</v>
      </c>
      <c r="I150" s="89"/>
      <c r="J150" s="89"/>
      <c r="K150" s="89"/>
      <c r="L150" s="89"/>
      <c r="M150" s="89"/>
      <c r="N150" s="88">
        <f t="shared" si="21"/>
        <v>792</v>
      </c>
      <c r="O150" s="106">
        <v>43635</v>
      </c>
      <c r="P150" s="134" t="s">
        <v>56</v>
      </c>
      <c r="Q150" s="144" t="s">
        <v>121</v>
      </c>
    </row>
    <row r="151" spans="1:18" s="94" customFormat="1" ht="13.5" thickBot="1" x14ac:dyDescent="0.25">
      <c r="A151" s="429" t="s">
        <v>0</v>
      </c>
      <c r="B151" s="430"/>
      <c r="C151" s="114">
        <f t="shared" ref="C151:N151" si="47">SUM(C144:C150)</f>
        <v>8263.6</v>
      </c>
      <c r="D151" s="114">
        <f t="shared" si="47"/>
        <v>1270.4000000000001</v>
      </c>
      <c r="E151" s="114">
        <f t="shared" si="47"/>
        <v>690</v>
      </c>
      <c r="F151" s="114">
        <f t="shared" si="47"/>
        <v>572.75</v>
      </c>
      <c r="G151" s="114">
        <f t="shared" si="47"/>
        <v>10106.75</v>
      </c>
      <c r="H151" s="114">
        <f t="shared" si="47"/>
        <v>86.21</v>
      </c>
      <c r="I151" s="114">
        <f t="shared" si="47"/>
        <v>630</v>
      </c>
      <c r="J151" s="114">
        <f t="shared" si="47"/>
        <v>-155</v>
      </c>
      <c r="K151" s="114">
        <f t="shared" si="47"/>
        <v>572.75</v>
      </c>
      <c r="L151" s="114">
        <f t="shared" si="47"/>
        <v>402.23</v>
      </c>
      <c r="M151" s="114">
        <f t="shared" si="47"/>
        <v>1325</v>
      </c>
      <c r="N151" s="114">
        <f t="shared" si="47"/>
        <v>7362.8099999999995</v>
      </c>
      <c r="O151" s="431" t="s">
        <v>0</v>
      </c>
      <c r="P151" s="432"/>
      <c r="Q151" s="144"/>
      <c r="R151" s="319"/>
    </row>
    <row r="152" spans="1:18" x14ac:dyDescent="0.2">
      <c r="A152" s="83" t="s">
        <v>25</v>
      </c>
      <c r="B152" s="84" t="s">
        <v>68</v>
      </c>
      <c r="C152" s="89">
        <v>3415.2</v>
      </c>
      <c r="D152" s="89">
        <v>1024.56</v>
      </c>
      <c r="E152" s="89">
        <v>490</v>
      </c>
      <c r="F152" s="89">
        <v>572.75</v>
      </c>
      <c r="G152" s="88">
        <f t="shared" si="45"/>
        <v>5012.51</v>
      </c>
      <c r="H152" s="89">
        <v>37.18</v>
      </c>
      <c r="I152" s="89">
        <v>581</v>
      </c>
      <c r="J152" s="89">
        <v>-155</v>
      </c>
      <c r="K152" s="89">
        <v>572.75</v>
      </c>
      <c r="L152" s="89">
        <v>200.01</v>
      </c>
      <c r="M152" s="89">
        <v>1125</v>
      </c>
      <c r="N152" s="88">
        <f t="shared" si="21"/>
        <v>2568.8199999999997</v>
      </c>
      <c r="O152" s="106">
        <v>43642</v>
      </c>
      <c r="P152" s="136" t="s">
        <v>57</v>
      </c>
      <c r="Q152" s="144" t="s">
        <v>121</v>
      </c>
    </row>
    <row r="153" spans="1:18" x14ac:dyDescent="0.2">
      <c r="A153" s="81" t="s">
        <v>26</v>
      </c>
      <c r="B153" s="82" t="s">
        <v>76</v>
      </c>
      <c r="C153" s="89">
        <v>818.8</v>
      </c>
      <c r="D153" s="89"/>
      <c r="E153" s="89">
        <v>50</v>
      </c>
      <c r="F153" s="89">
        <v>0</v>
      </c>
      <c r="G153" s="88">
        <f t="shared" si="45"/>
        <v>818.8</v>
      </c>
      <c r="H153" s="89">
        <v>8.19</v>
      </c>
      <c r="I153" s="89">
        <v>0</v>
      </c>
      <c r="J153" s="89"/>
      <c r="K153" s="89"/>
      <c r="L153" s="89">
        <v>58.14</v>
      </c>
      <c r="M153" s="89">
        <v>200</v>
      </c>
      <c r="N153" s="88">
        <f t="shared" si="21"/>
        <v>602.46999999999991</v>
      </c>
      <c r="O153" s="106">
        <v>43642</v>
      </c>
      <c r="P153" s="136" t="s">
        <v>57</v>
      </c>
      <c r="Q153" s="144" t="s">
        <v>121</v>
      </c>
    </row>
    <row r="154" spans="1:18" x14ac:dyDescent="0.2">
      <c r="A154" s="81" t="s">
        <v>3</v>
      </c>
      <c r="B154" s="82" t="s">
        <v>77</v>
      </c>
      <c r="C154" s="89">
        <v>1074.8</v>
      </c>
      <c r="D154" s="89"/>
      <c r="E154" s="89">
        <v>50</v>
      </c>
      <c r="F154" s="89"/>
      <c r="G154" s="88">
        <f t="shared" si="45"/>
        <v>1074.8</v>
      </c>
      <c r="H154" s="89">
        <v>10.75</v>
      </c>
      <c r="I154" s="89"/>
      <c r="J154" s="89"/>
      <c r="K154" s="89"/>
      <c r="L154" s="89">
        <v>76.3</v>
      </c>
      <c r="M154" s="89"/>
      <c r="N154" s="88">
        <f t="shared" si="21"/>
        <v>1037.75</v>
      </c>
      <c r="O154" s="106">
        <v>43642</v>
      </c>
      <c r="P154" s="136" t="s">
        <v>57</v>
      </c>
      <c r="Q154" s="144" t="s">
        <v>121</v>
      </c>
    </row>
    <row r="155" spans="1:18" x14ac:dyDescent="0.2">
      <c r="A155" s="81" t="s">
        <v>32</v>
      </c>
      <c r="B155" s="82" t="s">
        <v>78</v>
      </c>
      <c r="C155" s="89">
        <v>954.8</v>
      </c>
      <c r="D155" s="89"/>
      <c r="E155" s="89">
        <v>100</v>
      </c>
      <c r="F155" s="89"/>
      <c r="G155" s="88">
        <f t="shared" si="45"/>
        <v>954.8</v>
      </c>
      <c r="H155" s="89">
        <v>9.5500000000000007</v>
      </c>
      <c r="I155" s="89"/>
      <c r="J155" s="89"/>
      <c r="K155" s="89"/>
      <c r="L155" s="89">
        <v>67.78</v>
      </c>
      <c r="M155" s="89"/>
      <c r="N155" s="88">
        <f t="shared" si="21"/>
        <v>977.47</v>
      </c>
      <c r="O155" s="106">
        <v>43642</v>
      </c>
      <c r="P155" s="136" t="s">
        <v>57</v>
      </c>
      <c r="Q155" s="144" t="s">
        <v>121</v>
      </c>
    </row>
    <row r="156" spans="1:18" x14ac:dyDescent="0.2">
      <c r="A156" s="81" t="s">
        <v>75</v>
      </c>
      <c r="B156" s="82" t="s">
        <v>79</v>
      </c>
      <c r="C156" s="89">
        <v>800</v>
      </c>
      <c r="D156" s="89"/>
      <c r="E156" s="89"/>
      <c r="F156" s="89"/>
      <c r="G156" s="88">
        <f t="shared" si="45"/>
        <v>800</v>
      </c>
      <c r="H156" s="89">
        <v>8</v>
      </c>
      <c r="I156" s="89"/>
      <c r="J156" s="89"/>
      <c r="K156" s="89"/>
      <c r="L156" s="89"/>
      <c r="M156" s="89"/>
      <c r="N156" s="88">
        <f t="shared" si="21"/>
        <v>792</v>
      </c>
      <c r="O156" s="106">
        <v>43642</v>
      </c>
      <c r="P156" s="136" t="s">
        <v>57</v>
      </c>
      <c r="Q156" s="144" t="s">
        <v>121</v>
      </c>
    </row>
    <row r="157" spans="1:18" x14ac:dyDescent="0.2">
      <c r="A157" s="81" t="s">
        <v>86</v>
      </c>
      <c r="B157" s="82" t="s">
        <v>106</v>
      </c>
      <c r="C157" s="89">
        <v>1000</v>
      </c>
      <c r="D157" s="89"/>
      <c r="E157" s="89"/>
      <c r="F157" s="89"/>
      <c r="G157" s="88">
        <f t="shared" si="45"/>
        <v>1000</v>
      </c>
      <c r="H157" s="89">
        <v>10</v>
      </c>
      <c r="I157" s="89"/>
      <c r="J157" s="89"/>
      <c r="K157" s="89"/>
      <c r="L157" s="89"/>
      <c r="M157" s="89"/>
      <c r="N157" s="88">
        <f t="shared" ref="N157" si="48">C157+D157+E157-H157-I157-J157-K157-L157-M157</f>
        <v>990</v>
      </c>
      <c r="O157" s="106">
        <v>43642</v>
      </c>
      <c r="P157" s="136" t="s">
        <v>57</v>
      </c>
      <c r="Q157" s="144" t="s">
        <v>121</v>
      </c>
    </row>
    <row r="158" spans="1:18" ht="13.5" thickBot="1" x14ac:dyDescent="0.25">
      <c r="A158" s="81" t="s">
        <v>110</v>
      </c>
      <c r="B158" s="82" t="s">
        <v>109</v>
      </c>
      <c r="C158" s="89">
        <v>640</v>
      </c>
      <c r="D158" s="89"/>
      <c r="E158" s="89"/>
      <c r="F158" s="89"/>
      <c r="G158" s="88">
        <f t="shared" si="45"/>
        <v>640</v>
      </c>
      <c r="H158" s="89">
        <v>6.4</v>
      </c>
      <c r="I158" s="89"/>
      <c r="J158" s="89"/>
      <c r="K158" s="89"/>
      <c r="L158" s="89"/>
      <c r="M158" s="89"/>
      <c r="N158" s="88">
        <f t="shared" si="21"/>
        <v>633.6</v>
      </c>
      <c r="O158" s="106">
        <v>43642</v>
      </c>
      <c r="P158" s="136" t="s">
        <v>57</v>
      </c>
      <c r="Q158" s="144" t="s">
        <v>121</v>
      </c>
    </row>
    <row r="159" spans="1:18" s="94" customFormat="1" ht="13.5" thickBot="1" x14ac:dyDescent="0.25">
      <c r="A159" s="461" t="s">
        <v>0</v>
      </c>
      <c r="B159" s="462"/>
      <c r="C159" s="110">
        <f t="shared" ref="C159:N159" si="49">SUM(C152:C158)</f>
        <v>8703.6</v>
      </c>
      <c r="D159" s="110">
        <f t="shared" si="49"/>
        <v>1024.56</v>
      </c>
      <c r="E159" s="110">
        <f t="shared" si="49"/>
        <v>690</v>
      </c>
      <c r="F159" s="110">
        <f t="shared" si="49"/>
        <v>572.75</v>
      </c>
      <c r="G159" s="110">
        <f>SUM(G152:G158)</f>
        <v>10300.91</v>
      </c>
      <c r="H159" s="110">
        <f t="shared" si="49"/>
        <v>90.070000000000007</v>
      </c>
      <c r="I159" s="110">
        <f t="shared" si="49"/>
        <v>581</v>
      </c>
      <c r="J159" s="110">
        <f t="shared" si="49"/>
        <v>-155</v>
      </c>
      <c r="K159" s="110">
        <f t="shared" si="49"/>
        <v>572.75</v>
      </c>
      <c r="L159" s="110">
        <f t="shared" si="49"/>
        <v>402.23</v>
      </c>
      <c r="M159" s="110">
        <f t="shared" si="49"/>
        <v>1325</v>
      </c>
      <c r="N159" s="110">
        <f t="shared" si="49"/>
        <v>7602.11</v>
      </c>
      <c r="O159" s="463" t="s">
        <v>0</v>
      </c>
      <c r="P159" s="464"/>
      <c r="Q159" s="145"/>
      <c r="R159" s="319"/>
    </row>
    <row r="160" spans="1:18" s="153" customFormat="1" ht="13.5" thickBot="1" x14ac:dyDescent="0.25">
      <c r="A160" s="437" t="s">
        <v>99</v>
      </c>
      <c r="B160" s="438"/>
      <c r="C160" s="171">
        <f t="shared" ref="C160:N160" si="50">C159+C151+C143+C136</f>
        <v>32694.400000000001</v>
      </c>
      <c r="D160" s="172">
        <f t="shared" si="50"/>
        <v>4344.08</v>
      </c>
      <c r="E160" s="172">
        <f t="shared" si="50"/>
        <v>2760</v>
      </c>
      <c r="F160" s="172">
        <f t="shared" si="50"/>
        <v>2291</v>
      </c>
      <c r="G160" s="172">
        <f t="shared" si="50"/>
        <v>39479.479999999996</v>
      </c>
      <c r="H160" s="172">
        <f t="shared" si="50"/>
        <v>339.62</v>
      </c>
      <c r="I160" s="172">
        <f t="shared" si="50"/>
        <v>2373</v>
      </c>
      <c r="J160" s="172">
        <f t="shared" si="50"/>
        <v>-620</v>
      </c>
      <c r="K160" s="172">
        <f t="shared" si="50"/>
        <v>2291</v>
      </c>
      <c r="L160" s="172">
        <f t="shared" si="50"/>
        <v>1608.92</v>
      </c>
      <c r="M160" s="172">
        <f t="shared" si="50"/>
        <v>5100</v>
      </c>
      <c r="N160" s="173">
        <f t="shared" si="50"/>
        <v>28705.939999999995</v>
      </c>
      <c r="O160" s="157"/>
      <c r="P160" s="157"/>
      <c r="Q160" s="191"/>
      <c r="R160" s="320"/>
    </row>
    <row r="161" spans="1:18" s="180" customFormat="1" x14ac:dyDescent="0.2">
      <c r="A161" s="175" t="s">
        <v>8</v>
      </c>
      <c r="B161" s="183" t="s">
        <v>111</v>
      </c>
      <c r="C161" s="176">
        <v>13535</v>
      </c>
      <c r="D161" s="176"/>
      <c r="E161" s="176"/>
      <c r="F161" s="176">
        <v>5162</v>
      </c>
      <c r="G161" s="88">
        <f t="shared" ref="G161:G163" si="51">C161+D161+F161</f>
        <v>18697</v>
      </c>
      <c r="H161" s="176">
        <v>0</v>
      </c>
      <c r="I161" s="176">
        <v>2364</v>
      </c>
      <c r="J161" s="176">
        <v>-829</v>
      </c>
      <c r="K161" s="176"/>
      <c r="L161" s="176"/>
      <c r="M161" s="176"/>
      <c r="N161" s="192">
        <f t="shared" ref="N161:N163" si="52">C161+D161+E161-H161-I161-J161-K161-L161-M161</f>
        <v>12000</v>
      </c>
      <c r="O161" s="193"/>
      <c r="P161" s="194"/>
      <c r="Q161" s="196"/>
      <c r="R161" s="321"/>
    </row>
    <row r="162" spans="1:18" s="180" customFormat="1" x14ac:dyDescent="0.2">
      <c r="A162" s="175" t="s">
        <v>27</v>
      </c>
      <c r="B162" s="183" t="s">
        <v>112</v>
      </c>
      <c r="C162" s="181">
        <v>12113</v>
      </c>
      <c r="D162" s="181"/>
      <c r="E162" s="181"/>
      <c r="F162" s="181">
        <v>2400</v>
      </c>
      <c r="G162" s="88">
        <f t="shared" si="51"/>
        <v>14513</v>
      </c>
      <c r="H162" s="181">
        <v>0</v>
      </c>
      <c r="I162" s="181">
        <v>1423</v>
      </c>
      <c r="J162" s="181">
        <v>-310</v>
      </c>
      <c r="K162" s="181"/>
      <c r="L162" s="181"/>
      <c r="M162" s="181"/>
      <c r="N162" s="192">
        <f t="shared" si="52"/>
        <v>11000</v>
      </c>
      <c r="O162" s="193"/>
      <c r="P162" s="194"/>
      <c r="Q162" s="196"/>
      <c r="R162" s="321"/>
    </row>
    <row r="163" spans="1:18" s="180" customFormat="1" ht="13.5" thickBot="1" x14ac:dyDescent="0.25">
      <c r="A163" s="175" t="s">
        <v>6</v>
      </c>
      <c r="B163" s="183" t="s">
        <v>113</v>
      </c>
      <c r="C163" s="182">
        <v>11713.13</v>
      </c>
      <c r="D163" s="182"/>
      <c r="E163" s="182"/>
      <c r="F163" s="182">
        <v>2100</v>
      </c>
      <c r="G163" s="88">
        <f t="shared" si="51"/>
        <v>13813.13</v>
      </c>
      <c r="H163" s="182">
        <v>138.13</v>
      </c>
      <c r="I163" s="182">
        <v>1304</v>
      </c>
      <c r="J163" s="182">
        <v>-829</v>
      </c>
      <c r="K163" s="182">
        <v>2100</v>
      </c>
      <c r="L163" s="182"/>
      <c r="M163" s="182"/>
      <c r="N163" s="192">
        <f t="shared" si="52"/>
        <v>9000</v>
      </c>
      <c r="O163" s="193"/>
      <c r="P163" s="194"/>
      <c r="Q163" s="196"/>
      <c r="R163" s="321"/>
    </row>
    <row r="164" spans="1:18" s="143" customFormat="1" ht="13.5" thickBot="1" x14ac:dyDescent="0.25">
      <c r="A164" s="439" t="s">
        <v>100</v>
      </c>
      <c r="B164" s="440"/>
      <c r="C164" s="174">
        <f t="shared" ref="C164:N164" si="53">SUM(C161:C163)</f>
        <v>37361.129999999997</v>
      </c>
      <c r="D164" s="174">
        <f t="shared" si="53"/>
        <v>0</v>
      </c>
      <c r="E164" s="174">
        <f t="shared" si="53"/>
        <v>0</v>
      </c>
      <c r="F164" s="174">
        <f t="shared" si="53"/>
        <v>9662</v>
      </c>
      <c r="G164" s="174">
        <f t="shared" si="53"/>
        <v>47023.13</v>
      </c>
      <c r="H164" s="174">
        <f t="shared" si="53"/>
        <v>138.13</v>
      </c>
      <c r="I164" s="174">
        <f t="shared" si="53"/>
        <v>5091</v>
      </c>
      <c r="J164" s="174">
        <f t="shared" si="53"/>
        <v>-1968</v>
      </c>
      <c r="K164" s="174">
        <f t="shared" si="53"/>
        <v>2100</v>
      </c>
      <c r="L164" s="174">
        <f t="shared" si="53"/>
        <v>0</v>
      </c>
      <c r="M164" s="174">
        <f t="shared" si="53"/>
        <v>0</v>
      </c>
      <c r="N164" s="197">
        <f t="shared" si="53"/>
        <v>32000</v>
      </c>
      <c r="O164" s="142"/>
      <c r="P164" s="142"/>
      <c r="Q164" s="141"/>
      <c r="R164" s="322"/>
    </row>
    <row r="165" spans="1:18" s="143" customFormat="1" ht="13.5" thickBot="1" x14ac:dyDescent="0.25">
      <c r="A165" s="441" t="s">
        <v>101</v>
      </c>
      <c r="B165" s="441"/>
      <c r="C165" s="154"/>
      <c r="D165" s="154"/>
      <c r="E165" s="154"/>
      <c r="F165" s="154"/>
      <c r="G165" s="154"/>
      <c r="H165" s="163">
        <f>(H160+H164)*2</f>
        <v>955.5</v>
      </c>
      <c r="I165" s="159">
        <f>I160+I164</f>
        <v>7464</v>
      </c>
      <c r="J165" s="164">
        <f>J160+J164</f>
        <v>-2588</v>
      </c>
      <c r="K165" s="154"/>
      <c r="L165" s="154"/>
      <c r="M165" s="154"/>
      <c r="N165" s="154">
        <f>9000+11000+12000</f>
        <v>32000</v>
      </c>
      <c r="O165" s="142"/>
      <c r="P165" s="142"/>
      <c r="Q165" s="195"/>
      <c r="R165" s="322"/>
    </row>
    <row r="166" spans="1:18" s="143" customFormat="1" ht="13.5" thickBot="1" x14ac:dyDescent="0.25">
      <c r="A166" s="169"/>
      <c r="B166" s="169"/>
      <c r="C166" s="154"/>
      <c r="D166" s="154"/>
      <c r="E166" s="154"/>
      <c r="F166" s="154"/>
      <c r="G166" s="154"/>
      <c r="H166" s="154"/>
      <c r="I166" s="455">
        <f>I165+J165</f>
        <v>4876</v>
      </c>
      <c r="J166" s="456"/>
      <c r="K166" s="154"/>
      <c r="L166" s="154"/>
      <c r="M166" s="154"/>
      <c r="N166" s="154"/>
      <c r="O166" s="142"/>
      <c r="P166" s="142"/>
      <c r="Q166" s="156"/>
      <c r="R166" s="322"/>
    </row>
    <row r="167" spans="1:18" s="143" customFormat="1" ht="13.5" thickBot="1" x14ac:dyDescent="0.25">
      <c r="A167" s="169"/>
      <c r="B167" s="169"/>
      <c r="C167" s="154"/>
      <c r="D167" s="154"/>
      <c r="E167" s="154"/>
      <c r="F167" s="154"/>
      <c r="G167" s="154"/>
      <c r="H167" s="457">
        <f>SUM(H165:J165)</f>
        <v>5831.5</v>
      </c>
      <c r="I167" s="458"/>
      <c r="J167" s="459"/>
      <c r="K167" s="154"/>
      <c r="L167" s="154"/>
      <c r="M167" s="154"/>
      <c r="N167" s="154"/>
      <c r="O167" s="142"/>
      <c r="P167" s="142"/>
      <c r="Q167" s="156"/>
      <c r="R167" s="322"/>
    </row>
    <row r="168" spans="1:18" s="155" customFormat="1" ht="13.5" thickBot="1" x14ac:dyDescent="0.25">
      <c r="A168" s="141"/>
      <c r="B168" s="141"/>
      <c r="C168" s="154"/>
      <c r="D168" s="154"/>
      <c r="E168" s="154"/>
      <c r="F168" s="154"/>
      <c r="G168" s="154"/>
      <c r="H168" s="154"/>
      <c r="I168" s="154"/>
      <c r="J168" s="154"/>
      <c r="K168" s="154"/>
      <c r="L168" s="154"/>
      <c r="M168" s="154"/>
      <c r="N168" s="154"/>
      <c r="O168" s="142"/>
      <c r="P168" s="142"/>
      <c r="Q168" s="141"/>
      <c r="R168" s="154"/>
    </row>
    <row r="169" spans="1:18" s="79" customFormat="1" ht="13.5" thickBot="1" x14ac:dyDescent="0.25">
      <c r="A169" s="444" t="s">
        <v>120</v>
      </c>
      <c r="B169" s="445"/>
      <c r="C169" s="445"/>
      <c r="D169" s="445"/>
      <c r="E169" s="445"/>
      <c r="F169" s="445"/>
      <c r="G169" s="445"/>
      <c r="H169" s="445"/>
      <c r="I169" s="445"/>
      <c r="J169" s="445"/>
      <c r="K169" s="445"/>
      <c r="L169" s="445"/>
      <c r="M169" s="445"/>
      <c r="N169" s="445"/>
      <c r="O169" s="445"/>
      <c r="P169" s="445"/>
      <c r="Q169" s="446"/>
      <c r="R169" s="318"/>
    </row>
    <row r="170" spans="1:18" s="79" customFormat="1" ht="13.5" thickBot="1" x14ac:dyDescent="0.25">
      <c r="A170" s="85" t="s">
        <v>69</v>
      </c>
      <c r="B170" s="86" t="s">
        <v>1</v>
      </c>
      <c r="C170" s="87" t="s">
        <v>61</v>
      </c>
      <c r="D170" s="87" t="s">
        <v>62</v>
      </c>
      <c r="E170" s="87" t="s">
        <v>73</v>
      </c>
      <c r="F170" s="87" t="s">
        <v>67</v>
      </c>
      <c r="G170" s="87" t="s">
        <v>81</v>
      </c>
      <c r="H170" s="87" t="s">
        <v>64</v>
      </c>
      <c r="I170" s="87" t="s">
        <v>65</v>
      </c>
      <c r="J170" s="87" t="s">
        <v>72</v>
      </c>
      <c r="K170" s="87" t="s">
        <v>67</v>
      </c>
      <c r="L170" s="87" t="s">
        <v>63</v>
      </c>
      <c r="M170" s="87" t="s">
        <v>66</v>
      </c>
      <c r="N170" s="87" t="s">
        <v>2</v>
      </c>
      <c r="O170" s="92" t="s">
        <v>71</v>
      </c>
      <c r="P170" s="93" t="s">
        <v>74</v>
      </c>
      <c r="Q170" s="147" t="s">
        <v>97</v>
      </c>
      <c r="R170" s="318"/>
    </row>
    <row r="171" spans="1:18" x14ac:dyDescent="0.2">
      <c r="A171" s="83" t="s">
        <v>25</v>
      </c>
      <c r="B171" s="84" t="s">
        <v>68</v>
      </c>
      <c r="C171" s="89">
        <v>3415.2</v>
      </c>
      <c r="D171" s="89">
        <v>0</v>
      </c>
      <c r="E171" s="89">
        <v>490</v>
      </c>
      <c r="F171" s="89">
        <v>572.75</v>
      </c>
      <c r="G171" s="88">
        <f t="shared" ref="G171:G177" si="54">C171+D171+F171</f>
        <v>3987.95</v>
      </c>
      <c r="H171" s="89">
        <v>29.74</v>
      </c>
      <c r="I171" s="89">
        <v>341</v>
      </c>
      <c r="J171" s="89">
        <v>-155</v>
      </c>
      <c r="K171" s="89">
        <v>572.75</v>
      </c>
      <c r="L171" s="89">
        <v>200.01</v>
      </c>
      <c r="M171" s="89">
        <v>1125</v>
      </c>
      <c r="N171" s="88">
        <f t="shared" ref="N171:N177" si="55">C171+D171+E171-H171-I171-J171-K171-L171-M171</f>
        <v>1791.6999999999998</v>
      </c>
      <c r="O171" s="106">
        <v>43649</v>
      </c>
      <c r="P171" s="131" t="s">
        <v>58</v>
      </c>
      <c r="Q171" s="144" t="s">
        <v>120</v>
      </c>
    </row>
    <row r="172" spans="1:18" x14ac:dyDescent="0.2">
      <c r="A172" s="81" t="s">
        <v>26</v>
      </c>
      <c r="B172" s="82" t="s">
        <v>76</v>
      </c>
      <c r="C172" s="89">
        <v>818.8</v>
      </c>
      <c r="D172" s="89"/>
      <c r="E172" s="89">
        <v>50</v>
      </c>
      <c r="F172" s="89">
        <v>0</v>
      </c>
      <c r="G172" s="88">
        <f t="shared" si="54"/>
        <v>818.8</v>
      </c>
      <c r="H172" s="89">
        <v>8.19</v>
      </c>
      <c r="I172" s="89">
        <v>0</v>
      </c>
      <c r="J172" s="89"/>
      <c r="K172" s="89"/>
      <c r="L172" s="89">
        <v>58.14</v>
      </c>
      <c r="M172" s="89"/>
      <c r="N172" s="88">
        <f t="shared" si="55"/>
        <v>802.46999999999991</v>
      </c>
      <c r="O172" s="106">
        <v>43649</v>
      </c>
      <c r="P172" s="131" t="s">
        <v>58</v>
      </c>
      <c r="Q172" s="144" t="s">
        <v>120</v>
      </c>
    </row>
    <row r="173" spans="1:18" x14ac:dyDescent="0.2">
      <c r="A173" s="81" t="s">
        <v>3</v>
      </c>
      <c r="B173" s="82" t="s">
        <v>77</v>
      </c>
      <c r="C173" s="89">
        <v>1074.8</v>
      </c>
      <c r="D173" s="89"/>
      <c r="E173" s="89">
        <v>50</v>
      </c>
      <c r="F173" s="89"/>
      <c r="G173" s="88">
        <f t="shared" si="54"/>
        <v>1074.8</v>
      </c>
      <c r="H173" s="89">
        <v>10.75</v>
      </c>
      <c r="I173" s="89"/>
      <c r="J173" s="89"/>
      <c r="K173" s="89"/>
      <c r="L173" s="89">
        <v>76.3</v>
      </c>
      <c r="M173" s="89"/>
      <c r="N173" s="88">
        <f t="shared" si="55"/>
        <v>1037.75</v>
      </c>
      <c r="O173" s="106">
        <v>43649</v>
      </c>
      <c r="P173" s="131" t="s">
        <v>58</v>
      </c>
      <c r="Q173" s="144" t="s">
        <v>120</v>
      </c>
    </row>
    <row r="174" spans="1:18" x14ac:dyDescent="0.2">
      <c r="A174" s="81" t="s">
        <v>32</v>
      </c>
      <c r="B174" s="82" t="s">
        <v>78</v>
      </c>
      <c r="C174" s="89">
        <v>954.8</v>
      </c>
      <c r="D174" s="89"/>
      <c r="E174" s="89">
        <v>100</v>
      </c>
      <c r="F174" s="89"/>
      <c r="G174" s="88">
        <f t="shared" si="54"/>
        <v>954.8</v>
      </c>
      <c r="H174" s="89">
        <v>9.5500000000000007</v>
      </c>
      <c r="I174" s="89"/>
      <c r="J174" s="89"/>
      <c r="K174" s="89"/>
      <c r="L174" s="89">
        <v>67.78</v>
      </c>
      <c r="M174" s="89"/>
      <c r="N174" s="88">
        <f t="shared" si="55"/>
        <v>977.47</v>
      </c>
      <c r="O174" s="106">
        <v>43649</v>
      </c>
      <c r="P174" s="131" t="s">
        <v>58</v>
      </c>
      <c r="Q174" s="144" t="s">
        <v>120</v>
      </c>
    </row>
    <row r="175" spans="1:18" x14ac:dyDescent="0.2">
      <c r="A175" s="81" t="s">
        <v>75</v>
      </c>
      <c r="B175" s="82" t="s">
        <v>79</v>
      </c>
      <c r="C175" s="89">
        <v>800</v>
      </c>
      <c r="D175" s="89"/>
      <c r="E175" s="89"/>
      <c r="F175" s="89"/>
      <c r="G175" s="88">
        <f t="shared" si="54"/>
        <v>800</v>
      </c>
      <c r="H175" s="89">
        <v>8</v>
      </c>
      <c r="I175" s="89"/>
      <c r="J175" s="89"/>
      <c r="K175" s="89"/>
      <c r="L175" s="89"/>
      <c r="M175" s="89"/>
      <c r="N175" s="88">
        <f t="shared" si="55"/>
        <v>792</v>
      </c>
      <c r="O175" s="106">
        <v>43649</v>
      </c>
      <c r="P175" s="131" t="s">
        <v>58</v>
      </c>
      <c r="Q175" s="144" t="s">
        <v>120</v>
      </c>
    </row>
    <row r="176" spans="1:18" x14ac:dyDescent="0.2">
      <c r="A176" s="81" t="s">
        <v>86</v>
      </c>
      <c r="B176" s="82" t="s">
        <v>106</v>
      </c>
      <c r="C176" s="89">
        <v>1000</v>
      </c>
      <c r="D176" s="89"/>
      <c r="E176" s="89"/>
      <c r="F176" s="89"/>
      <c r="G176" s="88">
        <f t="shared" si="54"/>
        <v>1000</v>
      </c>
      <c r="H176" s="89">
        <v>10</v>
      </c>
      <c r="I176" s="89"/>
      <c r="J176" s="89"/>
      <c r="K176" s="89"/>
      <c r="L176" s="89"/>
      <c r="M176" s="89"/>
      <c r="N176" s="88">
        <f t="shared" ref="N176" si="56">C176+D176+E176-H176-I176-J176-K176-L176-M176</f>
        <v>990</v>
      </c>
      <c r="O176" s="106">
        <v>43649</v>
      </c>
      <c r="P176" s="131" t="s">
        <v>58</v>
      </c>
      <c r="Q176" s="144" t="s">
        <v>120</v>
      </c>
    </row>
    <row r="177" spans="1:18" ht="13.5" thickBot="1" x14ac:dyDescent="0.25">
      <c r="A177" s="81" t="s">
        <v>110</v>
      </c>
      <c r="B177" s="82" t="s">
        <v>109</v>
      </c>
      <c r="C177" s="89">
        <v>800</v>
      </c>
      <c r="D177" s="89"/>
      <c r="E177" s="89"/>
      <c r="F177" s="89"/>
      <c r="G177" s="88">
        <f t="shared" si="54"/>
        <v>800</v>
      </c>
      <c r="H177" s="89">
        <v>8</v>
      </c>
      <c r="I177" s="89"/>
      <c r="J177" s="89"/>
      <c r="K177" s="89"/>
      <c r="L177" s="89"/>
      <c r="M177" s="89"/>
      <c r="N177" s="88">
        <f t="shared" si="55"/>
        <v>792</v>
      </c>
      <c r="O177" s="106">
        <v>43649</v>
      </c>
      <c r="P177" s="131" t="s">
        <v>58</v>
      </c>
      <c r="Q177" s="144" t="s">
        <v>120</v>
      </c>
    </row>
    <row r="178" spans="1:18" s="94" customFormat="1" ht="13.5" thickBot="1" x14ac:dyDescent="0.25">
      <c r="A178" s="447" t="s">
        <v>0</v>
      </c>
      <c r="B178" s="448"/>
      <c r="C178" s="122">
        <f>SUM(C171:C177)</f>
        <v>8863.6</v>
      </c>
      <c r="D178" s="122">
        <f t="shared" ref="D178:N178" si="57">SUM(D171:D177)</f>
        <v>0</v>
      </c>
      <c r="E178" s="122">
        <f t="shared" si="57"/>
        <v>690</v>
      </c>
      <c r="F178" s="122">
        <f t="shared" si="57"/>
        <v>572.75</v>
      </c>
      <c r="G178" s="122">
        <f t="shared" si="57"/>
        <v>9436.35</v>
      </c>
      <c r="H178" s="122">
        <f t="shared" si="57"/>
        <v>84.23</v>
      </c>
      <c r="I178" s="122">
        <f t="shared" si="57"/>
        <v>341</v>
      </c>
      <c r="J178" s="122">
        <f t="shared" si="57"/>
        <v>-155</v>
      </c>
      <c r="K178" s="122">
        <f t="shared" si="57"/>
        <v>572.75</v>
      </c>
      <c r="L178" s="122">
        <f t="shared" si="57"/>
        <v>402.23</v>
      </c>
      <c r="M178" s="122">
        <f t="shared" si="57"/>
        <v>1125</v>
      </c>
      <c r="N178" s="122">
        <f t="shared" si="57"/>
        <v>7183.3899999999994</v>
      </c>
      <c r="O178" s="449" t="s">
        <v>0</v>
      </c>
      <c r="P178" s="450"/>
      <c r="Q178" s="144"/>
      <c r="R178" s="319"/>
    </row>
    <row r="179" spans="1:18" x14ac:dyDescent="0.2">
      <c r="A179" s="83" t="s">
        <v>25</v>
      </c>
      <c r="B179" s="84" t="s">
        <v>68</v>
      </c>
      <c r="C179" s="89">
        <v>3415.2</v>
      </c>
      <c r="D179" s="89">
        <v>256.14</v>
      </c>
      <c r="E179" s="89">
        <v>490</v>
      </c>
      <c r="F179" s="89">
        <v>572.75</v>
      </c>
      <c r="G179" s="88">
        <f t="shared" ref="G179:G185" si="58">C179+D179+F179</f>
        <v>4244.09</v>
      </c>
      <c r="H179" s="89">
        <v>29.74</v>
      </c>
      <c r="I179" s="89">
        <v>388</v>
      </c>
      <c r="J179" s="89">
        <v>-155</v>
      </c>
      <c r="K179" s="89">
        <v>572.75</v>
      </c>
      <c r="L179" s="89">
        <v>200.01</v>
      </c>
      <c r="M179" s="89">
        <v>1125</v>
      </c>
      <c r="N179" s="88">
        <f t="shared" ref="N179:N185" si="59">C179+D179+E179-H179-I179-J179-K179-L179-M179</f>
        <v>2000.8400000000001</v>
      </c>
      <c r="O179" s="106">
        <v>43656</v>
      </c>
      <c r="P179" s="167" t="s">
        <v>59</v>
      </c>
      <c r="Q179" s="144" t="s">
        <v>120</v>
      </c>
    </row>
    <row r="180" spans="1:18" x14ac:dyDescent="0.2">
      <c r="A180" s="81" t="s">
        <v>26</v>
      </c>
      <c r="B180" s="82" t="s">
        <v>76</v>
      </c>
      <c r="C180" s="89">
        <v>818.8</v>
      </c>
      <c r="D180" s="89"/>
      <c r="E180" s="89">
        <v>50</v>
      </c>
      <c r="F180" s="89">
        <v>0</v>
      </c>
      <c r="G180" s="88">
        <f t="shared" si="58"/>
        <v>818.8</v>
      </c>
      <c r="H180" s="89">
        <v>8.19</v>
      </c>
      <c r="I180" s="89">
        <v>0</v>
      </c>
      <c r="J180" s="89"/>
      <c r="K180" s="89"/>
      <c r="L180" s="89">
        <v>58.14</v>
      </c>
      <c r="M180" s="89"/>
      <c r="N180" s="88">
        <f t="shared" si="59"/>
        <v>802.46999999999991</v>
      </c>
      <c r="O180" s="106">
        <v>43656</v>
      </c>
      <c r="P180" s="167" t="s">
        <v>59</v>
      </c>
      <c r="Q180" s="144" t="s">
        <v>120</v>
      </c>
    </row>
    <row r="181" spans="1:18" x14ac:dyDescent="0.2">
      <c r="A181" s="81" t="s">
        <v>3</v>
      </c>
      <c r="B181" s="82" t="s">
        <v>77</v>
      </c>
      <c r="C181" s="89">
        <v>1074.8</v>
      </c>
      <c r="D181" s="89"/>
      <c r="E181" s="89">
        <v>50</v>
      </c>
      <c r="F181" s="89"/>
      <c r="G181" s="88">
        <f t="shared" si="58"/>
        <v>1074.8</v>
      </c>
      <c r="H181" s="89">
        <v>10.75</v>
      </c>
      <c r="I181" s="89"/>
      <c r="J181" s="89"/>
      <c r="K181" s="89"/>
      <c r="L181" s="89">
        <v>76.3</v>
      </c>
      <c r="M181" s="89"/>
      <c r="N181" s="88">
        <f t="shared" si="59"/>
        <v>1037.75</v>
      </c>
      <c r="O181" s="106">
        <v>43656</v>
      </c>
      <c r="P181" s="167" t="s">
        <v>59</v>
      </c>
      <c r="Q181" s="144" t="s">
        <v>120</v>
      </c>
    </row>
    <row r="182" spans="1:18" x14ac:dyDescent="0.2">
      <c r="A182" s="81" t="s">
        <v>32</v>
      </c>
      <c r="B182" s="82" t="s">
        <v>78</v>
      </c>
      <c r="C182" s="89">
        <v>954.8</v>
      </c>
      <c r="D182" s="89"/>
      <c r="E182" s="89">
        <v>100</v>
      </c>
      <c r="F182" s="89"/>
      <c r="G182" s="88">
        <f t="shared" si="58"/>
        <v>954.8</v>
      </c>
      <c r="H182" s="89">
        <v>9.5500000000000007</v>
      </c>
      <c r="I182" s="89"/>
      <c r="J182" s="89"/>
      <c r="K182" s="89"/>
      <c r="L182" s="89">
        <v>67.78</v>
      </c>
      <c r="M182" s="89"/>
      <c r="N182" s="88">
        <f t="shared" si="59"/>
        <v>977.47</v>
      </c>
      <c r="O182" s="106">
        <v>43656</v>
      </c>
      <c r="P182" s="167" t="s">
        <v>59</v>
      </c>
      <c r="Q182" s="144" t="s">
        <v>120</v>
      </c>
    </row>
    <row r="183" spans="1:18" x14ac:dyDescent="0.2">
      <c r="A183" s="81" t="s">
        <v>75</v>
      </c>
      <c r="B183" s="82" t="s">
        <v>79</v>
      </c>
      <c r="C183" s="89">
        <v>800</v>
      </c>
      <c r="D183" s="89"/>
      <c r="E183" s="89"/>
      <c r="F183" s="89"/>
      <c r="G183" s="88">
        <f t="shared" si="58"/>
        <v>800</v>
      </c>
      <c r="H183" s="89">
        <v>8</v>
      </c>
      <c r="I183" s="89"/>
      <c r="J183" s="89"/>
      <c r="K183" s="89"/>
      <c r="L183" s="89"/>
      <c r="M183" s="89"/>
      <c r="N183" s="88">
        <f t="shared" si="59"/>
        <v>792</v>
      </c>
      <c r="O183" s="106">
        <v>43656</v>
      </c>
      <c r="P183" s="167" t="s">
        <v>59</v>
      </c>
      <c r="Q183" s="144" t="s">
        <v>120</v>
      </c>
    </row>
    <row r="184" spans="1:18" x14ac:dyDescent="0.2">
      <c r="A184" s="81" t="s">
        <v>86</v>
      </c>
      <c r="B184" s="82" t="s">
        <v>106</v>
      </c>
      <c r="C184" s="89">
        <v>1000</v>
      </c>
      <c r="D184" s="89">
        <v>75</v>
      </c>
      <c r="E184" s="89"/>
      <c r="F184" s="89"/>
      <c r="G184" s="88">
        <f t="shared" si="58"/>
        <v>1075</v>
      </c>
      <c r="H184" s="89">
        <v>10.75</v>
      </c>
      <c r="I184" s="89"/>
      <c r="J184" s="89"/>
      <c r="K184" s="89"/>
      <c r="L184" s="89"/>
      <c r="M184" s="89"/>
      <c r="N184" s="88">
        <f t="shared" si="59"/>
        <v>1064.25</v>
      </c>
      <c r="O184" s="106">
        <v>43656</v>
      </c>
      <c r="P184" s="167" t="s">
        <v>59</v>
      </c>
      <c r="Q184" s="144" t="s">
        <v>120</v>
      </c>
    </row>
    <row r="185" spans="1:18" ht="13.5" thickBot="1" x14ac:dyDescent="0.25">
      <c r="A185" s="81" t="s">
        <v>110</v>
      </c>
      <c r="B185" s="82" t="s">
        <v>109</v>
      </c>
      <c r="C185" s="89">
        <v>800</v>
      </c>
      <c r="D185" s="89"/>
      <c r="E185" s="89"/>
      <c r="F185" s="89"/>
      <c r="G185" s="88">
        <f t="shared" si="58"/>
        <v>800</v>
      </c>
      <c r="H185" s="89">
        <v>8</v>
      </c>
      <c r="I185" s="89"/>
      <c r="J185" s="89"/>
      <c r="K185" s="89"/>
      <c r="L185" s="89"/>
      <c r="M185" s="89">
        <v>200</v>
      </c>
      <c r="N185" s="88">
        <f t="shared" si="59"/>
        <v>592</v>
      </c>
      <c r="O185" s="106">
        <v>43656</v>
      </c>
      <c r="P185" s="167" t="s">
        <v>59</v>
      </c>
      <c r="Q185" s="144" t="s">
        <v>120</v>
      </c>
    </row>
    <row r="186" spans="1:18" s="94" customFormat="1" ht="13.5" thickBot="1" x14ac:dyDescent="0.25">
      <c r="A186" s="451" t="s">
        <v>0</v>
      </c>
      <c r="B186" s="452"/>
      <c r="C186" s="168">
        <f t="shared" ref="C186:N186" si="60">SUM(C179:C185)</f>
        <v>8863.6</v>
      </c>
      <c r="D186" s="168">
        <f t="shared" si="60"/>
        <v>331.14</v>
      </c>
      <c r="E186" s="168">
        <f t="shared" si="60"/>
        <v>690</v>
      </c>
      <c r="F186" s="168">
        <f t="shared" si="60"/>
        <v>572.75</v>
      </c>
      <c r="G186" s="168">
        <f>SUM(G179:G185)</f>
        <v>9767.4900000000016</v>
      </c>
      <c r="H186" s="168">
        <f t="shared" si="60"/>
        <v>84.98</v>
      </c>
      <c r="I186" s="168">
        <f t="shared" si="60"/>
        <v>388</v>
      </c>
      <c r="J186" s="168">
        <f t="shared" si="60"/>
        <v>-155</v>
      </c>
      <c r="K186" s="168">
        <f t="shared" si="60"/>
        <v>572.75</v>
      </c>
      <c r="L186" s="168">
        <f t="shared" si="60"/>
        <v>402.23</v>
      </c>
      <c r="M186" s="168">
        <f t="shared" si="60"/>
        <v>1325</v>
      </c>
      <c r="N186" s="168">
        <f t="shared" si="60"/>
        <v>7266.78</v>
      </c>
      <c r="O186" s="453" t="s">
        <v>0</v>
      </c>
      <c r="P186" s="454"/>
      <c r="Q186" s="144"/>
      <c r="R186" s="319"/>
    </row>
    <row r="187" spans="1:18" x14ac:dyDescent="0.2">
      <c r="A187" s="83" t="s">
        <v>25</v>
      </c>
      <c r="B187" s="84" t="s">
        <v>68</v>
      </c>
      <c r="C187" s="89">
        <v>3415.2</v>
      </c>
      <c r="D187" s="89">
        <v>960.53</v>
      </c>
      <c r="E187" s="89">
        <v>490</v>
      </c>
      <c r="F187" s="89">
        <v>572.75</v>
      </c>
      <c r="G187" s="88">
        <f t="shared" ref="G187:G193" si="61">C187+D187+F187</f>
        <v>4948.4799999999996</v>
      </c>
      <c r="H187" s="89">
        <v>29.74</v>
      </c>
      <c r="I187" s="89">
        <v>564</v>
      </c>
      <c r="J187" s="89">
        <v>-155</v>
      </c>
      <c r="K187" s="89">
        <v>572.75</v>
      </c>
      <c r="L187" s="89">
        <v>200.01</v>
      </c>
      <c r="M187" s="89">
        <v>1125</v>
      </c>
      <c r="N187" s="88">
        <f t="shared" ref="N187:N193" si="62">C187+D187+E187-H187-I187-J187-K187-L187-M187</f>
        <v>2529.2299999999996</v>
      </c>
      <c r="O187" s="106">
        <v>43663</v>
      </c>
      <c r="P187" s="134" t="s">
        <v>60</v>
      </c>
      <c r="Q187" s="144" t="s">
        <v>120</v>
      </c>
    </row>
    <row r="188" spans="1:18" x14ac:dyDescent="0.2">
      <c r="A188" s="81" t="s">
        <v>26</v>
      </c>
      <c r="B188" s="82" t="s">
        <v>76</v>
      </c>
      <c r="C188" s="89">
        <v>818.8</v>
      </c>
      <c r="D188" s="89"/>
      <c r="E188" s="89">
        <v>50</v>
      </c>
      <c r="F188" s="89">
        <v>0</v>
      </c>
      <c r="G188" s="88">
        <f t="shared" si="61"/>
        <v>818.8</v>
      </c>
      <c r="H188" s="89">
        <v>8.19</v>
      </c>
      <c r="I188" s="89">
        <v>0</v>
      </c>
      <c r="J188" s="89"/>
      <c r="K188" s="89"/>
      <c r="L188" s="89">
        <v>58.14</v>
      </c>
      <c r="M188" s="89"/>
      <c r="N188" s="88">
        <f t="shared" si="62"/>
        <v>802.46999999999991</v>
      </c>
      <c r="O188" s="106">
        <v>43663</v>
      </c>
      <c r="P188" s="134" t="s">
        <v>60</v>
      </c>
      <c r="Q188" s="144" t="s">
        <v>120</v>
      </c>
    </row>
    <row r="189" spans="1:18" x14ac:dyDescent="0.2">
      <c r="A189" s="81" t="s">
        <v>3</v>
      </c>
      <c r="B189" s="82" t="s">
        <v>77</v>
      </c>
      <c r="C189" s="89">
        <v>1074.8</v>
      </c>
      <c r="D189" s="89"/>
      <c r="E189" s="89">
        <v>50</v>
      </c>
      <c r="F189" s="89"/>
      <c r="G189" s="88">
        <f t="shared" si="61"/>
        <v>1074.8</v>
      </c>
      <c r="H189" s="89">
        <v>10.75</v>
      </c>
      <c r="I189" s="89"/>
      <c r="J189" s="89"/>
      <c r="K189" s="89"/>
      <c r="L189" s="89">
        <v>76.3</v>
      </c>
      <c r="M189" s="89"/>
      <c r="N189" s="88">
        <f t="shared" si="62"/>
        <v>1037.75</v>
      </c>
      <c r="O189" s="106">
        <v>43663</v>
      </c>
      <c r="P189" s="134" t="s">
        <v>60</v>
      </c>
      <c r="Q189" s="144" t="s">
        <v>120</v>
      </c>
    </row>
    <row r="190" spans="1:18" x14ac:dyDescent="0.2">
      <c r="A190" s="81" t="s">
        <v>32</v>
      </c>
      <c r="B190" s="82" t="s">
        <v>78</v>
      </c>
      <c r="C190" s="89">
        <v>954.8</v>
      </c>
      <c r="D190" s="89"/>
      <c r="E190" s="89">
        <v>100</v>
      </c>
      <c r="F190" s="89"/>
      <c r="G190" s="88">
        <f t="shared" si="61"/>
        <v>954.8</v>
      </c>
      <c r="H190" s="89">
        <v>9.5500000000000007</v>
      </c>
      <c r="I190" s="89"/>
      <c r="J190" s="89"/>
      <c r="K190" s="89"/>
      <c r="L190" s="89">
        <v>67.78</v>
      </c>
      <c r="M190" s="89"/>
      <c r="N190" s="88">
        <f t="shared" si="62"/>
        <v>977.47</v>
      </c>
      <c r="O190" s="106">
        <v>43663</v>
      </c>
      <c r="P190" s="134" t="s">
        <v>60</v>
      </c>
      <c r="Q190" s="144" t="s">
        <v>120</v>
      </c>
    </row>
    <row r="191" spans="1:18" x14ac:dyDescent="0.2">
      <c r="A191" s="81" t="s">
        <v>75</v>
      </c>
      <c r="B191" s="82" t="s">
        <v>79</v>
      </c>
      <c r="C191" s="89">
        <v>800</v>
      </c>
      <c r="D191" s="89"/>
      <c r="E191" s="89"/>
      <c r="F191" s="89"/>
      <c r="G191" s="88">
        <f t="shared" si="61"/>
        <v>800</v>
      </c>
      <c r="H191" s="89">
        <v>8</v>
      </c>
      <c r="I191" s="89"/>
      <c r="J191" s="89"/>
      <c r="K191" s="89"/>
      <c r="L191" s="89"/>
      <c r="M191" s="89"/>
      <c r="N191" s="88">
        <f t="shared" si="62"/>
        <v>792</v>
      </c>
      <c r="O191" s="106">
        <v>43663</v>
      </c>
      <c r="P191" s="134" t="s">
        <v>60</v>
      </c>
      <c r="Q191" s="144" t="s">
        <v>120</v>
      </c>
    </row>
    <row r="192" spans="1:18" x14ac:dyDescent="0.2">
      <c r="A192" s="81" t="s">
        <v>86</v>
      </c>
      <c r="B192" s="82" t="s">
        <v>106</v>
      </c>
      <c r="C192" s="89">
        <v>1000</v>
      </c>
      <c r="D192" s="89">
        <v>281.25</v>
      </c>
      <c r="E192" s="89"/>
      <c r="F192" s="89"/>
      <c r="G192" s="88">
        <f t="shared" si="61"/>
        <v>1281.25</v>
      </c>
      <c r="H192" s="89">
        <v>12.81</v>
      </c>
      <c r="I192" s="89"/>
      <c r="J192" s="89"/>
      <c r="K192" s="89"/>
      <c r="L192" s="89"/>
      <c r="M192" s="89"/>
      <c r="N192" s="88">
        <f t="shared" si="62"/>
        <v>1268.44</v>
      </c>
      <c r="O192" s="106">
        <v>43663</v>
      </c>
      <c r="P192" s="134" t="s">
        <v>60</v>
      </c>
      <c r="Q192" s="144" t="s">
        <v>120</v>
      </c>
    </row>
    <row r="193" spans="1:18" ht="13.5" thickBot="1" x14ac:dyDescent="0.25">
      <c r="A193" s="81" t="s">
        <v>110</v>
      </c>
      <c r="B193" s="82" t="s">
        <v>109</v>
      </c>
      <c r="C193" s="89">
        <v>800</v>
      </c>
      <c r="D193" s="89"/>
      <c r="E193" s="89"/>
      <c r="F193" s="89"/>
      <c r="G193" s="88">
        <f t="shared" si="61"/>
        <v>800</v>
      </c>
      <c r="H193" s="89">
        <v>8</v>
      </c>
      <c r="I193" s="89"/>
      <c r="J193" s="89"/>
      <c r="K193" s="89"/>
      <c r="L193" s="89"/>
      <c r="M193" s="89">
        <v>200</v>
      </c>
      <c r="N193" s="88">
        <f t="shared" si="62"/>
        <v>592</v>
      </c>
      <c r="O193" s="106">
        <v>43663</v>
      </c>
      <c r="P193" s="134" t="s">
        <v>60</v>
      </c>
      <c r="Q193" s="144" t="s">
        <v>120</v>
      </c>
    </row>
    <row r="194" spans="1:18" s="94" customFormat="1" ht="13.5" thickBot="1" x14ac:dyDescent="0.25">
      <c r="A194" s="429" t="s">
        <v>0</v>
      </c>
      <c r="B194" s="430"/>
      <c r="C194" s="114">
        <f t="shared" ref="C194:N194" si="63">SUM(C187:C193)</f>
        <v>8863.6</v>
      </c>
      <c r="D194" s="114">
        <f t="shared" si="63"/>
        <v>1241.78</v>
      </c>
      <c r="E194" s="114">
        <f t="shared" si="63"/>
        <v>690</v>
      </c>
      <c r="F194" s="114">
        <f t="shared" si="63"/>
        <v>572.75</v>
      </c>
      <c r="G194" s="114">
        <f t="shared" si="63"/>
        <v>10678.130000000001</v>
      </c>
      <c r="H194" s="114">
        <f t="shared" si="63"/>
        <v>87.04</v>
      </c>
      <c r="I194" s="114">
        <f>SUM(I187:I193)</f>
        <v>564</v>
      </c>
      <c r="J194" s="114">
        <f t="shared" si="63"/>
        <v>-155</v>
      </c>
      <c r="K194" s="114">
        <f t="shared" si="63"/>
        <v>572.75</v>
      </c>
      <c r="L194" s="114">
        <f t="shared" si="63"/>
        <v>402.23</v>
      </c>
      <c r="M194" s="114">
        <f t="shared" si="63"/>
        <v>1325</v>
      </c>
      <c r="N194" s="114">
        <f t="shared" si="63"/>
        <v>7999.3599999999988</v>
      </c>
      <c r="O194" s="431" t="s">
        <v>0</v>
      </c>
      <c r="P194" s="432"/>
      <c r="Q194" s="144"/>
      <c r="R194" s="319"/>
    </row>
    <row r="195" spans="1:18" x14ac:dyDescent="0.2">
      <c r="A195" s="83" t="s">
        <v>25</v>
      </c>
      <c r="B195" s="84" t="s">
        <v>68</v>
      </c>
      <c r="C195" s="89">
        <v>3415.2</v>
      </c>
      <c r="D195" s="89">
        <v>1216.67</v>
      </c>
      <c r="E195" s="89">
        <v>490</v>
      </c>
      <c r="F195" s="89">
        <v>572.75</v>
      </c>
      <c r="G195" s="88">
        <f t="shared" ref="G195:G201" si="64">C195+D195+F195</f>
        <v>5204.62</v>
      </c>
      <c r="H195" s="89">
        <v>29.74</v>
      </c>
      <c r="I195" s="89">
        <v>630</v>
      </c>
      <c r="J195" s="89">
        <v>-155</v>
      </c>
      <c r="K195" s="89">
        <v>572.75</v>
      </c>
      <c r="L195" s="89">
        <v>200.01</v>
      </c>
      <c r="M195" s="89">
        <v>1125</v>
      </c>
      <c r="N195" s="88">
        <f t="shared" ref="N195:N201" si="65">C195+D195+E195-H195-I195-J195-K195-L195-M195</f>
        <v>2719.37</v>
      </c>
      <c r="O195" s="106">
        <v>43670</v>
      </c>
      <c r="P195" s="165" t="s">
        <v>82</v>
      </c>
      <c r="Q195" s="144" t="s">
        <v>120</v>
      </c>
    </row>
    <row r="196" spans="1:18" x14ac:dyDescent="0.2">
      <c r="A196" s="81" t="s">
        <v>26</v>
      </c>
      <c r="B196" s="82" t="s">
        <v>76</v>
      </c>
      <c r="C196" s="89">
        <v>818.8</v>
      </c>
      <c r="D196" s="89"/>
      <c r="E196" s="89">
        <v>50</v>
      </c>
      <c r="F196" s="89">
        <v>0</v>
      </c>
      <c r="G196" s="88">
        <f t="shared" si="64"/>
        <v>818.8</v>
      </c>
      <c r="H196" s="89">
        <v>8.19</v>
      </c>
      <c r="I196" s="89">
        <v>0</v>
      </c>
      <c r="J196" s="89"/>
      <c r="K196" s="89"/>
      <c r="L196" s="89">
        <v>58.14</v>
      </c>
      <c r="M196" s="89"/>
      <c r="N196" s="88">
        <f t="shared" si="65"/>
        <v>802.46999999999991</v>
      </c>
      <c r="O196" s="106">
        <v>43670</v>
      </c>
      <c r="P196" s="165" t="s">
        <v>82</v>
      </c>
      <c r="Q196" s="144" t="s">
        <v>120</v>
      </c>
    </row>
    <row r="197" spans="1:18" x14ac:dyDescent="0.2">
      <c r="A197" s="81" t="s">
        <v>3</v>
      </c>
      <c r="B197" s="82" t="s">
        <v>77</v>
      </c>
      <c r="C197" s="89">
        <v>1074.8</v>
      </c>
      <c r="D197" s="89"/>
      <c r="E197" s="89">
        <v>50</v>
      </c>
      <c r="F197" s="89"/>
      <c r="G197" s="88">
        <f t="shared" si="64"/>
        <v>1074.8</v>
      </c>
      <c r="H197" s="89">
        <v>10.75</v>
      </c>
      <c r="I197" s="89"/>
      <c r="J197" s="89"/>
      <c r="K197" s="89"/>
      <c r="L197" s="89">
        <v>76.3</v>
      </c>
      <c r="M197" s="89"/>
      <c r="N197" s="88">
        <f t="shared" si="65"/>
        <v>1037.75</v>
      </c>
      <c r="O197" s="106">
        <v>43670</v>
      </c>
      <c r="P197" s="165" t="s">
        <v>82</v>
      </c>
      <c r="Q197" s="144" t="s">
        <v>120</v>
      </c>
    </row>
    <row r="198" spans="1:18" x14ac:dyDescent="0.2">
      <c r="A198" s="81" t="s">
        <v>32</v>
      </c>
      <c r="B198" s="82" t="s">
        <v>78</v>
      </c>
      <c r="C198" s="89">
        <v>954.8</v>
      </c>
      <c r="D198" s="89"/>
      <c r="E198" s="89">
        <v>100</v>
      </c>
      <c r="F198" s="89"/>
      <c r="G198" s="88">
        <f t="shared" si="64"/>
        <v>954.8</v>
      </c>
      <c r="H198" s="89">
        <v>9.5500000000000007</v>
      </c>
      <c r="I198" s="89"/>
      <c r="J198" s="89"/>
      <c r="K198" s="89"/>
      <c r="L198" s="89">
        <v>67.78</v>
      </c>
      <c r="M198" s="89"/>
      <c r="N198" s="88">
        <f t="shared" si="65"/>
        <v>977.47</v>
      </c>
      <c r="O198" s="106">
        <v>43670</v>
      </c>
      <c r="P198" s="165" t="s">
        <v>82</v>
      </c>
      <c r="Q198" s="144" t="s">
        <v>120</v>
      </c>
    </row>
    <row r="199" spans="1:18" x14ac:dyDescent="0.2">
      <c r="A199" s="81" t="s">
        <v>75</v>
      </c>
      <c r="B199" s="82" t="s">
        <v>79</v>
      </c>
      <c r="C199" s="89">
        <v>800</v>
      </c>
      <c r="D199" s="89"/>
      <c r="E199" s="89"/>
      <c r="F199" s="89"/>
      <c r="G199" s="88">
        <f t="shared" si="64"/>
        <v>800</v>
      </c>
      <c r="H199" s="89">
        <v>8</v>
      </c>
      <c r="I199" s="89"/>
      <c r="J199" s="89"/>
      <c r="K199" s="89"/>
      <c r="L199" s="89"/>
      <c r="M199" s="89"/>
      <c r="N199" s="88">
        <f t="shared" si="65"/>
        <v>792</v>
      </c>
      <c r="O199" s="106">
        <v>43670</v>
      </c>
      <c r="P199" s="165" t="s">
        <v>82</v>
      </c>
      <c r="Q199" s="144" t="s">
        <v>120</v>
      </c>
    </row>
    <row r="200" spans="1:18" x14ac:dyDescent="0.2">
      <c r="A200" s="81" t="s">
        <v>86</v>
      </c>
      <c r="B200" s="82" t="s">
        <v>106</v>
      </c>
      <c r="C200" s="89">
        <v>1000</v>
      </c>
      <c r="D200" s="89">
        <v>56.25</v>
      </c>
      <c r="E200" s="89"/>
      <c r="F200" s="89"/>
      <c r="G200" s="88">
        <f t="shared" si="64"/>
        <v>1056.25</v>
      </c>
      <c r="H200" s="89">
        <v>10.56</v>
      </c>
      <c r="I200" s="89"/>
      <c r="J200" s="89"/>
      <c r="K200" s="89"/>
      <c r="L200" s="89"/>
      <c r="M200" s="89"/>
      <c r="N200" s="88">
        <f t="shared" si="65"/>
        <v>1045.69</v>
      </c>
      <c r="O200" s="106">
        <v>43670</v>
      </c>
      <c r="P200" s="165" t="s">
        <v>82</v>
      </c>
      <c r="Q200" s="144" t="s">
        <v>120</v>
      </c>
    </row>
    <row r="201" spans="1:18" ht="13.5" thickBot="1" x14ac:dyDescent="0.25">
      <c r="A201" s="81" t="s">
        <v>110</v>
      </c>
      <c r="B201" s="82" t="s">
        <v>109</v>
      </c>
      <c r="C201" s="89">
        <v>800</v>
      </c>
      <c r="D201" s="89">
        <v>45</v>
      </c>
      <c r="E201" s="89"/>
      <c r="F201" s="89"/>
      <c r="G201" s="88">
        <f t="shared" si="64"/>
        <v>845</v>
      </c>
      <c r="H201" s="89">
        <v>8.4499999999999993</v>
      </c>
      <c r="I201" s="89"/>
      <c r="J201" s="89"/>
      <c r="K201" s="89"/>
      <c r="L201" s="89"/>
      <c r="M201" s="89"/>
      <c r="N201" s="88">
        <f t="shared" si="65"/>
        <v>836.55</v>
      </c>
      <c r="O201" s="106">
        <v>43670</v>
      </c>
      <c r="P201" s="165" t="s">
        <v>82</v>
      </c>
      <c r="Q201" s="144" t="s">
        <v>120</v>
      </c>
    </row>
    <row r="202" spans="1:18" s="94" customFormat="1" ht="13.5" thickBot="1" x14ac:dyDescent="0.25">
      <c r="A202" s="435" t="s">
        <v>0</v>
      </c>
      <c r="B202" s="460"/>
      <c r="C202" s="166">
        <f t="shared" ref="C202:N202" si="66">SUM(C195:C201)</f>
        <v>8863.6</v>
      </c>
      <c r="D202" s="166">
        <f t="shared" si="66"/>
        <v>1317.92</v>
      </c>
      <c r="E202" s="166">
        <f t="shared" si="66"/>
        <v>690</v>
      </c>
      <c r="F202" s="166">
        <f t="shared" si="66"/>
        <v>572.75</v>
      </c>
      <c r="G202" s="166">
        <f t="shared" si="66"/>
        <v>10754.27</v>
      </c>
      <c r="H202" s="166">
        <f t="shared" si="66"/>
        <v>85.240000000000009</v>
      </c>
      <c r="I202" s="166">
        <f t="shared" si="66"/>
        <v>630</v>
      </c>
      <c r="J202" s="166">
        <f t="shared" si="66"/>
        <v>-155</v>
      </c>
      <c r="K202" s="166">
        <f t="shared" si="66"/>
        <v>572.75</v>
      </c>
      <c r="L202" s="166">
        <f t="shared" si="66"/>
        <v>402.23</v>
      </c>
      <c r="M202" s="166">
        <f t="shared" si="66"/>
        <v>1125</v>
      </c>
      <c r="N202" s="166">
        <f t="shared" si="66"/>
        <v>8211.2999999999993</v>
      </c>
      <c r="O202" s="433" t="s">
        <v>0</v>
      </c>
      <c r="P202" s="434"/>
      <c r="Q202" s="145"/>
      <c r="R202" s="319"/>
    </row>
    <row r="203" spans="1:18" x14ac:dyDescent="0.2">
      <c r="A203" s="83" t="s">
        <v>25</v>
      </c>
      <c r="B203" s="84" t="s">
        <v>68</v>
      </c>
      <c r="C203" s="89">
        <v>3415.2</v>
      </c>
      <c r="D203" s="89">
        <v>1280.7</v>
      </c>
      <c r="E203" s="89">
        <v>0</v>
      </c>
      <c r="F203" s="89">
        <v>0</v>
      </c>
      <c r="G203" s="88">
        <f t="shared" ref="G203:G209" si="67">C203+D203+F203</f>
        <v>4695.8999999999996</v>
      </c>
      <c r="H203" s="89">
        <v>29.74</v>
      </c>
      <c r="I203" s="89">
        <v>647</v>
      </c>
      <c r="J203" s="89">
        <v>0</v>
      </c>
      <c r="K203" s="89">
        <v>0</v>
      </c>
      <c r="L203" s="89">
        <v>200.01</v>
      </c>
      <c r="M203" s="89">
        <v>0</v>
      </c>
      <c r="N203" s="88">
        <f t="shared" ref="N203:N209" si="68">C203+D203+E203-H203-I203-J203-K203-L203-M203</f>
        <v>3819.1499999999996</v>
      </c>
      <c r="O203" s="106">
        <v>43677</v>
      </c>
      <c r="P203" s="165" t="s">
        <v>83</v>
      </c>
      <c r="Q203" s="144" t="s">
        <v>120</v>
      </c>
    </row>
    <row r="204" spans="1:18" x14ac:dyDescent="0.2">
      <c r="A204" s="81" t="s">
        <v>26</v>
      </c>
      <c r="B204" s="82" t="s">
        <v>76</v>
      </c>
      <c r="C204" s="89">
        <v>818.8</v>
      </c>
      <c r="D204" s="89"/>
      <c r="E204" s="89">
        <v>50</v>
      </c>
      <c r="F204" s="89">
        <v>0</v>
      </c>
      <c r="G204" s="88">
        <f t="shared" si="67"/>
        <v>818.8</v>
      </c>
      <c r="H204" s="89">
        <v>8.19</v>
      </c>
      <c r="I204" s="89">
        <v>0</v>
      </c>
      <c r="J204" s="89"/>
      <c r="K204" s="89"/>
      <c r="L204" s="89">
        <v>58.14</v>
      </c>
      <c r="M204" s="89"/>
      <c r="N204" s="88">
        <f t="shared" si="68"/>
        <v>802.46999999999991</v>
      </c>
      <c r="O204" s="106">
        <v>43677</v>
      </c>
      <c r="P204" s="165" t="s">
        <v>83</v>
      </c>
      <c r="Q204" s="144" t="s">
        <v>120</v>
      </c>
    </row>
    <row r="205" spans="1:18" x14ac:dyDescent="0.2">
      <c r="A205" s="81" t="s">
        <v>3</v>
      </c>
      <c r="B205" s="82" t="s">
        <v>77</v>
      </c>
      <c r="C205" s="89">
        <v>1074.8</v>
      </c>
      <c r="D205" s="89"/>
      <c r="E205" s="89">
        <v>50</v>
      </c>
      <c r="F205" s="89"/>
      <c r="G205" s="88">
        <f t="shared" si="67"/>
        <v>1074.8</v>
      </c>
      <c r="H205" s="89">
        <v>10.75</v>
      </c>
      <c r="I205" s="89"/>
      <c r="J205" s="89"/>
      <c r="K205" s="89"/>
      <c r="L205" s="89">
        <v>76.3</v>
      </c>
      <c r="M205" s="89"/>
      <c r="N205" s="88">
        <f t="shared" si="68"/>
        <v>1037.75</v>
      </c>
      <c r="O205" s="106">
        <v>43677</v>
      </c>
      <c r="P205" s="165" t="s">
        <v>83</v>
      </c>
      <c r="Q205" s="144" t="s">
        <v>120</v>
      </c>
    </row>
    <row r="206" spans="1:18" x14ac:dyDescent="0.2">
      <c r="A206" s="81" t="s">
        <v>32</v>
      </c>
      <c r="B206" s="82" t="s">
        <v>78</v>
      </c>
      <c r="C206" s="89">
        <v>954.8</v>
      </c>
      <c r="D206" s="89"/>
      <c r="E206" s="89">
        <v>100</v>
      </c>
      <c r="F206" s="89"/>
      <c r="G206" s="88">
        <f t="shared" si="67"/>
        <v>954.8</v>
      </c>
      <c r="H206" s="89">
        <v>9.5500000000000007</v>
      </c>
      <c r="I206" s="89"/>
      <c r="J206" s="89"/>
      <c r="K206" s="89"/>
      <c r="L206" s="89">
        <v>67.78</v>
      </c>
      <c r="M206" s="89"/>
      <c r="N206" s="88">
        <f t="shared" si="68"/>
        <v>977.47</v>
      </c>
      <c r="O206" s="106">
        <v>43677</v>
      </c>
      <c r="P206" s="165" t="s">
        <v>83</v>
      </c>
      <c r="Q206" s="144" t="s">
        <v>120</v>
      </c>
    </row>
    <row r="207" spans="1:18" x14ac:dyDescent="0.2">
      <c r="A207" s="81" t="s">
        <v>75</v>
      </c>
      <c r="B207" s="82" t="s">
        <v>79</v>
      </c>
      <c r="C207" s="89">
        <v>800</v>
      </c>
      <c r="D207" s="89"/>
      <c r="E207" s="89"/>
      <c r="F207" s="89"/>
      <c r="G207" s="88">
        <f t="shared" si="67"/>
        <v>800</v>
      </c>
      <c r="H207" s="89">
        <v>8</v>
      </c>
      <c r="I207" s="89"/>
      <c r="J207" s="89"/>
      <c r="K207" s="89"/>
      <c r="L207" s="89"/>
      <c r="M207" s="89"/>
      <c r="N207" s="88">
        <f t="shared" si="68"/>
        <v>792</v>
      </c>
      <c r="O207" s="106">
        <v>43677</v>
      </c>
      <c r="P207" s="165" t="s">
        <v>83</v>
      </c>
      <c r="Q207" s="144" t="s">
        <v>120</v>
      </c>
    </row>
    <row r="208" spans="1:18" x14ac:dyDescent="0.2">
      <c r="A208" s="81" t="s">
        <v>86</v>
      </c>
      <c r="B208" s="82" t="s">
        <v>106</v>
      </c>
      <c r="C208" s="89">
        <v>1000</v>
      </c>
      <c r="D208" s="89">
        <v>93.75</v>
      </c>
      <c r="E208" s="89"/>
      <c r="F208" s="89"/>
      <c r="G208" s="88">
        <f t="shared" si="67"/>
        <v>1093.75</v>
      </c>
      <c r="H208" s="89">
        <v>10.94</v>
      </c>
      <c r="I208" s="89"/>
      <c r="J208" s="89"/>
      <c r="K208" s="89"/>
      <c r="L208" s="89"/>
      <c r="M208" s="89"/>
      <c r="N208" s="88">
        <f t="shared" si="68"/>
        <v>1082.81</v>
      </c>
      <c r="O208" s="106">
        <v>43677</v>
      </c>
      <c r="P208" s="165" t="s">
        <v>83</v>
      </c>
      <c r="Q208" s="144" t="s">
        <v>120</v>
      </c>
    </row>
    <row r="209" spans="1:18" ht="13.5" thickBot="1" x14ac:dyDescent="0.25">
      <c r="A209" s="81" t="s">
        <v>110</v>
      </c>
      <c r="B209" s="82" t="s">
        <v>109</v>
      </c>
      <c r="C209" s="89">
        <v>800</v>
      </c>
      <c r="D209" s="89"/>
      <c r="E209" s="89"/>
      <c r="F209" s="89"/>
      <c r="G209" s="88">
        <f t="shared" si="67"/>
        <v>800</v>
      </c>
      <c r="H209" s="89">
        <v>8</v>
      </c>
      <c r="I209" s="89"/>
      <c r="J209" s="89"/>
      <c r="K209" s="89"/>
      <c r="L209" s="89"/>
      <c r="M209" s="89">
        <v>200</v>
      </c>
      <c r="N209" s="88">
        <f t="shared" si="68"/>
        <v>592</v>
      </c>
      <c r="O209" s="106">
        <v>43677</v>
      </c>
      <c r="P209" s="165" t="s">
        <v>83</v>
      </c>
      <c r="Q209" s="144" t="s">
        <v>120</v>
      </c>
    </row>
    <row r="210" spans="1:18" s="94" customFormat="1" ht="13.5" thickBot="1" x14ac:dyDescent="0.25">
      <c r="A210" s="435" t="s">
        <v>0</v>
      </c>
      <c r="B210" s="460"/>
      <c r="C210" s="166">
        <f t="shared" ref="C210:N210" si="69">SUM(C203:C209)</f>
        <v>8863.6</v>
      </c>
      <c r="D210" s="166">
        <f t="shared" si="69"/>
        <v>1374.45</v>
      </c>
      <c r="E210" s="166">
        <f t="shared" si="69"/>
        <v>200</v>
      </c>
      <c r="F210" s="166">
        <f t="shared" si="69"/>
        <v>0</v>
      </c>
      <c r="G210" s="166">
        <f t="shared" si="69"/>
        <v>10238.049999999999</v>
      </c>
      <c r="H210" s="166">
        <f t="shared" si="69"/>
        <v>85.17</v>
      </c>
      <c r="I210" s="166">
        <f t="shared" si="69"/>
        <v>647</v>
      </c>
      <c r="J210" s="166">
        <f t="shared" si="69"/>
        <v>0</v>
      </c>
      <c r="K210" s="166">
        <f t="shared" si="69"/>
        <v>0</v>
      </c>
      <c r="L210" s="166">
        <f t="shared" si="69"/>
        <v>402.23</v>
      </c>
      <c r="M210" s="166">
        <f t="shared" si="69"/>
        <v>200</v>
      </c>
      <c r="N210" s="166">
        <f t="shared" si="69"/>
        <v>9103.65</v>
      </c>
      <c r="O210" s="433" t="s">
        <v>0</v>
      </c>
      <c r="P210" s="434"/>
      <c r="Q210" s="145"/>
      <c r="R210" s="319"/>
    </row>
    <row r="211" spans="1:18" s="153" customFormat="1" ht="13.5" thickBot="1" x14ac:dyDescent="0.25">
      <c r="A211" s="437" t="s">
        <v>99</v>
      </c>
      <c r="B211" s="438"/>
      <c r="C211" s="171">
        <f t="shared" ref="C211:N211" si="70">C210+C194+C186+C178</f>
        <v>35454.400000000001</v>
      </c>
      <c r="D211" s="172">
        <f t="shared" si="70"/>
        <v>2947.37</v>
      </c>
      <c r="E211" s="172">
        <f t="shared" si="70"/>
        <v>2270</v>
      </c>
      <c r="F211" s="172">
        <f t="shared" si="70"/>
        <v>1718.25</v>
      </c>
      <c r="G211" s="172">
        <f t="shared" si="70"/>
        <v>40120.020000000004</v>
      </c>
      <c r="H211" s="172">
        <f t="shared" si="70"/>
        <v>341.42</v>
      </c>
      <c r="I211" s="172">
        <f t="shared" si="70"/>
        <v>1940</v>
      </c>
      <c r="J211" s="172">
        <f t="shared" si="70"/>
        <v>-465</v>
      </c>
      <c r="K211" s="172">
        <f t="shared" si="70"/>
        <v>1718.25</v>
      </c>
      <c r="L211" s="172">
        <f t="shared" si="70"/>
        <v>1608.92</v>
      </c>
      <c r="M211" s="172">
        <f t="shared" si="70"/>
        <v>3975</v>
      </c>
      <c r="N211" s="173">
        <f t="shared" si="70"/>
        <v>31553.179999999997</v>
      </c>
      <c r="O211" s="157"/>
      <c r="P211" s="158"/>
      <c r="Q211" s="152"/>
      <c r="R211" s="320"/>
    </row>
    <row r="212" spans="1:18" s="180" customFormat="1" x14ac:dyDescent="0.2">
      <c r="A212" s="175" t="s">
        <v>8</v>
      </c>
      <c r="B212" s="183" t="s">
        <v>111</v>
      </c>
      <c r="C212" s="176">
        <v>13535</v>
      </c>
      <c r="D212" s="176"/>
      <c r="E212" s="176"/>
      <c r="F212" s="176">
        <v>5162</v>
      </c>
      <c r="G212" s="88">
        <f t="shared" ref="G212:G214" si="71">C212+D212+F212</f>
        <v>18697</v>
      </c>
      <c r="H212" s="176">
        <v>0</v>
      </c>
      <c r="I212" s="176">
        <v>2364</v>
      </c>
      <c r="J212" s="176">
        <v>-829</v>
      </c>
      <c r="K212" s="176"/>
      <c r="L212" s="176"/>
      <c r="M212" s="176"/>
      <c r="N212" s="88">
        <f t="shared" ref="N212:N214" si="72">C212+D212+E212-H212-I212-J212-K212-L212-M212</f>
        <v>12000</v>
      </c>
      <c r="O212" s="177" t="s">
        <v>141</v>
      </c>
      <c r="P212" s="178"/>
      <c r="Q212" s="179"/>
      <c r="R212" s="321"/>
    </row>
    <row r="213" spans="1:18" s="180" customFormat="1" x14ac:dyDescent="0.2">
      <c r="A213" s="175" t="s">
        <v>27</v>
      </c>
      <c r="B213" s="183" t="s">
        <v>112</v>
      </c>
      <c r="C213" s="181">
        <v>13343</v>
      </c>
      <c r="D213" s="181"/>
      <c r="E213" s="181"/>
      <c r="F213" s="181">
        <v>2400</v>
      </c>
      <c r="G213" s="88">
        <f t="shared" si="71"/>
        <v>15743</v>
      </c>
      <c r="H213" s="181">
        <v>0</v>
      </c>
      <c r="I213" s="181">
        <v>1653</v>
      </c>
      <c r="J213" s="181">
        <v>-310</v>
      </c>
      <c r="K213" s="181"/>
      <c r="L213" s="181"/>
      <c r="M213" s="181"/>
      <c r="N213" s="88">
        <f t="shared" si="72"/>
        <v>12000</v>
      </c>
      <c r="O213" s="177" t="s">
        <v>141</v>
      </c>
      <c r="P213" s="178"/>
      <c r="Q213" s="179"/>
      <c r="R213" s="321"/>
    </row>
    <row r="214" spans="1:18" s="180" customFormat="1" ht="13.5" thickBot="1" x14ac:dyDescent="0.25">
      <c r="A214" s="175" t="s">
        <v>6</v>
      </c>
      <c r="B214" s="183" t="s">
        <v>113</v>
      </c>
      <c r="C214" s="182">
        <v>11713.13</v>
      </c>
      <c r="D214" s="182"/>
      <c r="E214" s="182"/>
      <c r="F214" s="182">
        <v>2100</v>
      </c>
      <c r="G214" s="88">
        <f t="shared" si="71"/>
        <v>13813.13</v>
      </c>
      <c r="H214" s="182">
        <v>138.13</v>
      </c>
      <c r="I214" s="182">
        <v>1304</v>
      </c>
      <c r="J214" s="182">
        <v>-829</v>
      </c>
      <c r="K214" s="182">
        <v>2100</v>
      </c>
      <c r="L214" s="182"/>
      <c r="M214" s="182"/>
      <c r="N214" s="88">
        <f t="shared" si="72"/>
        <v>9000</v>
      </c>
      <c r="O214" s="177" t="s">
        <v>141</v>
      </c>
      <c r="P214" s="178"/>
      <c r="Q214" s="179"/>
      <c r="R214" s="321"/>
    </row>
    <row r="215" spans="1:18" s="143" customFormat="1" ht="13.5" thickBot="1" x14ac:dyDescent="0.25">
      <c r="A215" s="439" t="s">
        <v>100</v>
      </c>
      <c r="B215" s="440"/>
      <c r="C215" s="174">
        <f>SUM(C212:C214)</f>
        <v>38591.129999999997</v>
      </c>
      <c r="D215" s="174">
        <f t="shared" ref="D215" si="73">SUM(D212:D214)</f>
        <v>0</v>
      </c>
      <c r="E215" s="174">
        <f t="shared" ref="E215" si="74">SUM(E212:E214)</f>
        <v>0</v>
      </c>
      <c r="F215" s="174">
        <f t="shared" ref="F215" si="75">SUM(F212:F214)</f>
        <v>9662</v>
      </c>
      <c r="G215" s="174">
        <f t="shared" ref="G215" si="76">SUM(G212:G214)</f>
        <v>48253.13</v>
      </c>
      <c r="H215" s="174">
        <f t="shared" ref="H215" si="77">SUM(H212:H214)</f>
        <v>138.13</v>
      </c>
      <c r="I215" s="174">
        <f t="shared" ref="I215" si="78">SUM(I212:I214)</f>
        <v>5321</v>
      </c>
      <c r="J215" s="174">
        <f t="shared" ref="J215" si="79">SUM(J212:J214)</f>
        <v>-1968</v>
      </c>
      <c r="K215" s="174">
        <f t="shared" ref="K215" si="80">SUM(K212:K214)</f>
        <v>2100</v>
      </c>
      <c r="L215" s="174">
        <f t="shared" ref="L215" si="81">SUM(L212:L214)</f>
        <v>0</v>
      </c>
      <c r="M215" s="174">
        <f t="shared" ref="M215" si="82">SUM(M212:M214)</f>
        <v>0</v>
      </c>
      <c r="N215" s="174">
        <f t="shared" ref="N215" si="83">SUM(N212:N214)</f>
        <v>33000</v>
      </c>
      <c r="O215" s="160"/>
      <c r="P215" s="161"/>
      <c r="Q215" s="146"/>
      <c r="R215" s="322"/>
    </row>
    <row r="216" spans="1:18" s="143" customFormat="1" ht="13.5" thickBot="1" x14ac:dyDescent="0.25">
      <c r="A216" s="441" t="s">
        <v>101</v>
      </c>
      <c r="B216" s="441"/>
      <c r="C216" s="154"/>
      <c r="D216" s="154"/>
      <c r="E216" s="154"/>
      <c r="F216" s="154"/>
      <c r="G216" s="154"/>
      <c r="H216" s="163">
        <f>(H211+H215)*2</f>
        <v>959.1</v>
      </c>
      <c r="I216" s="159">
        <f>I211+I215</f>
        <v>7261</v>
      </c>
      <c r="J216" s="164">
        <f>J211+J215</f>
        <v>-2433</v>
      </c>
      <c r="K216" s="154"/>
      <c r="L216" s="154"/>
      <c r="M216" s="154"/>
      <c r="N216" s="154">
        <f>9000+11000+12000</f>
        <v>32000</v>
      </c>
      <c r="O216" s="142"/>
      <c r="P216" s="142"/>
      <c r="Q216" s="156"/>
      <c r="R216" s="322"/>
    </row>
    <row r="217" spans="1:18" s="143" customFormat="1" ht="13.5" thickBot="1" x14ac:dyDescent="0.25">
      <c r="A217" s="170"/>
      <c r="B217" s="170"/>
      <c r="C217" s="154"/>
      <c r="D217" s="154"/>
      <c r="E217" s="154"/>
      <c r="F217" s="154"/>
      <c r="G217" s="154"/>
      <c r="H217" s="154"/>
      <c r="I217" s="455">
        <f>I216+J216</f>
        <v>4828</v>
      </c>
      <c r="J217" s="456"/>
      <c r="K217" s="154"/>
      <c r="L217" s="154"/>
      <c r="M217" s="154"/>
      <c r="N217" s="154"/>
      <c r="O217" s="142"/>
      <c r="P217" s="142"/>
      <c r="Q217" s="156"/>
      <c r="R217" s="322"/>
    </row>
    <row r="218" spans="1:18" s="143" customFormat="1" ht="13.5" thickBot="1" x14ac:dyDescent="0.25">
      <c r="A218" s="170"/>
      <c r="B218" s="170"/>
      <c r="C218" s="154"/>
      <c r="D218" s="154"/>
      <c r="E218" s="154"/>
      <c r="F218" s="154"/>
      <c r="G218" s="154"/>
      <c r="H218" s="457">
        <f>SUM(H216:J216)</f>
        <v>5787.1</v>
      </c>
      <c r="I218" s="458"/>
      <c r="J218" s="459"/>
      <c r="K218" s="154"/>
      <c r="L218" s="154"/>
      <c r="M218" s="154"/>
      <c r="N218" s="154"/>
      <c r="O218" s="142"/>
      <c r="P218" s="142"/>
      <c r="Q218" s="156"/>
      <c r="R218" s="322"/>
    </row>
    <row r="219" spans="1:18" ht="13.5" thickBot="1" x14ac:dyDescent="0.25"/>
    <row r="220" spans="1:18" s="79" customFormat="1" ht="13.5" thickBot="1" x14ac:dyDescent="0.25">
      <c r="A220" s="444" t="s">
        <v>122</v>
      </c>
      <c r="B220" s="445"/>
      <c r="C220" s="445"/>
      <c r="D220" s="445"/>
      <c r="E220" s="445"/>
      <c r="F220" s="445"/>
      <c r="G220" s="445"/>
      <c r="H220" s="445"/>
      <c r="I220" s="445"/>
      <c r="J220" s="445"/>
      <c r="K220" s="445"/>
      <c r="L220" s="445"/>
      <c r="M220" s="445"/>
      <c r="N220" s="445"/>
      <c r="O220" s="445"/>
      <c r="P220" s="445"/>
      <c r="Q220" s="446"/>
      <c r="R220" s="318"/>
    </row>
    <row r="221" spans="1:18" s="79" customFormat="1" ht="13.5" thickBot="1" x14ac:dyDescent="0.25">
      <c r="A221" s="85" t="s">
        <v>69</v>
      </c>
      <c r="B221" s="86" t="s">
        <v>1</v>
      </c>
      <c r="C221" s="87" t="s">
        <v>61</v>
      </c>
      <c r="D221" s="87" t="s">
        <v>62</v>
      </c>
      <c r="E221" s="87" t="s">
        <v>73</v>
      </c>
      <c r="F221" s="87" t="s">
        <v>67</v>
      </c>
      <c r="G221" s="87" t="s">
        <v>81</v>
      </c>
      <c r="H221" s="87" t="s">
        <v>64</v>
      </c>
      <c r="I221" s="87" t="s">
        <v>65</v>
      </c>
      <c r="J221" s="87" t="s">
        <v>72</v>
      </c>
      <c r="K221" s="87" t="s">
        <v>67</v>
      </c>
      <c r="L221" s="87" t="s">
        <v>63</v>
      </c>
      <c r="M221" s="87" t="s">
        <v>66</v>
      </c>
      <c r="N221" s="87" t="s">
        <v>2</v>
      </c>
      <c r="O221" s="92" t="s">
        <v>71</v>
      </c>
      <c r="P221" s="93" t="s">
        <v>74</v>
      </c>
      <c r="Q221" s="147" t="s">
        <v>97</v>
      </c>
      <c r="R221" s="318"/>
    </row>
    <row r="222" spans="1:18" x14ac:dyDescent="0.2">
      <c r="A222" s="83" t="s">
        <v>25</v>
      </c>
      <c r="B222" s="84" t="s">
        <v>68</v>
      </c>
      <c r="C222" s="89">
        <v>3415.2</v>
      </c>
      <c r="D222" s="89">
        <v>1344.74</v>
      </c>
      <c r="E222" s="89">
        <v>490</v>
      </c>
      <c r="F222" s="89">
        <v>572.75</v>
      </c>
      <c r="G222" s="88">
        <f t="shared" ref="G222:G228" si="84">C222+D222+F222</f>
        <v>5332.69</v>
      </c>
      <c r="H222" s="89">
        <v>29.74</v>
      </c>
      <c r="I222" s="89">
        <v>664</v>
      </c>
      <c r="J222" s="89">
        <v>-155</v>
      </c>
      <c r="K222" s="89">
        <v>572.75</v>
      </c>
      <c r="L222" s="89">
        <v>200.01</v>
      </c>
      <c r="M222" s="89">
        <v>1125</v>
      </c>
      <c r="N222" s="88">
        <f t="shared" ref="N222:N228" si="85">C222+D222+E222-H222-I222-J222-K222-L222-M222</f>
        <v>2813.4399999999996</v>
      </c>
      <c r="O222" s="106">
        <v>43684</v>
      </c>
      <c r="P222" s="131" t="s">
        <v>84</v>
      </c>
      <c r="Q222" s="144" t="s">
        <v>122</v>
      </c>
    </row>
    <row r="223" spans="1:18" x14ac:dyDescent="0.2">
      <c r="A223" s="81" t="s">
        <v>26</v>
      </c>
      <c r="B223" s="82" t="s">
        <v>76</v>
      </c>
      <c r="C223" s="89">
        <v>818.8</v>
      </c>
      <c r="D223" s="89">
        <v>15.35</v>
      </c>
      <c r="E223" s="89">
        <v>50</v>
      </c>
      <c r="F223" s="89">
        <v>0</v>
      </c>
      <c r="G223" s="88">
        <f t="shared" si="84"/>
        <v>834.15</v>
      </c>
      <c r="H223" s="89">
        <v>8.34</v>
      </c>
      <c r="I223" s="89">
        <v>0</v>
      </c>
      <c r="J223" s="89"/>
      <c r="K223" s="89"/>
      <c r="L223" s="89">
        <v>58.14</v>
      </c>
      <c r="M223" s="89">
        <v>200</v>
      </c>
      <c r="N223" s="88">
        <f t="shared" si="85"/>
        <v>617.66999999999996</v>
      </c>
      <c r="O223" s="106">
        <v>43684</v>
      </c>
      <c r="P223" s="131" t="s">
        <v>84</v>
      </c>
      <c r="Q223" s="144" t="s">
        <v>122</v>
      </c>
    </row>
    <row r="224" spans="1:18" x14ac:dyDescent="0.2">
      <c r="A224" s="81" t="s">
        <v>3</v>
      </c>
      <c r="B224" s="82" t="s">
        <v>77</v>
      </c>
      <c r="C224" s="89">
        <v>1074.8</v>
      </c>
      <c r="D224" s="89"/>
      <c r="E224" s="89">
        <v>50</v>
      </c>
      <c r="F224" s="89"/>
      <c r="G224" s="88">
        <f t="shared" si="84"/>
        <v>1074.8</v>
      </c>
      <c r="H224" s="89">
        <v>10.75</v>
      </c>
      <c r="I224" s="89"/>
      <c r="J224" s="89"/>
      <c r="K224" s="89"/>
      <c r="L224" s="89">
        <v>76.3</v>
      </c>
      <c r="M224" s="89"/>
      <c r="N224" s="88">
        <f t="shared" si="85"/>
        <v>1037.75</v>
      </c>
      <c r="O224" s="106">
        <v>43684</v>
      </c>
      <c r="P224" s="131" t="s">
        <v>84</v>
      </c>
      <c r="Q224" s="144" t="s">
        <v>122</v>
      </c>
    </row>
    <row r="225" spans="1:18" x14ac:dyDescent="0.2">
      <c r="A225" s="81" t="s">
        <v>32</v>
      </c>
      <c r="B225" s="82" t="s">
        <v>78</v>
      </c>
      <c r="C225" s="89">
        <v>954.8</v>
      </c>
      <c r="D225" s="89"/>
      <c r="E225" s="89">
        <v>100</v>
      </c>
      <c r="F225" s="89"/>
      <c r="G225" s="88">
        <f t="shared" si="84"/>
        <v>954.8</v>
      </c>
      <c r="H225" s="89">
        <v>9.5500000000000007</v>
      </c>
      <c r="I225" s="89"/>
      <c r="J225" s="89"/>
      <c r="K225" s="89"/>
      <c r="L225" s="89">
        <v>67.78</v>
      </c>
      <c r="M225" s="89"/>
      <c r="N225" s="88">
        <f t="shared" si="85"/>
        <v>977.47</v>
      </c>
      <c r="O225" s="106">
        <v>43684</v>
      </c>
      <c r="P225" s="131" t="s">
        <v>84</v>
      </c>
      <c r="Q225" s="144" t="s">
        <v>122</v>
      </c>
    </row>
    <row r="226" spans="1:18" x14ac:dyDescent="0.2">
      <c r="A226" s="81" t="s">
        <v>75</v>
      </c>
      <c r="B226" s="82" t="s">
        <v>79</v>
      </c>
      <c r="C226" s="89">
        <v>800</v>
      </c>
      <c r="D226" s="89"/>
      <c r="E226" s="89"/>
      <c r="F226" s="89"/>
      <c r="G226" s="88">
        <f t="shared" si="84"/>
        <v>800</v>
      </c>
      <c r="H226" s="89">
        <v>8</v>
      </c>
      <c r="I226" s="89"/>
      <c r="J226" s="89"/>
      <c r="K226" s="89"/>
      <c r="L226" s="89"/>
      <c r="M226" s="89"/>
      <c r="N226" s="88">
        <f t="shared" si="85"/>
        <v>792</v>
      </c>
      <c r="O226" s="106">
        <v>43684</v>
      </c>
      <c r="P226" s="131" t="s">
        <v>84</v>
      </c>
      <c r="Q226" s="144" t="s">
        <v>122</v>
      </c>
    </row>
    <row r="227" spans="1:18" x14ac:dyDescent="0.2">
      <c r="A227" s="81" t="s">
        <v>86</v>
      </c>
      <c r="B227" s="82" t="s">
        <v>106</v>
      </c>
      <c r="C227" s="89">
        <v>1000</v>
      </c>
      <c r="D227" s="89"/>
      <c r="E227" s="89"/>
      <c r="F227" s="89"/>
      <c r="G227" s="88">
        <f t="shared" si="84"/>
        <v>1000</v>
      </c>
      <c r="H227" s="89">
        <v>10</v>
      </c>
      <c r="I227" s="89"/>
      <c r="J227" s="89"/>
      <c r="K227" s="89"/>
      <c r="L227" s="89"/>
      <c r="M227" s="89"/>
      <c r="N227" s="88">
        <f t="shared" si="85"/>
        <v>990</v>
      </c>
      <c r="O227" s="106">
        <v>43684</v>
      </c>
      <c r="P227" s="131" t="s">
        <v>84</v>
      </c>
      <c r="Q227" s="144" t="s">
        <v>122</v>
      </c>
    </row>
    <row r="228" spans="1:18" ht="13.5" thickBot="1" x14ac:dyDescent="0.25">
      <c r="A228" s="81" t="s">
        <v>110</v>
      </c>
      <c r="B228" s="82" t="s">
        <v>109</v>
      </c>
      <c r="C228" s="89">
        <v>800</v>
      </c>
      <c r="D228" s="89"/>
      <c r="E228" s="89"/>
      <c r="F228" s="89"/>
      <c r="G228" s="88">
        <f t="shared" si="84"/>
        <v>800</v>
      </c>
      <c r="H228" s="89">
        <v>8</v>
      </c>
      <c r="I228" s="89"/>
      <c r="J228" s="89"/>
      <c r="K228" s="89"/>
      <c r="L228" s="89"/>
      <c r="M228" s="89">
        <v>200</v>
      </c>
      <c r="N228" s="88">
        <f t="shared" si="85"/>
        <v>592</v>
      </c>
      <c r="O228" s="106">
        <v>43684</v>
      </c>
      <c r="P228" s="131" t="s">
        <v>84</v>
      </c>
      <c r="Q228" s="144" t="s">
        <v>122</v>
      </c>
    </row>
    <row r="229" spans="1:18" s="94" customFormat="1" ht="13.5" thickBot="1" x14ac:dyDescent="0.25">
      <c r="A229" s="447" t="s">
        <v>0</v>
      </c>
      <c r="B229" s="448"/>
      <c r="C229" s="122">
        <f>SUM(C222:C228)</f>
        <v>8863.6</v>
      </c>
      <c r="D229" s="122">
        <f t="shared" ref="D229:N229" si="86">SUM(D222:D228)</f>
        <v>1360.09</v>
      </c>
      <c r="E229" s="122">
        <f t="shared" si="86"/>
        <v>690</v>
      </c>
      <c r="F229" s="122">
        <f t="shared" si="86"/>
        <v>572.75</v>
      </c>
      <c r="G229" s="122">
        <f>SUM(G222:G228)</f>
        <v>10796.439999999999</v>
      </c>
      <c r="H229" s="122">
        <f t="shared" si="86"/>
        <v>84.38</v>
      </c>
      <c r="I229" s="122">
        <f t="shared" si="86"/>
        <v>664</v>
      </c>
      <c r="J229" s="122">
        <f t="shared" si="86"/>
        <v>-155</v>
      </c>
      <c r="K229" s="122">
        <f t="shared" si="86"/>
        <v>572.75</v>
      </c>
      <c r="L229" s="122">
        <f t="shared" si="86"/>
        <v>402.23</v>
      </c>
      <c r="M229" s="122">
        <f>SUM(M222:M228)</f>
        <v>1525</v>
      </c>
      <c r="N229" s="122">
        <f t="shared" si="86"/>
        <v>7820.33</v>
      </c>
      <c r="O229" s="449" t="s">
        <v>0</v>
      </c>
      <c r="P229" s="450"/>
      <c r="Q229" s="144"/>
      <c r="R229" s="319"/>
    </row>
    <row r="230" spans="1:18" x14ac:dyDescent="0.2">
      <c r="A230" s="83" t="s">
        <v>25</v>
      </c>
      <c r="B230" s="84" t="s">
        <v>68</v>
      </c>
      <c r="C230" s="89">
        <v>4098.24</v>
      </c>
      <c r="D230" s="89">
        <v>1024.56</v>
      </c>
      <c r="E230" s="89">
        <v>490</v>
      </c>
      <c r="F230" s="89">
        <v>572.75</v>
      </c>
      <c r="G230" s="88">
        <f t="shared" ref="G230:G237" si="87">C230+D230+F230</f>
        <v>5695.5499999999993</v>
      </c>
      <c r="H230" s="89">
        <v>29.74</v>
      </c>
      <c r="I230" s="89">
        <v>756</v>
      </c>
      <c r="J230" s="89">
        <v>-155</v>
      </c>
      <c r="K230" s="89">
        <v>572.75</v>
      </c>
      <c r="L230" s="89">
        <v>200.01</v>
      </c>
      <c r="M230" s="89">
        <v>1125</v>
      </c>
      <c r="N230" s="88">
        <f t="shared" ref="N230:N237" si="88">C230+D230+E230-H230-I230-J230-K230-L230-M230</f>
        <v>3084.2999999999993</v>
      </c>
      <c r="O230" s="106">
        <v>43691</v>
      </c>
      <c r="P230" s="167" t="s">
        <v>85</v>
      </c>
      <c r="Q230" s="144" t="s">
        <v>122</v>
      </c>
    </row>
    <row r="231" spans="1:18" x14ac:dyDescent="0.2">
      <c r="A231" s="81" t="s">
        <v>26</v>
      </c>
      <c r="B231" s="82" t="s">
        <v>76</v>
      </c>
      <c r="C231" s="89">
        <v>818.8</v>
      </c>
      <c r="D231" s="89"/>
      <c r="E231" s="89">
        <v>50</v>
      </c>
      <c r="F231" s="89">
        <v>0</v>
      </c>
      <c r="G231" s="88">
        <f t="shared" si="87"/>
        <v>818.8</v>
      </c>
      <c r="H231" s="89">
        <v>8.19</v>
      </c>
      <c r="I231" s="89">
        <v>0</v>
      </c>
      <c r="J231" s="89"/>
      <c r="K231" s="89"/>
      <c r="L231" s="89">
        <v>58.14</v>
      </c>
      <c r="M231" s="89"/>
      <c r="N231" s="88">
        <f t="shared" si="88"/>
        <v>802.46999999999991</v>
      </c>
      <c r="O231" s="106">
        <v>43691</v>
      </c>
      <c r="P231" s="167" t="s">
        <v>85</v>
      </c>
      <c r="Q231" s="144" t="s">
        <v>122</v>
      </c>
    </row>
    <row r="232" spans="1:18" x14ac:dyDescent="0.2">
      <c r="A232" s="81" t="s">
        <v>3</v>
      </c>
      <c r="B232" s="82" t="s">
        <v>77</v>
      </c>
      <c r="C232" s="89">
        <v>1074.8</v>
      </c>
      <c r="D232" s="89"/>
      <c r="E232" s="89">
        <v>50</v>
      </c>
      <c r="F232" s="89"/>
      <c r="G232" s="88">
        <f t="shared" si="87"/>
        <v>1074.8</v>
      </c>
      <c r="H232" s="89">
        <v>10.75</v>
      </c>
      <c r="I232" s="89"/>
      <c r="J232" s="89"/>
      <c r="K232" s="89"/>
      <c r="L232" s="89">
        <v>76.3</v>
      </c>
      <c r="M232" s="89"/>
      <c r="N232" s="88">
        <f t="shared" si="88"/>
        <v>1037.75</v>
      </c>
      <c r="O232" s="106">
        <v>43691</v>
      </c>
      <c r="P232" s="167" t="s">
        <v>85</v>
      </c>
      <c r="Q232" s="144" t="s">
        <v>122</v>
      </c>
    </row>
    <row r="233" spans="1:18" x14ac:dyDescent="0.2">
      <c r="A233" s="81" t="s">
        <v>32</v>
      </c>
      <c r="B233" s="82" t="s">
        <v>78</v>
      </c>
      <c r="C233" s="89">
        <v>954.8</v>
      </c>
      <c r="D233" s="89"/>
      <c r="E233" s="89">
        <v>100</v>
      </c>
      <c r="F233" s="89"/>
      <c r="G233" s="88">
        <f t="shared" si="87"/>
        <v>954.8</v>
      </c>
      <c r="H233" s="89">
        <v>9.5500000000000007</v>
      </c>
      <c r="I233" s="89"/>
      <c r="J233" s="89"/>
      <c r="K233" s="89"/>
      <c r="L233" s="89">
        <v>67.78</v>
      </c>
      <c r="M233" s="89"/>
      <c r="N233" s="88">
        <f t="shared" si="88"/>
        <v>977.47</v>
      </c>
      <c r="O233" s="106">
        <v>43691</v>
      </c>
      <c r="P233" s="167" t="s">
        <v>85</v>
      </c>
      <c r="Q233" s="144" t="s">
        <v>122</v>
      </c>
    </row>
    <row r="234" spans="1:18" x14ac:dyDescent="0.2">
      <c r="A234" s="81" t="s">
        <v>75</v>
      </c>
      <c r="B234" s="82" t="s">
        <v>79</v>
      </c>
      <c r="C234" s="89">
        <v>800</v>
      </c>
      <c r="D234" s="89"/>
      <c r="E234" s="89"/>
      <c r="F234" s="89"/>
      <c r="G234" s="88">
        <f t="shared" si="87"/>
        <v>800</v>
      </c>
      <c r="H234" s="89">
        <v>8</v>
      </c>
      <c r="I234" s="89"/>
      <c r="J234" s="89"/>
      <c r="K234" s="89"/>
      <c r="L234" s="89"/>
      <c r="M234" s="89"/>
      <c r="N234" s="88">
        <f t="shared" si="88"/>
        <v>792</v>
      </c>
      <c r="O234" s="106">
        <v>43691</v>
      </c>
      <c r="P234" s="167" t="s">
        <v>85</v>
      </c>
      <c r="Q234" s="144" t="s">
        <v>122</v>
      </c>
    </row>
    <row r="235" spans="1:18" x14ac:dyDescent="0.2">
      <c r="A235" s="81" t="s">
        <v>48</v>
      </c>
      <c r="B235" s="82" t="s">
        <v>80</v>
      </c>
      <c r="C235" s="89">
        <v>1000</v>
      </c>
      <c r="D235" s="89"/>
      <c r="E235" s="89"/>
      <c r="F235" s="89"/>
      <c r="G235" s="88">
        <f t="shared" si="87"/>
        <v>1000</v>
      </c>
      <c r="H235" s="89">
        <v>10</v>
      </c>
      <c r="I235" s="89"/>
      <c r="J235" s="89"/>
      <c r="K235" s="89"/>
      <c r="L235" s="89"/>
      <c r="M235" s="89"/>
      <c r="N235" s="88">
        <f t="shared" si="88"/>
        <v>990</v>
      </c>
      <c r="O235" s="106">
        <v>43691</v>
      </c>
      <c r="P235" s="167" t="s">
        <v>85</v>
      </c>
      <c r="Q235" s="144" t="s">
        <v>122</v>
      </c>
    </row>
    <row r="236" spans="1:18" x14ac:dyDescent="0.2">
      <c r="A236" s="81" t="s">
        <v>86</v>
      </c>
      <c r="B236" s="82" t="s">
        <v>106</v>
      </c>
      <c r="C236" s="89">
        <v>1000</v>
      </c>
      <c r="D236" s="89"/>
      <c r="E236" s="89"/>
      <c r="F236" s="89"/>
      <c r="G236" s="88">
        <f t="shared" si="87"/>
        <v>1000</v>
      </c>
      <c r="H236" s="89">
        <v>10</v>
      </c>
      <c r="I236" s="89"/>
      <c r="J236" s="89"/>
      <c r="K236" s="89"/>
      <c r="L236" s="89"/>
      <c r="M236" s="89"/>
      <c r="N236" s="88">
        <f t="shared" si="88"/>
        <v>990</v>
      </c>
      <c r="O236" s="106">
        <v>43691</v>
      </c>
      <c r="P236" s="167" t="s">
        <v>85</v>
      </c>
      <c r="Q236" s="144" t="s">
        <v>122</v>
      </c>
    </row>
    <row r="237" spans="1:18" ht="13.5" thickBot="1" x14ac:dyDescent="0.25">
      <c r="A237" s="81" t="s">
        <v>110</v>
      </c>
      <c r="B237" s="82" t="s">
        <v>109</v>
      </c>
      <c r="C237" s="89">
        <v>800</v>
      </c>
      <c r="D237" s="89"/>
      <c r="E237" s="89"/>
      <c r="F237" s="89"/>
      <c r="G237" s="88">
        <f t="shared" si="87"/>
        <v>800</v>
      </c>
      <c r="H237" s="89">
        <v>8</v>
      </c>
      <c r="I237" s="89"/>
      <c r="J237" s="89"/>
      <c r="K237" s="89"/>
      <c r="L237" s="89"/>
      <c r="M237" s="89">
        <v>200</v>
      </c>
      <c r="N237" s="88">
        <f t="shared" si="88"/>
        <v>592</v>
      </c>
      <c r="O237" s="106">
        <v>43691</v>
      </c>
      <c r="P237" s="167" t="s">
        <v>85</v>
      </c>
      <c r="Q237" s="144" t="s">
        <v>122</v>
      </c>
    </row>
    <row r="238" spans="1:18" s="94" customFormat="1" ht="13.5" thickBot="1" x14ac:dyDescent="0.25">
      <c r="A238" s="451" t="s">
        <v>0</v>
      </c>
      <c r="B238" s="452"/>
      <c r="C238" s="168">
        <f t="shared" ref="C238:N238" si="89">SUM(C230:C237)</f>
        <v>10546.64</v>
      </c>
      <c r="D238" s="168">
        <f t="shared" si="89"/>
        <v>1024.56</v>
      </c>
      <c r="E238" s="168">
        <f t="shared" si="89"/>
        <v>690</v>
      </c>
      <c r="F238" s="168">
        <f t="shared" si="89"/>
        <v>572.75</v>
      </c>
      <c r="G238" s="168">
        <f t="shared" si="89"/>
        <v>12143.949999999999</v>
      </c>
      <c r="H238" s="168">
        <f t="shared" si="89"/>
        <v>94.23</v>
      </c>
      <c r="I238" s="168">
        <f t="shared" si="89"/>
        <v>756</v>
      </c>
      <c r="J238" s="168">
        <f t="shared" si="89"/>
        <v>-155</v>
      </c>
      <c r="K238" s="168">
        <f t="shared" si="89"/>
        <v>572.75</v>
      </c>
      <c r="L238" s="168">
        <f t="shared" si="89"/>
        <v>402.23</v>
      </c>
      <c r="M238" s="168">
        <f t="shared" si="89"/>
        <v>1325</v>
      </c>
      <c r="N238" s="168">
        <f t="shared" si="89"/>
        <v>9265.989999999998</v>
      </c>
      <c r="O238" s="453" t="s">
        <v>0</v>
      </c>
      <c r="P238" s="454"/>
      <c r="Q238" s="144"/>
      <c r="R238" s="319"/>
    </row>
    <row r="239" spans="1:18" x14ac:dyDescent="0.2">
      <c r="A239" s="83" t="s">
        <v>25</v>
      </c>
      <c r="B239" s="84" t="s">
        <v>68</v>
      </c>
      <c r="C239" s="89">
        <v>3415.2</v>
      </c>
      <c r="D239" s="89">
        <v>1216.67</v>
      </c>
      <c r="E239" s="89">
        <v>490</v>
      </c>
      <c r="F239" s="89">
        <v>572.75</v>
      </c>
      <c r="G239" s="88">
        <f t="shared" ref="G239:G246" si="90">C239+D239+F239</f>
        <v>5204.62</v>
      </c>
      <c r="H239" s="89">
        <v>29.74</v>
      </c>
      <c r="I239" s="89">
        <v>630</v>
      </c>
      <c r="J239" s="89">
        <v>-155</v>
      </c>
      <c r="K239" s="89">
        <v>572.75</v>
      </c>
      <c r="L239" s="89">
        <v>200.01</v>
      </c>
      <c r="M239" s="89">
        <v>1125</v>
      </c>
      <c r="N239" s="88">
        <f t="shared" ref="N239:N246" si="91">C239+D239+E239-H239-I239-J239-K239-L239-M239</f>
        <v>2719.37</v>
      </c>
      <c r="O239" s="106">
        <v>43698</v>
      </c>
      <c r="P239" s="134" t="s">
        <v>144</v>
      </c>
      <c r="Q239" s="144" t="s">
        <v>122</v>
      </c>
    </row>
    <row r="240" spans="1:18" x14ac:dyDescent="0.2">
      <c r="A240" s="81" t="s">
        <v>26</v>
      </c>
      <c r="B240" s="82" t="s">
        <v>76</v>
      </c>
      <c r="C240" s="89">
        <v>818.8</v>
      </c>
      <c r="D240" s="89"/>
      <c r="E240" s="89">
        <v>50</v>
      </c>
      <c r="F240" s="89">
        <v>0</v>
      </c>
      <c r="G240" s="88">
        <f t="shared" si="90"/>
        <v>818.8</v>
      </c>
      <c r="H240" s="89">
        <v>8.19</v>
      </c>
      <c r="I240" s="89">
        <v>0</v>
      </c>
      <c r="J240" s="89"/>
      <c r="K240" s="89"/>
      <c r="L240" s="89">
        <v>58.14</v>
      </c>
      <c r="M240" s="89">
        <v>200</v>
      </c>
      <c r="N240" s="88">
        <f t="shared" si="91"/>
        <v>602.46999999999991</v>
      </c>
      <c r="O240" s="106">
        <v>43698</v>
      </c>
      <c r="P240" s="134" t="s">
        <v>144</v>
      </c>
      <c r="Q240" s="144" t="s">
        <v>122</v>
      </c>
    </row>
    <row r="241" spans="1:18" x14ac:dyDescent="0.2">
      <c r="A241" s="81" t="s">
        <v>3</v>
      </c>
      <c r="B241" s="82" t="s">
        <v>77</v>
      </c>
      <c r="C241" s="89">
        <v>1074.8</v>
      </c>
      <c r="D241" s="89"/>
      <c r="E241" s="89">
        <v>50</v>
      </c>
      <c r="F241" s="89"/>
      <c r="G241" s="88">
        <f t="shared" si="90"/>
        <v>1074.8</v>
      </c>
      <c r="H241" s="89">
        <v>10.75</v>
      </c>
      <c r="I241" s="89"/>
      <c r="J241" s="89"/>
      <c r="K241" s="89"/>
      <c r="L241" s="89">
        <v>76.3</v>
      </c>
      <c r="M241" s="89"/>
      <c r="N241" s="88">
        <f t="shared" si="91"/>
        <v>1037.75</v>
      </c>
      <c r="O241" s="106">
        <v>43698</v>
      </c>
      <c r="P241" s="134" t="s">
        <v>144</v>
      </c>
      <c r="Q241" s="144" t="s">
        <v>122</v>
      </c>
    </row>
    <row r="242" spans="1:18" x14ac:dyDescent="0.2">
      <c r="A242" s="81" t="s">
        <v>32</v>
      </c>
      <c r="B242" s="82" t="s">
        <v>78</v>
      </c>
      <c r="C242" s="89">
        <v>954.8</v>
      </c>
      <c r="D242" s="89"/>
      <c r="E242" s="89">
        <v>100</v>
      </c>
      <c r="F242" s="89"/>
      <c r="G242" s="88">
        <f t="shared" si="90"/>
        <v>954.8</v>
      </c>
      <c r="H242" s="89">
        <v>9.5500000000000007</v>
      </c>
      <c r="I242" s="89"/>
      <c r="J242" s="89"/>
      <c r="K242" s="89"/>
      <c r="L242" s="89">
        <v>67.78</v>
      </c>
      <c r="M242" s="89"/>
      <c r="N242" s="88">
        <f t="shared" si="91"/>
        <v>977.47</v>
      </c>
      <c r="O242" s="106">
        <v>43698</v>
      </c>
      <c r="P242" s="134" t="s">
        <v>144</v>
      </c>
      <c r="Q242" s="144" t="s">
        <v>122</v>
      </c>
    </row>
    <row r="243" spans="1:18" x14ac:dyDescent="0.2">
      <c r="A243" s="81" t="s">
        <v>75</v>
      </c>
      <c r="B243" s="82" t="s">
        <v>79</v>
      </c>
      <c r="C243" s="89">
        <v>800</v>
      </c>
      <c r="D243" s="89"/>
      <c r="E243" s="89"/>
      <c r="F243" s="89"/>
      <c r="G243" s="88">
        <f t="shared" si="90"/>
        <v>800</v>
      </c>
      <c r="H243" s="89">
        <v>8</v>
      </c>
      <c r="I243" s="89"/>
      <c r="J243" s="89"/>
      <c r="K243" s="89"/>
      <c r="L243" s="89"/>
      <c r="M243" s="89"/>
      <c r="N243" s="88">
        <f t="shared" si="91"/>
        <v>792</v>
      </c>
      <c r="O243" s="106">
        <v>43698</v>
      </c>
      <c r="P243" s="134" t="s">
        <v>144</v>
      </c>
      <c r="Q243" s="144" t="s">
        <v>122</v>
      </c>
    </row>
    <row r="244" spans="1:18" x14ac:dyDescent="0.2">
      <c r="A244" s="81" t="s">
        <v>86</v>
      </c>
      <c r="B244" s="82" t="s">
        <v>106</v>
      </c>
      <c r="C244" s="89">
        <v>1000</v>
      </c>
      <c r="D244" s="89">
        <v>356.25</v>
      </c>
      <c r="E244" s="89"/>
      <c r="F244" s="89"/>
      <c r="G244" s="88">
        <f t="shared" si="90"/>
        <v>1356.25</v>
      </c>
      <c r="H244" s="89">
        <v>13.56</v>
      </c>
      <c r="I244" s="89"/>
      <c r="J244" s="89"/>
      <c r="K244" s="89"/>
      <c r="L244" s="89"/>
      <c r="M244" s="89"/>
      <c r="N244" s="88">
        <f t="shared" si="91"/>
        <v>1342.69</v>
      </c>
      <c r="O244" s="106">
        <v>43698</v>
      </c>
      <c r="P244" s="134" t="s">
        <v>144</v>
      </c>
      <c r="Q244" s="144" t="s">
        <v>122</v>
      </c>
    </row>
    <row r="245" spans="1:18" x14ac:dyDescent="0.2">
      <c r="A245" s="81" t="s">
        <v>107</v>
      </c>
      <c r="B245" s="82" t="s">
        <v>108</v>
      </c>
      <c r="C245" s="89">
        <v>800</v>
      </c>
      <c r="D245" s="89">
        <v>37.5</v>
      </c>
      <c r="E245" s="89"/>
      <c r="F245" s="89"/>
      <c r="G245" s="88">
        <f t="shared" si="90"/>
        <v>837.5</v>
      </c>
      <c r="H245" s="89">
        <v>8.375</v>
      </c>
      <c r="I245" s="89"/>
      <c r="J245" s="89"/>
      <c r="K245" s="89"/>
      <c r="L245" s="89"/>
      <c r="M245" s="89"/>
      <c r="N245" s="88">
        <f t="shared" si="91"/>
        <v>829.125</v>
      </c>
      <c r="O245" s="106">
        <v>43691</v>
      </c>
      <c r="P245" s="134" t="s">
        <v>144</v>
      </c>
      <c r="Q245" s="144" t="s">
        <v>122</v>
      </c>
    </row>
    <row r="246" spans="1:18" ht="13.5" thickBot="1" x14ac:dyDescent="0.25">
      <c r="A246" s="81" t="s">
        <v>110</v>
      </c>
      <c r="B246" s="82" t="s">
        <v>109</v>
      </c>
      <c r="C246" s="89">
        <v>800</v>
      </c>
      <c r="D246" s="89"/>
      <c r="E246" s="89"/>
      <c r="F246" s="89"/>
      <c r="G246" s="88">
        <f t="shared" si="90"/>
        <v>800</v>
      </c>
      <c r="H246" s="89">
        <v>8</v>
      </c>
      <c r="I246" s="89"/>
      <c r="J246" s="89"/>
      <c r="K246" s="89"/>
      <c r="L246" s="89"/>
      <c r="M246" s="89">
        <v>200</v>
      </c>
      <c r="N246" s="88">
        <f t="shared" si="91"/>
        <v>592</v>
      </c>
      <c r="O246" s="106">
        <v>43698</v>
      </c>
      <c r="P246" s="134" t="s">
        <v>144</v>
      </c>
      <c r="Q246" s="144" t="s">
        <v>122</v>
      </c>
    </row>
    <row r="247" spans="1:18" s="94" customFormat="1" ht="13.5" thickBot="1" x14ac:dyDescent="0.25">
      <c r="A247" s="429" t="s">
        <v>0</v>
      </c>
      <c r="B247" s="430"/>
      <c r="C247" s="114">
        <f t="shared" ref="C247:N247" si="92">SUM(C239:C246)</f>
        <v>9663.6</v>
      </c>
      <c r="D247" s="114">
        <f>SUM(D239:D246)</f>
        <v>1610.42</v>
      </c>
      <c r="E247" s="114">
        <f>SUM(E239:E246)</f>
        <v>690</v>
      </c>
      <c r="F247" s="114">
        <f t="shared" si="92"/>
        <v>572.75</v>
      </c>
      <c r="G247" s="114">
        <f t="shared" si="92"/>
        <v>11846.77</v>
      </c>
      <c r="H247" s="114">
        <f t="shared" si="92"/>
        <v>96.165000000000006</v>
      </c>
      <c r="I247" s="114">
        <f t="shared" si="92"/>
        <v>630</v>
      </c>
      <c r="J247" s="114">
        <f t="shared" si="92"/>
        <v>-155</v>
      </c>
      <c r="K247" s="114">
        <f t="shared" si="92"/>
        <v>572.75</v>
      </c>
      <c r="L247" s="114">
        <f t="shared" si="92"/>
        <v>402.23</v>
      </c>
      <c r="M247" s="114">
        <f t="shared" si="92"/>
        <v>1525</v>
      </c>
      <c r="N247" s="114">
        <f t="shared" si="92"/>
        <v>8892.875</v>
      </c>
      <c r="O247" s="431" t="s">
        <v>0</v>
      </c>
      <c r="P247" s="432"/>
      <c r="Q247" s="144"/>
      <c r="R247" s="319"/>
    </row>
    <row r="248" spans="1:18" x14ac:dyDescent="0.2">
      <c r="A248" s="83" t="s">
        <v>25</v>
      </c>
      <c r="B248" s="84" t="s">
        <v>68</v>
      </c>
      <c r="C248" s="89">
        <v>3415.2</v>
      </c>
      <c r="D248" s="89">
        <v>1024.56</v>
      </c>
      <c r="E248" s="89">
        <v>490</v>
      </c>
      <c r="F248" s="89">
        <v>572.75</v>
      </c>
      <c r="G248" s="88">
        <f t="shared" ref="G248:G255" si="93">C248+D248+F248</f>
        <v>5012.51</v>
      </c>
      <c r="H248" s="89">
        <v>29.74</v>
      </c>
      <c r="I248" s="89">
        <v>581</v>
      </c>
      <c r="J248" s="89">
        <v>-155</v>
      </c>
      <c r="K248" s="89">
        <v>572.75</v>
      </c>
      <c r="L248" s="89">
        <v>200.01</v>
      </c>
      <c r="M248" s="89">
        <f>1125+250</f>
        <v>1375</v>
      </c>
      <c r="N248" s="88">
        <f t="shared" ref="N248:N255" si="94">C248+D248+E248-H248-I248-J248-K248-L248-M248</f>
        <v>2326.2600000000002</v>
      </c>
      <c r="O248" s="106">
        <v>43705</v>
      </c>
      <c r="P248" s="165" t="s">
        <v>89</v>
      </c>
      <c r="Q248" s="144" t="s">
        <v>122</v>
      </c>
    </row>
    <row r="249" spans="1:18" x14ac:dyDescent="0.2">
      <c r="A249" s="81" t="s">
        <v>26</v>
      </c>
      <c r="B249" s="82" t="s">
        <v>76</v>
      </c>
      <c r="C249" s="89">
        <v>818.8</v>
      </c>
      <c r="D249" s="89"/>
      <c r="E249" s="89">
        <v>50</v>
      </c>
      <c r="F249" s="89">
        <v>0</v>
      </c>
      <c r="G249" s="88">
        <f t="shared" si="93"/>
        <v>818.8</v>
      </c>
      <c r="H249" s="89">
        <v>8.19</v>
      </c>
      <c r="I249" s="89">
        <v>0</v>
      </c>
      <c r="J249" s="89"/>
      <c r="K249" s="89"/>
      <c r="L249" s="89">
        <v>58.14</v>
      </c>
      <c r="M249" s="89">
        <v>200</v>
      </c>
      <c r="N249" s="88">
        <f t="shared" si="94"/>
        <v>602.46999999999991</v>
      </c>
      <c r="O249" s="106">
        <v>43705</v>
      </c>
      <c r="P249" s="165" t="s">
        <v>89</v>
      </c>
      <c r="Q249" s="144" t="s">
        <v>122</v>
      </c>
    </row>
    <row r="250" spans="1:18" x14ac:dyDescent="0.2">
      <c r="A250" s="81" t="s">
        <v>3</v>
      </c>
      <c r="B250" s="82" t="s">
        <v>77</v>
      </c>
      <c r="C250" s="89">
        <v>1074.8</v>
      </c>
      <c r="D250" s="89">
        <v>322.44</v>
      </c>
      <c r="E250" s="89">
        <v>50</v>
      </c>
      <c r="F250" s="89"/>
      <c r="G250" s="88">
        <f t="shared" si="93"/>
        <v>1397.24</v>
      </c>
      <c r="H250" s="89">
        <v>13.97</v>
      </c>
      <c r="I250" s="89"/>
      <c r="J250" s="89"/>
      <c r="K250" s="89"/>
      <c r="L250" s="89">
        <v>76.3</v>
      </c>
      <c r="M250" s="89"/>
      <c r="N250" s="88">
        <f t="shared" si="94"/>
        <v>1356.97</v>
      </c>
      <c r="O250" s="106">
        <v>43705</v>
      </c>
      <c r="P250" s="165" t="s">
        <v>89</v>
      </c>
      <c r="Q250" s="144" t="s">
        <v>122</v>
      </c>
    </row>
    <row r="251" spans="1:18" x14ac:dyDescent="0.2">
      <c r="A251" s="81" t="s">
        <v>32</v>
      </c>
      <c r="B251" s="82" t="s">
        <v>78</v>
      </c>
      <c r="C251" s="89">
        <v>954.8</v>
      </c>
      <c r="D251" s="89">
        <v>286.44</v>
      </c>
      <c r="E251" s="89">
        <v>100</v>
      </c>
      <c r="F251" s="89"/>
      <c r="G251" s="88">
        <f t="shared" si="93"/>
        <v>1241.24</v>
      </c>
      <c r="H251" s="89">
        <v>12.41</v>
      </c>
      <c r="I251" s="89"/>
      <c r="J251" s="89"/>
      <c r="K251" s="89"/>
      <c r="L251" s="89">
        <v>67.78</v>
      </c>
      <c r="M251" s="89"/>
      <c r="N251" s="88">
        <f t="shared" si="94"/>
        <v>1261.05</v>
      </c>
      <c r="O251" s="106">
        <v>43705</v>
      </c>
      <c r="P251" s="165" t="s">
        <v>89</v>
      </c>
      <c r="Q251" s="144" t="s">
        <v>122</v>
      </c>
    </row>
    <row r="252" spans="1:18" x14ac:dyDescent="0.2">
      <c r="A252" s="81" t="s">
        <v>75</v>
      </c>
      <c r="B252" s="82" t="s">
        <v>79</v>
      </c>
      <c r="C252" s="89">
        <v>800</v>
      </c>
      <c r="D252" s="89"/>
      <c r="E252" s="89"/>
      <c r="F252" s="89"/>
      <c r="G252" s="88">
        <f t="shared" si="93"/>
        <v>800</v>
      </c>
      <c r="H252" s="89">
        <v>8</v>
      </c>
      <c r="I252" s="89"/>
      <c r="J252" s="89"/>
      <c r="K252" s="89"/>
      <c r="L252" s="89"/>
      <c r="M252" s="89"/>
      <c r="N252" s="88">
        <f t="shared" si="94"/>
        <v>792</v>
      </c>
      <c r="O252" s="106">
        <v>43705</v>
      </c>
      <c r="P252" s="165" t="s">
        <v>89</v>
      </c>
      <c r="Q252" s="144" t="s">
        <v>122</v>
      </c>
    </row>
    <row r="253" spans="1:18" x14ac:dyDescent="0.2">
      <c r="A253" s="81" t="s">
        <v>86</v>
      </c>
      <c r="B253" s="82" t="s">
        <v>106</v>
      </c>
      <c r="C253" s="89">
        <v>1000</v>
      </c>
      <c r="D253" s="89">
        <v>300</v>
      </c>
      <c r="E253" s="89"/>
      <c r="F253" s="89"/>
      <c r="G253" s="88">
        <f t="shared" si="93"/>
        <v>1300</v>
      </c>
      <c r="H253" s="89">
        <v>13</v>
      </c>
      <c r="I253" s="89"/>
      <c r="J253" s="89"/>
      <c r="K253" s="89"/>
      <c r="L253" s="89"/>
      <c r="M253" s="89"/>
      <c r="N253" s="88">
        <f t="shared" si="94"/>
        <v>1287</v>
      </c>
      <c r="O253" s="106">
        <v>43705</v>
      </c>
      <c r="P253" s="165" t="s">
        <v>89</v>
      </c>
      <c r="Q253" s="144" t="s">
        <v>122</v>
      </c>
    </row>
    <row r="254" spans="1:18" x14ac:dyDescent="0.2">
      <c r="A254" s="81" t="s">
        <v>107</v>
      </c>
      <c r="B254" s="82" t="s">
        <v>108</v>
      </c>
      <c r="C254" s="89">
        <v>1000</v>
      </c>
      <c r="D254" s="89">
        <v>300</v>
      </c>
      <c r="E254" s="89"/>
      <c r="F254" s="89"/>
      <c r="G254" s="88">
        <f t="shared" si="93"/>
        <v>1300</v>
      </c>
      <c r="H254" s="89">
        <v>13</v>
      </c>
      <c r="I254" s="89"/>
      <c r="J254" s="89"/>
      <c r="K254" s="89"/>
      <c r="L254" s="89"/>
      <c r="M254" s="89"/>
      <c r="N254" s="88">
        <f t="shared" si="94"/>
        <v>1287</v>
      </c>
      <c r="O254" s="106">
        <v>43705</v>
      </c>
      <c r="P254" s="165" t="s">
        <v>89</v>
      </c>
      <c r="Q254" s="144" t="s">
        <v>122</v>
      </c>
    </row>
    <row r="255" spans="1:18" ht="13.5" thickBot="1" x14ac:dyDescent="0.25">
      <c r="A255" s="81" t="s">
        <v>110</v>
      </c>
      <c r="B255" s="82" t="s">
        <v>109</v>
      </c>
      <c r="C255" s="89">
        <v>800</v>
      </c>
      <c r="D255" s="89"/>
      <c r="E255" s="89"/>
      <c r="F255" s="89"/>
      <c r="G255" s="88">
        <f t="shared" si="93"/>
        <v>800</v>
      </c>
      <c r="H255" s="89">
        <v>8</v>
      </c>
      <c r="I255" s="89"/>
      <c r="J255" s="89"/>
      <c r="K255" s="89"/>
      <c r="L255" s="89"/>
      <c r="M255" s="89"/>
      <c r="N255" s="88">
        <f t="shared" si="94"/>
        <v>792</v>
      </c>
      <c r="O255" s="106">
        <v>43705</v>
      </c>
      <c r="P255" s="165" t="s">
        <v>89</v>
      </c>
      <c r="Q255" s="144" t="s">
        <v>122</v>
      </c>
    </row>
    <row r="256" spans="1:18" s="94" customFormat="1" ht="13.5" thickBot="1" x14ac:dyDescent="0.25">
      <c r="A256" s="435" t="s">
        <v>0</v>
      </c>
      <c r="B256" s="460"/>
      <c r="C256" s="166">
        <f t="shared" ref="C256:N256" si="95">SUM(C248:C255)</f>
        <v>9863.6</v>
      </c>
      <c r="D256" s="166">
        <f t="shared" si="95"/>
        <v>2233.44</v>
      </c>
      <c r="E256" s="166">
        <f t="shared" si="95"/>
        <v>690</v>
      </c>
      <c r="F256" s="166">
        <f t="shared" si="95"/>
        <v>572.75</v>
      </c>
      <c r="G256" s="166">
        <f t="shared" si="95"/>
        <v>12669.79</v>
      </c>
      <c r="H256" s="166">
        <f t="shared" si="95"/>
        <v>106.31</v>
      </c>
      <c r="I256" s="166">
        <f t="shared" si="95"/>
        <v>581</v>
      </c>
      <c r="J256" s="166">
        <f t="shared" si="95"/>
        <v>-155</v>
      </c>
      <c r="K256" s="166">
        <f t="shared" si="95"/>
        <v>572.75</v>
      </c>
      <c r="L256" s="166">
        <f t="shared" si="95"/>
        <v>402.23</v>
      </c>
      <c r="M256" s="166">
        <f t="shared" si="95"/>
        <v>1575</v>
      </c>
      <c r="N256" s="166">
        <f t="shared" si="95"/>
        <v>9704.75</v>
      </c>
      <c r="O256" s="433" t="s">
        <v>0</v>
      </c>
      <c r="P256" s="434"/>
      <c r="Q256" s="145"/>
      <c r="R256" s="319"/>
    </row>
    <row r="257" spans="1:18" s="153" customFormat="1" ht="13.5" thickBot="1" x14ac:dyDescent="0.25">
      <c r="A257" s="437" t="s">
        <v>99</v>
      </c>
      <c r="B257" s="438"/>
      <c r="C257" s="171">
        <f t="shared" ref="C257:N257" si="96">C229+C238+C247+C256</f>
        <v>38937.439999999995</v>
      </c>
      <c r="D257" s="171">
        <f t="shared" si="96"/>
        <v>6228.51</v>
      </c>
      <c r="E257" s="171">
        <f t="shared" si="96"/>
        <v>2760</v>
      </c>
      <c r="F257" s="171">
        <f t="shared" si="96"/>
        <v>2291</v>
      </c>
      <c r="G257" s="171">
        <f t="shared" si="96"/>
        <v>47456.950000000004</v>
      </c>
      <c r="H257" s="171">
        <f t="shared" si="96"/>
        <v>381.08500000000004</v>
      </c>
      <c r="I257" s="171">
        <f t="shared" si="96"/>
        <v>2631</v>
      </c>
      <c r="J257" s="171">
        <f t="shared" si="96"/>
        <v>-620</v>
      </c>
      <c r="K257" s="171">
        <f t="shared" si="96"/>
        <v>2291</v>
      </c>
      <c r="L257" s="171">
        <f t="shared" si="96"/>
        <v>1608.92</v>
      </c>
      <c r="M257" s="171">
        <f t="shared" si="96"/>
        <v>5950</v>
      </c>
      <c r="N257" s="171">
        <f t="shared" si="96"/>
        <v>35683.945</v>
      </c>
      <c r="O257" s="209"/>
      <c r="P257" s="157"/>
      <c r="Q257" s="152"/>
      <c r="R257" s="320"/>
    </row>
    <row r="258" spans="1:18" s="180" customFormat="1" x14ac:dyDescent="0.2">
      <c r="A258" s="175" t="s">
        <v>8</v>
      </c>
      <c r="B258" s="183" t="s">
        <v>111</v>
      </c>
      <c r="C258" s="176">
        <v>13535</v>
      </c>
      <c r="D258" s="176"/>
      <c r="E258" s="176"/>
      <c r="F258" s="176">
        <v>5162</v>
      </c>
      <c r="G258" s="88">
        <f t="shared" ref="G258:G260" si="97">C258+D258+F258</f>
        <v>18697</v>
      </c>
      <c r="H258" s="176"/>
      <c r="I258" s="176">
        <v>2364</v>
      </c>
      <c r="J258" s="176">
        <v>-829</v>
      </c>
      <c r="K258" s="176"/>
      <c r="L258" s="176"/>
      <c r="M258" s="176"/>
      <c r="N258" s="88">
        <f t="shared" ref="N258:N260" si="98">C258+D258+E258-H258-I258-J258-K258-L258-M258</f>
        <v>12000</v>
      </c>
      <c r="O258" s="193"/>
      <c r="P258" s="194"/>
      <c r="Q258" s="179"/>
      <c r="R258" s="321"/>
    </row>
    <row r="259" spans="1:18" s="180" customFormat="1" x14ac:dyDescent="0.2">
      <c r="A259" s="175" t="s">
        <v>27</v>
      </c>
      <c r="B259" s="183" t="s">
        <v>112</v>
      </c>
      <c r="C259" s="181">
        <v>13343</v>
      </c>
      <c r="D259" s="181"/>
      <c r="E259" s="181"/>
      <c r="F259" s="181">
        <v>2400</v>
      </c>
      <c r="G259" s="88">
        <f t="shared" si="97"/>
        <v>15743</v>
      </c>
      <c r="H259" s="181"/>
      <c r="I259" s="181">
        <v>1653</v>
      </c>
      <c r="J259" s="181">
        <v>-310</v>
      </c>
      <c r="K259" s="181"/>
      <c r="L259" s="181"/>
      <c r="M259" s="181"/>
      <c r="N259" s="88">
        <f t="shared" si="98"/>
        <v>12000</v>
      </c>
      <c r="O259" s="193"/>
      <c r="P259" s="194"/>
      <c r="Q259" s="179"/>
      <c r="R259" s="321"/>
    </row>
    <row r="260" spans="1:18" s="180" customFormat="1" ht="13.5" thickBot="1" x14ac:dyDescent="0.25">
      <c r="A260" s="175" t="s">
        <v>6</v>
      </c>
      <c r="B260" s="183" t="s">
        <v>113</v>
      </c>
      <c r="C260" s="182">
        <v>11713.13</v>
      </c>
      <c r="D260" s="182"/>
      <c r="E260" s="182"/>
      <c r="F260" s="182">
        <v>2100</v>
      </c>
      <c r="G260" s="88">
        <f t="shared" si="97"/>
        <v>13813.13</v>
      </c>
      <c r="H260" s="182">
        <v>138.13</v>
      </c>
      <c r="I260" s="182">
        <v>1304</v>
      </c>
      <c r="J260" s="182">
        <v>-829</v>
      </c>
      <c r="K260" s="182">
        <f>F260</f>
        <v>2100</v>
      </c>
      <c r="L260" s="182"/>
      <c r="M260" s="182"/>
      <c r="N260" s="88">
        <f t="shared" si="98"/>
        <v>9000</v>
      </c>
      <c r="O260" s="193"/>
      <c r="P260" s="194"/>
      <c r="Q260" s="179"/>
      <c r="R260" s="321"/>
    </row>
    <row r="261" spans="1:18" s="143" customFormat="1" ht="13.5" thickBot="1" x14ac:dyDescent="0.25">
      <c r="A261" s="439" t="s">
        <v>100</v>
      </c>
      <c r="B261" s="440"/>
      <c r="C261" s="174">
        <f>SUM(C258:C260)</f>
        <v>38591.129999999997</v>
      </c>
      <c r="D261" s="174">
        <f t="shared" ref="D261" si="99">SUM(D258:D260)</f>
        <v>0</v>
      </c>
      <c r="E261" s="174">
        <f t="shared" ref="E261" si="100">SUM(E258:E260)</f>
        <v>0</v>
      </c>
      <c r="F261" s="174">
        <f>SUM(F258:F260)</f>
        <v>9662</v>
      </c>
      <c r="G261" s="174">
        <f>SUM(G258:G260)</f>
        <v>48253.13</v>
      </c>
      <c r="H261" s="174">
        <f t="shared" ref="H261" si="101">SUM(H258:H260)</f>
        <v>138.13</v>
      </c>
      <c r="I261" s="174">
        <f t="shared" ref="I261" si="102">SUM(I258:I260)</f>
        <v>5321</v>
      </c>
      <c r="J261" s="174">
        <f t="shared" ref="J261" si="103">SUM(J258:J260)</f>
        <v>-1968</v>
      </c>
      <c r="K261" s="174">
        <f t="shared" ref="K261" si="104">SUM(K258:K260)</f>
        <v>2100</v>
      </c>
      <c r="L261" s="174">
        <f t="shared" ref="L261" si="105">SUM(L258:L260)</f>
        <v>0</v>
      </c>
      <c r="M261" s="174">
        <f t="shared" ref="M261" si="106">SUM(M258:M260)</f>
        <v>0</v>
      </c>
      <c r="N261" s="174">
        <f t="shared" ref="N261" si="107">SUM(N258:N260)</f>
        <v>33000</v>
      </c>
      <c r="O261" s="210"/>
      <c r="P261" s="142"/>
      <c r="Q261" s="146"/>
      <c r="R261" s="322"/>
    </row>
    <row r="262" spans="1:18" s="143" customFormat="1" ht="13.5" thickBot="1" x14ac:dyDescent="0.25">
      <c r="A262" s="441" t="s">
        <v>101</v>
      </c>
      <c r="B262" s="441"/>
      <c r="C262" s="154"/>
      <c r="D262" s="154"/>
      <c r="E262" s="154"/>
      <c r="F262" s="154"/>
      <c r="G262" s="154"/>
      <c r="H262" s="163">
        <f>(H257+H261)*2</f>
        <v>1038.43</v>
      </c>
      <c r="I262" s="159">
        <f>I257+I261</f>
        <v>7952</v>
      </c>
      <c r="J262" s="164">
        <f>J257+J261</f>
        <v>-2588</v>
      </c>
      <c r="K262" s="154"/>
      <c r="L262" s="154"/>
      <c r="M262" s="154"/>
      <c r="N262" s="154">
        <f>9000+11000+12000</f>
        <v>32000</v>
      </c>
      <c r="O262" s="142"/>
      <c r="P262" s="142"/>
      <c r="Q262" s="156"/>
      <c r="R262" s="322"/>
    </row>
    <row r="263" spans="1:18" s="143" customFormat="1" ht="13.5" thickBot="1" x14ac:dyDescent="0.25">
      <c r="A263" s="170"/>
      <c r="B263" s="170"/>
      <c r="C263" s="154"/>
      <c r="D263" s="154"/>
      <c r="E263" s="154"/>
      <c r="F263" s="154"/>
      <c r="G263" s="154"/>
      <c r="H263" s="154"/>
      <c r="I263" s="455">
        <f>I262+J262</f>
        <v>5364</v>
      </c>
      <c r="J263" s="456"/>
      <c r="K263" s="154"/>
      <c r="L263" s="154"/>
      <c r="M263" s="154"/>
      <c r="N263" s="154"/>
      <c r="O263" s="142"/>
      <c r="P263" s="142"/>
      <c r="Q263" s="156"/>
      <c r="R263" s="322"/>
    </row>
    <row r="264" spans="1:18" s="143" customFormat="1" ht="13.5" thickBot="1" x14ac:dyDescent="0.25">
      <c r="A264" s="170"/>
      <c r="B264" s="170"/>
      <c r="C264" s="154"/>
      <c r="D264" s="154"/>
      <c r="E264" s="154"/>
      <c r="F264" s="154"/>
      <c r="G264" s="154"/>
      <c r="H264" s="457">
        <f>SUM(H262:J262)</f>
        <v>6402.43</v>
      </c>
      <c r="I264" s="458"/>
      <c r="J264" s="459"/>
      <c r="K264" s="154"/>
      <c r="L264" s="154"/>
      <c r="M264" s="154"/>
      <c r="N264" s="154"/>
      <c r="O264" s="142"/>
      <c r="P264" s="142"/>
      <c r="Q264" s="156"/>
      <c r="R264" s="322"/>
    </row>
    <row r="265" spans="1:18" ht="13.5" thickBot="1" x14ac:dyDescent="0.25"/>
    <row r="266" spans="1:18" s="79" customFormat="1" ht="13.5" thickBot="1" x14ac:dyDescent="0.25">
      <c r="A266" s="444" t="s">
        <v>123</v>
      </c>
      <c r="B266" s="445"/>
      <c r="C266" s="445"/>
      <c r="D266" s="445"/>
      <c r="E266" s="445"/>
      <c r="F266" s="445"/>
      <c r="G266" s="445"/>
      <c r="H266" s="445"/>
      <c r="I266" s="445"/>
      <c r="J266" s="445"/>
      <c r="K266" s="445"/>
      <c r="L266" s="445"/>
      <c r="M266" s="445"/>
      <c r="N266" s="445"/>
      <c r="O266" s="445"/>
      <c r="P266" s="445"/>
      <c r="Q266" s="446"/>
      <c r="R266" s="318"/>
    </row>
    <row r="267" spans="1:18" s="79" customFormat="1" ht="13.5" thickBot="1" x14ac:dyDescent="0.25">
      <c r="A267" s="85" t="s">
        <v>69</v>
      </c>
      <c r="B267" s="86" t="s">
        <v>1</v>
      </c>
      <c r="C267" s="87" t="s">
        <v>61</v>
      </c>
      <c r="D267" s="87" t="s">
        <v>62</v>
      </c>
      <c r="E267" s="87" t="s">
        <v>73</v>
      </c>
      <c r="F267" s="87" t="s">
        <v>67</v>
      </c>
      <c r="G267" s="87" t="s">
        <v>81</v>
      </c>
      <c r="H267" s="87" t="s">
        <v>64</v>
      </c>
      <c r="I267" s="87" t="s">
        <v>65</v>
      </c>
      <c r="J267" s="87" t="s">
        <v>72</v>
      </c>
      <c r="K267" s="87" t="s">
        <v>67</v>
      </c>
      <c r="L267" s="87" t="s">
        <v>63</v>
      </c>
      <c r="M267" s="87" t="s">
        <v>66</v>
      </c>
      <c r="N267" s="87" t="s">
        <v>2</v>
      </c>
      <c r="O267" s="92" t="s">
        <v>71</v>
      </c>
      <c r="P267" s="93" t="s">
        <v>74</v>
      </c>
      <c r="Q267" s="147" t="s">
        <v>97</v>
      </c>
      <c r="R267" s="318"/>
    </row>
    <row r="268" spans="1:18" x14ac:dyDescent="0.2">
      <c r="A268" s="83" t="s">
        <v>25</v>
      </c>
      <c r="B268" s="84" t="s">
        <v>68</v>
      </c>
      <c r="C268" s="89">
        <v>3415.2</v>
      </c>
      <c r="D268" s="89">
        <v>1600.88</v>
      </c>
      <c r="E268" s="89">
        <v>490</v>
      </c>
      <c r="F268" s="89">
        <v>572.75</v>
      </c>
      <c r="G268" s="88">
        <f t="shared" ref="G268:G272" si="108">C268+D268+F268</f>
        <v>5588.83</v>
      </c>
      <c r="H268" s="89">
        <v>29.74</v>
      </c>
      <c r="I268" s="89">
        <v>730</v>
      </c>
      <c r="J268" s="89">
        <v>-155</v>
      </c>
      <c r="K268" s="89">
        <v>572.75</v>
      </c>
      <c r="L268" s="89">
        <v>200.01</v>
      </c>
      <c r="M268" s="89">
        <f>1125+250</f>
        <v>1375</v>
      </c>
      <c r="N268" s="88">
        <f t="shared" ref="N268:N275" si="109">C268+D268+E268-H268-I268-J268-K268-L268-M268</f>
        <v>2753.58</v>
      </c>
      <c r="O268" s="106">
        <v>43712</v>
      </c>
      <c r="P268" s="131" t="s">
        <v>90</v>
      </c>
      <c r="Q268" s="144" t="s">
        <v>123</v>
      </c>
    </row>
    <row r="269" spans="1:18" x14ac:dyDescent="0.2">
      <c r="A269" s="81" t="s">
        <v>26</v>
      </c>
      <c r="B269" s="82" t="s">
        <v>76</v>
      </c>
      <c r="C269" s="89">
        <v>818.8</v>
      </c>
      <c r="D269" s="89"/>
      <c r="E269" s="89">
        <v>50</v>
      </c>
      <c r="F269" s="89">
        <v>0</v>
      </c>
      <c r="G269" s="88">
        <f t="shared" si="108"/>
        <v>818.8</v>
      </c>
      <c r="H269" s="89">
        <v>8.19</v>
      </c>
      <c r="I269" s="89">
        <v>0</v>
      </c>
      <c r="J269" s="89"/>
      <c r="K269" s="89"/>
      <c r="L269" s="89">
        <v>58.14</v>
      </c>
      <c r="M269" s="89">
        <v>200</v>
      </c>
      <c r="N269" s="88">
        <f t="shared" si="109"/>
        <v>602.46999999999991</v>
      </c>
      <c r="O269" s="106">
        <v>43712</v>
      </c>
      <c r="P269" s="131" t="s">
        <v>90</v>
      </c>
      <c r="Q269" s="144" t="s">
        <v>123</v>
      </c>
    </row>
    <row r="270" spans="1:18" x14ac:dyDescent="0.2">
      <c r="A270" s="81" t="s">
        <v>3</v>
      </c>
      <c r="B270" s="82" t="s">
        <v>77</v>
      </c>
      <c r="C270" s="89">
        <v>1074.8</v>
      </c>
      <c r="D270" s="89">
        <v>322.44</v>
      </c>
      <c r="E270" s="89">
        <v>50</v>
      </c>
      <c r="F270" s="89"/>
      <c r="G270" s="88">
        <f t="shared" si="108"/>
        <v>1397.24</v>
      </c>
      <c r="H270" s="89">
        <v>13.97</v>
      </c>
      <c r="I270" s="89"/>
      <c r="J270" s="89"/>
      <c r="K270" s="89"/>
      <c r="L270" s="89">
        <v>76.3</v>
      </c>
      <c r="M270" s="89"/>
      <c r="N270" s="88">
        <f t="shared" si="109"/>
        <v>1356.97</v>
      </c>
      <c r="O270" s="106">
        <v>43712</v>
      </c>
      <c r="P270" s="131" t="s">
        <v>90</v>
      </c>
      <c r="Q270" s="144" t="s">
        <v>123</v>
      </c>
    </row>
    <row r="271" spans="1:18" x14ac:dyDescent="0.2">
      <c r="A271" s="81" t="s">
        <v>32</v>
      </c>
      <c r="B271" s="82" t="s">
        <v>78</v>
      </c>
      <c r="C271" s="89">
        <v>954.8</v>
      </c>
      <c r="D271" s="89">
        <v>286.44</v>
      </c>
      <c r="E271" s="89">
        <v>100</v>
      </c>
      <c r="F271" s="89"/>
      <c r="G271" s="88">
        <f t="shared" si="108"/>
        <v>1241.24</v>
      </c>
      <c r="H271" s="89">
        <v>12.41</v>
      </c>
      <c r="I271" s="89"/>
      <c r="J271" s="89"/>
      <c r="K271" s="89"/>
      <c r="L271" s="89">
        <v>67.78</v>
      </c>
      <c r="M271" s="89"/>
      <c r="N271" s="88">
        <f t="shared" si="109"/>
        <v>1261.05</v>
      </c>
      <c r="O271" s="106">
        <v>43712</v>
      </c>
      <c r="P271" s="131" t="s">
        <v>90</v>
      </c>
      <c r="Q271" s="144" t="s">
        <v>123</v>
      </c>
    </row>
    <row r="272" spans="1:18" x14ac:dyDescent="0.2">
      <c r="A272" s="81" t="s">
        <v>75</v>
      </c>
      <c r="B272" s="82" t="s">
        <v>79</v>
      </c>
      <c r="C272" s="89">
        <v>800</v>
      </c>
      <c r="D272" s="89">
        <v>240</v>
      </c>
      <c r="E272" s="89"/>
      <c r="F272" s="89"/>
      <c r="G272" s="88">
        <f t="shared" si="108"/>
        <v>1040</v>
      </c>
      <c r="H272" s="89">
        <v>10.4</v>
      </c>
      <c r="I272" s="89"/>
      <c r="J272" s="89"/>
      <c r="K272" s="89"/>
      <c r="L272" s="89"/>
      <c r="M272" s="89"/>
      <c r="N272" s="88">
        <f t="shared" si="109"/>
        <v>1029.5999999999999</v>
      </c>
      <c r="O272" s="106">
        <v>43712</v>
      </c>
      <c r="P272" s="131" t="s">
        <v>90</v>
      </c>
      <c r="Q272" s="144" t="s">
        <v>123</v>
      </c>
    </row>
    <row r="273" spans="1:18" x14ac:dyDescent="0.2">
      <c r="A273" s="81" t="s">
        <v>86</v>
      </c>
      <c r="B273" s="82" t="s">
        <v>106</v>
      </c>
      <c r="C273" s="89">
        <v>1000</v>
      </c>
      <c r="D273" s="89">
        <v>468.75</v>
      </c>
      <c r="E273" s="89"/>
      <c r="F273" s="89"/>
      <c r="G273" s="88">
        <f>C273+D273+F273</f>
        <v>1468.75</v>
      </c>
      <c r="H273" s="89">
        <v>14.69</v>
      </c>
      <c r="I273" s="89"/>
      <c r="J273" s="89"/>
      <c r="K273" s="89"/>
      <c r="L273" s="89"/>
      <c r="M273" s="89"/>
      <c r="N273" s="88">
        <f t="shared" si="109"/>
        <v>1454.06</v>
      </c>
      <c r="O273" s="106">
        <v>43712</v>
      </c>
      <c r="P273" s="131" t="s">
        <v>90</v>
      </c>
      <c r="Q273" s="144" t="s">
        <v>123</v>
      </c>
    </row>
    <row r="274" spans="1:18" x14ac:dyDescent="0.2">
      <c r="A274" s="81" t="s">
        <v>107</v>
      </c>
      <c r="B274" s="82" t="s">
        <v>108</v>
      </c>
      <c r="C274" s="89">
        <v>1000</v>
      </c>
      <c r="D274" s="89">
        <v>300</v>
      </c>
      <c r="E274" s="89"/>
      <c r="F274" s="89"/>
      <c r="G274" s="88">
        <f>C274+D274+F274</f>
        <v>1300</v>
      </c>
      <c r="H274" s="89">
        <v>13</v>
      </c>
      <c r="I274" s="89"/>
      <c r="J274" s="89"/>
      <c r="K274" s="89"/>
      <c r="L274" s="89"/>
      <c r="M274" s="89"/>
      <c r="N274" s="88">
        <f t="shared" si="109"/>
        <v>1287</v>
      </c>
      <c r="O274" s="106">
        <v>43712</v>
      </c>
      <c r="P274" s="131" t="s">
        <v>90</v>
      </c>
      <c r="Q274" s="144" t="s">
        <v>123</v>
      </c>
    </row>
    <row r="275" spans="1:18" ht="13.5" thickBot="1" x14ac:dyDescent="0.25">
      <c r="A275" s="80" t="s">
        <v>110</v>
      </c>
      <c r="B275" s="82" t="s">
        <v>109</v>
      </c>
      <c r="C275" s="89">
        <v>800</v>
      </c>
      <c r="D275" s="89"/>
      <c r="E275" s="89"/>
      <c r="F275" s="89"/>
      <c r="G275" s="88">
        <f>C275+D275+F275</f>
        <v>800</v>
      </c>
      <c r="H275" s="89">
        <v>8</v>
      </c>
      <c r="I275" s="89"/>
      <c r="J275" s="89"/>
      <c r="K275" s="89"/>
      <c r="L275" s="89"/>
      <c r="M275" s="89">
        <v>300</v>
      </c>
      <c r="N275" s="88">
        <f t="shared" si="109"/>
        <v>492</v>
      </c>
      <c r="O275" s="106">
        <v>43712</v>
      </c>
      <c r="P275" s="131" t="s">
        <v>90</v>
      </c>
      <c r="Q275" s="144" t="s">
        <v>123</v>
      </c>
    </row>
    <row r="276" spans="1:18" s="94" customFormat="1" ht="13.5" thickBot="1" x14ac:dyDescent="0.25">
      <c r="A276" s="447" t="s">
        <v>0</v>
      </c>
      <c r="B276" s="448"/>
      <c r="C276" s="122">
        <f t="shared" ref="C276:N276" si="110">SUM(C268:C275)</f>
        <v>9863.6</v>
      </c>
      <c r="D276" s="122">
        <f t="shared" si="110"/>
        <v>3218.51</v>
      </c>
      <c r="E276" s="122">
        <f t="shared" si="110"/>
        <v>690</v>
      </c>
      <c r="F276" s="122">
        <f t="shared" si="110"/>
        <v>572.75</v>
      </c>
      <c r="G276" s="122">
        <f t="shared" si="110"/>
        <v>13654.86</v>
      </c>
      <c r="H276" s="122">
        <f t="shared" si="110"/>
        <v>110.4</v>
      </c>
      <c r="I276" s="122">
        <f t="shared" si="110"/>
        <v>730</v>
      </c>
      <c r="J276" s="122">
        <f t="shared" si="110"/>
        <v>-155</v>
      </c>
      <c r="K276" s="122">
        <f t="shared" si="110"/>
        <v>572.75</v>
      </c>
      <c r="L276" s="122">
        <f t="shared" si="110"/>
        <v>402.23</v>
      </c>
      <c r="M276" s="122">
        <f t="shared" si="110"/>
        <v>1875</v>
      </c>
      <c r="N276" s="122">
        <f t="shared" si="110"/>
        <v>10236.73</v>
      </c>
      <c r="O276" s="449" t="s">
        <v>0</v>
      </c>
      <c r="P276" s="450"/>
      <c r="Q276" s="144"/>
      <c r="R276" s="319"/>
    </row>
    <row r="277" spans="1:18" x14ac:dyDescent="0.2">
      <c r="A277" s="83" t="s">
        <v>25</v>
      </c>
      <c r="B277" s="84" t="s">
        <v>68</v>
      </c>
      <c r="C277" s="89">
        <v>3415.2</v>
      </c>
      <c r="D277" s="89">
        <v>1728.95</v>
      </c>
      <c r="E277" s="89">
        <v>490</v>
      </c>
      <c r="F277" s="89">
        <v>572.75</v>
      </c>
      <c r="G277" s="88">
        <f t="shared" ref="G277:G282" si="111">C277+D277+F277</f>
        <v>5716.9</v>
      </c>
      <c r="H277" s="89">
        <v>29.74</v>
      </c>
      <c r="I277" s="89">
        <v>761</v>
      </c>
      <c r="J277" s="89">
        <v>-155</v>
      </c>
      <c r="K277" s="89">
        <v>572.75</v>
      </c>
      <c r="L277" s="89">
        <v>200.01</v>
      </c>
      <c r="M277" s="89">
        <f>1125+250</f>
        <v>1375</v>
      </c>
      <c r="N277" s="88">
        <f t="shared" ref="N277:N285" si="112">C277+D277+E277-H277-I277-J277-K277-L277-M277</f>
        <v>2850.6499999999996</v>
      </c>
      <c r="O277" s="106">
        <v>43719</v>
      </c>
      <c r="P277" s="167" t="s">
        <v>91</v>
      </c>
      <c r="Q277" s="144" t="s">
        <v>123</v>
      </c>
    </row>
    <row r="278" spans="1:18" x14ac:dyDescent="0.2">
      <c r="A278" s="81" t="s">
        <v>26</v>
      </c>
      <c r="B278" s="82" t="s">
        <v>76</v>
      </c>
      <c r="C278" s="89">
        <v>818.8</v>
      </c>
      <c r="D278" s="89">
        <v>84.44</v>
      </c>
      <c r="E278" s="89">
        <v>50</v>
      </c>
      <c r="F278" s="89">
        <v>0</v>
      </c>
      <c r="G278" s="88">
        <f t="shared" si="111"/>
        <v>903.24</v>
      </c>
      <c r="H278" s="89">
        <v>9.0299999999999994</v>
      </c>
      <c r="I278" s="89">
        <v>0</v>
      </c>
      <c r="J278" s="89"/>
      <c r="K278" s="89"/>
      <c r="L278" s="89">
        <v>58.14</v>
      </c>
      <c r="M278" s="89">
        <v>200</v>
      </c>
      <c r="N278" s="88">
        <f t="shared" si="112"/>
        <v>686.07</v>
      </c>
      <c r="O278" s="106">
        <v>43719</v>
      </c>
      <c r="P278" s="167" t="s">
        <v>91</v>
      </c>
      <c r="Q278" s="144" t="s">
        <v>123</v>
      </c>
    </row>
    <row r="279" spans="1:18" x14ac:dyDescent="0.2">
      <c r="A279" s="81" t="s">
        <v>3</v>
      </c>
      <c r="B279" s="82" t="s">
        <v>77</v>
      </c>
      <c r="C279" s="89">
        <v>1074.8</v>
      </c>
      <c r="D279" s="89">
        <v>322.44</v>
      </c>
      <c r="E279" s="89">
        <v>50</v>
      </c>
      <c r="F279" s="89"/>
      <c r="G279" s="88">
        <f t="shared" si="111"/>
        <v>1397.24</v>
      </c>
      <c r="H279" s="89">
        <v>13.97</v>
      </c>
      <c r="I279" s="89"/>
      <c r="J279" s="89"/>
      <c r="K279" s="89"/>
      <c r="L279" s="89">
        <v>76.3</v>
      </c>
      <c r="M279" s="89"/>
      <c r="N279" s="88">
        <f t="shared" si="112"/>
        <v>1356.97</v>
      </c>
      <c r="O279" s="106">
        <v>43719</v>
      </c>
      <c r="P279" s="167" t="s">
        <v>91</v>
      </c>
      <c r="Q279" s="144" t="s">
        <v>123</v>
      </c>
    </row>
    <row r="280" spans="1:18" x14ac:dyDescent="0.2">
      <c r="A280" s="81" t="s">
        <v>32</v>
      </c>
      <c r="B280" s="82" t="s">
        <v>78</v>
      </c>
      <c r="C280" s="89">
        <v>954.8</v>
      </c>
      <c r="D280" s="89">
        <v>286.44</v>
      </c>
      <c r="E280" s="89">
        <v>100</v>
      </c>
      <c r="F280" s="89"/>
      <c r="G280" s="88">
        <f t="shared" si="111"/>
        <v>1241.24</v>
      </c>
      <c r="H280" s="89">
        <v>12.41</v>
      </c>
      <c r="I280" s="89"/>
      <c r="J280" s="89"/>
      <c r="K280" s="89"/>
      <c r="L280" s="89">
        <v>67.78</v>
      </c>
      <c r="M280" s="89"/>
      <c r="N280" s="88">
        <f t="shared" si="112"/>
        <v>1261.05</v>
      </c>
      <c r="O280" s="106">
        <v>43719</v>
      </c>
      <c r="P280" s="167" t="s">
        <v>91</v>
      </c>
      <c r="Q280" s="144" t="s">
        <v>123</v>
      </c>
    </row>
    <row r="281" spans="1:18" x14ac:dyDescent="0.2">
      <c r="A281" s="81" t="s">
        <v>75</v>
      </c>
      <c r="B281" s="82" t="s">
        <v>79</v>
      </c>
      <c r="C281" s="89">
        <v>800</v>
      </c>
      <c r="D281" s="89">
        <v>240</v>
      </c>
      <c r="E281" s="89"/>
      <c r="F281" s="89"/>
      <c r="G281" s="88">
        <f t="shared" si="111"/>
        <v>1040</v>
      </c>
      <c r="H281" s="89">
        <v>10.4</v>
      </c>
      <c r="I281" s="89"/>
      <c r="J281" s="89"/>
      <c r="K281" s="89"/>
      <c r="L281" s="89"/>
      <c r="M281" s="89"/>
      <c r="N281" s="88">
        <f t="shared" si="112"/>
        <v>1029.5999999999999</v>
      </c>
      <c r="O281" s="106">
        <v>43719</v>
      </c>
      <c r="P281" s="167" t="s">
        <v>91</v>
      </c>
      <c r="Q281" s="144" t="s">
        <v>123</v>
      </c>
    </row>
    <row r="282" spans="1:18" x14ac:dyDescent="0.2">
      <c r="A282" s="81" t="s">
        <v>86</v>
      </c>
      <c r="B282" s="82" t="s">
        <v>106</v>
      </c>
      <c r="C282" s="89">
        <v>1000</v>
      </c>
      <c r="D282" s="89">
        <v>506.25</v>
      </c>
      <c r="E282" s="89"/>
      <c r="F282" s="89"/>
      <c r="G282" s="88">
        <f t="shared" si="111"/>
        <v>1506.25</v>
      </c>
      <c r="H282" s="89">
        <v>15.06</v>
      </c>
      <c r="I282" s="89"/>
      <c r="J282" s="89"/>
      <c r="K282" s="89"/>
      <c r="L282" s="89"/>
      <c r="M282" s="89"/>
      <c r="N282" s="88">
        <f t="shared" si="112"/>
        <v>1491.19</v>
      </c>
      <c r="O282" s="106">
        <v>43719</v>
      </c>
      <c r="P282" s="167" t="s">
        <v>91</v>
      </c>
      <c r="Q282" s="144" t="s">
        <v>123</v>
      </c>
    </row>
    <row r="283" spans="1:18" x14ac:dyDescent="0.2">
      <c r="A283" s="81" t="s">
        <v>107</v>
      </c>
      <c r="B283" s="82" t="s">
        <v>108</v>
      </c>
      <c r="C283" s="89">
        <v>1000</v>
      </c>
      <c r="D283" s="89">
        <v>300</v>
      </c>
      <c r="E283" s="89"/>
      <c r="F283" s="89"/>
      <c r="G283" s="88">
        <f>C283+D283+F283</f>
        <v>1300</v>
      </c>
      <c r="H283" s="89">
        <v>13</v>
      </c>
      <c r="I283" s="89"/>
      <c r="J283" s="89"/>
      <c r="K283" s="89"/>
      <c r="L283" s="89"/>
      <c r="M283" s="89"/>
      <c r="N283" s="88">
        <f t="shared" si="112"/>
        <v>1287</v>
      </c>
      <c r="O283" s="106">
        <v>43719</v>
      </c>
      <c r="P283" s="167" t="s">
        <v>91</v>
      </c>
      <c r="Q283" s="144" t="s">
        <v>123</v>
      </c>
    </row>
    <row r="284" spans="1:18" x14ac:dyDescent="0.2">
      <c r="A284" s="81" t="s">
        <v>110</v>
      </c>
      <c r="B284" s="82" t="s">
        <v>109</v>
      </c>
      <c r="C284" s="89">
        <v>800</v>
      </c>
      <c r="D284" s="89"/>
      <c r="E284" s="89"/>
      <c r="F284" s="89"/>
      <c r="G284" s="88">
        <f>C284+D284+F284</f>
        <v>800</v>
      </c>
      <c r="H284" s="89">
        <v>8</v>
      </c>
      <c r="I284" s="89"/>
      <c r="J284" s="89"/>
      <c r="K284" s="89"/>
      <c r="L284" s="89"/>
      <c r="M284" s="89"/>
      <c r="N284" s="88">
        <f t="shared" si="112"/>
        <v>792</v>
      </c>
      <c r="O284" s="106">
        <v>43719</v>
      </c>
      <c r="P284" s="167" t="s">
        <v>91</v>
      </c>
      <c r="Q284" s="144" t="s">
        <v>123</v>
      </c>
    </row>
    <row r="285" spans="1:18" ht="13.5" thickBot="1" x14ac:dyDescent="0.25">
      <c r="A285" s="80" t="s">
        <v>149</v>
      </c>
      <c r="B285" s="82" t="s">
        <v>150</v>
      </c>
      <c r="C285" s="89">
        <v>480</v>
      </c>
      <c r="D285" s="89"/>
      <c r="E285" s="89"/>
      <c r="F285" s="89"/>
      <c r="G285" s="88">
        <f>C285+D285+F285</f>
        <v>480</v>
      </c>
      <c r="H285" s="89">
        <v>4.8</v>
      </c>
      <c r="I285" s="89"/>
      <c r="J285" s="89"/>
      <c r="K285" s="89"/>
      <c r="L285" s="89"/>
      <c r="M285" s="89"/>
      <c r="N285" s="88">
        <f t="shared" si="112"/>
        <v>475.2</v>
      </c>
      <c r="O285" s="106">
        <v>43719</v>
      </c>
      <c r="P285" s="167" t="s">
        <v>91</v>
      </c>
      <c r="Q285" s="144" t="s">
        <v>123</v>
      </c>
    </row>
    <row r="286" spans="1:18" s="94" customFormat="1" ht="13.5" thickBot="1" x14ac:dyDescent="0.25">
      <c r="A286" s="451" t="s">
        <v>0</v>
      </c>
      <c r="B286" s="452"/>
      <c r="C286" s="168">
        <f t="shared" ref="C286:N286" si="113">SUM(C277:C285)</f>
        <v>10343.6</v>
      </c>
      <c r="D286" s="168">
        <f t="shared" si="113"/>
        <v>3468.52</v>
      </c>
      <c r="E286" s="168">
        <f t="shared" si="113"/>
        <v>690</v>
      </c>
      <c r="F286" s="168">
        <f t="shared" si="113"/>
        <v>572.75</v>
      </c>
      <c r="G286" s="168">
        <f t="shared" si="113"/>
        <v>14384.869999999999</v>
      </c>
      <c r="H286" s="168">
        <f t="shared" si="113"/>
        <v>116.41</v>
      </c>
      <c r="I286" s="168">
        <f t="shared" si="113"/>
        <v>761</v>
      </c>
      <c r="J286" s="168">
        <f t="shared" si="113"/>
        <v>-155</v>
      </c>
      <c r="K286" s="168">
        <f t="shared" si="113"/>
        <v>572.75</v>
      </c>
      <c r="L286" s="168">
        <f t="shared" si="113"/>
        <v>402.23</v>
      </c>
      <c r="M286" s="168">
        <f t="shared" si="113"/>
        <v>1575</v>
      </c>
      <c r="N286" s="168">
        <f t="shared" si="113"/>
        <v>11229.730000000001</v>
      </c>
      <c r="O286" s="453" t="s">
        <v>0</v>
      </c>
      <c r="P286" s="454"/>
      <c r="Q286" s="144"/>
      <c r="R286" s="319"/>
    </row>
    <row r="287" spans="1:18" x14ac:dyDescent="0.2">
      <c r="A287" s="83" t="s">
        <v>25</v>
      </c>
      <c r="B287" s="84" t="s">
        <v>68</v>
      </c>
      <c r="C287" s="89">
        <v>3415.2</v>
      </c>
      <c r="D287" s="89">
        <v>1152.6300000000001</v>
      </c>
      <c r="E287" s="89">
        <v>490</v>
      </c>
      <c r="F287" s="89">
        <v>572.75</v>
      </c>
      <c r="G287" s="88">
        <f t="shared" ref="G287:G292" si="114">C287+D287+F287</f>
        <v>5140.58</v>
      </c>
      <c r="H287" s="89">
        <v>29.74</v>
      </c>
      <c r="I287" s="89">
        <v>614</v>
      </c>
      <c r="J287" s="89">
        <v>-155</v>
      </c>
      <c r="K287" s="89">
        <v>572.75</v>
      </c>
      <c r="L287" s="89">
        <v>200.01</v>
      </c>
      <c r="M287" s="89">
        <f>1125+250</f>
        <v>1375</v>
      </c>
      <c r="N287" s="88">
        <f t="shared" ref="N287:N295" si="115">C287+D287+E287-H287-I287-J287-K287-L287-M287</f>
        <v>2421.33</v>
      </c>
      <c r="O287" s="106">
        <v>43726</v>
      </c>
      <c r="P287" s="134" t="s">
        <v>92</v>
      </c>
      <c r="Q287" s="144" t="s">
        <v>123</v>
      </c>
    </row>
    <row r="288" spans="1:18" x14ac:dyDescent="0.2">
      <c r="A288" s="81" t="s">
        <v>26</v>
      </c>
      <c r="B288" s="82" t="s">
        <v>76</v>
      </c>
      <c r="C288" s="89">
        <v>818.8</v>
      </c>
      <c r="D288" s="89"/>
      <c r="E288" s="89">
        <v>50</v>
      </c>
      <c r="F288" s="89">
        <v>0</v>
      </c>
      <c r="G288" s="88">
        <f t="shared" si="114"/>
        <v>818.8</v>
      </c>
      <c r="H288" s="89">
        <v>8.19</v>
      </c>
      <c r="I288" s="89">
        <v>0</v>
      </c>
      <c r="J288" s="89"/>
      <c r="K288" s="89"/>
      <c r="L288" s="89">
        <v>58.14</v>
      </c>
      <c r="M288" s="89">
        <v>200</v>
      </c>
      <c r="N288" s="88">
        <f t="shared" si="115"/>
        <v>602.46999999999991</v>
      </c>
      <c r="O288" s="106">
        <v>43726</v>
      </c>
      <c r="P288" s="134" t="s">
        <v>92</v>
      </c>
      <c r="Q288" s="144" t="s">
        <v>123</v>
      </c>
    </row>
    <row r="289" spans="1:18" x14ac:dyDescent="0.2">
      <c r="A289" s="81" t="s">
        <v>3</v>
      </c>
      <c r="B289" s="82" t="s">
        <v>77</v>
      </c>
      <c r="C289" s="89">
        <v>1074.8</v>
      </c>
      <c r="D289" s="89">
        <v>322.44</v>
      </c>
      <c r="E289" s="89">
        <v>50</v>
      </c>
      <c r="F289" s="89"/>
      <c r="G289" s="88">
        <f t="shared" si="114"/>
        <v>1397.24</v>
      </c>
      <c r="H289" s="89">
        <v>13.97</v>
      </c>
      <c r="I289" s="89"/>
      <c r="J289" s="89"/>
      <c r="K289" s="89"/>
      <c r="L289" s="89">
        <v>76.3</v>
      </c>
      <c r="M289" s="89"/>
      <c r="N289" s="88">
        <f t="shared" si="115"/>
        <v>1356.97</v>
      </c>
      <c r="O289" s="106">
        <v>43726</v>
      </c>
      <c r="P289" s="134" t="s">
        <v>92</v>
      </c>
      <c r="Q289" s="144" t="s">
        <v>123</v>
      </c>
    </row>
    <row r="290" spans="1:18" x14ac:dyDescent="0.2">
      <c r="A290" s="81" t="s">
        <v>32</v>
      </c>
      <c r="B290" s="82" t="s">
        <v>78</v>
      </c>
      <c r="C290" s="89">
        <v>954.8</v>
      </c>
      <c r="D290" s="89">
        <v>286.44</v>
      </c>
      <c r="E290" s="89">
        <v>100</v>
      </c>
      <c r="F290" s="89"/>
      <c r="G290" s="88">
        <f t="shared" si="114"/>
        <v>1241.24</v>
      </c>
      <c r="H290" s="89">
        <v>12.41</v>
      </c>
      <c r="I290" s="89"/>
      <c r="J290" s="89"/>
      <c r="K290" s="89"/>
      <c r="L290" s="89">
        <v>67.78</v>
      </c>
      <c r="M290" s="89"/>
      <c r="N290" s="88">
        <f t="shared" si="115"/>
        <v>1261.05</v>
      </c>
      <c r="O290" s="106">
        <v>43726</v>
      </c>
      <c r="P290" s="134" t="s">
        <v>92</v>
      </c>
      <c r="Q290" s="144" t="s">
        <v>123</v>
      </c>
    </row>
    <row r="291" spans="1:18" x14ac:dyDescent="0.2">
      <c r="A291" s="81" t="s">
        <v>75</v>
      </c>
      <c r="B291" s="82" t="s">
        <v>79</v>
      </c>
      <c r="C291" s="89">
        <v>800</v>
      </c>
      <c r="D291" s="89">
        <v>240</v>
      </c>
      <c r="E291" s="89"/>
      <c r="F291" s="89"/>
      <c r="G291" s="88">
        <f t="shared" si="114"/>
        <v>1040</v>
      </c>
      <c r="H291" s="89">
        <v>10.4</v>
      </c>
      <c r="I291" s="89"/>
      <c r="J291" s="89"/>
      <c r="K291" s="89"/>
      <c r="L291" s="89"/>
      <c r="M291" s="89"/>
      <c r="N291" s="88">
        <f t="shared" si="115"/>
        <v>1029.5999999999999</v>
      </c>
      <c r="O291" s="106">
        <v>43726</v>
      </c>
      <c r="P291" s="134" t="s">
        <v>92</v>
      </c>
      <c r="Q291" s="144" t="s">
        <v>123</v>
      </c>
    </row>
    <row r="292" spans="1:18" x14ac:dyDescent="0.2">
      <c r="A292" s="81" t="s">
        <v>86</v>
      </c>
      <c r="B292" s="82" t="s">
        <v>106</v>
      </c>
      <c r="C292" s="89">
        <v>1000</v>
      </c>
      <c r="D292" s="89">
        <v>300</v>
      </c>
      <c r="E292" s="89"/>
      <c r="F292" s="89"/>
      <c r="G292" s="88">
        <f t="shared" si="114"/>
        <v>1300</v>
      </c>
      <c r="H292" s="89">
        <v>13</v>
      </c>
      <c r="I292" s="89"/>
      <c r="J292" s="89"/>
      <c r="K292" s="89"/>
      <c r="L292" s="89"/>
      <c r="M292" s="89"/>
      <c r="N292" s="88">
        <f t="shared" si="115"/>
        <v>1287</v>
      </c>
      <c r="O292" s="106">
        <v>43726</v>
      </c>
      <c r="P292" s="134" t="s">
        <v>92</v>
      </c>
      <c r="Q292" s="144" t="s">
        <v>123</v>
      </c>
    </row>
    <row r="293" spans="1:18" x14ac:dyDescent="0.2">
      <c r="A293" s="81" t="s">
        <v>107</v>
      </c>
      <c r="B293" s="82" t="s">
        <v>108</v>
      </c>
      <c r="C293" s="89">
        <v>1000</v>
      </c>
      <c r="D293" s="89">
        <v>300</v>
      </c>
      <c r="E293" s="89"/>
      <c r="F293" s="89"/>
      <c r="G293" s="88">
        <f>C293+D293+F293</f>
        <v>1300</v>
      </c>
      <c r="H293" s="89">
        <v>13</v>
      </c>
      <c r="I293" s="89"/>
      <c r="J293" s="89"/>
      <c r="K293" s="89"/>
      <c r="L293" s="89"/>
      <c r="M293" s="89"/>
      <c r="N293" s="88">
        <f t="shared" si="115"/>
        <v>1287</v>
      </c>
      <c r="O293" s="106">
        <v>43726</v>
      </c>
      <c r="P293" s="134" t="s">
        <v>92</v>
      </c>
      <c r="Q293" s="144" t="s">
        <v>123</v>
      </c>
    </row>
    <row r="294" spans="1:18" x14ac:dyDescent="0.2">
      <c r="A294" s="81" t="s">
        <v>110</v>
      </c>
      <c r="B294" s="82" t="s">
        <v>109</v>
      </c>
      <c r="C294" s="89">
        <v>800</v>
      </c>
      <c r="D294" s="89">
        <v>270</v>
      </c>
      <c r="E294" s="89"/>
      <c r="F294" s="89"/>
      <c r="G294" s="88">
        <f>C294+D294+F294</f>
        <v>1070</v>
      </c>
      <c r="H294" s="89">
        <v>10.7</v>
      </c>
      <c r="I294" s="89"/>
      <c r="J294" s="89"/>
      <c r="K294" s="89"/>
      <c r="L294" s="89"/>
      <c r="M294" s="89"/>
      <c r="N294" s="88">
        <f t="shared" si="115"/>
        <v>1059.3</v>
      </c>
      <c r="O294" s="106">
        <v>43726</v>
      </c>
      <c r="P294" s="134" t="s">
        <v>92</v>
      </c>
      <c r="Q294" s="144" t="s">
        <v>123</v>
      </c>
    </row>
    <row r="295" spans="1:18" ht="13.5" thickBot="1" x14ac:dyDescent="0.25">
      <c r="A295" s="80" t="s">
        <v>149</v>
      </c>
      <c r="B295" s="82" t="s">
        <v>150</v>
      </c>
      <c r="C295" s="89">
        <v>800</v>
      </c>
      <c r="D295" s="89">
        <v>240</v>
      </c>
      <c r="E295" s="89"/>
      <c r="F295" s="89"/>
      <c r="G295" s="88">
        <f>C295+D295+F295</f>
        <v>1040</v>
      </c>
      <c r="H295" s="89">
        <v>10.4</v>
      </c>
      <c r="I295" s="89"/>
      <c r="J295" s="89"/>
      <c r="K295" s="89"/>
      <c r="L295" s="89"/>
      <c r="M295" s="89"/>
      <c r="N295" s="88">
        <f t="shared" si="115"/>
        <v>1029.5999999999999</v>
      </c>
      <c r="O295" s="106">
        <v>43726</v>
      </c>
      <c r="P295" s="134" t="s">
        <v>92</v>
      </c>
      <c r="Q295" s="144" t="s">
        <v>123</v>
      </c>
    </row>
    <row r="296" spans="1:18" s="94" customFormat="1" ht="13.5" thickBot="1" x14ac:dyDescent="0.25">
      <c r="A296" s="429" t="s">
        <v>0</v>
      </c>
      <c r="B296" s="430"/>
      <c r="C296" s="114">
        <f t="shared" ref="C296:N296" si="116">SUM(C287:C295)</f>
        <v>10663.6</v>
      </c>
      <c r="D296" s="114">
        <f t="shared" si="116"/>
        <v>3111.51</v>
      </c>
      <c r="E296" s="114">
        <f t="shared" si="116"/>
        <v>690</v>
      </c>
      <c r="F296" s="114">
        <f t="shared" si="116"/>
        <v>572.75</v>
      </c>
      <c r="G296" s="114">
        <f t="shared" si="116"/>
        <v>14347.86</v>
      </c>
      <c r="H296" s="114">
        <f t="shared" si="116"/>
        <v>121.81000000000002</v>
      </c>
      <c r="I296" s="114">
        <f t="shared" si="116"/>
        <v>614</v>
      </c>
      <c r="J296" s="114">
        <f t="shared" si="116"/>
        <v>-155</v>
      </c>
      <c r="K296" s="114">
        <f t="shared" si="116"/>
        <v>572.75</v>
      </c>
      <c r="L296" s="114">
        <f t="shared" si="116"/>
        <v>402.23</v>
      </c>
      <c r="M296" s="114">
        <f t="shared" si="116"/>
        <v>1575</v>
      </c>
      <c r="N296" s="114">
        <f t="shared" si="116"/>
        <v>11334.32</v>
      </c>
      <c r="O296" s="431" t="s">
        <v>0</v>
      </c>
      <c r="P296" s="432"/>
      <c r="Q296" s="144"/>
      <c r="R296" s="319"/>
    </row>
    <row r="297" spans="1:18" x14ac:dyDescent="0.2">
      <c r="A297" s="83" t="s">
        <v>25</v>
      </c>
      <c r="B297" s="84" t="s">
        <v>68</v>
      </c>
      <c r="C297" s="89">
        <v>4098.24</v>
      </c>
      <c r="D297" s="89">
        <v>1921.05</v>
      </c>
      <c r="E297" s="89">
        <v>490</v>
      </c>
      <c r="F297" s="89">
        <v>572.75</v>
      </c>
      <c r="G297" s="88">
        <f t="shared" ref="G297:G302" si="117">C297+D297+F297</f>
        <v>6592.04</v>
      </c>
      <c r="H297" s="89">
        <v>29.74</v>
      </c>
      <c r="I297" s="89">
        <v>997</v>
      </c>
      <c r="J297" s="89">
        <v>-155</v>
      </c>
      <c r="K297" s="89">
        <v>572.75</v>
      </c>
      <c r="L297" s="89">
        <v>200.01</v>
      </c>
      <c r="M297" s="89">
        <f>1125+250</f>
        <v>1375</v>
      </c>
      <c r="N297" s="88">
        <f t="shared" ref="N297:N303" si="118">C297+D297+E297-H297-I297-J297-K297-L297-M297</f>
        <v>3489.79</v>
      </c>
      <c r="O297" s="106">
        <v>43733</v>
      </c>
      <c r="P297" s="165" t="s">
        <v>93</v>
      </c>
      <c r="Q297" s="144" t="s">
        <v>123</v>
      </c>
    </row>
    <row r="298" spans="1:18" x14ac:dyDescent="0.2">
      <c r="A298" s="81" t="s">
        <v>26</v>
      </c>
      <c r="B298" s="82" t="s">
        <v>76</v>
      </c>
      <c r="C298" s="89">
        <v>818.8</v>
      </c>
      <c r="D298" s="89"/>
      <c r="E298" s="89">
        <v>50</v>
      </c>
      <c r="F298" s="89">
        <v>0</v>
      </c>
      <c r="G298" s="88">
        <f t="shared" si="117"/>
        <v>818.8</v>
      </c>
      <c r="H298" s="89">
        <v>8.19</v>
      </c>
      <c r="I298" s="89">
        <v>0</v>
      </c>
      <c r="J298" s="89"/>
      <c r="K298" s="89"/>
      <c r="L298" s="89">
        <v>58.14</v>
      </c>
      <c r="M298" s="89"/>
      <c r="N298" s="88">
        <f t="shared" si="118"/>
        <v>802.46999999999991</v>
      </c>
      <c r="O298" s="106">
        <v>43733</v>
      </c>
      <c r="P298" s="165" t="s">
        <v>93</v>
      </c>
      <c r="Q298" s="144" t="s">
        <v>123</v>
      </c>
    </row>
    <row r="299" spans="1:18" x14ac:dyDescent="0.2">
      <c r="A299" s="81" t="s">
        <v>3</v>
      </c>
      <c r="B299" s="82" t="s">
        <v>77</v>
      </c>
      <c r="C299" s="89">
        <v>1074.8</v>
      </c>
      <c r="D299" s="89">
        <v>322.44</v>
      </c>
      <c r="E299" s="89">
        <v>50</v>
      </c>
      <c r="F299" s="89"/>
      <c r="G299" s="88">
        <f t="shared" si="117"/>
        <v>1397.24</v>
      </c>
      <c r="H299" s="89">
        <v>13.97</v>
      </c>
      <c r="I299" s="89"/>
      <c r="J299" s="89"/>
      <c r="K299" s="89"/>
      <c r="L299" s="89">
        <v>76.3</v>
      </c>
      <c r="M299" s="89"/>
      <c r="N299" s="88">
        <f t="shared" si="118"/>
        <v>1356.97</v>
      </c>
      <c r="O299" s="106">
        <v>43733</v>
      </c>
      <c r="P299" s="165" t="s">
        <v>93</v>
      </c>
      <c r="Q299" s="144" t="s">
        <v>123</v>
      </c>
    </row>
    <row r="300" spans="1:18" x14ac:dyDescent="0.2">
      <c r="A300" s="81" t="s">
        <v>32</v>
      </c>
      <c r="B300" s="82" t="s">
        <v>78</v>
      </c>
      <c r="C300" s="89">
        <v>954.8</v>
      </c>
      <c r="D300" s="89">
        <v>286.44</v>
      </c>
      <c r="E300" s="89">
        <v>100</v>
      </c>
      <c r="F300" s="89"/>
      <c r="G300" s="88">
        <f t="shared" si="117"/>
        <v>1241.24</v>
      </c>
      <c r="H300" s="89">
        <v>12.41</v>
      </c>
      <c r="I300" s="89"/>
      <c r="J300" s="89"/>
      <c r="K300" s="89"/>
      <c r="L300" s="89">
        <v>67.78</v>
      </c>
      <c r="M300" s="89"/>
      <c r="N300" s="88">
        <f t="shared" si="118"/>
        <v>1261.05</v>
      </c>
      <c r="O300" s="106">
        <v>43733</v>
      </c>
      <c r="P300" s="165" t="s">
        <v>93</v>
      </c>
      <c r="Q300" s="144" t="s">
        <v>123</v>
      </c>
    </row>
    <row r="301" spans="1:18" x14ac:dyDescent="0.2">
      <c r="A301" s="81" t="s">
        <v>75</v>
      </c>
      <c r="B301" s="82" t="s">
        <v>79</v>
      </c>
      <c r="C301" s="89">
        <v>800</v>
      </c>
      <c r="D301" s="89">
        <v>240</v>
      </c>
      <c r="E301" s="89"/>
      <c r="F301" s="89"/>
      <c r="G301" s="88">
        <f t="shared" si="117"/>
        <v>1040</v>
      </c>
      <c r="H301" s="89">
        <v>10.4</v>
      </c>
      <c r="I301" s="89"/>
      <c r="J301" s="89"/>
      <c r="K301" s="89"/>
      <c r="L301" s="89"/>
      <c r="M301" s="89"/>
      <c r="N301" s="88">
        <f t="shared" si="118"/>
        <v>1029.5999999999999</v>
      </c>
      <c r="O301" s="106">
        <v>43733</v>
      </c>
      <c r="P301" s="165" t="s">
        <v>93</v>
      </c>
      <c r="Q301" s="144" t="s">
        <v>123</v>
      </c>
    </row>
    <row r="302" spans="1:18" x14ac:dyDescent="0.2">
      <c r="A302" s="81" t="s">
        <v>86</v>
      </c>
      <c r="B302" s="82" t="s">
        <v>106</v>
      </c>
      <c r="C302" s="89">
        <v>1200</v>
      </c>
      <c r="D302" s="89">
        <v>562.5</v>
      </c>
      <c r="E302" s="89"/>
      <c r="F302" s="89"/>
      <c r="G302" s="88">
        <f t="shared" si="117"/>
        <v>1762.5</v>
      </c>
      <c r="H302" s="89">
        <v>17.63</v>
      </c>
      <c r="I302" s="89">
        <v>44</v>
      </c>
      <c r="J302" s="89"/>
      <c r="K302" s="89"/>
      <c r="L302" s="89"/>
      <c r="M302" s="89"/>
      <c r="N302" s="88">
        <f t="shared" si="118"/>
        <v>1700.87</v>
      </c>
      <c r="O302" s="106">
        <v>43733</v>
      </c>
      <c r="P302" s="165" t="s">
        <v>93</v>
      </c>
      <c r="Q302" s="144" t="s">
        <v>123</v>
      </c>
    </row>
    <row r="303" spans="1:18" x14ac:dyDescent="0.2">
      <c r="A303" s="81" t="s">
        <v>107</v>
      </c>
      <c r="B303" s="82" t="s">
        <v>108</v>
      </c>
      <c r="C303" s="89">
        <v>1000</v>
      </c>
      <c r="D303" s="89">
        <v>300</v>
      </c>
      <c r="E303" s="89"/>
      <c r="F303" s="89"/>
      <c r="G303" s="88">
        <f>C303+D303+F303</f>
        <v>1300</v>
      </c>
      <c r="H303" s="89">
        <v>13</v>
      </c>
      <c r="I303" s="89"/>
      <c r="J303" s="89"/>
      <c r="K303" s="89"/>
      <c r="L303" s="89"/>
      <c r="M303" s="89"/>
      <c r="N303" s="88">
        <f t="shared" si="118"/>
        <v>1287</v>
      </c>
      <c r="O303" s="106">
        <v>43733</v>
      </c>
      <c r="P303" s="165" t="s">
        <v>93</v>
      </c>
      <c r="Q303" s="144" t="s">
        <v>123</v>
      </c>
    </row>
    <row r="304" spans="1:18" x14ac:dyDescent="0.2">
      <c r="A304" s="81" t="s">
        <v>110</v>
      </c>
      <c r="B304" s="82" t="s">
        <v>109</v>
      </c>
      <c r="C304" s="89">
        <v>800</v>
      </c>
      <c r="D304" s="89">
        <v>240</v>
      </c>
      <c r="E304" s="89"/>
      <c r="F304" s="89"/>
      <c r="G304" s="88">
        <f>C304+D304+F304</f>
        <v>1040</v>
      </c>
      <c r="H304" s="89">
        <v>10.4</v>
      </c>
      <c r="I304" s="89"/>
      <c r="J304" s="89"/>
      <c r="K304" s="89"/>
      <c r="L304" s="89"/>
      <c r="M304" s="89"/>
      <c r="N304" s="88">
        <f>C304+D304+E304-H304-I304-J304-K304-L304-M304</f>
        <v>1029.5999999999999</v>
      </c>
      <c r="O304" s="106">
        <v>43733</v>
      </c>
      <c r="P304" s="165" t="s">
        <v>93</v>
      </c>
      <c r="Q304" s="144" t="s">
        <v>123</v>
      </c>
    </row>
    <row r="305" spans="1:18" ht="13.5" thickBot="1" x14ac:dyDescent="0.25">
      <c r="A305" s="80" t="s">
        <v>149</v>
      </c>
      <c r="B305" s="82" t="s">
        <v>150</v>
      </c>
      <c r="C305" s="89">
        <f>1000+320</f>
        <v>1320</v>
      </c>
      <c r="D305" s="89">
        <f>300+60</f>
        <v>360</v>
      </c>
      <c r="E305" s="89"/>
      <c r="F305" s="89"/>
      <c r="G305" s="88">
        <f>C305+D305+F305</f>
        <v>1680</v>
      </c>
      <c r="H305" s="89">
        <v>16.8</v>
      </c>
      <c r="I305" s="89"/>
      <c r="J305" s="89"/>
      <c r="K305" s="89"/>
      <c r="L305" s="89"/>
      <c r="M305" s="89"/>
      <c r="N305" s="88">
        <f>C305+D305+E305-H305-I305-J305-K305-L305-M305</f>
        <v>1663.2</v>
      </c>
      <c r="O305" s="106">
        <v>43733</v>
      </c>
      <c r="P305" s="165" t="s">
        <v>93</v>
      </c>
      <c r="Q305" s="144" t="s">
        <v>123</v>
      </c>
    </row>
    <row r="306" spans="1:18" s="94" customFormat="1" ht="13.5" thickBot="1" x14ac:dyDescent="0.25">
      <c r="A306" s="435" t="s">
        <v>0</v>
      </c>
      <c r="B306" s="460"/>
      <c r="C306" s="166">
        <f t="shared" ref="C306:N306" si="119">SUM(C297:C305)</f>
        <v>12066.64</v>
      </c>
      <c r="D306" s="166">
        <f t="shared" si="119"/>
        <v>4232.43</v>
      </c>
      <c r="E306" s="166">
        <f t="shared" si="119"/>
        <v>690</v>
      </c>
      <c r="F306" s="166">
        <f t="shared" si="119"/>
        <v>572.75</v>
      </c>
      <c r="G306" s="166">
        <f t="shared" si="119"/>
        <v>16871.82</v>
      </c>
      <c r="H306" s="166">
        <f t="shared" si="119"/>
        <v>132.54000000000002</v>
      </c>
      <c r="I306" s="166">
        <f t="shared" si="119"/>
        <v>1041</v>
      </c>
      <c r="J306" s="166">
        <f t="shared" si="119"/>
        <v>-155</v>
      </c>
      <c r="K306" s="166">
        <f t="shared" si="119"/>
        <v>572.75</v>
      </c>
      <c r="L306" s="166">
        <f t="shared" si="119"/>
        <v>402.23</v>
      </c>
      <c r="M306" s="166">
        <f t="shared" si="119"/>
        <v>1375</v>
      </c>
      <c r="N306" s="166">
        <f t="shared" si="119"/>
        <v>13620.550000000001</v>
      </c>
      <c r="O306" s="433" t="s">
        <v>0</v>
      </c>
      <c r="P306" s="434"/>
      <c r="Q306" s="145"/>
      <c r="R306" s="319"/>
    </row>
    <row r="307" spans="1:18" s="153" customFormat="1" ht="13.5" thickBot="1" x14ac:dyDescent="0.25">
      <c r="A307" s="437" t="s">
        <v>99</v>
      </c>
      <c r="B307" s="438"/>
      <c r="C307" s="171">
        <f t="shared" ref="C307:N307" si="120">C306+C296+C286+C276</f>
        <v>42937.439999999995</v>
      </c>
      <c r="D307" s="171">
        <f t="shared" si="120"/>
        <v>14030.970000000001</v>
      </c>
      <c r="E307" s="171">
        <f t="shared" si="120"/>
        <v>2760</v>
      </c>
      <c r="F307" s="171">
        <f t="shared" si="120"/>
        <v>2291</v>
      </c>
      <c r="G307" s="171">
        <f t="shared" si="120"/>
        <v>59259.41</v>
      </c>
      <c r="H307" s="171">
        <f t="shared" si="120"/>
        <v>481.15999999999997</v>
      </c>
      <c r="I307" s="171">
        <f t="shared" si="120"/>
        <v>3146</v>
      </c>
      <c r="J307" s="171">
        <f t="shared" si="120"/>
        <v>-620</v>
      </c>
      <c r="K307" s="171">
        <f t="shared" si="120"/>
        <v>2291</v>
      </c>
      <c r="L307" s="171">
        <f t="shared" si="120"/>
        <v>1608.92</v>
      </c>
      <c r="M307" s="171">
        <f t="shared" si="120"/>
        <v>6400</v>
      </c>
      <c r="N307" s="171">
        <f t="shared" si="120"/>
        <v>46421.33</v>
      </c>
      <c r="O307" s="209"/>
      <c r="P307" s="157"/>
      <c r="Q307" s="152"/>
      <c r="R307" s="320"/>
    </row>
    <row r="308" spans="1:18" s="180" customFormat="1" x14ac:dyDescent="0.2">
      <c r="A308" s="175" t="s">
        <v>8</v>
      </c>
      <c r="B308" s="183" t="s">
        <v>111</v>
      </c>
      <c r="C308" s="176">
        <v>13535</v>
      </c>
      <c r="D308" s="176"/>
      <c r="E308" s="176"/>
      <c r="F308" s="176">
        <v>5162</v>
      </c>
      <c r="G308" s="88">
        <f t="shared" ref="G308:G310" si="121">C308+D308+F308</f>
        <v>18697</v>
      </c>
      <c r="H308" s="176"/>
      <c r="I308" s="176">
        <v>2364</v>
      </c>
      <c r="J308" s="176">
        <v>-829</v>
      </c>
      <c r="K308" s="176"/>
      <c r="L308" s="176"/>
      <c r="M308" s="176"/>
      <c r="N308" s="88">
        <f t="shared" ref="N308:N310" si="122">C308+D308+E308-H308-I308-J308-K308-L308-M308</f>
        <v>12000</v>
      </c>
      <c r="O308" s="193"/>
      <c r="P308" s="194"/>
      <c r="Q308" s="179"/>
      <c r="R308" s="321"/>
    </row>
    <row r="309" spans="1:18" s="180" customFormat="1" x14ac:dyDescent="0.2">
      <c r="A309" s="175" t="s">
        <v>27</v>
      </c>
      <c r="B309" s="183" t="s">
        <v>112</v>
      </c>
      <c r="C309" s="181">
        <v>13343</v>
      </c>
      <c r="D309" s="181"/>
      <c r="E309" s="181"/>
      <c r="F309" s="181">
        <v>2400</v>
      </c>
      <c r="G309" s="88">
        <f t="shared" si="121"/>
        <v>15743</v>
      </c>
      <c r="H309" s="181"/>
      <c r="I309" s="181">
        <v>1653</v>
      </c>
      <c r="J309" s="181">
        <v>-310</v>
      </c>
      <c r="K309" s="181"/>
      <c r="L309" s="181"/>
      <c r="M309" s="181"/>
      <c r="N309" s="88">
        <f t="shared" si="122"/>
        <v>12000</v>
      </c>
      <c r="O309" s="193"/>
      <c r="P309" s="194"/>
      <c r="Q309" s="179"/>
      <c r="R309" s="321"/>
    </row>
    <row r="310" spans="1:18" s="180" customFormat="1" ht="13.5" thickBot="1" x14ac:dyDescent="0.25">
      <c r="A310" s="175" t="s">
        <v>6</v>
      </c>
      <c r="B310" s="183" t="s">
        <v>113</v>
      </c>
      <c r="C310" s="182">
        <v>11713.13</v>
      </c>
      <c r="D310" s="182"/>
      <c r="E310" s="182"/>
      <c r="F310" s="182">
        <v>2100</v>
      </c>
      <c r="G310" s="88">
        <f t="shared" si="121"/>
        <v>13813.13</v>
      </c>
      <c r="H310" s="182">
        <v>138.13</v>
      </c>
      <c r="I310" s="182">
        <v>1304</v>
      </c>
      <c r="J310" s="182">
        <v>-829</v>
      </c>
      <c r="K310" s="182">
        <v>2100</v>
      </c>
      <c r="L310" s="182"/>
      <c r="M310" s="182"/>
      <c r="N310" s="88">
        <f t="shared" si="122"/>
        <v>9000</v>
      </c>
      <c r="O310" s="193"/>
      <c r="P310" s="194"/>
      <c r="Q310" s="179"/>
      <c r="R310" s="321"/>
    </row>
    <row r="311" spans="1:18" s="143" customFormat="1" ht="13.5" thickBot="1" x14ac:dyDescent="0.25">
      <c r="A311" s="439" t="s">
        <v>100</v>
      </c>
      <c r="B311" s="440"/>
      <c r="C311" s="174">
        <f>SUM(C308:C310)</f>
        <v>38591.129999999997</v>
      </c>
      <c r="D311" s="174">
        <f t="shared" ref="D311" si="123">SUM(D308:D310)</f>
        <v>0</v>
      </c>
      <c r="E311" s="174">
        <f t="shared" ref="E311" si="124">SUM(E308:E310)</f>
        <v>0</v>
      </c>
      <c r="F311" s="174">
        <f t="shared" ref="F311" si="125">SUM(F308:F310)</f>
        <v>9662</v>
      </c>
      <c r="G311" s="174">
        <f t="shared" ref="G311" si="126">SUM(G308:G310)</f>
        <v>48253.13</v>
      </c>
      <c r="H311" s="174">
        <f t="shared" ref="H311" si="127">SUM(H308:H310)</f>
        <v>138.13</v>
      </c>
      <c r="I311" s="174">
        <f t="shared" ref="I311" si="128">SUM(I308:I310)</f>
        <v>5321</v>
      </c>
      <c r="J311" s="174">
        <f t="shared" ref="J311" si="129">SUM(J308:J310)</f>
        <v>-1968</v>
      </c>
      <c r="K311" s="174">
        <f t="shared" ref="K311" si="130">SUM(K308:K310)</f>
        <v>2100</v>
      </c>
      <c r="L311" s="174">
        <f t="shared" ref="L311" si="131">SUM(L308:L310)</f>
        <v>0</v>
      </c>
      <c r="M311" s="174">
        <f t="shared" ref="M311" si="132">SUM(M308:M310)</f>
        <v>0</v>
      </c>
      <c r="N311" s="174">
        <f t="shared" ref="N311" si="133">SUM(N308:N310)</f>
        <v>33000</v>
      </c>
      <c r="O311" s="210"/>
      <c r="P311" s="142"/>
      <c r="Q311" s="146"/>
      <c r="R311" s="322"/>
    </row>
    <row r="312" spans="1:18" s="143" customFormat="1" ht="13.5" thickBot="1" x14ac:dyDescent="0.25">
      <c r="A312" s="441" t="s">
        <v>101</v>
      </c>
      <c r="B312" s="441"/>
      <c r="C312" s="154"/>
      <c r="D312" s="154"/>
      <c r="E312" s="154"/>
      <c r="F312" s="154"/>
      <c r="G312" s="154"/>
      <c r="H312" s="163">
        <f>(H307+H311)*2</f>
        <v>1238.58</v>
      </c>
      <c r="I312" s="159">
        <f>I307+I311</f>
        <v>8467</v>
      </c>
      <c r="J312" s="164">
        <f>J307+J311</f>
        <v>-2588</v>
      </c>
      <c r="K312" s="154"/>
      <c r="L312" s="154"/>
      <c r="M312" s="154"/>
      <c r="N312" s="154">
        <f>9000+11000+12000</f>
        <v>32000</v>
      </c>
      <c r="O312" s="142"/>
      <c r="P312" s="142"/>
      <c r="Q312" s="156"/>
      <c r="R312" s="322"/>
    </row>
    <row r="313" spans="1:18" s="143" customFormat="1" ht="13.5" thickBot="1" x14ac:dyDescent="0.25">
      <c r="A313" s="170"/>
      <c r="B313" s="170"/>
      <c r="C313" s="154"/>
      <c r="D313" s="154"/>
      <c r="E313" s="154"/>
      <c r="F313" s="154"/>
      <c r="G313" s="154"/>
      <c r="H313" s="154"/>
      <c r="I313" s="455">
        <f>I312+J312</f>
        <v>5879</v>
      </c>
      <c r="J313" s="456"/>
      <c r="K313" s="154"/>
      <c r="L313" s="154"/>
      <c r="M313" s="154"/>
      <c r="N313" s="154"/>
      <c r="O313" s="142"/>
      <c r="P313" s="142"/>
      <c r="Q313" s="156"/>
      <c r="R313" s="322"/>
    </row>
    <row r="314" spans="1:18" s="143" customFormat="1" ht="13.5" thickBot="1" x14ac:dyDescent="0.25">
      <c r="A314" s="170"/>
      <c r="B314" s="170"/>
      <c r="C314" s="154"/>
      <c r="D314" s="154"/>
      <c r="E314" s="154"/>
      <c r="F314" s="154"/>
      <c r="G314" s="154"/>
      <c r="H314" s="457">
        <f>SUM(H312:J312)</f>
        <v>7117.58</v>
      </c>
      <c r="I314" s="458"/>
      <c r="J314" s="459"/>
      <c r="K314" s="154"/>
      <c r="L314" s="154"/>
      <c r="M314" s="154"/>
      <c r="N314" s="154"/>
      <c r="O314" s="142"/>
      <c r="P314" s="142"/>
      <c r="Q314" s="156"/>
      <c r="R314" s="322"/>
    </row>
    <row r="315" spans="1:18" ht="13.5" thickBot="1" x14ac:dyDescent="0.25"/>
    <row r="316" spans="1:18" s="79" customFormat="1" ht="13.5" thickBot="1" x14ac:dyDescent="0.25">
      <c r="A316" s="444" t="s">
        <v>124</v>
      </c>
      <c r="B316" s="445"/>
      <c r="C316" s="445"/>
      <c r="D316" s="445"/>
      <c r="E316" s="445"/>
      <c r="F316" s="445"/>
      <c r="G316" s="445"/>
      <c r="H316" s="445"/>
      <c r="I316" s="445"/>
      <c r="J316" s="445"/>
      <c r="K316" s="445"/>
      <c r="L316" s="445"/>
      <c r="M316" s="445"/>
      <c r="N316" s="445"/>
      <c r="O316" s="445"/>
      <c r="P316" s="445"/>
      <c r="Q316" s="446"/>
      <c r="R316" s="318"/>
    </row>
    <row r="317" spans="1:18" s="79" customFormat="1" ht="13.5" thickBot="1" x14ac:dyDescent="0.25">
      <c r="A317" s="85" t="s">
        <v>69</v>
      </c>
      <c r="B317" s="86" t="s">
        <v>1</v>
      </c>
      <c r="C317" s="87" t="s">
        <v>61</v>
      </c>
      <c r="D317" s="87" t="s">
        <v>62</v>
      </c>
      <c r="E317" s="87" t="s">
        <v>73</v>
      </c>
      <c r="F317" s="87" t="s">
        <v>67</v>
      </c>
      <c r="G317" s="87" t="s">
        <v>81</v>
      </c>
      <c r="H317" s="87" t="s">
        <v>64</v>
      </c>
      <c r="I317" s="87" t="s">
        <v>65</v>
      </c>
      <c r="J317" s="87" t="s">
        <v>72</v>
      </c>
      <c r="K317" s="87" t="s">
        <v>67</v>
      </c>
      <c r="L317" s="87" t="s">
        <v>63</v>
      </c>
      <c r="M317" s="87" t="s">
        <v>66</v>
      </c>
      <c r="N317" s="87" t="s">
        <v>2</v>
      </c>
      <c r="O317" s="92" t="s">
        <v>71</v>
      </c>
      <c r="P317" s="93" t="s">
        <v>74</v>
      </c>
      <c r="Q317" s="147" t="s">
        <v>97</v>
      </c>
      <c r="R317" s="318"/>
    </row>
    <row r="318" spans="1:18" x14ac:dyDescent="0.2">
      <c r="A318" s="83" t="s">
        <v>25</v>
      </c>
      <c r="B318" s="84" t="s">
        <v>68</v>
      </c>
      <c r="C318" s="89">
        <v>3415.2</v>
      </c>
      <c r="D318" s="89">
        <v>1408.77</v>
      </c>
      <c r="E318" s="89">
        <v>490</v>
      </c>
      <c r="F318" s="89">
        <v>572.75</v>
      </c>
      <c r="G318" s="88">
        <f t="shared" ref="G318:G324" si="134">C318+D318+F318</f>
        <v>5396.7199999999993</v>
      </c>
      <c r="H318" s="89">
        <v>29.74</v>
      </c>
      <c r="I318" s="89">
        <v>680</v>
      </c>
      <c r="J318" s="89">
        <v>-155</v>
      </c>
      <c r="K318" s="89">
        <v>572.75</v>
      </c>
      <c r="L318" s="89">
        <v>200.01</v>
      </c>
      <c r="M318" s="89">
        <f>1125+250</f>
        <v>1375</v>
      </c>
      <c r="N318" s="88">
        <f t="shared" ref="N318:N324" si="135">C318+D318+E318-H318-I318-J318-K318-L318-M318</f>
        <v>2611.4699999999993</v>
      </c>
      <c r="O318" s="106">
        <v>43740</v>
      </c>
      <c r="P318" s="131" t="s">
        <v>94</v>
      </c>
      <c r="Q318" s="144" t="s">
        <v>124</v>
      </c>
    </row>
    <row r="319" spans="1:18" x14ac:dyDescent="0.2">
      <c r="A319" s="81" t="s">
        <v>26</v>
      </c>
      <c r="B319" s="82" t="s">
        <v>76</v>
      </c>
      <c r="C319" s="89">
        <v>818.8</v>
      </c>
      <c r="D319" s="89"/>
      <c r="E319" s="89">
        <v>50</v>
      </c>
      <c r="F319" s="89">
        <v>0</v>
      </c>
      <c r="G319" s="88">
        <f t="shared" si="134"/>
        <v>818.8</v>
      </c>
      <c r="H319" s="89">
        <v>8.19</v>
      </c>
      <c r="I319" s="89">
        <v>0</v>
      </c>
      <c r="J319" s="89"/>
      <c r="K319" s="89"/>
      <c r="L319" s="89">
        <v>58.14</v>
      </c>
      <c r="M319" s="89">
        <v>200</v>
      </c>
      <c r="N319" s="88">
        <f t="shared" si="135"/>
        <v>602.46999999999991</v>
      </c>
      <c r="O319" s="106">
        <v>43740</v>
      </c>
      <c r="P319" s="131" t="s">
        <v>94</v>
      </c>
      <c r="Q319" s="144" t="s">
        <v>124</v>
      </c>
    </row>
    <row r="320" spans="1:18" x14ac:dyDescent="0.2">
      <c r="A320" s="81" t="s">
        <v>3</v>
      </c>
      <c r="B320" s="82" t="s">
        <v>77</v>
      </c>
      <c r="C320" s="89">
        <v>1074.8</v>
      </c>
      <c r="D320" s="89">
        <v>322.44</v>
      </c>
      <c r="E320" s="89">
        <v>50</v>
      </c>
      <c r="F320" s="89"/>
      <c r="G320" s="88">
        <f t="shared" si="134"/>
        <v>1397.24</v>
      </c>
      <c r="H320" s="89">
        <v>13.97</v>
      </c>
      <c r="I320" s="89"/>
      <c r="J320" s="89"/>
      <c r="K320" s="89"/>
      <c r="L320" s="89">
        <v>76.3</v>
      </c>
      <c r="M320" s="89"/>
      <c r="N320" s="88">
        <f t="shared" si="135"/>
        <v>1356.97</v>
      </c>
      <c r="O320" s="106">
        <v>43740</v>
      </c>
      <c r="P320" s="131" t="s">
        <v>94</v>
      </c>
      <c r="Q320" s="144" t="s">
        <v>124</v>
      </c>
    </row>
    <row r="321" spans="1:18" x14ac:dyDescent="0.2">
      <c r="A321" s="81" t="s">
        <v>32</v>
      </c>
      <c r="B321" s="82" t="s">
        <v>78</v>
      </c>
      <c r="C321" s="89">
        <v>954.8</v>
      </c>
      <c r="D321" s="89">
        <v>286.44</v>
      </c>
      <c r="E321" s="89">
        <v>100</v>
      </c>
      <c r="F321" s="89"/>
      <c r="G321" s="88">
        <f t="shared" si="134"/>
        <v>1241.24</v>
      </c>
      <c r="H321" s="89">
        <v>12.41</v>
      </c>
      <c r="I321" s="89"/>
      <c r="J321" s="89"/>
      <c r="K321" s="89"/>
      <c r="L321" s="89">
        <v>67.78</v>
      </c>
      <c r="M321" s="89"/>
      <c r="N321" s="88">
        <f t="shared" si="135"/>
        <v>1261.05</v>
      </c>
      <c r="O321" s="106">
        <v>43740</v>
      </c>
      <c r="P321" s="131" t="s">
        <v>94</v>
      </c>
      <c r="Q321" s="144" t="s">
        <v>124</v>
      </c>
    </row>
    <row r="322" spans="1:18" x14ac:dyDescent="0.2">
      <c r="A322" s="81" t="s">
        <v>75</v>
      </c>
      <c r="B322" s="82" t="s">
        <v>79</v>
      </c>
      <c r="C322" s="89">
        <v>800</v>
      </c>
      <c r="D322" s="89">
        <v>240</v>
      </c>
      <c r="E322" s="89"/>
      <c r="F322" s="89"/>
      <c r="G322" s="88">
        <f t="shared" si="134"/>
        <v>1040</v>
      </c>
      <c r="H322" s="89">
        <v>10.4</v>
      </c>
      <c r="I322" s="89"/>
      <c r="J322" s="89"/>
      <c r="K322" s="89"/>
      <c r="L322" s="89"/>
      <c r="M322" s="89"/>
      <c r="N322" s="88">
        <f t="shared" si="135"/>
        <v>1029.5999999999999</v>
      </c>
      <c r="O322" s="106">
        <v>43740</v>
      </c>
      <c r="P322" s="131" t="s">
        <v>94</v>
      </c>
      <c r="Q322" s="144" t="s">
        <v>124</v>
      </c>
    </row>
    <row r="323" spans="1:18" x14ac:dyDescent="0.2">
      <c r="A323" s="81" t="s">
        <v>86</v>
      </c>
      <c r="B323" s="82" t="s">
        <v>106</v>
      </c>
      <c r="C323" s="89">
        <v>1000</v>
      </c>
      <c r="D323" s="89">
        <v>412.5</v>
      </c>
      <c r="E323" s="89"/>
      <c r="F323" s="89"/>
      <c r="G323" s="88">
        <f t="shared" si="134"/>
        <v>1412.5</v>
      </c>
      <c r="H323" s="89">
        <v>14.125</v>
      </c>
      <c r="I323" s="89"/>
      <c r="J323" s="89"/>
      <c r="K323" s="89"/>
      <c r="L323" s="89"/>
      <c r="M323" s="89"/>
      <c r="N323" s="88">
        <f t="shared" si="135"/>
        <v>1398.375</v>
      </c>
      <c r="O323" s="106">
        <v>43740</v>
      </c>
      <c r="P323" s="131" t="s">
        <v>94</v>
      </c>
      <c r="Q323" s="144" t="s">
        <v>124</v>
      </c>
    </row>
    <row r="324" spans="1:18" x14ac:dyDescent="0.2">
      <c r="A324" s="81" t="s">
        <v>107</v>
      </c>
      <c r="B324" s="82" t="s">
        <v>108</v>
      </c>
      <c r="C324" s="89">
        <v>1000</v>
      </c>
      <c r="D324" s="89">
        <v>356.25</v>
      </c>
      <c r="E324" s="89"/>
      <c r="F324" s="89"/>
      <c r="G324" s="88">
        <f t="shared" si="134"/>
        <v>1356.25</v>
      </c>
      <c r="H324" s="89">
        <v>13.56</v>
      </c>
      <c r="I324" s="89"/>
      <c r="J324" s="89"/>
      <c r="K324" s="89"/>
      <c r="L324" s="89"/>
      <c r="M324" s="89"/>
      <c r="N324" s="88">
        <f t="shared" si="135"/>
        <v>1342.69</v>
      </c>
      <c r="O324" s="106">
        <v>43740</v>
      </c>
      <c r="P324" s="131" t="s">
        <v>94</v>
      </c>
      <c r="Q324" s="144" t="s">
        <v>124</v>
      </c>
    </row>
    <row r="325" spans="1:18" x14ac:dyDescent="0.2">
      <c r="A325" s="81" t="s">
        <v>110</v>
      </c>
      <c r="B325" s="82" t="s">
        <v>109</v>
      </c>
      <c r="C325" s="89">
        <v>800</v>
      </c>
      <c r="D325" s="89">
        <v>240</v>
      </c>
      <c r="E325" s="89"/>
      <c r="F325" s="89"/>
      <c r="G325" s="88">
        <f>C325+D325+F325</f>
        <v>1040</v>
      </c>
      <c r="H325" s="89">
        <v>10.4</v>
      </c>
      <c r="I325" s="89"/>
      <c r="J325" s="89"/>
      <c r="K325" s="89"/>
      <c r="L325" s="89"/>
      <c r="M325" s="89"/>
      <c r="N325" s="88">
        <f>C325+D325+E325-H325-I325-J325-K325-L325-M325</f>
        <v>1029.5999999999999</v>
      </c>
      <c r="O325" s="106">
        <v>43740</v>
      </c>
      <c r="P325" s="131" t="s">
        <v>94</v>
      </c>
      <c r="Q325" s="144" t="s">
        <v>124</v>
      </c>
    </row>
    <row r="326" spans="1:18" ht="13.5" thickBot="1" x14ac:dyDescent="0.25">
      <c r="A326" s="80" t="s">
        <v>149</v>
      </c>
      <c r="B326" s="82" t="s">
        <v>150</v>
      </c>
      <c r="C326" s="89">
        <v>1000</v>
      </c>
      <c r="D326" s="89">
        <v>356.25</v>
      </c>
      <c r="E326" s="89"/>
      <c r="F326" s="89"/>
      <c r="G326" s="88">
        <f>C326+D326+F326</f>
        <v>1356.25</v>
      </c>
      <c r="H326" s="89">
        <v>13.56</v>
      </c>
      <c r="I326" s="89"/>
      <c r="J326" s="89"/>
      <c r="K326" s="89"/>
      <c r="L326" s="89"/>
      <c r="M326" s="89"/>
      <c r="N326" s="88">
        <f>C326+D326+E326-H326-I326-J326-K326-L326-M326</f>
        <v>1342.69</v>
      </c>
      <c r="O326" s="106">
        <v>43740</v>
      </c>
      <c r="P326" s="131" t="s">
        <v>94</v>
      </c>
      <c r="Q326" s="144" t="s">
        <v>124</v>
      </c>
    </row>
    <row r="327" spans="1:18" s="94" customFormat="1" ht="13.5" thickBot="1" x14ac:dyDescent="0.25">
      <c r="A327" s="447" t="s">
        <v>0</v>
      </c>
      <c r="B327" s="448"/>
      <c r="C327" s="122">
        <f t="shared" ref="C327:N327" si="136">SUM(C318:C326)</f>
        <v>10863.6</v>
      </c>
      <c r="D327" s="122">
        <f t="shared" si="136"/>
        <v>3622.65</v>
      </c>
      <c r="E327" s="122">
        <f t="shared" si="136"/>
        <v>690</v>
      </c>
      <c r="F327" s="122">
        <f t="shared" si="136"/>
        <v>572.75</v>
      </c>
      <c r="G327" s="122">
        <f t="shared" si="136"/>
        <v>15059</v>
      </c>
      <c r="H327" s="122">
        <f t="shared" si="136"/>
        <v>126.35500000000002</v>
      </c>
      <c r="I327" s="122">
        <f t="shared" si="136"/>
        <v>680</v>
      </c>
      <c r="J327" s="122">
        <f t="shared" si="136"/>
        <v>-155</v>
      </c>
      <c r="K327" s="122">
        <f t="shared" si="136"/>
        <v>572.75</v>
      </c>
      <c r="L327" s="122">
        <f t="shared" si="136"/>
        <v>402.23</v>
      </c>
      <c r="M327" s="122">
        <f t="shared" si="136"/>
        <v>1575</v>
      </c>
      <c r="N327" s="122">
        <f t="shared" si="136"/>
        <v>11974.915000000001</v>
      </c>
      <c r="O327" s="449" t="s">
        <v>0</v>
      </c>
      <c r="P327" s="450"/>
      <c r="Q327" s="144"/>
      <c r="R327" s="319"/>
    </row>
    <row r="328" spans="1:18" x14ac:dyDescent="0.2">
      <c r="A328" s="83" t="s">
        <v>25</v>
      </c>
      <c r="B328" s="84" t="s">
        <v>68</v>
      </c>
      <c r="C328" s="89">
        <v>3415.2</v>
      </c>
      <c r="D328" s="89">
        <v>1664.91</v>
      </c>
      <c r="E328" s="89">
        <v>490</v>
      </c>
      <c r="F328" s="89">
        <v>572.75</v>
      </c>
      <c r="G328" s="88">
        <f t="shared" ref="G328:G334" si="137">C328+D328+F328</f>
        <v>5652.86</v>
      </c>
      <c r="H328" s="89">
        <v>29.74</v>
      </c>
      <c r="I328" s="89">
        <v>745</v>
      </c>
      <c r="J328" s="89">
        <v>-155</v>
      </c>
      <c r="K328" s="89">
        <v>572.75</v>
      </c>
      <c r="L328" s="89">
        <v>200.01</v>
      </c>
      <c r="M328" s="89">
        <f>1125+250</f>
        <v>1375</v>
      </c>
      <c r="N328" s="88">
        <f t="shared" ref="N328:N334" si="138">C328+D328+E328-H328-I328-J328-K328-L328-M328</f>
        <v>2802.6099999999997</v>
      </c>
      <c r="O328" s="106">
        <v>43747</v>
      </c>
      <c r="P328" s="167" t="s">
        <v>95</v>
      </c>
      <c r="Q328" s="144" t="s">
        <v>124</v>
      </c>
    </row>
    <row r="329" spans="1:18" x14ac:dyDescent="0.2">
      <c r="A329" s="81" t="s">
        <v>26</v>
      </c>
      <c r="B329" s="82" t="s">
        <v>76</v>
      </c>
      <c r="C329" s="89">
        <v>818.8</v>
      </c>
      <c r="D329" s="89"/>
      <c r="E329" s="89">
        <v>50</v>
      </c>
      <c r="F329" s="89">
        <v>0</v>
      </c>
      <c r="G329" s="88">
        <f t="shared" si="137"/>
        <v>818.8</v>
      </c>
      <c r="H329" s="89">
        <v>8.19</v>
      </c>
      <c r="I329" s="89">
        <v>0</v>
      </c>
      <c r="J329" s="89"/>
      <c r="K329" s="89"/>
      <c r="L329" s="89">
        <v>58.14</v>
      </c>
      <c r="M329" s="89"/>
      <c r="N329" s="88">
        <f t="shared" si="138"/>
        <v>802.46999999999991</v>
      </c>
      <c r="O329" s="106">
        <v>43747</v>
      </c>
      <c r="P329" s="167" t="s">
        <v>95</v>
      </c>
      <c r="Q329" s="144" t="s">
        <v>124</v>
      </c>
    </row>
    <row r="330" spans="1:18" x14ac:dyDescent="0.2">
      <c r="A330" s="81" t="s">
        <v>3</v>
      </c>
      <c r="B330" s="82" t="s">
        <v>77</v>
      </c>
      <c r="C330" s="89">
        <v>1074.8</v>
      </c>
      <c r="D330" s="89">
        <v>443.36</v>
      </c>
      <c r="E330" s="89">
        <v>50</v>
      </c>
      <c r="F330" s="89"/>
      <c r="G330" s="88">
        <f t="shared" si="137"/>
        <v>1518.1599999999999</v>
      </c>
      <c r="H330" s="89">
        <v>15.18</v>
      </c>
      <c r="I330" s="89"/>
      <c r="J330" s="89"/>
      <c r="K330" s="89"/>
      <c r="L330" s="89">
        <v>76.3</v>
      </c>
      <c r="M330" s="89"/>
      <c r="N330" s="88">
        <f t="shared" si="138"/>
        <v>1476.6799999999998</v>
      </c>
      <c r="O330" s="106">
        <v>43747</v>
      </c>
      <c r="P330" s="167" t="s">
        <v>95</v>
      </c>
      <c r="Q330" s="144" t="s">
        <v>124</v>
      </c>
    </row>
    <row r="331" spans="1:18" x14ac:dyDescent="0.2">
      <c r="A331" s="81" t="s">
        <v>32</v>
      </c>
      <c r="B331" s="82" t="s">
        <v>78</v>
      </c>
      <c r="C331" s="89">
        <v>954.8</v>
      </c>
      <c r="D331" s="89">
        <v>393.86</v>
      </c>
      <c r="E331" s="89">
        <v>100</v>
      </c>
      <c r="F331" s="89"/>
      <c r="G331" s="88">
        <f t="shared" si="137"/>
        <v>1348.6599999999999</v>
      </c>
      <c r="H331" s="89">
        <v>13.49</v>
      </c>
      <c r="I331" s="89"/>
      <c r="J331" s="89"/>
      <c r="K331" s="89"/>
      <c r="L331" s="89">
        <v>67.78</v>
      </c>
      <c r="M331" s="89"/>
      <c r="N331" s="88">
        <f t="shared" si="138"/>
        <v>1367.3899999999999</v>
      </c>
      <c r="O331" s="106">
        <v>43747</v>
      </c>
      <c r="P331" s="167" t="s">
        <v>95</v>
      </c>
      <c r="Q331" s="144" t="s">
        <v>124</v>
      </c>
    </row>
    <row r="332" spans="1:18" x14ac:dyDescent="0.2">
      <c r="A332" s="81" t="s">
        <v>75</v>
      </c>
      <c r="B332" s="82" t="s">
        <v>79</v>
      </c>
      <c r="C332" s="89">
        <v>800</v>
      </c>
      <c r="D332" s="89">
        <v>330</v>
      </c>
      <c r="E332" s="89"/>
      <c r="F332" s="89"/>
      <c r="G332" s="88">
        <f t="shared" si="137"/>
        <v>1130</v>
      </c>
      <c r="H332" s="89">
        <v>11.3</v>
      </c>
      <c r="I332" s="89"/>
      <c r="J332" s="89"/>
      <c r="K332" s="89"/>
      <c r="L332" s="89"/>
      <c r="M332" s="89"/>
      <c r="N332" s="88">
        <f t="shared" si="138"/>
        <v>1118.7</v>
      </c>
      <c r="O332" s="106">
        <v>43747</v>
      </c>
      <c r="P332" s="167" t="s">
        <v>95</v>
      </c>
      <c r="Q332" s="144" t="s">
        <v>124</v>
      </c>
    </row>
    <row r="333" spans="1:18" x14ac:dyDescent="0.2">
      <c r="A333" s="81" t="s">
        <v>86</v>
      </c>
      <c r="B333" s="82" t="s">
        <v>106</v>
      </c>
      <c r="C333" s="89">
        <v>1000</v>
      </c>
      <c r="D333" s="89">
        <v>487.5</v>
      </c>
      <c r="E333" s="89"/>
      <c r="F333" s="89"/>
      <c r="G333" s="88">
        <f t="shared" si="137"/>
        <v>1487.5</v>
      </c>
      <c r="H333" s="89">
        <v>14.88</v>
      </c>
      <c r="I333" s="89"/>
      <c r="J333" s="89"/>
      <c r="K333" s="89"/>
      <c r="L333" s="89"/>
      <c r="M333" s="89"/>
      <c r="N333" s="88">
        <f t="shared" si="138"/>
        <v>1472.62</v>
      </c>
      <c r="O333" s="106">
        <v>43747</v>
      </c>
      <c r="P333" s="167" t="s">
        <v>95</v>
      </c>
      <c r="Q333" s="144" t="s">
        <v>124</v>
      </c>
    </row>
    <row r="334" spans="1:18" x14ac:dyDescent="0.2">
      <c r="A334" s="81" t="s">
        <v>107</v>
      </c>
      <c r="B334" s="82" t="s">
        <v>108</v>
      </c>
      <c r="C334" s="89">
        <v>1000</v>
      </c>
      <c r="D334" s="89">
        <v>412.5</v>
      </c>
      <c r="E334" s="89"/>
      <c r="F334" s="89"/>
      <c r="G334" s="88">
        <f t="shared" si="137"/>
        <v>1412.5</v>
      </c>
      <c r="H334" s="89">
        <v>14.125</v>
      </c>
      <c r="I334" s="89"/>
      <c r="J334" s="89"/>
      <c r="K334" s="89"/>
      <c r="L334" s="89"/>
      <c r="M334" s="89"/>
      <c r="N334" s="88">
        <f t="shared" si="138"/>
        <v>1398.375</v>
      </c>
      <c r="O334" s="106">
        <v>43747</v>
      </c>
      <c r="P334" s="167" t="s">
        <v>95</v>
      </c>
      <c r="Q334" s="144" t="s">
        <v>124</v>
      </c>
    </row>
    <row r="335" spans="1:18" x14ac:dyDescent="0.2">
      <c r="A335" s="81" t="s">
        <v>110</v>
      </c>
      <c r="B335" s="82" t="s">
        <v>109</v>
      </c>
      <c r="C335" s="89">
        <v>800</v>
      </c>
      <c r="D335" s="89">
        <v>300</v>
      </c>
      <c r="E335" s="89"/>
      <c r="F335" s="89"/>
      <c r="G335" s="88">
        <f>C335+D335+F335</f>
        <v>1100</v>
      </c>
      <c r="H335" s="89">
        <v>11</v>
      </c>
      <c r="I335" s="89"/>
      <c r="J335" s="89"/>
      <c r="K335" s="89"/>
      <c r="L335" s="89"/>
      <c r="M335" s="89"/>
      <c r="N335" s="88">
        <f>C335+D335+E335-H335-I335-J335-K335-L335-M335</f>
        <v>1089</v>
      </c>
      <c r="O335" s="106">
        <v>43747</v>
      </c>
      <c r="P335" s="167" t="s">
        <v>95</v>
      </c>
      <c r="Q335" s="144" t="s">
        <v>124</v>
      </c>
    </row>
    <row r="336" spans="1:18" ht="13.5" thickBot="1" x14ac:dyDescent="0.25">
      <c r="A336" s="80" t="s">
        <v>149</v>
      </c>
      <c r="B336" s="82" t="s">
        <v>150</v>
      </c>
      <c r="C336" s="89">
        <v>1000</v>
      </c>
      <c r="D336" s="89">
        <v>412.5</v>
      </c>
      <c r="E336" s="89"/>
      <c r="F336" s="89"/>
      <c r="G336" s="88">
        <f>C336+D336+F336</f>
        <v>1412.5</v>
      </c>
      <c r="H336" s="89">
        <v>14.125</v>
      </c>
      <c r="I336" s="89"/>
      <c r="J336" s="89"/>
      <c r="K336" s="89"/>
      <c r="L336" s="89"/>
      <c r="M336" s="89"/>
      <c r="N336" s="88">
        <f>C336+D336+E336-H336-I336-J336-K336-L336-M336</f>
        <v>1398.375</v>
      </c>
      <c r="O336" s="106">
        <v>43747</v>
      </c>
      <c r="P336" s="167" t="s">
        <v>95</v>
      </c>
      <c r="Q336" s="144" t="s">
        <v>124</v>
      </c>
    </row>
    <row r="337" spans="1:18" s="94" customFormat="1" ht="13.5" thickBot="1" x14ac:dyDescent="0.25">
      <c r="A337" s="451" t="s">
        <v>0</v>
      </c>
      <c r="B337" s="452"/>
      <c r="C337" s="168">
        <f t="shared" ref="C337:N337" si="139">SUM(C328:C336)</f>
        <v>10863.6</v>
      </c>
      <c r="D337" s="168">
        <f t="shared" si="139"/>
        <v>4444.63</v>
      </c>
      <c r="E337" s="168">
        <f t="shared" si="139"/>
        <v>690</v>
      </c>
      <c r="F337" s="168">
        <f t="shared" si="139"/>
        <v>572.75</v>
      </c>
      <c r="G337" s="168">
        <f t="shared" si="139"/>
        <v>15880.98</v>
      </c>
      <c r="H337" s="168">
        <f t="shared" si="139"/>
        <v>132.02999999999997</v>
      </c>
      <c r="I337" s="168">
        <f t="shared" si="139"/>
        <v>745</v>
      </c>
      <c r="J337" s="168">
        <f t="shared" si="139"/>
        <v>-155</v>
      </c>
      <c r="K337" s="168">
        <f t="shared" si="139"/>
        <v>572.75</v>
      </c>
      <c r="L337" s="168">
        <f t="shared" si="139"/>
        <v>402.23</v>
      </c>
      <c r="M337" s="168">
        <f t="shared" si="139"/>
        <v>1375</v>
      </c>
      <c r="N337" s="168">
        <f t="shared" si="139"/>
        <v>12926.22</v>
      </c>
      <c r="O337" s="453" t="s">
        <v>0</v>
      </c>
      <c r="P337" s="454"/>
      <c r="Q337" s="144"/>
      <c r="R337" s="319"/>
    </row>
    <row r="338" spans="1:18" x14ac:dyDescent="0.2">
      <c r="A338" s="83" t="s">
        <v>25</v>
      </c>
      <c r="B338" s="84" t="s">
        <v>68</v>
      </c>
      <c r="C338" s="89">
        <v>3415.2</v>
      </c>
      <c r="D338" s="89">
        <v>2049.12</v>
      </c>
      <c r="E338" s="89">
        <v>490</v>
      </c>
      <c r="F338" s="89">
        <v>572.75</v>
      </c>
      <c r="G338" s="88">
        <f t="shared" ref="G338:G345" si="140">C338+D338+F338</f>
        <v>6037.07</v>
      </c>
      <c r="H338" s="89">
        <v>29.74</v>
      </c>
      <c r="I338" s="89">
        <v>848</v>
      </c>
      <c r="J338" s="89">
        <v>-155</v>
      </c>
      <c r="K338" s="89">
        <v>572.75</v>
      </c>
      <c r="L338" s="89">
        <v>200.01</v>
      </c>
      <c r="M338" s="89">
        <f>1125+250</f>
        <v>1375</v>
      </c>
      <c r="N338" s="88">
        <f t="shared" ref="N338:N346" si="141">C338+D338+E338-H338-I338-J338-K338-L338-M338</f>
        <v>3083.8199999999997</v>
      </c>
      <c r="O338" s="106">
        <v>43754</v>
      </c>
      <c r="P338" s="134" t="s">
        <v>96</v>
      </c>
      <c r="Q338" s="144" t="s">
        <v>124</v>
      </c>
    </row>
    <row r="339" spans="1:18" x14ac:dyDescent="0.2">
      <c r="A339" s="81" t="s">
        <v>26</v>
      </c>
      <c r="B339" s="82" t="s">
        <v>76</v>
      </c>
      <c r="C339" s="89">
        <v>818.8</v>
      </c>
      <c r="D339" s="89"/>
      <c r="E339" s="89">
        <v>50</v>
      </c>
      <c r="F339" s="89">
        <v>0</v>
      </c>
      <c r="G339" s="88">
        <f t="shared" si="140"/>
        <v>818.8</v>
      </c>
      <c r="H339" s="89">
        <v>8.19</v>
      </c>
      <c r="I339" s="89">
        <v>0</v>
      </c>
      <c r="J339" s="89"/>
      <c r="K339" s="89"/>
      <c r="L339" s="89">
        <v>58.14</v>
      </c>
      <c r="M339" s="89">
        <v>200</v>
      </c>
      <c r="N339" s="88">
        <f t="shared" si="141"/>
        <v>602.46999999999991</v>
      </c>
      <c r="O339" s="106">
        <v>43754</v>
      </c>
      <c r="P339" s="134" t="s">
        <v>96</v>
      </c>
      <c r="Q339" s="144" t="s">
        <v>124</v>
      </c>
    </row>
    <row r="340" spans="1:18" x14ac:dyDescent="0.2">
      <c r="A340" s="81" t="s">
        <v>3</v>
      </c>
      <c r="B340" s="82" t="s">
        <v>77</v>
      </c>
      <c r="C340" s="89">
        <v>1074.8</v>
      </c>
      <c r="D340" s="89">
        <v>523.97</v>
      </c>
      <c r="E340" s="89">
        <v>50</v>
      </c>
      <c r="F340" s="89"/>
      <c r="G340" s="88">
        <f t="shared" si="140"/>
        <v>1598.77</v>
      </c>
      <c r="H340" s="89">
        <v>15.99</v>
      </c>
      <c r="I340" s="89">
        <v>14</v>
      </c>
      <c r="J340" s="89"/>
      <c r="K340" s="89"/>
      <c r="L340" s="89">
        <v>76.3</v>
      </c>
      <c r="M340" s="89"/>
      <c r="N340" s="88">
        <f t="shared" si="141"/>
        <v>1542.48</v>
      </c>
      <c r="O340" s="106">
        <v>43754</v>
      </c>
      <c r="P340" s="134" t="s">
        <v>96</v>
      </c>
      <c r="Q340" s="144" t="s">
        <v>124</v>
      </c>
    </row>
    <row r="341" spans="1:18" x14ac:dyDescent="0.2">
      <c r="A341" s="81" t="s">
        <v>32</v>
      </c>
      <c r="B341" s="82" t="s">
        <v>78</v>
      </c>
      <c r="C341" s="89">
        <v>954.8</v>
      </c>
      <c r="D341" s="89">
        <v>71.61</v>
      </c>
      <c r="E341" s="89">
        <v>100</v>
      </c>
      <c r="F341" s="89"/>
      <c r="G341" s="88">
        <f t="shared" si="140"/>
        <v>1026.4099999999999</v>
      </c>
      <c r="H341" s="89">
        <v>10.26</v>
      </c>
      <c r="I341" s="89"/>
      <c r="J341" s="89"/>
      <c r="K341" s="89"/>
      <c r="L341" s="89">
        <v>67.78</v>
      </c>
      <c r="M341" s="89"/>
      <c r="N341" s="88">
        <f t="shared" si="141"/>
        <v>1048.3699999999999</v>
      </c>
      <c r="O341" s="106">
        <v>43754</v>
      </c>
      <c r="P341" s="134" t="s">
        <v>96</v>
      </c>
      <c r="Q341" s="144" t="s">
        <v>124</v>
      </c>
    </row>
    <row r="342" spans="1:18" x14ac:dyDescent="0.2">
      <c r="A342" s="81" t="s">
        <v>75</v>
      </c>
      <c r="B342" s="82" t="s">
        <v>79</v>
      </c>
      <c r="C342" s="89">
        <v>800</v>
      </c>
      <c r="D342" s="89">
        <v>390</v>
      </c>
      <c r="E342" s="89"/>
      <c r="F342" s="89"/>
      <c r="G342" s="88">
        <f t="shared" si="140"/>
        <v>1190</v>
      </c>
      <c r="H342" s="89">
        <v>11.9</v>
      </c>
      <c r="I342" s="89"/>
      <c r="J342" s="89"/>
      <c r="K342" s="89"/>
      <c r="L342" s="89"/>
      <c r="M342" s="89"/>
      <c r="N342" s="88">
        <f t="shared" si="141"/>
        <v>1178.0999999999999</v>
      </c>
      <c r="O342" s="106">
        <v>43754</v>
      </c>
      <c r="P342" s="134" t="s">
        <v>96</v>
      </c>
      <c r="Q342" s="144" t="s">
        <v>124</v>
      </c>
    </row>
    <row r="343" spans="1:18" x14ac:dyDescent="0.2">
      <c r="A343" s="81" t="s">
        <v>86</v>
      </c>
      <c r="B343" s="82" t="s">
        <v>106</v>
      </c>
      <c r="C343" s="89">
        <v>1000</v>
      </c>
      <c r="D343" s="89">
        <v>487.5</v>
      </c>
      <c r="E343" s="89"/>
      <c r="F343" s="89"/>
      <c r="G343" s="88">
        <f t="shared" si="140"/>
        <v>1487.5</v>
      </c>
      <c r="H343" s="89">
        <v>14.88</v>
      </c>
      <c r="I343" s="89"/>
      <c r="J343" s="89"/>
      <c r="K343" s="89"/>
      <c r="L343" s="89"/>
      <c r="M343" s="89"/>
      <c r="N343" s="88">
        <f t="shared" si="141"/>
        <v>1472.62</v>
      </c>
      <c r="O343" s="106">
        <v>43754</v>
      </c>
      <c r="P343" s="134" t="s">
        <v>96</v>
      </c>
      <c r="Q343" s="144" t="s">
        <v>124</v>
      </c>
    </row>
    <row r="344" spans="1:18" x14ac:dyDescent="0.2">
      <c r="A344" s="81" t="s">
        <v>107</v>
      </c>
      <c r="B344" s="82" t="s">
        <v>108</v>
      </c>
      <c r="C344" s="89">
        <v>1000</v>
      </c>
      <c r="D344" s="89">
        <v>487.5</v>
      </c>
      <c r="E344" s="89"/>
      <c r="F344" s="89"/>
      <c r="G344" s="88">
        <f t="shared" si="140"/>
        <v>1487.5</v>
      </c>
      <c r="H344" s="89">
        <v>14.875</v>
      </c>
      <c r="I344" s="89"/>
      <c r="J344" s="89"/>
      <c r="K344" s="89"/>
      <c r="L344" s="89"/>
      <c r="M344" s="89"/>
      <c r="N344" s="88">
        <f t="shared" si="141"/>
        <v>1472.625</v>
      </c>
      <c r="O344" s="106">
        <v>43754</v>
      </c>
      <c r="P344" s="134" t="s">
        <v>96</v>
      </c>
      <c r="Q344" s="144" t="s">
        <v>124</v>
      </c>
    </row>
    <row r="345" spans="1:18" x14ac:dyDescent="0.2">
      <c r="A345" s="81" t="s">
        <v>110</v>
      </c>
      <c r="B345" s="82" t="s">
        <v>109</v>
      </c>
      <c r="C345" s="89">
        <v>800</v>
      </c>
      <c r="D345" s="89">
        <v>390</v>
      </c>
      <c r="E345" s="89"/>
      <c r="F345" s="89"/>
      <c r="G345" s="88">
        <f t="shared" si="140"/>
        <v>1190</v>
      </c>
      <c r="H345" s="89">
        <v>11.9</v>
      </c>
      <c r="I345" s="89"/>
      <c r="J345" s="89"/>
      <c r="K345" s="89"/>
      <c r="L345" s="89"/>
      <c r="M345" s="89"/>
      <c r="N345" s="88">
        <f t="shared" si="141"/>
        <v>1178.0999999999999</v>
      </c>
      <c r="O345" s="106">
        <v>43754</v>
      </c>
      <c r="P345" s="134" t="s">
        <v>96</v>
      </c>
      <c r="Q345" s="144" t="s">
        <v>124</v>
      </c>
    </row>
    <row r="346" spans="1:18" ht="13.5" thickBot="1" x14ac:dyDescent="0.25">
      <c r="A346" s="80" t="s">
        <v>149</v>
      </c>
      <c r="B346" s="82" t="s">
        <v>150</v>
      </c>
      <c r="C346" s="89">
        <v>1000</v>
      </c>
      <c r="D346" s="89">
        <v>487.5</v>
      </c>
      <c r="E346" s="89"/>
      <c r="F346" s="89"/>
      <c r="G346" s="88">
        <f>C346+D346+F346</f>
        <v>1487.5</v>
      </c>
      <c r="H346" s="89">
        <v>14.875</v>
      </c>
      <c r="I346" s="89"/>
      <c r="J346" s="89"/>
      <c r="K346" s="89"/>
      <c r="L346" s="89"/>
      <c r="M346" s="89"/>
      <c r="N346" s="88">
        <f t="shared" si="141"/>
        <v>1472.625</v>
      </c>
      <c r="O346" s="106">
        <v>43754</v>
      </c>
      <c r="P346" s="134" t="s">
        <v>96</v>
      </c>
      <c r="Q346" s="144" t="s">
        <v>124</v>
      </c>
    </row>
    <row r="347" spans="1:18" s="94" customFormat="1" ht="13.5" thickBot="1" x14ac:dyDescent="0.25">
      <c r="A347" s="429" t="s">
        <v>0</v>
      </c>
      <c r="B347" s="430"/>
      <c r="C347" s="114">
        <f t="shared" ref="C347:N347" si="142">SUM(C338:C346)</f>
        <v>10863.6</v>
      </c>
      <c r="D347" s="114">
        <f t="shared" si="142"/>
        <v>4887.2000000000007</v>
      </c>
      <c r="E347" s="114">
        <f t="shared" si="142"/>
        <v>690</v>
      </c>
      <c r="F347" s="114">
        <f t="shared" si="142"/>
        <v>572.75</v>
      </c>
      <c r="G347" s="114">
        <f t="shared" si="142"/>
        <v>16323.55</v>
      </c>
      <c r="H347" s="114">
        <f t="shared" si="142"/>
        <v>132.61000000000001</v>
      </c>
      <c r="I347" s="114">
        <f t="shared" si="142"/>
        <v>862</v>
      </c>
      <c r="J347" s="114">
        <f t="shared" si="142"/>
        <v>-155</v>
      </c>
      <c r="K347" s="114">
        <f t="shared" si="142"/>
        <v>572.75</v>
      </c>
      <c r="L347" s="114">
        <f t="shared" si="142"/>
        <v>402.23</v>
      </c>
      <c r="M347" s="114">
        <f t="shared" si="142"/>
        <v>1575</v>
      </c>
      <c r="N347" s="114">
        <f t="shared" si="142"/>
        <v>13051.210000000001</v>
      </c>
      <c r="O347" s="431" t="s">
        <v>0</v>
      </c>
      <c r="P347" s="432"/>
      <c r="Q347" s="144"/>
      <c r="R347" s="319"/>
    </row>
    <row r="348" spans="1:18" x14ac:dyDescent="0.2">
      <c r="A348" s="83" t="s">
        <v>25</v>
      </c>
      <c r="B348" s="84" t="s">
        <v>68</v>
      </c>
      <c r="C348" s="89">
        <v>3415.2</v>
      </c>
      <c r="D348" s="89">
        <v>2177.19</v>
      </c>
      <c r="E348" s="89">
        <v>490</v>
      </c>
      <c r="F348" s="89">
        <v>572.75</v>
      </c>
      <c r="G348" s="88">
        <f t="shared" ref="G348:G354" si="143">C348+D348+F348</f>
        <v>6165.1399999999994</v>
      </c>
      <c r="H348" s="89">
        <v>29.74</v>
      </c>
      <c r="I348" s="89">
        <v>881</v>
      </c>
      <c r="J348" s="89">
        <v>-155</v>
      </c>
      <c r="K348" s="89">
        <v>572.75</v>
      </c>
      <c r="L348" s="89">
        <v>200.01</v>
      </c>
      <c r="M348" s="89">
        <f>1125</f>
        <v>1125</v>
      </c>
      <c r="N348" s="88">
        <f t="shared" ref="N348:N357" si="144">C348+D348+E348-H348-I348-J348-K348-L348-M348</f>
        <v>3428.8899999999994</v>
      </c>
      <c r="O348" s="106">
        <v>43761</v>
      </c>
      <c r="P348" s="165" t="s">
        <v>152</v>
      </c>
      <c r="Q348" s="144" t="s">
        <v>124</v>
      </c>
    </row>
    <row r="349" spans="1:18" x14ac:dyDescent="0.2">
      <c r="A349" s="81" t="s">
        <v>26</v>
      </c>
      <c r="B349" s="82" t="s">
        <v>76</v>
      </c>
      <c r="C349" s="89">
        <v>818.8</v>
      </c>
      <c r="D349" s="89"/>
      <c r="E349" s="89">
        <v>50</v>
      </c>
      <c r="F349" s="89">
        <v>0</v>
      </c>
      <c r="G349" s="88">
        <f t="shared" si="143"/>
        <v>818.8</v>
      </c>
      <c r="H349" s="89">
        <v>8.19</v>
      </c>
      <c r="I349" s="89">
        <v>0</v>
      </c>
      <c r="J349" s="89"/>
      <c r="K349" s="89"/>
      <c r="L349" s="89">
        <v>58.14</v>
      </c>
      <c r="M349" s="89"/>
      <c r="N349" s="88">
        <f t="shared" si="144"/>
        <v>802.46999999999991</v>
      </c>
      <c r="O349" s="106">
        <v>43761</v>
      </c>
      <c r="P349" s="165" t="s">
        <v>152</v>
      </c>
      <c r="Q349" s="144" t="s">
        <v>124</v>
      </c>
    </row>
    <row r="350" spans="1:18" x14ac:dyDescent="0.2">
      <c r="A350" s="81" t="s">
        <v>3</v>
      </c>
      <c r="B350" s="82" t="s">
        <v>77</v>
      </c>
      <c r="C350" s="89">
        <v>1074.8</v>
      </c>
      <c r="D350" s="89">
        <v>685.19</v>
      </c>
      <c r="E350" s="89">
        <v>50</v>
      </c>
      <c r="F350" s="89"/>
      <c r="G350" s="88">
        <f t="shared" si="143"/>
        <v>1759.99</v>
      </c>
      <c r="H350" s="89">
        <v>17.600000000000001</v>
      </c>
      <c r="I350" s="89">
        <v>43</v>
      </c>
      <c r="J350" s="89"/>
      <c r="K350" s="89"/>
      <c r="L350" s="89">
        <v>76.3</v>
      </c>
      <c r="M350" s="89"/>
      <c r="N350" s="88">
        <f t="shared" si="144"/>
        <v>1673.0900000000001</v>
      </c>
      <c r="O350" s="106">
        <v>43761</v>
      </c>
      <c r="P350" s="165" t="s">
        <v>152</v>
      </c>
      <c r="Q350" s="144" t="s">
        <v>124</v>
      </c>
    </row>
    <row r="351" spans="1:18" x14ac:dyDescent="0.2">
      <c r="A351" s="81" t="s">
        <v>32</v>
      </c>
      <c r="B351" s="82" t="s">
        <v>78</v>
      </c>
      <c r="C351" s="89">
        <v>954.8</v>
      </c>
      <c r="D351" s="89">
        <v>608.69000000000005</v>
      </c>
      <c r="E351" s="89">
        <v>100</v>
      </c>
      <c r="F351" s="89"/>
      <c r="G351" s="88">
        <f t="shared" si="143"/>
        <v>1563.49</v>
      </c>
      <c r="H351" s="89">
        <v>15.63</v>
      </c>
      <c r="I351" s="89">
        <v>7</v>
      </c>
      <c r="J351" s="89"/>
      <c r="K351" s="89"/>
      <c r="L351" s="89">
        <v>67.78</v>
      </c>
      <c r="M351" s="89"/>
      <c r="N351" s="88">
        <f t="shared" si="144"/>
        <v>1573.08</v>
      </c>
      <c r="O351" s="106">
        <v>43761</v>
      </c>
      <c r="P351" s="165" t="s">
        <v>152</v>
      </c>
      <c r="Q351" s="144" t="s">
        <v>124</v>
      </c>
    </row>
    <row r="352" spans="1:18" x14ac:dyDescent="0.2">
      <c r="A352" s="81" t="s">
        <v>75</v>
      </c>
      <c r="B352" s="82" t="s">
        <v>79</v>
      </c>
      <c r="C352" s="89">
        <v>800</v>
      </c>
      <c r="D352" s="89">
        <v>510</v>
      </c>
      <c r="E352" s="89"/>
      <c r="F352" s="89"/>
      <c r="G352" s="88">
        <f t="shared" si="143"/>
        <v>1310</v>
      </c>
      <c r="H352" s="89">
        <v>13.1</v>
      </c>
      <c r="I352" s="89"/>
      <c r="J352" s="89"/>
      <c r="K352" s="89"/>
      <c r="L352" s="89"/>
      <c r="M352" s="89"/>
      <c r="N352" s="88">
        <f t="shared" si="144"/>
        <v>1296.9000000000001</v>
      </c>
      <c r="O352" s="106">
        <v>43761</v>
      </c>
      <c r="P352" s="165" t="s">
        <v>152</v>
      </c>
      <c r="Q352" s="144" t="s">
        <v>124</v>
      </c>
    </row>
    <row r="353" spans="1:18" x14ac:dyDescent="0.2">
      <c r="A353" s="81" t="s">
        <v>86</v>
      </c>
      <c r="B353" s="82" t="s">
        <v>106</v>
      </c>
      <c r="C353" s="89">
        <v>1000</v>
      </c>
      <c r="D353" s="89">
        <v>637.5</v>
      </c>
      <c r="E353" s="89"/>
      <c r="F353" s="89"/>
      <c r="G353" s="88">
        <f t="shared" si="143"/>
        <v>1637.5</v>
      </c>
      <c r="H353" s="89">
        <v>16.375</v>
      </c>
      <c r="I353" s="89">
        <v>21</v>
      </c>
      <c r="J353" s="89"/>
      <c r="K353" s="89"/>
      <c r="L353" s="89"/>
      <c r="M353" s="89"/>
      <c r="N353" s="88">
        <f t="shared" si="144"/>
        <v>1600.125</v>
      </c>
      <c r="O353" s="106">
        <v>43761</v>
      </c>
      <c r="P353" s="165" t="s">
        <v>152</v>
      </c>
      <c r="Q353" s="144" t="s">
        <v>124</v>
      </c>
    </row>
    <row r="354" spans="1:18" x14ac:dyDescent="0.2">
      <c r="A354" s="81" t="s">
        <v>107</v>
      </c>
      <c r="B354" s="82" t="s">
        <v>108</v>
      </c>
      <c r="C354" s="89">
        <v>1000</v>
      </c>
      <c r="D354" s="89">
        <v>637.5</v>
      </c>
      <c r="E354" s="89"/>
      <c r="F354" s="89"/>
      <c r="G354" s="88">
        <f t="shared" si="143"/>
        <v>1637.5</v>
      </c>
      <c r="H354" s="89">
        <v>16.375</v>
      </c>
      <c r="I354" s="89">
        <v>21</v>
      </c>
      <c r="J354" s="89"/>
      <c r="K354" s="89"/>
      <c r="L354" s="89"/>
      <c r="M354" s="89"/>
      <c r="N354" s="88">
        <f t="shared" si="144"/>
        <v>1600.125</v>
      </c>
      <c r="O354" s="106">
        <v>43761</v>
      </c>
      <c r="P354" s="165" t="s">
        <v>152</v>
      </c>
      <c r="Q354" s="144" t="s">
        <v>124</v>
      </c>
    </row>
    <row r="355" spans="1:18" x14ac:dyDescent="0.2">
      <c r="A355" s="81" t="s">
        <v>110</v>
      </c>
      <c r="B355" s="82" t="s">
        <v>109</v>
      </c>
      <c r="C355" s="89">
        <v>800</v>
      </c>
      <c r="D355" s="89">
        <v>510</v>
      </c>
      <c r="E355" s="89"/>
      <c r="F355" s="89"/>
      <c r="G355" s="88">
        <f>C355+D355+F355</f>
        <v>1310</v>
      </c>
      <c r="H355" s="89">
        <v>13.1</v>
      </c>
      <c r="I355" s="89"/>
      <c r="J355" s="89"/>
      <c r="K355" s="89"/>
      <c r="L355" s="89"/>
      <c r="M355" s="89"/>
      <c r="N355" s="88">
        <f t="shared" si="144"/>
        <v>1296.9000000000001</v>
      </c>
      <c r="O355" s="106">
        <v>43761</v>
      </c>
      <c r="P355" s="165" t="s">
        <v>152</v>
      </c>
      <c r="Q355" s="144" t="s">
        <v>124</v>
      </c>
    </row>
    <row r="356" spans="1:18" x14ac:dyDescent="0.2">
      <c r="A356" s="216" t="s">
        <v>149</v>
      </c>
      <c r="B356" s="82" t="s">
        <v>150</v>
      </c>
      <c r="C356" s="89">
        <v>1000</v>
      </c>
      <c r="D356" s="89">
        <v>637.5</v>
      </c>
      <c r="E356" s="89"/>
      <c r="F356" s="89"/>
      <c r="G356" s="88">
        <f>C356+D356+F356</f>
        <v>1637.5</v>
      </c>
      <c r="H356" s="89">
        <v>16.375</v>
      </c>
      <c r="I356" s="89">
        <v>21</v>
      </c>
      <c r="J356" s="89"/>
      <c r="K356" s="89"/>
      <c r="L356" s="89"/>
      <c r="M356" s="89"/>
      <c r="N356" s="88">
        <f t="shared" ref="N356" si="145">C356+D356+E356-H356-I356-J356-K356-L356-M356</f>
        <v>1600.125</v>
      </c>
      <c r="O356" s="106">
        <v>43761</v>
      </c>
      <c r="P356" s="165" t="s">
        <v>152</v>
      </c>
      <c r="Q356" s="217" t="s">
        <v>124</v>
      </c>
    </row>
    <row r="357" spans="1:18" ht="13.5" thickBot="1" x14ac:dyDescent="0.25">
      <c r="A357" s="80" t="s">
        <v>156</v>
      </c>
      <c r="B357" s="84" t="s">
        <v>159</v>
      </c>
      <c r="C357" s="88">
        <v>400</v>
      </c>
      <c r="D357" s="88">
        <v>225</v>
      </c>
      <c r="E357" s="88"/>
      <c r="F357" s="88"/>
      <c r="G357" s="88">
        <f>C357+D357+F357</f>
        <v>625</v>
      </c>
      <c r="H357" s="88">
        <v>6.25</v>
      </c>
      <c r="I357" s="88"/>
      <c r="J357" s="88"/>
      <c r="K357" s="88"/>
      <c r="L357" s="88"/>
      <c r="M357" s="88"/>
      <c r="N357" s="88">
        <f t="shared" si="144"/>
        <v>618.75</v>
      </c>
      <c r="O357" s="105">
        <v>43761</v>
      </c>
      <c r="P357" s="215" t="s">
        <v>152</v>
      </c>
      <c r="Q357" s="144" t="s">
        <v>124</v>
      </c>
    </row>
    <row r="358" spans="1:18" s="94" customFormat="1" ht="13.5" thickBot="1" x14ac:dyDescent="0.25">
      <c r="A358" s="435" t="s">
        <v>0</v>
      </c>
      <c r="B358" s="460"/>
      <c r="C358" s="166">
        <f t="shared" ref="C358:N358" si="146">SUM(C348:C357)</f>
        <v>11263.6</v>
      </c>
      <c r="D358" s="166">
        <f t="shared" si="146"/>
        <v>6628.57</v>
      </c>
      <c r="E358" s="166">
        <f t="shared" si="146"/>
        <v>690</v>
      </c>
      <c r="F358" s="166">
        <f t="shared" si="146"/>
        <v>572.75</v>
      </c>
      <c r="G358" s="166">
        <f t="shared" si="146"/>
        <v>18464.919999999998</v>
      </c>
      <c r="H358" s="166">
        <f t="shared" si="146"/>
        <v>152.73499999999999</v>
      </c>
      <c r="I358" s="166">
        <f t="shared" si="146"/>
        <v>994</v>
      </c>
      <c r="J358" s="166">
        <f t="shared" si="146"/>
        <v>-155</v>
      </c>
      <c r="K358" s="166">
        <f t="shared" si="146"/>
        <v>572.75</v>
      </c>
      <c r="L358" s="166">
        <f t="shared" si="146"/>
        <v>402.23</v>
      </c>
      <c r="M358" s="166">
        <f t="shared" si="146"/>
        <v>1125</v>
      </c>
      <c r="N358" s="166">
        <f t="shared" si="146"/>
        <v>15490.455</v>
      </c>
      <c r="O358" s="433" t="s">
        <v>0</v>
      </c>
      <c r="P358" s="434"/>
      <c r="Q358" s="144"/>
      <c r="R358" s="319"/>
    </row>
    <row r="359" spans="1:18" x14ac:dyDescent="0.2">
      <c r="A359" s="83" t="s">
        <v>25</v>
      </c>
      <c r="B359" s="84" t="s">
        <v>68</v>
      </c>
      <c r="C359" s="89">
        <v>3415.2</v>
      </c>
      <c r="D359" s="89">
        <v>2241.23</v>
      </c>
      <c r="E359" s="89">
        <v>0</v>
      </c>
      <c r="F359" s="89">
        <v>0</v>
      </c>
      <c r="G359" s="88">
        <f t="shared" ref="G359:G365" si="147">C359+D359+F359</f>
        <v>5656.43</v>
      </c>
      <c r="H359" s="89">
        <v>29.74</v>
      </c>
      <c r="I359" s="89">
        <v>898</v>
      </c>
      <c r="J359" s="89">
        <v>0</v>
      </c>
      <c r="K359" s="89">
        <v>0</v>
      </c>
      <c r="L359" s="89">
        <v>200.01</v>
      </c>
      <c r="M359" s="89">
        <v>0</v>
      </c>
      <c r="N359" s="88">
        <f t="shared" ref="N359:N368" si="148">C359+D359+E359-H359-I359-J359-K359-L359-M359</f>
        <v>4528.68</v>
      </c>
      <c r="O359" s="106">
        <v>43768</v>
      </c>
      <c r="P359" s="165" t="s">
        <v>153</v>
      </c>
      <c r="Q359" s="144" t="s">
        <v>124</v>
      </c>
    </row>
    <row r="360" spans="1:18" x14ac:dyDescent="0.2">
      <c r="A360" s="81" t="s">
        <v>26</v>
      </c>
      <c r="B360" s="82" t="s">
        <v>76</v>
      </c>
      <c r="C360" s="89">
        <v>818.8</v>
      </c>
      <c r="D360" s="89">
        <v>61.4</v>
      </c>
      <c r="E360" s="89">
        <v>50</v>
      </c>
      <c r="F360" s="89"/>
      <c r="G360" s="88">
        <f t="shared" si="147"/>
        <v>880.19999999999993</v>
      </c>
      <c r="H360" s="89">
        <v>8.8000000000000007</v>
      </c>
      <c r="I360" s="89">
        <v>0</v>
      </c>
      <c r="J360" s="89"/>
      <c r="K360" s="89"/>
      <c r="L360" s="89">
        <v>58.14</v>
      </c>
      <c r="M360" s="89">
        <v>200</v>
      </c>
      <c r="N360" s="88">
        <f t="shared" si="148"/>
        <v>663.26</v>
      </c>
      <c r="O360" s="106">
        <v>43768</v>
      </c>
      <c r="P360" s="165" t="s">
        <v>153</v>
      </c>
      <c r="Q360" s="144" t="s">
        <v>124</v>
      </c>
    </row>
    <row r="361" spans="1:18" x14ac:dyDescent="0.2">
      <c r="A361" s="81" t="s">
        <v>3</v>
      </c>
      <c r="B361" s="82" t="s">
        <v>77</v>
      </c>
      <c r="C361" s="89">
        <v>1074.8</v>
      </c>
      <c r="D361" s="89">
        <v>685.19</v>
      </c>
      <c r="E361" s="89">
        <v>50</v>
      </c>
      <c r="F361" s="89"/>
      <c r="G361" s="88">
        <f t="shared" si="147"/>
        <v>1759.99</v>
      </c>
      <c r="H361" s="89">
        <v>17.600000000000001</v>
      </c>
      <c r="I361" s="89">
        <v>43</v>
      </c>
      <c r="J361" s="89"/>
      <c r="K361" s="89"/>
      <c r="L361" s="89">
        <v>76.3</v>
      </c>
      <c r="M361" s="89"/>
      <c r="N361" s="88">
        <f t="shared" si="148"/>
        <v>1673.0900000000001</v>
      </c>
      <c r="O361" s="106">
        <v>43768</v>
      </c>
      <c r="P361" s="165" t="s">
        <v>153</v>
      </c>
      <c r="Q361" s="144" t="s">
        <v>124</v>
      </c>
    </row>
    <row r="362" spans="1:18" x14ac:dyDescent="0.2">
      <c r="A362" s="81" t="s">
        <v>32</v>
      </c>
      <c r="B362" s="82" t="s">
        <v>78</v>
      </c>
      <c r="C362" s="89">
        <v>954.8</v>
      </c>
      <c r="D362" s="89">
        <v>572.88</v>
      </c>
      <c r="E362" s="89">
        <v>100</v>
      </c>
      <c r="F362" s="89"/>
      <c r="G362" s="88">
        <f t="shared" si="147"/>
        <v>1527.6799999999998</v>
      </c>
      <c r="H362" s="89">
        <v>15.28</v>
      </c>
      <c r="I362" s="89">
        <v>1</v>
      </c>
      <c r="J362" s="89"/>
      <c r="K362" s="89"/>
      <c r="L362" s="89">
        <v>67.78</v>
      </c>
      <c r="M362" s="89"/>
      <c r="N362" s="88">
        <f t="shared" si="148"/>
        <v>1543.62</v>
      </c>
      <c r="O362" s="106">
        <v>43768</v>
      </c>
      <c r="P362" s="165" t="s">
        <v>153</v>
      </c>
      <c r="Q362" s="144" t="s">
        <v>124</v>
      </c>
    </row>
    <row r="363" spans="1:18" x14ac:dyDescent="0.2">
      <c r="A363" s="81" t="s">
        <v>75</v>
      </c>
      <c r="B363" s="82" t="s">
        <v>79</v>
      </c>
      <c r="C363" s="89">
        <v>800</v>
      </c>
      <c r="D363" s="89">
        <v>480</v>
      </c>
      <c r="E363" s="89"/>
      <c r="F363" s="89"/>
      <c r="G363" s="88">
        <f t="shared" si="147"/>
        <v>1280</v>
      </c>
      <c r="H363" s="89">
        <v>12.8</v>
      </c>
      <c r="I363" s="89"/>
      <c r="J363" s="89"/>
      <c r="K363" s="89"/>
      <c r="L363" s="89"/>
      <c r="M363" s="89"/>
      <c r="N363" s="88">
        <f t="shared" si="148"/>
        <v>1267.2</v>
      </c>
      <c r="O363" s="106">
        <v>43768</v>
      </c>
      <c r="P363" s="165" t="s">
        <v>153</v>
      </c>
      <c r="Q363" s="144" t="s">
        <v>124</v>
      </c>
    </row>
    <row r="364" spans="1:18" x14ac:dyDescent="0.2">
      <c r="A364" s="81" t="s">
        <v>86</v>
      </c>
      <c r="B364" s="82" t="s">
        <v>106</v>
      </c>
      <c r="C364" s="89">
        <v>1000</v>
      </c>
      <c r="D364" s="89">
        <v>637.5</v>
      </c>
      <c r="E364" s="89"/>
      <c r="F364" s="89"/>
      <c r="G364" s="88">
        <f t="shared" si="147"/>
        <v>1637.5</v>
      </c>
      <c r="H364" s="89">
        <v>16.375</v>
      </c>
      <c r="I364" s="89">
        <v>21</v>
      </c>
      <c r="J364" s="89"/>
      <c r="K364" s="89"/>
      <c r="L364" s="89"/>
      <c r="M364" s="89"/>
      <c r="N364" s="88">
        <f t="shared" si="148"/>
        <v>1600.125</v>
      </c>
      <c r="O364" s="106">
        <v>43768</v>
      </c>
      <c r="P364" s="165" t="s">
        <v>153</v>
      </c>
      <c r="Q364" s="144" t="s">
        <v>124</v>
      </c>
    </row>
    <row r="365" spans="1:18" x14ac:dyDescent="0.2">
      <c r="A365" s="81" t="s">
        <v>107</v>
      </c>
      <c r="B365" s="82" t="s">
        <v>108</v>
      </c>
      <c r="C365" s="89">
        <v>1000</v>
      </c>
      <c r="D365" s="89">
        <v>600</v>
      </c>
      <c r="E365" s="89"/>
      <c r="F365" s="89"/>
      <c r="G365" s="88">
        <f t="shared" si="147"/>
        <v>1600</v>
      </c>
      <c r="H365" s="89">
        <v>16</v>
      </c>
      <c r="I365" s="89">
        <v>15</v>
      </c>
      <c r="J365" s="89"/>
      <c r="K365" s="89"/>
      <c r="L365" s="89"/>
      <c r="M365" s="89"/>
      <c r="N365" s="88">
        <f t="shared" si="148"/>
        <v>1569</v>
      </c>
      <c r="O365" s="106">
        <v>43768</v>
      </c>
      <c r="P365" s="165" t="s">
        <v>153</v>
      </c>
      <c r="Q365" s="144" t="s">
        <v>124</v>
      </c>
    </row>
    <row r="366" spans="1:18" x14ac:dyDescent="0.2">
      <c r="A366" s="81" t="s">
        <v>110</v>
      </c>
      <c r="B366" s="82" t="s">
        <v>109</v>
      </c>
      <c r="C366" s="89">
        <v>800</v>
      </c>
      <c r="D366" s="89">
        <v>480</v>
      </c>
      <c r="E366" s="89"/>
      <c r="F366" s="89"/>
      <c r="G366" s="88">
        <f>C366+D366+F366</f>
        <v>1280</v>
      </c>
      <c r="H366" s="89">
        <v>12.8</v>
      </c>
      <c r="I366" s="89"/>
      <c r="J366" s="89"/>
      <c r="K366" s="89"/>
      <c r="L366" s="89"/>
      <c r="M366" s="89"/>
      <c r="N366" s="88">
        <f t="shared" si="148"/>
        <v>1267.2</v>
      </c>
      <c r="O366" s="106">
        <v>43768</v>
      </c>
      <c r="P366" s="165" t="s">
        <v>153</v>
      </c>
      <c r="Q366" s="144" t="s">
        <v>124</v>
      </c>
    </row>
    <row r="367" spans="1:18" x14ac:dyDescent="0.2">
      <c r="A367" s="216" t="s">
        <v>149</v>
      </c>
      <c r="B367" s="82" t="s">
        <v>150</v>
      </c>
      <c r="C367" s="89">
        <v>1000</v>
      </c>
      <c r="D367" s="89">
        <v>637.5</v>
      </c>
      <c r="E367" s="89"/>
      <c r="F367" s="89"/>
      <c r="G367" s="88">
        <f>C367+D367+F367</f>
        <v>1637.5</v>
      </c>
      <c r="H367" s="89">
        <v>16.375</v>
      </c>
      <c r="I367" s="89">
        <v>21</v>
      </c>
      <c r="J367" s="89"/>
      <c r="K367" s="89"/>
      <c r="L367" s="89"/>
      <c r="M367" s="89"/>
      <c r="N367" s="88">
        <f t="shared" si="148"/>
        <v>1600.125</v>
      </c>
      <c r="O367" s="106">
        <v>43768</v>
      </c>
      <c r="P367" s="165" t="s">
        <v>153</v>
      </c>
      <c r="Q367" s="144" t="s">
        <v>124</v>
      </c>
    </row>
    <row r="368" spans="1:18" ht="13.5" thickBot="1" x14ac:dyDescent="0.25">
      <c r="A368" s="80" t="s">
        <v>156</v>
      </c>
      <c r="B368" s="84" t="s">
        <v>159</v>
      </c>
      <c r="C368" s="88">
        <v>1000</v>
      </c>
      <c r="D368" s="88">
        <v>600</v>
      </c>
      <c r="E368" s="88"/>
      <c r="F368" s="88"/>
      <c r="G368" s="88">
        <f>C368+D368+F368</f>
        <v>1600</v>
      </c>
      <c r="H368" s="88">
        <v>16</v>
      </c>
      <c r="I368" s="88">
        <v>15</v>
      </c>
      <c r="J368" s="88"/>
      <c r="K368" s="88"/>
      <c r="L368" s="88"/>
      <c r="M368" s="88"/>
      <c r="N368" s="88">
        <f t="shared" si="148"/>
        <v>1569</v>
      </c>
      <c r="O368" s="106">
        <v>43768</v>
      </c>
      <c r="P368" s="165" t="s">
        <v>153</v>
      </c>
      <c r="Q368" s="144" t="s">
        <v>124</v>
      </c>
    </row>
    <row r="369" spans="1:18" s="94" customFormat="1" ht="13.5" thickBot="1" x14ac:dyDescent="0.25">
      <c r="A369" s="435" t="s">
        <v>0</v>
      </c>
      <c r="B369" s="460"/>
      <c r="C369" s="166">
        <f t="shared" ref="C369:N369" si="149">SUM(C359:C368)</f>
        <v>11863.6</v>
      </c>
      <c r="D369" s="166">
        <f t="shared" si="149"/>
        <v>6995.7000000000007</v>
      </c>
      <c r="E369" s="166">
        <f t="shared" si="149"/>
        <v>200</v>
      </c>
      <c r="F369" s="166">
        <f t="shared" si="149"/>
        <v>0</v>
      </c>
      <c r="G369" s="166">
        <f t="shared" si="149"/>
        <v>18859.300000000003</v>
      </c>
      <c r="H369" s="166">
        <f t="shared" si="149"/>
        <v>161.77000000000001</v>
      </c>
      <c r="I369" s="166">
        <f t="shared" si="149"/>
        <v>1014</v>
      </c>
      <c r="J369" s="166">
        <f t="shared" si="149"/>
        <v>0</v>
      </c>
      <c r="K369" s="166">
        <f t="shared" si="149"/>
        <v>0</v>
      </c>
      <c r="L369" s="166">
        <f t="shared" si="149"/>
        <v>402.23</v>
      </c>
      <c r="M369" s="166">
        <f t="shared" si="149"/>
        <v>200</v>
      </c>
      <c r="N369" s="166">
        <f t="shared" si="149"/>
        <v>17281.300000000003</v>
      </c>
      <c r="O369" s="433" t="s">
        <v>0</v>
      </c>
      <c r="P369" s="434"/>
      <c r="Q369" s="145"/>
      <c r="R369" s="319"/>
    </row>
    <row r="370" spans="1:18" s="153" customFormat="1" ht="13.5" thickBot="1" x14ac:dyDescent="0.25">
      <c r="A370" s="437" t="s">
        <v>99</v>
      </c>
      <c r="B370" s="438"/>
      <c r="C370" s="171">
        <f t="shared" ref="C370:N370" si="150">C327+C337+C347+C358+C369</f>
        <v>55718</v>
      </c>
      <c r="D370" s="171">
        <f t="shared" si="150"/>
        <v>26578.750000000004</v>
      </c>
      <c r="E370" s="171">
        <f t="shared" si="150"/>
        <v>2960</v>
      </c>
      <c r="F370" s="171">
        <f t="shared" si="150"/>
        <v>2291</v>
      </c>
      <c r="G370" s="171">
        <f t="shared" si="150"/>
        <v>84587.75</v>
      </c>
      <c r="H370" s="171">
        <f t="shared" si="150"/>
        <v>705.5</v>
      </c>
      <c r="I370" s="171">
        <f t="shared" si="150"/>
        <v>4295</v>
      </c>
      <c r="J370" s="171">
        <f t="shared" si="150"/>
        <v>-620</v>
      </c>
      <c r="K370" s="171">
        <f t="shared" si="150"/>
        <v>2291</v>
      </c>
      <c r="L370" s="171">
        <f t="shared" si="150"/>
        <v>2011.15</v>
      </c>
      <c r="M370" s="171">
        <f t="shared" si="150"/>
        <v>5850</v>
      </c>
      <c r="N370" s="171">
        <f t="shared" si="150"/>
        <v>70724.100000000006</v>
      </c>
      <c r="O370" s="209"/>
      <c r="P370" s="157"/>
      <c r="Q370" s="152"/>
      <c r="R370" s="320"/>
    </row>
    <row r="371" spans="1:18" s="180" customFormat="1" x14ac:dyDescent="0.2">
      <c r="A371" s="175" t="s">
        <v>8</v>
      </c>
      <c r="B371" s="183" t="s">
        <v>111</v>
      </c>
      <c r="C371" s="176">
        <v>13535</v>
      </c>
      <c r="D371" s="176"/>
      <c r="E371" s="176"/>
      <c r="F371" s="176">
        <v>5162</v>
      </c>
      <c r="G371" s="88">
        <f t="shared" ref="G371:G373" si="151">C371+D371+F371</f>
        <v>18697</v>
      </c>
      <c r="H371" s="176"/>
      <c r="I371" s="176">
        <v>2364</v>
      </c>
      <c r="J371" s="176">
        <v>-829</v>
      </c>
      <c r="K371" s="176"/>
      <c r="L371" s="176"/>
      <c r="M371" s="176"/>
      <c r="N371" s="88">
        <f t="shared" ref="N371:N373" si="152">C371+D371+E371-H371-I371-J371-K371-L371-M371</f>
        <v>12000</v>
      </c>
      <c r="O371" s="193"/>
      <c r="P371" s="194"/>
      <c r="Q371" s="179"/>
      <c r="R371" s="321"/>
    </row>
    <row r="372" spans="1:18" s="180" customFormat="1" x14ac:dyDescent="0.2">
      <c r="A372" s="175" t="s">
        <v>27</v>
      </c>
      <c r="B372" s="183" t="s">
        <v>112</v>
      </c>
      <c r="C372" s="181">
        <v>13343</v>
      </c>
      <c r="D372" s="181"/>
      <c r="E372" s="181"/>
      <c r="F372" s="181">
        <v>2400</v>
      </c>
      <c r="G372" s="88">
        <f t="shared" si="151"/>
        <v>15743</v>
      </c>
      <c r="H372" s="181"/>
      <c r="I372" s="181">
        <v>1653</v>
      </c>
      <c r="J372" s="181">
        <v>-310</v>
      </c>
      <c r="K372" s="181"/>
      <c r="L372" s="181"/>
      <c r="M372" s="181"/>
      <c r="N372" s="88">
        <f t="shared" si="152"/>
        <v>12000</v>
      </c>
      <c r="O372" s="193"/>
      <c r="P372" s="194"/>
      <c r="Q372" s="179"/>
      <c r="R372" s="321"/>
    </row>
    <row r="373" spans="1:18" s="180" customFormat="1" ht="13.5" thickBot="1" x14ac:dyDescent="0.25">
      <c r="A373" s="175" t="s">
        <v>6</v>
      </c>
      <c r="B373" s="183" t="s">
        <v>113</v>
      </c>
      <c r="C373" s="182">
        <v>11713.13</v>
      </c>
      <c r="D373" s="182"/>
      <c r="E373" s="182"/>
      <c r="F373" s="182">
        <v>2100</v>
      </c>
      <c r="G373" s="88">
        <f t="shared" si="151"/>
        <v>13813.13</v>
      </c>
      <c r="H373" s="182">
        <v>138.13</v>
      </c>
      <c r="I373" s="182">
        <v>1304</v>
      </c>
      <c r="J373" s="182">
        <v>-829</v>
      </c>
      <c r="K373" s="182">
        <v>2100</v>
      </c>
      <c r="L373" s="182"/>
      <c r="M373" s="182"/>
      <c r="N373" s="88">
        <f t="shared" si="152"/>
        <v>9000</v>
      </c>
      <c r="O373" s="193"/>
      <c r="P373" s="194"/>
      <c r="Q373" s="179"/>
      <c r="R373" s="321"/>
    </row>
    <row r="374" spans="1:18" s="143" customFormat="1" ht="13.5" thickBot="1" x14ac:dyDescent="0.25">
      <c r="A374" s="439" t="s">
        <v>100</v>
      </c>
      <c r="B374" s="440"/>
      <c r="C374" s="174">
        <f>SUM(C371:C373)</f>
        <v>38591.129999999997</v>
      </c>
      <c r="D374" s="174">
        <f t="shared" ref="D374" si="153">SUM(D371:D373)</f>
        <v>0</v>
      </c>
      <c r="E374" s="174">
        <f t="shared" ref="E374" si="154">SUM(E371:E373)</f>
        <v>0</v>
      </c>
      <c r="F374" s="174">
        <f t="shared" ref="F374" si="155">SUM(F371:F373)</f>
        <v>9662</v>
      </c>
      <c r="G374" s="174">
        <f t="shared" ref="G374" si="156">SUM(G371:G373)</f>
        <v>48253.13</v>
      </c>
      <c r="H374" s="174">
        <f t="shared" ref="H374" si="157">SUM(H371:H373)</f>
        <v>138.13</v>
      </c>
      <c r="I374" s="174">
        <f t="shared" ref="I374" si="158">SUM(I371:I373)</f>
        <v>5321</v>
      </c>
      <c r="J374" s="174">
        <f t="shared" ref="J374" si="159">SUM(J371:J373)</f>
        <v>-1968</v>
      </c>
      <c r="K374" s="174">
        <f t="shared" ref="K374" si="160">SUM(K371:K373)</f>
        <v>2100</v>
      </c>
      <c r="L374" s="174">
        <f t="shared" ref="L374" si="161">SUM(L371:L373)</f>
        <v>0</v>
      </c>
      <c r="M374" s="174">
        <f t="shared" ref="M374" si="162">SUM(M371:M373)</f>
        <v>0</v>
      </c>
      <c r="N374" s="174">
        <f t="shared" ref="N374" si="163">SUM(N371:N373)</f>
        <v>33000</v>
      </c>
      <c r="O374" s="210"/>
      <c r="P374" s="142"/>
      <c r="Q374" s="146"/>
      <c r="R374" s="322"/>
    </row>
    <row r="375" spans="1:18" s="143" customFormat="1" ht="13.5" thickBot="1" x14ac:dyDescent="0.25">
      <c r="A375" s="441" t="s">
        <v>101</v>
      </c>
      <c r="B375" s="441"/>
      <c r="C375" s="154"/>
      <c r="D375" s="154"/>
      <c r="E375" s="154"/>
      <c r="F375" s="154"/>
      <c r="G375" s="154"/>
      <c r="H375" s="163">
        <f>(H370+H374)*2</f>
        <v>1687.26</v>
      </c>
      <c r="I375" s="159">
        <f>I370+I374</f>
        <v>9616</v>
      </c>
      <c r="J375" s="164">
        <f>J370+J374</f>
        <v>-2588</v>
      </c>
      <c r="K375" s="154"/>
      <c r="L375" s="154"/>
      <c r="M375" s="154"/>
      <c r="N375" s="154">
        <f>9000+11000+12000</f>
        <v>32000</v>
      </c>
      <c r="O375" s="142"/>
      <c r="P375" s="142"/>
      <c r="Q375" s="156"/>
      <c r="R375" s="322"/>
    </row>
    <row r="376" spans="1:18" s="143" customFormat="1" ht="13.5" thickBot="1" x14ac:dyDescent="0.25">
      <c r="A376" s="170"/>
      <c r="B376" s="170"/>
      <c r="C376" s="154"/>
      <c r="D376" s="154"/>
      <c r="E376" s="154"/>
      <c r="F376" s="154"/>
      <c r="G376" s="154"/>
      <c r="H376" s="154"/>
      <c r="I376" s="455">
        <f>I375+J375</f>
        <v>7028</v>
      </c>
      <c r="J376" s="456"/>
      <c r="K376" s="154"/>
      <c r="L376" s="154"/>
      <c r="M376" s="154"/>
      <c r="N376" s="154"/>
      <c r="O376" s="142"/>
      <c r="P376" s="142"/>
      <c r="Q376" s="156"/>
      <c r="R376" s="322"/>
    </row>
    <row r="377" spans="1:18" s="143" customFormat="1" ht="13.5" thickBot="1" x14ac:dyDescent="0.25">
      <c r="A377" s="170"/>
      <c r="B377" s="170"/>
      <c r="C377" s="154"/>
      <c r="D377" s="154"/>
      <c r="E377" s="154"/>
      <c r="F377" s="154"/>
      <c r="G377" s="154"/>
      <c r="H377" s="457">
        <f>SUM(H375:J375)</f>
        <v>8715.26</v>
      </c>
      <c r="I377" s="458"/>
      <c r="J377" s="459"/>
      <c r="K377" s="154"/>
      <c r="L377" s="154"/>
      <c r="M377" s="154"/>
      <c r="N377" s="154"/>
      <c r="O377" s="142"/>
      <c r="P377" s="142"/>
      <c r="Q377" s="156"/>
      <c r="R377" s="322"/>
    </row>
    <row r="378" spans="1:18" ht="13.5" thickBot="1" x14ac:dyDescent="0.25"/>
    <row r="379" spans="1:18" s="79" customFormat="1" ht="13.5" thickBot="1" x14ac:dyDescent="0.25">
      <c r="A379" s="444" t="s">
        <v>125</v>
      </c>
      <c r="B379" s="445"/>
      <c r="C379" s="445"/>
      <c r="D379" s="445"/>
      <c r="E379" s="445"/>
      <c r="F379" s="445"/>
      <c r="G379" s="445"/>
      <c r="H379" s="445"/>
      <c r="I379" s="445"/>
      <c r="J379" s="445"/>
      <c r="K379" s="445"/>
      <c r="L379" s="445"/>
      <c r="M379" s="445"/>
      <c r="N379" s="445"/>
      <c r="O379" s="445"/>
      <c r="P379" s="445"/>
      <c r="Q379" s="446"/>
      <c r="R379" s="318"/>
    </row>
    <row r="380" spans="1:18" s="79" customFormat="1" ht="13.5" thickBot="1" x14ac:dyDescent="0.25">
      <c r="A380" s="85" t="s">
        <v>69</v>
      </c>
      <c r="B380" s="86" t="s">
        <v>1</v>
      </c>
      <c r="C380" s="87" t="s">
        <v>61</v>
      </c>
      <c r="D380" s="87" t="s">
        <v>62</v>
      </c>
      <c r="E380" s="87" t="s">
        <v>73</v>
      </c>
      <c r="F380" s="87" t="s">
        <v>67</v>
      </c>
      <c r="G380" s="87" t="s">
        <v>81</v>
      </c>
      <c r="H380" s="87" t="s">
        <v>64</v>
      </c>
      <c r="I380" s="87" t="s">
        <v>65</v>
      </c>
      <c r="J380" s="87" t="s">
        <v>72</v>
      </c>
      <c r="K380" s="87" t="s">
        <v>67</v>
      </c>
      <c r="L380" s="87" t="s">
        <v>63</v>
      </c>
      <c r="M380" s="87" t="s">
        <v>66</v>
      </c>
      <c r="N380" s="87" t="s">
        <v>2</v>
      </c>
      <c r="O380" s="92" t="s">
        <v>71</v>
      </c>
      <c r="P380" s="93" t="s">
        <v>74</v>
      </c>
      <c r="Q380" s="147" t="s">
        <v>97</v>
      </c>
      <c r="R380" s="318"/>
    </row>
    <row r="381" spans="1:18" x14ac:dyDescent="0.2">
      <c r="A381" s="83" t="s">
        <v>25</v>
      </c>
      <c r="B381" s="84" t="s">
        <v>68</v>
      </c>
      <c r="C381" s="89">
        <v>3415.2</v>
      </c>
      <c r="D381" s="89">
        <v>1408.77</v>
      </c>
      <c r="E381" s="89">
        <v>490</v>
      </c>
      <c r="F381" s="89">
        <v>572.75</v>
      </c>
      <c r="G381" s="88">
        <f t="shared" ref="G381:G390" si="164">C381+D381+F381</f>
        <v>5396.7199999999993</v>
      </c>
      <c r="H381" s="89">
        <v>29.74</v>
      </c>
      <c r="I381" s="89">
        <v>680</v>
      </c>
      <c r="J381" s="89">
        <v>-155</v>
      </c>
      <c r="K381" s="89">
        <v>572.75</v>
      </c>
      <c r="L381" s="89">
        <v>200.01</v>
      </c>
      <c r="M381" s="89">
        <f>1125+250</f>
        <v>1375</v>
      </c>
      <c r="N381" s="88">
        <f t="shared" ref="N381:N390" si="165">C381+D381+E381-H381-I381-J381-K381-L381-M381</f>
        <v>2611.4699999999993</v>
      </c>
      <c r="O381" s="106">
        <v>43775</v>
      </c>
      <c r="P381" s="131" t="s">
        <v>161</v>
      </c>
      <c r="Q381" s="144" t="s">
        <v>104</v>
      </c>
    </row>
    <row r="382" spans="1:18" x14ac:dyDescent="0.2">
      <c r="A382" s="81" t="s">
        <v>26</v>
      </c>
      <c r="B382" s="82" t="s">
        <v>76</v>
      </c>
      <c r="C382" s="89">
        <v>818.8</v>
      </c>
      <c r="D382" s="89">
        <v>0</v>
      </c>
      <c r="E382" s="89">
        <v>50</v>
      </c>
      <c r="F382" s="89"/>
      <c r="G382" s="88">
        <f t="shared" si="164"/>
        <v>818.8</v>
      </c>
      <c r="H382" s="89">
        <v>8.19</v>
      </c>
      <c r="I382" s="89">
        <v>0</v>
      </c>
      <c r="J382" s="89"/>
      <c r="K382" s="89"/>
      <c r="L382" s="89">
        <v>58.14</v>
      </c>
      <c r="M382" s="89">
        <v>0</v>
      </c>
      <c r="N382" s="88">
        <f t="shared" si="165"/>
        <v>802.46999999999991</v>
      </c>
      <c r="O382" s="106">
        <v>43775</v>
      </c>
      <c r="P382" s="131" t="s">
        <v>161</v>
      </c>
      <c r="Q382" s="144" t="s">
        <v>104</v>
      </c>
    </row>
    <row r="383" spans="1:18" x14ac:dyDescent="0.2">
      <c r="A383" s="81" t="s">
        <v>3</v>
      </c>
      <c r="B383" s="82" t="s">
        <v>77</v>
      </c>
      <c r="C383" s="89">
        <v>1074.8</v>
      </c>
      <c r="D383" s="89">
        <v>443.36</v>
      </c>
      <c r="E383" s="89">
        <v>50</v>
      </c>
      <c r="F383" s="89"/>
      <c r="G383" s="88">
        <f t="shared" si="164"/>
        <v>1518.1599999999999</v>
      </c>
      <c r="H383" s="89">
        <v>15.18</v>
      </c>
      <c r="I383" s="89">
        <v>0</v>
      </c>
      <c r="J383" s="89"/>
      <c r="K383" s="89"/>
      <c r="L383" s="89">
        <v>76.3</v>
      </c>
      <c r="M383" s="89"/>
      <c r="N383" s="88">
        <f t="shared" si="165"/>
        <v>1476.6799999999998</v>
      </c>
      <c r="O383" s="106">
        <v>43775</v>
      </c>
      <c r="P383" s="131" t="s">
        <v>161</v>
      </c>
      <c r="Q383" s="144" t="s">
        <v>104</v>
      </c>
    </row>
    <row r="384" spans="1:18" x14ac:dyDescent="0.2">
      <c r="A384" s="81" t="s">
        <v>32</v>
      </c>
      <c r="B384" s="82" t="s">
        <v>78</v>
      </c>
      <c r="C384" s="89">
        <v>954.8</v>
      </c>
      <c r="D384" s="89">
        <v>393.86</v>
      </c>
      <c r="E384" s="89">
        <v>100</v>
      </c>
      <c r="F384" s="89"/>
      <c r="G384" s="88">
        <f t="shared" si="164"/>
        <v>1348.6599999999999</v>
      </c>
      <c r="H384" s="89">
        <v>13.49</v>
      </c>
      <c r="I384" s="89">
        <v>0</v>
      </c>
      <c r="J384" s="89"/>
      <c r="K384" s="89"/>
      <c r="L384" s="89">
        <v>67.78</v>
      </c>
      <c r="M384" s="89"/>
      <c r="N384" s="88">
        <f t="shared" si="165"/>
        <v>1367.3899999999999</v>
      </c>
      <c r="O384" s="106">
        <v>43775</v>
      </c>
      <c r="P384" s="131" t="s">
        <v>161</v>
      </c>
      <c r="Q384" s="144" t="s">
        <v>104</v>
      </c>
    </row>
    <row r="385" spans="1:18" x14ac:dyDescent="0.2">
      <c r="A385" s="81" t="s">
        <v>75</v>
      </c>
      <c r="B385" s="82" t="s">
        <v>79</v>
      </c>
      <c r="C385" s="89">
        <v>800</v>
      </c>
      <c r="D385" s="89">
        <v>330</v>
      </c>
      <c r="E385" s="89"/>
      <c r="F385" s="89"/>
      <c r="G385" s="88">
        <f t="shared" si="164"/>
        <v>1130</v>
      </c>
      <c r="H385" s="89">
        <v>11.3</v>
      </c>
      <c r="I385" s="89"/>
      <c r="J385" s="89"/>
      <c r="K385" s="89"/>
      <c r="L385" s="89"/>
      <c r="M385" s="89"/>
      <c r="N385" s="88">
        <f t="shared" si="165"/>
        <v>1118.7</v>
      </c>
      <c r="O385" s="106">
        <v>43775</v>
      </c>
      <c r="P385" s="131" t="s">
        <v>161</v>
      </c>
      <c r="Q385" s="144" t="s">
        <v>104</v>
      </c>
    </row>
    <row r="386" spans="1:18" x14ac:dyDescent="0.2">
      <c r="A386" s="81" t="s">
        <v>86</v>
      </c>
      <c r="B386" s="82" t="s">
        <v>106</v>
      </c>
      <c r="C386" s="89">
        <v>1000</v>
      </c>
      <c r="D386" s="89">
        <v>412.5</v>
      </c>
      <c r="E386" s="89"/>
      <c r="F386" s="89"/>
      <c r="G386" s="88">
        <f t="shared" si="164"/>
        <v>1412.5</v>
      </c>
      <c r="H386" s="89">
        <v>14.125</v>
      </c>
      <c r="I386" s="89">
        <v>0</v>
      </c>
      <c r="J386" s="89"/>
      <c r="K386" s="89"/>
      <c r="L386" s="89"/>
      <c r="M386" s="89"/>
      <c r="N386" s="88">
        <f t="shared" si="165"/>
        <v>1398.375</v>
      </c>
      <c r="O386" s="106">
        <v>43775</v>
      </c>
      <c r="P386" s="131" t="s">
        <v>161</v>
      </c>
      <c r="Q386" s="144" t="s">
        <v>104</v>
      </c>
    </row>
    <row r="387" spans="1:18" x14ac:dyDescent="0.2">
      <c r="A387" s="81" t="s">
        <v>107</v>
      </c>
      <c r="B387" s="82" t="s">
        <v>108</v>
      </c>
      <c r="C387" s="89">
        <v>1000</v>
      </c>
      <c r="D387" s="89">
        <v>412.5</v>
      </c>
      <c r="E387" s="89"/>
      <c r="F387" s="89"/>
      <c r="G387" s="88">
        <f t="shared" si="164"/>
        <v>1412.5</v>
      </c>
      <c r="H387" s="89">
        <v>14.125</v>
      </c>
      <c r="I387" s="89">
        <v>0</v>
      </c>
      <c r="J387" s="89"/>
      <c r="K387" s="89"/>
      <c r="L387" s="89"/>
      <c r="M387" s="89"/>
      <c r="N387" s="88">
        <f t="shared" si="165"/>
        <v>1398.375</v>
      </c>
      <c r="O387" s="106">
        <v>43775</v>
      </c>
      <c r="P387" s="131" t="s">
        <v>161</v>
      </c>
      <c r="Q387" s="144" t="s">
        <v>104</v>
      </c>
    </row>
    <row r="388" spans="1:18" x14ac:dyDescent="0.2">
      <c r="A388" s="81" t="s">
        <v>110</v>
      </c>
      <c r="B388" s="82" t="s">
        <v>109</v>
      </c>
      <c r="C388" s="89">
        <v>800</v>
      </c>
      <c r="D388" s="89">
        <v>0</v>
      </c>
      <c r="E388" s="89"/>
      <c r="F388" s="89"/>
      <c r="G388" s="88">
        <f t="shared" si="164"/>
        <v>800</v>
      </c>
      <c r="H388" s="89">
        <v>8</v>
      </c>
      <c r="I388" s="89"/>
      <c r="J388" s="89"/>
      <c r="K388" s="89"/>
      <c r="L388" s="89"/>
      <c r="M388" s="89">
        <v>150</v>
      </c>
      <c r="N388" s="88">
        <f t="shared" si="165"/>
        <v>642</v>
      </c>
      <c r="O388" s="106">
        <v>43775</v>
      </c>
      <c r="P388" s="131" t="s">
        <v>161</v>
      </c>
      <c r="Q388" s="144" t="s">
        <v>104</v>
      </c>
    </row>
    <row r="389" spans="1:18" x14ac:dyDescent="0.2">
      <c r="A389" s="216" t="s">
        <v>149</v>
      </c>
      <c r="B389" s="82" t="s">
        <v>150</v>
      </c>
      <c r="C389" s="89">
        <v>1000</v>
      </c>
      <c r="D389" s="89">
        <v>450</v>
      </c>
      <c r="E389" s="89"/>
      <c r="F389" s="89"/>
      <c r="G389" s="88">
        <f t="shared" si="164"/>
        <v>1450</v>
      </c>
      <c r="H389" s="89">
        <v>14.5</v>
      </c>
      <c r="I389" s="89">
        <v>0</v>
      </c>
      <c r="J389" s="89"/>
      <c r="K389" s="89"/>
      <c r="L389" s="89"/>
      <c r="M389" s="89"/>
      <c r="N389" s="88">
        <f t="shared" si="165"/>
        <v>1435.5</v>
      </c>
      <c r="O389" s="106">
        <v>43775</v>
      </c>
      <c r="P389" s="131" t="s">
        <v>161</v>
      </c>
      <c r="Q389" s="144" t="s">
        <v>104</v>
      </c>
    </row>
    <row r="390" spans="1:18" ht="13.5" thickBot="1" x14ac:dyDescent="0.25">
      <c r="A390" s="80" t="s">
        <v>156</v>
      </c>
      <c r="B390" s="84" t="s">
        <v>159</v>
      </c>
      <c r="C390" s="88">
        <v>1000</v>
      </c>
      <c r="D390" s="88">
        <v>412.5</v>
      </c>
      <c r="E390" s="88"/>
      <c r="F390" s="88"/>
      <c r="G390" s="88">
        <f t="shared" si="164"/>
        <v>1412.5</v>
      </c>
      <c r="H390" s="88">
        <v>14.125</v>
      </c>
      <c r="I390" s="88">
        <v>0</v>
      </c>
      <c r="J390" s="88"/>
      <c r="K390" s="88"/>
      <c r="L390" s="88"/>
      <c r="M390" s="88">
        <v>300</v>
      </c>
      <c r="N390" s="88">
        <f t="shared" si="165"/>
        <v>1098.375</v>
      </c>
      <c r="O390" s="106">
        <v>43775</v>
      </c>
      <c r="P390" s="131" t="s">
        <v>161</v>
      </c>
      <c r="Q390" s="144" t="s">
        <v>104</v>
      </c>
    </row>
    <row r="391" spans="1:18" s="94" customFormat="1" ht="13.5" thickBot="1" x14ac:dyDescent="0.25">
      <c r="A391" s="447" t="s">
        <v>0</v>
      </c>
      <c r="B391" s="448"/>
      <c r="C391" s="122">
        <f t="shared" ref="C391:N391" si="166">SUM(C381:C390)</f>
        <v>11863.6</v>
      </c>
      <c r="D391" s="122">
        <f t="shared" si="166"/>
        <v>4263.49</v>
      </c>
      <c r="E391" s="122">
        <f t="shared" si="166"/>
        <v>690</v>
      </c>
      <c r="F391" s="122">
        <f t="shared" si="166"/>
        <v>572.75</v>
      </c>
      <c r="G391" s="122">
        <f t="shared" si="166"/>
        <v>16699.84</v>
      </c>
      <c r="H391" s="122">
        <f t="shared" si="166"/>
        <v>142.77499999999998</v>
      </c>
      <c r="I391" s="122">
        <f t="shared" si="166"/>
        <v>680</v>
      </c>
      <c r="J391" s="122">
        <f t="shared" si="166"/>
        <v>-155</v>
      </c>
      <c r="K391" s="122">
        <f t="shared" si="166"/>
        <v>572.75</v>
      </c>
      <c r="L391" s="122">
        <f t="shared" si="166"/>
        <v>402.23</v>
      </c>
      <c r="M391" s="122">
        <f t="shared" si="166"/>
        <v>1825</v>
      </c>
      <c r="N391" s="122">
        <f t="shared" si="166"/>
        <v>13349.334999999999</v>
      </c>
      <c r="O391" s="449" t="s">
        <v>0</v>
      </c>
      <c r="P391" s="450"/>
      <c r="Q391" s="144"/>
      <c r="R391" s="319"/>
    </row>
    <row r="392" spans="1:18" x14ac:dyDescent="0.2">
      <c r="A392" s="83" t="s">
        <v>25</v>
      </c>
      <c r="B392" s="84" t="s">
        <v>68</v>
      </c>
      <c r="C392" s="89">
        <v>3415.2</v>
      </c>
      <c r="D392" s="89">
        <v>2305.2600000000002</v>
      </c>
      <c r="E392" s="89">
        <v>490</v>
      </c>
      <c r="F392" s="89">
        <v>572.75</v>
      </c>
      <c r="G392" s="88">
        <f t="shared" ref="G392:G401" si="167">C392+D392+F392</f>
        <v>6293.21</v>
      </c>
      <c r="H392" s="89">
        <v>29.74</v>
      </c>
      <c r="I392" s="89">
        <v>914</v>
      </c>
      <c r="J392" s="89">
        <v>-155</v>
      </c>
      <c r="K392" s="89">
        <v>572.75</v>
      </c>
      <c r="L392" s="89">
        <v>200.01</v>
      </c>
      <c r="M392" s="89">
        <f>1125+250</f>
        <v>1375</v>
      </c>
      <c r="N392" s="88">
        <f t="shared" ref="N392:N401" si="168">C392+D392+E392-H392-I392-J392-K392-L392-M392</f>
        <v>3273.96</v>
      </c>
      <c r="O392" s="106">
        <v>43782</v>
      </c>
      <c r="P392" s="167" t="s">
        <v>162</v>
      </c>
      <c r="Q392" s="144" t="s">
        <v>104</v>
      </c>
    </row>
    <row r="393" spans="1:18" x14ac:dyDescent="0.2">
      <c r="A393" s="81" t="s">
        <v>26</v>
      </c>
      <c r="B393" s="82" t="s">
        <v>76</v>
      </c>
      <c r="C393" s="89">
        <v>818.8</v>
      </c>
      <c r="D393" s="89">
        <v>276.35000000000002</v>
      </c>
      <c r="E393" s="89">
        <v>50</v>
      </c>
      <c r="F393" s="89"/>
      <c r="G393" s="88">
        <f t="shared" si="167"/>
        <v>1095.1500000000001</v>
      </c>
      <c r="H393" s="89">
        <v>10.951499999999999</v>
      </c>
      <c r="I393" s="89">
        <v>0</v>
      </c>
      <c r="J393" s="89"/>
      <c r="K393" s="89"/>
      <c r="L393" s="89">
        <v>58.14</v>
      </c>
      <c r="M393" s="89">
        <v>400</v>
      </c>
      <c r="N393" s="88">
        <f t="shared" si="168"/>
        <v>676.05850000000009</v>
      </c>
      <c r="O393" s="106">
        <v>43782</v>
      </c>
      <c r="P393" s="167" t="s">
        <v>162</v>
      </c>
      <c r="Q393" s="144" t="s">
        <v>104</v>
      </c>
    </row>
    <row r="394" spans="1:18" x14ac:dyDescent="0.2">
      <c r="A394" s="81" t="s">
        <v>3</v>
      </c>
      <c r="B394" s="82" t="s">
        <v>77</v>
      </c>
      <c r="C394" s="89">
        <v>1074.8</v>
      </c>
      <c r="D394" s="89">
        <v>322.44</v>
      </c>
      <c r="E394" s="89">
        <v>50</v>
      </c>
      <c r="F394" s="89"/>
      <c r="G394" s="88">
        <f t="shared" si="167"/>
        <v>1397.24</v>
      </c>
      <c r="H394" s="89">
        <v>13.9724</v>
      </c>
      <c r="I394" s="89">
        <v>0</v>
      </c>
      <c r="J394" s="89"/>
      <c r="K394" s="89"/>
      <c r="L394" s="89">
        <v>76.3</v>
      </c>
      <c r="M394" s="89"/>
      <c r="N394" s="88">
        <f t="shared" si="168"/>
        <v>1356.9675999999999</v>
      </c>
      <c r="O394" s="106">
        <v>43782</v>
      </c>
      <c r="P394" s="167" t="s">
        <v>162</v>
      </c>
      <c r="Q394" s="144" t="s">
        <v>104</v>
      </c>
    </row>
    <row r="395" spans="1:18" x14ac:dyDescent="0.2">
      <c r="A395" s="81" t="s">
        <v>32</v>
      </c>
      <c r="B395" s="82" t="s">
        <v>78</v>
      </c>
      <c r="C395" s="89">
        <v>954.8</v>
      </c>
      <c r="D395" s="89">
        <v>286.44</v>
      </c>
      <c r="E395" s="89">
        <v>100</v>
      </c>
      <c r="F395" s="89"/>
      <c r="G395" s="88">
        <f t="shared" si="167"/>
        <v>1241.24</v>
      </c>
      <c r="H395" s="89">
        <v>12.4124</v>
      </c>
      <c r="I395" s="89">
        <v>0</v>
      </c>
      <c r="J395" s="89"/>
      <c r="K395" s="89"/>
      <c r="L395" s="89">
        <v>67.78</v>
      </c>
      <c r="M395" s="89"/>
      <c r="N395" s="88">
        <f t="shared" si="168"/>
        <v>1261.0476000000001</v>
      </c>
      <c r="O395" s="106">
        <v>43782</v>
      </c>
      <c r="P395" s="167" t="s">
        <v>162</v>
      </c>
      <c r="Q395" s="144" t="s">
        <v>104</v>
      </c>
    </row>
    <row r="396" spans="1:18" x14ac:dyDescent="0.2">
      <c r="A396" s="81" t="s">
        <v>75</v>
      </c>
      <c r="B396" s="82" t="s">
        <v>79</v>
      </c>
      <c r="C396" s="89">
        <v>800</v>
      </c>
      <c r="D396" s="89">
        <v>0</v>
      </c>
      <c r="E396" s="89"/>
      <c r="F396" s="89"/>
      <c r="G396" s="88">
        <f t="shared" si="167"/>
        <v>800</v>
      </c>
      <c r="H396" s="89">
        <v>8</v>
      </c>
      <c r="I396" s="89"/>
      <c r="J396" s="89"/>
      <c r="K396" s="89"/>
      <c r="L396" s="89"/>
      <c r="M396" s="89"/>
      <c r="N396" s="88">
        <f t="shared" si="168"/>
        <v>792</v>
      </c>
      <c r="O396" s="106">
        <v>43782</v>
      </c>
      <c r="P396" s="167" t="s">
        <v>162</v>
      </c>
      <c r="Q396" s="144" t="s">
        <v>104</v>
      </c>
    </row>
    <row r="397" spans="1:18" x14ac:dyDescent="0.2">
      <c r="A397" s="81" t="s">
        <v>86</v>
      </c>
      <c r="B397" s="82" t="s">
        <v>106</v>
      </c>
      <c r="C397" s="89">
        <v>1000</v>
      </c>
      <c r="D397" s="89">
        <v>412.5</v>
      </c>
      <c r="E397" s="89"/>
      <c r="F397" s="89"/>
      <c r="G397" s="88">
        <f t="shared" si="167"/>
        <v>1412.5</v>
      </c>
      <c r="H397" s="89">
        <v>14.125</v>
      </c>
      <c r="I397" s="89">
        <v>0</v>
      </c>
      <c r="J397" s="89"/>
      <c r="K397" s="89"/>
      <c r="L397" s="89"/>
      <c r="M397" s="89"/>
      <c r="N397" s="88">
        <f t="shared" si="168"/>
        <v>1398.375</v>
      </c>
      <c r="O397" s="106">
        <v>43782</v>
      </c>
      <c r="P397" s="167" t="s">
        <v>162</v>
      </c>
      <c r="Q397" s="144" t="s">
        <v>104</v>
      </c>
    </row>
    <row r="398" spans="1:18" x14ac:dyDescent="0.2">
      <c r="A398" s="81" t="s">
        <v>107</v>
      </c>
      <c r="B398" s="82" t="s">
        <v>108</v>
      </c>
      <c r="C398" s="89">
        <v>1000</v>
      </c>
      <c r="D398" s="89">
        <v>412.5</v>
      </c>
      <c r="E398" s="89"/>
      <c r="F398" s="89"/>
      <c r="G398" s="88">
        <f t="shared" si="167"/>
        <v>1412.5</v>
      </c>
      <c r="H398" s="89">
        <v>14.125</v>
      </c>
      <c r="I398" s="89">
        <v>0</v>
      </c>
      <c r="J398" s="89"/>
      <c r="K398" s="89"/>
      <c r="L398" s="89"/>
      <c r="M398" s="89"/>
      <c r="N398" s="88">
        <f t="shared" si="168"/>
        <v>1398.375</v>
      </c>
      <c r="O398" s="106">
        <v>43782</v>
      </c>
      <c r="P398" s="167" t="s">
        <v>162</v>
      </c>
      <c r="Q398" s="144" t="s">
        <v>104</v>
      </c>
    </row>
    <row r="399" spans="1:18" x14ac:dyDescent="0.2">
      <c r="A399" s="81" t="s">
        <v>110</v>
      </c>
      <c r="B399" s="82" t="s">
        <v>109</v>
      </c>
      <c r="C399" s="89">
        <v>800</v>
      </c>
      <c r="D399" s="89">
        <v>240</v>
      </c>
      <c r="E399" s="89"/>
      <c r="F399" s="89"/>
      <c r="G399" s="88">
        <f t="shared" si="167"/>
        <v>1040</v>
      </c>
      <c r="H399" s="89">
        <v>10.4</v>
      </c>
      <c r="I399" s="89"/>
      <c r="J399" s="89"/>
      <c r="K399" s="89"/>
      <c r="L399" s="89"/>
      <c r="M399" s="89">
        <v>150</v>
      </c>
      <c r="N399" s="88">
        <f t="shared" si="168"/>
        <v>879.59999999999991</v>
      </c>
      <c r="O399" s="106">
        <v>43782</v>
      </c>
      <c r="P399" s="167" t="s">
        <v>162</v>
      </c>
      <c r="Q399" s="144" t="s">
        <v>104</v>
      </c>
    </row>
    <row r="400" spans="1:18" x14ac:dyDescent="0.2">
      <c r="A400" s="216" t="s">
        <v>149</v>
      </c>
      <c r="B400" s="82" t="s">
        <v>150</v>
      </c>
      <c r="C400" s="89">
        <v>1000</v>
      </c>
      <c r="D400" s="89">
        <v>300</v>
      </c>
      <c r="E400" s="89"/>
      <c r="F400" s="89"/>
      <c r="G400" s="88">
        <f t="shared" si="167"/>
        <v>1300</v>
      </c>
      <c r="H400" s="89">
        <v>13</v>
      </c>
      <c r="I400" s="89">
        <v>0</v>
      </c>
      <c r="J400" s="89"/>
      <c r="K400" s="89"/>
      <c r="L400" s="89"/>
      <c r="M400" s="89"/>
      <c r="N400" s="88">
        <f t="shared" si="168"/>
        <v>1287</v>
      </c>
      <c r="O400" s="106">
        <v>43782</v>
      </c>
      <c r="P400" s="167" t="s">
        <v>162</v>
      </c>
      <c r="Q400" s="144" t="s">
        <v>104</v>
      </c>
    </row>
    <row r="401" spans="1:18" ht="13.5" thickBot="1" x14ac:dyDescent="0.25">
      <c r="A401" s="80" t="s">
        <v>156</v>
      </c>
      <c r="B401" s="84" t="s">
        <v>159</v>
      </c>
      <c r="C401" s="88">
        <v>1000</v>
      </c>
      <c r="D401" s="88">
        <v>300</v>
      </c>
      <c r="E401" s="88"/>
      <c r="F401" s="88"/>
      <c r="G401" s="88">
        <f t="shared" si="167"/>
        <v>1300</v>
      </c>
      <c r="H401" s="88">
        <v>13</v>
      </c>
      <c r="I401" s="88">
        <v>0</v>
      </c>
      <c r="J401" s="88"/>
      <c r="K401" s="88"/>
      <c r="L401" s="88"/>
      <c r="M401" s="88">
        <v>300</v>
      </c>
      <c r="N401" s="88">
        <f t="shared" si="168"/>
        <v>987</v>
      </c>
      <c r="O401" s="106">
        <v>43782</v>
      </c>
      <c r="P401" s="167" t="s">
        <v>162</v>
      </c>
      <c r="Q401" s="144" t="s">
        <v>104</v>
      </c>
    </row>
    <row r="402" spans="1:18" s="94" customFormat="1" ht="13.5" thickBot="1" x14ac:dyDescent="0.25">
      <c r="A402" s="451" t="s">
        <v>0</v>
      </c>
      <c r="B402" s="452"/>
      <c r="C402" s="168">
        <f t="shared" ref="C402:N402" si="169">SUM(C392:C401)</f>
        <v>11863.6</v>
      </c>
      <c r="D402" s="168">
        <f t="shared" si="169"/>
        <v>4855.49</v>
      </c>
      <c r="E402" s="168">
        <f t="shared" si="169"/>
        <v>690</v>
      </c>
      <c r="F402" s="168">
        <f t="shared" si="169"/>
        <v>572.75</v>
      </c>
      <c r="G402" s="168">
        <f t="shared" si="169"/>
        <v>17291.84</v>
      </c>
      <c r="H402" s="168">
        <f t="shared" si="169"/>
        <v>139.72630000000001</v>
      </c>
      <c r="I402" s="168">
        <f t="shared" si="169"/>
        <v>914</v>
      </c>
      <c r="J402" s="168">
        <f t="shared" si="169"/>
        <v>-155</v>
      </c>
      <c r="K402" s="168">
        <f t="shared" si="169"/>
        <v>572.75</v>
      </c>
      <c r="L402" s="168">
        <f t="shared" si="169"/>
        <v>402.23</v>
      </c>
      <c r="M402" s="168">
        <f t="shared" si="169"/>
        <v>2225</v>
      </c>
      <c r="N402" s="168">
        <f t="shared" si="169"/>
        <v>13310.3837</v>
      </c>
      <c r="O402" s="453" t="s">
        <v>0</v>
      </c>
      <c r="P402" s="454"/>
      <c r="Q402" s="144"/>
      <c r="R402" s="319"/>
    </row>
    <row r="403" spans="1:18" x14ac:dyDescent="0.2">
      <c r="A403" s="83" t="s">
        <v>25</v>
      </c>
      <c r="B403" s="84" t="s">
        <v>68</v>
      </c>
      <c r="C403" s="89">
        <v>3415.2</v>
      </c>
      <c r="D403" s="89">
        <v>3073.68</v>
      </c>
      <c r="E403" s="89">
        <v>490</v>
      </c>
      <c r="F403" s="89">
        <v>572.75</v>
      </c>
      <c r="G403" s="88">
        <f t="shared" ref="G403:G412" si="170">C403+D403+F403</f>
        <v>7061.6299999999992</v>
      </c>
      <c r="H403" s="89">
        <v>29.74</v>
      </c>
      <c r="I403" s="89">
        <v>1141</v>
      </c>
      <c r="J403" s="89">
        <v>-155</v>
      </c>
      <c r="K403" s="89">
        <v>572.75</v>
      </c>
      <c r="L403" s="89">
        <v>200.01</v>
      </c>
      <c r="M403" s="89">
        <f>1125+250</f>
        <v>1375</v>
      </c>
      <c r="N403" s="88">
        <f t="shared" ref="N403:N412" si="171">C403+D403+E403-H403-I403-J403-K403-L403-M403</f>
        <v>3815.3799999999992</v>
      </c>
      <c r="O403" s="106">
        <v>43789</v>
      </c>
      <c r="P403" s="134" t="s">
        <v>163</v>
      </c>
      <c r="Q403" s="144" t="s">
        <v>104</v>
      </c>
    </row>
    <row r="404" spans="1:18" x14ac:dyDescent="0.2">
      <c r="A404" s="81" t="s">
        <v>26</v>
      </c>
      <c r="B404" s="82" t="s">
        <v>76</v>
      </c>
      <c r="C404" s="89">
        <v>818.8</v>
      </c>
      <c r="D404" s="89">
        <v>0</v>
      </c>
      <c r="E404" s="89">
        <v>50</v>
      </c>
      <c r="F404" s="89"/>
      <c r="G404" s="88">
        <f t="shared" si="170"/>
        <v>818.8</v>
      </c>
      <c r="H404" s="89">
        <v>8.1880000000000006</v>
      </c>
      <c r="I404" s="89">
        <v>0</v>
      </c>
      <c r="J404" s="89"/>
      <c r="K404" s="89"/>
      <c r="L404" s="89">
        <v>58.14</v>
      </c>
      <c r="M404" s="89">
        <v>200</v>
      </c>
      <c r="N404" s="88">
        <f t="shared" si="171"/>
        <v>602.47199999999998</v>
      </c>
      <c r="O404" s="106">
        <v>43789</v>
      </c>
      <c r="P404" s="134" t="s">
        <v>163</v>
      </c>
      <c r="Q404" s="144" t="s">
        <v>104</v>
      </c>
    </row>
    <row r="405" spans="1:18" x14ac:dyDescent="0.2">
      <c r="A405" s="81" t="s">
        <v>3</v>
      </c>
      <c r="B405" s="82" t="s">
        <v>77</v>
      </c>
      <c r="C405" s="89">
        <v>1074.8</v>
      </c>
      <c r="D405" s="89">
        <v>120.92</v>
      </c>
      <c r="E405" s="89">
        <v>50</v>
      </c>
      <c r="F405" s="89"/>
      <c r="G405" s="88">
        <f t="shared" si="170"/>
        <v>1195.72</v>
      </c>
      <c r="H405" s="89">
        <v>11.96</v>
      </c>
      <c r="I405" s="89">
        <v>0</v>
      </c>
      <c r="J405" s="89"/>
      <c r="K405" s="89"/>
      <c r="L405" s="89">
        <v>76.3</v>
      </c>
      <c r="M405" s="89"/>
      <c r="N405" s="88">
        <f t="shared" si="171"/>
        <v>1157.46</v>
      </c>
      <c r="O405" s="106">
        <v>43789</v>
      </c>
      <c r="P405" s="134" t="s">
        <v>163</v>
      </c>
      <c r="Q405" s="144" t="s">
        <v>104</v>
      </c>
    </row>
    <row r="406" spans="1:18" x14ac:dyDescent="0.2">
      <c r="A406" s="81" t="s">
        <v>32</v>
      </c>
      <c r="B406" s="82" t="s">
        <v>78</v>
      </c>
      <c r="C406" s="89">
        <v>954.8</v>
      </c>
      <c r="D406" s="89">
        <v>107.42</v>
      </c>
      <c r="E406" s="89">
        <v>100</v>
      </c>
      <c r="F406" s="89"/>
      <c r="G406" s="88">
        <f t="shared" si="170"/>
        <v>1062.22</v>
      </c>
      <c r="H406" s="89">
        <v>10.62</v>
      </c>
      <c r="I406" s="89">
        <v>0</v>
      </c>
      <c r="J406" s="89"/>
      <c r="K406" s="89"/>
      <c r="L406" s="89">
        <v>67.78</v>
      </c>
      <c r="M406" s="89"/>
      <c r="N406" s="88">
        <f t="shared" si="171"/>
        <v>1083.8200000000002</v>
      </c>
      <c r="O406" s="106">
        <v>43789</v>
      </c>
      <c r="P406" s="134" t="s">
        <v>163</v>
      </c>
      <c r="Q406" s="144" t="s">
        <v>104</v>
      </c>
    </row>
    <row r="407" spans="1:18" x14ac:dyDescent="0.2">
      <c r="A407" s="81" t="s">
        <v>75</v>
      </c>
      <c r="B407" s="82" t="s">
        <v>79</v>
      </c>
      <c r="C407" s="89">
        <v>800</v>
      </c>
      <c r="D407" s="89">
        <v>90</v>
      </c>
      <c r="E407" s="89"/>
      <c r="F407" s="89"/>
      <c r="G407" s="88">
        <f t="shared" si="170"/>
        <v>890</v>
      </c>
      <c r="H407" s="89">
        <v>8.9</v>
      </c>
      <c r="I407" s="89"/>
      <c r="J407" s="89"/>
      <c r="K407" s="89"/>
      <c r="L407" s="89"/>
      <c r="M407" s="89"/>
      <c r="N407" s="88">
        <f t="shared" si="171"/>
        <v>881.1</v>
      </c>
      <c r="O407" s="106">
        <v>43789</v>
      </c>
      <c r="P407" s="134" t="s">
        <v>163</v>
      </c>
      <c r="Q407" s="144" t="s">
        <v>104</v>
      </c>
    </row>
    <row r="408" spans="1:18" x14ac:dyDescent="0.2">
      <c r="A408" s="81" t="s">
        <v>86</v>
      </c>
      <c r="B408" s="82" t="s">
        <v>106</v>
      </c>
      <c r="C408" s="89">
        <v>1000</v>
      </c>
      <c r="D408" s="89">
        <v>543.75</v>
      </c>
      <c r="E408" s="89"/>
      <c r="F408" s="89"/>
      <c r="G408" s="88">
        <f t="shared" si="170"/>
        <v>1543.75</v>
      </c>
      <c r="H408" s="89">
        <v>15.4375</v>
      </c>
      <c r="I408" s="89">
        <v>4</v>
      </c>
      <c r="J408" s="89"/>
      <c r="K408" s="89"/>
      <c r="L408" s="89"/>
      <c r="M408" s="89"/>
      <c r="N408" s="88">
        <f t="shared" si="171"/>
        <v>1524.3125</v>
      </c>
      <c r="O408" s="106">
        <v>43789</v>
      </c>
      <c r="P408" s="134" t="s">
        <v>163</v>
      </c>
      <c r="Q408" s="144" t="s">
        <v>104</v>
      </c>
    </row>
    <row r="409" spans="1:18" x14ac:dyDescent="0.2">
      <c r="A409" s="81" t="s">
        <v>107</v>
      </c>
      <c r="B409" s="82" t="s">
        <v>108</v>
      </c>
      <c r="C409" s="89">
        <v>1000</v>
      </c>
      <c r="D409" s="89">
        <v>543.75</v>
      </c>
      <c r="E409" s="89"/>
      <c r="F409" s="89"/>
      <c r="G409" s="88">
        <f t="shared" si="170"/>
        <v>1543.75</v>
      </c>
      <c r="H409" s="89">
        <v>15.4375</v>
      </c>
      <c r="I409" s="89">
        <v>4</v>
      </c>
      <c r="J409" s="89"/>
      <c r="K409" s="89"/>
      <c r="L409" s="89"/>
      <c r="M409" s="89"/>
      <c r="N409" s="88">
        <f t="shared" si="171"/>
        <v>1524.3125</v>
      </c>
      <c r="O409" s="106">
        <v>43789</v>
      </c>
      <c r="P409" s="134" t="s">
        <v>163</v>
      </c>
      <c r="Q409" s="144" t="s">
        <v>104</v>
      </c>
    </row>
    <row r="410" spans="1:18" x14ac:dyDescent="0.2">
      <c r="A410" s="81" t="s">
        <v>110</v>
      </c>
      <c r="B410" s="82" t="s">
        <v>109</v>
      </c>
      <c r="C410" s="89">
        <v>800</v>
      </c>
      <c r="D410" s="89">
        <v>0</v>
      </c>
      <c r="E410" s="89"/>
      <c r="F410" s="89"/>
      <c r="G410" s="88">
        <f t="shared" si="170"/>
        <v>800</v>
      </c>
      <c r="H410" s="89">
        <v>8</v>
      </c>
      <c r="I410" s="89"/>
      <c r="J410" s="89"/>
      <c r="K410" s="89"/>
      <c r="L410" s="89"/>
      <c r="M410" s="89">
        <v>0</v>
      </c>
      <c r="N410" s="88">
        <f t="shared" si="171"/>
        <v>792</v>
      </c>
      <c r="O410" s="106">
        <v>43789</v>
      </c>
      <c r="P410" s="134" t="s">
        <v>163</v>
      </c>
      <c r="Q410" s="144" t="s">
        <v>104</v>
      </c>
    </row>
    <row r="411" spans="1:18" x14ac:dyDescent="0.2">
      <c r="A411" s="216" t="s">
        <v>149</v>
      </c>
      <c r="B411" s="82" t="s">
        <v>150</v>
      </c>
      <c r="C411" s="89">
        <v>1000</v>
      </c>
      <c r="D411" s="89">
        <v>693.75</v>
      </c>
      <c r="E411" s="89"/>
      <c r="F411" s="89"/>
      <c r="G411" s="88">
        <f t="shared" si="170"/>
        <v>1693.75</v>
      </c>
      <c r="H411" s="89">
        <v>16.9375</v>
      </c>
      <c r="I411" s="89">
        <v>31</v>
      </c>
      <c r="J411" s="89"/>
      <c r="K411" s="89"/>
      <c r="L411" s="89"/>
      <c r="M411" s="89"/>
      <c r="N411" s="88">
        <f t="shared" si="171"/>
        <v>1645.8125</v>
      </c>
      <c r="O411" s="106">
        <v>43789</v>
      </c>
      <c r="P411" s="134" t="s">
        <v>163</v>
      </c>
      <c r="Q411" s="144" t="s">
        <v>104</v>
      </c>
    </row>
    <row r="412" spans="1:18" ht="13.5" thickBot="1" x14ac:dyDescent="0.25">
      <c r="A412" s="80" t="s">
        <v>156</v>
      </c>
      <c r="B412" s="84" t="s">
        <v>159</v>
      </c>
      <c r="C412" s="88">
        <v>800</v>
      </c>
      <c r="D412" s="88">
        <v>0</v>
      </c>
      <c r="E412" s="88"/>
      <c r="F412" s="88"/>
      <c r="G412" s="88">
        <f t="shared" si="170"/>
        <v>800</v>
      </c>
      <c r="H412" s="88">
        <v>8</v>
      </c>
      <c r="I412" s="88">
        <v>0</v>
      </c>
      <c r="J412" s="88"/>
      <c r="K412" s="88"/>
      <c r="L412" s="88"/>
      <c r="M412" s="88">
        <v>400</v>
      </c>
      <c r="N412" s="88">
        <f t="shared" si="171"/>
        <v>392</v>
      </c>
      <c r="O412" s="106">
        <v>43789</v>
      </c>
      <c r="P412" s="134" t="s">
        <v>163</v>
      </c>
      <c r="Q412" s="144" t="s">
        <v>104</v>
      </c>
    </row>
    <row r="413" spans="1:18" s="94" customFormat="1" ht="13.5" thickBot="1" x14ac:dyDescent="0.25">
      <c r="A413" s="429" t="s">
        <v>0</v>
      </c>
      <c r="B413" s="430"/>
      <c r="C413" s="114">
        <f t="shared" ref="C413:N413" si="172">SUM(C403:C412)</f>
        <v>11663.6</v>
      </c>
      <c r="D413" s="114">
        <f t="shared" si="172"/>
        <v>5173.2700000000004</v>
      </c>
      <c r="E413" s="114">
        <f t="shared" si="172"/>
        <v>690</v>
      </c>
      <c r="F413" s="114">
        <f t="shared" si="172"/>
        <v>572.75</v>
      </c>
      <c r="G413" s="114">
        <f t="shared" si="172"/>
        <v>17409.62</v>
      </c>
      <c r="H413" s="114">
        <f t="shared" si="172"/>
        <v>133.22050000000002</v>
      </c>
      <c r="I413" s="114">
        <f t="shared" si="172"/>
        <v>1180</v>
      </c>
      <c r="J413" s="114">
        <f t="shared" si="172"/>
        <v>-155</v>
      </c>
      <c r="K413" s="114">
        <f t="shared" si="172"/>
        <v>572.75</v>
      </c>
      <c r="L413" s="114">
        <f t="shared" si="172"/>
        <v>402.23</v>
      </c>
      <c r="M413" s="114">
        <f t="shared" si="172"/>
        <v>1975</v>
      </c>
      <c r="N413" s="114">
        <f t="shared" si="172"/>
        <v>13418.6695</v>
      </c>
      <c r="O413" s="431" t="s">
        <v>0</v>
      </c>
      <c r="P413" s="432"/>
      <c r="Q413" s="144"/>
      <c r="R413" s="319"/>
    </row>
    <row r="414" spans="1:18" x14ac:dyDescent="0.2">
      <c r="A414" s="83" t="s">
        <v>25</v>
      </c>
      <c r="B414" s="84" t="s">
        <v>68</v>
      </c>
      <c r="C414" s="89">
        <v>3415.2</v>
      </c>
      <c r="D414" s="89">
        <v>2433.33</v>
      </c>
      <c r="E414" s="89">
        <v>490</v>
      </c>
      <c r="F414" s="89">
        <v>572.75</v>
      </c>
      <c r="G414" s="88">
        <f t="shared" ref="G414:G422" si="173">C414+D414+F414</f>
        <v>6421.28</v>
      </c>
      <c r="H414" s="89">
        <v>29.74</v>
      </c>
      <c r="I414" s="89">
        <v>947</v>
      </c>
      <c r="J414" s="89">
        <v>-155</v>
      </c>
      <c r="K414" s="89">
        <v>572.75</v>
      </c>
      <c r="L414" s="89">
        <v>200.01</v>
      </c>
      <c r="M414" s="89">
        <f>1125+250</f>
        <v>1375</v>
      </c>
      <c r="N414" s="88">
        <f t="shared" ref="N414:N422" si="174">C414+D414+E414-H414-I414-J414-K414-L414-M414</f>
        <v>3369.0299999999997</v>
      </c>
      <c r="O414" s="106">
        <v>43796</v>
      </c>
      <c r="P414" s="165" t="s">
        <v>164</v>
      </c>
      <c r="Q414" s="144" t="s">
        <v>104</v>
      </c>
    </row>
    <row r="415" spans="1:18" x14ac:dyDescent="0.2">
      <c r="A415" s="81" t="s">
        <v>26</v>
      </c>
      <c r="B415" s="82" t="s">
        <v>76</v>
      </c>
      <c r="C415" s="89">
        <v>818.8</v>
      </c>
      <c r="D415" s="89">
        <v>0</v>
      </c>
      <c r="E415" s="89">
        <v>50</v>
      </c>
      <c r="F415" s="89"/>
      <c r="G415" s="88">
        <f t="shared" si="173"/>
        <v>818.8</v>
      </c>
      <c r="H415" s="89">
        <v>8.1880000000000006</v>
      </c>
      <c r="I415" s="89">
        <v>0</v>
      </c>
      <c r="J415" s="89"/>
      <c r="K415" s="89"/>
      <c r="L415" s="89">
        <v>58.14</v>
      </c>
      <c r="M415" s="89">
        <v>0</v>
      </c>
      <c r="N415" s="88">
        <f t="shared" si="174"/>
        <v>802.47199999999998</v>
      </c>
      <c r="O415" s="106">
        <v>43796</v>
      </c>
      <c r="P415" s="165" t="s">
        <v>164</v>
      </c>
      <c r="Q415" s="144" t="s">
        <v>104</v>
      </c>
    </row>
    <row r="416" spans="1:18" x14ac:dyDescent="0.2">
      <c r="A416" s="81" t="s">
        <v>3</v>
      </c>
      <c r="B416" s="82" t="s">
        <v>77</v>
      </c>
      <c r="C416" s="89">
        <v>1074.8</v>
      </c>
      <c r="D416" s="89">
        <v>0</v>
      </c>
      <c r="E416" s="89">
        <v>50</v>
      </c>
      <c r="F416" s="89"/>
      <c r="G416" s="88">
        <f t="shared" si="173"/>
        <v>1074.8</v>
      </c>
      <c r="H416" s="89">
        <v>10.747999999999999</v>
      </c>
      <c r="I416" s="89">
        <v>0</v>
      </c>
      <c r="J416" s="89"/>
      <c r="K416" s="89"/>
      <c r="L416" s="89">
        <v>76.3</v>
      </c>
      <c r="M416" s="89"/>
      <c r="N416" s="88">
        <f t="shared" si="174"/>
        <v>1037.752</v>
      </c>
      <c r="O416" s="106">
        <v>43796</v>
      </c>
      <c r="P416" s="165" t="s">
        <v>164</v>
      </c>
      <c r="Q416" s="144" t="s">
        <v>104</v>
      </c>
    </row>
    <row r="417" spans="1:18" x14ac:dyDescent="0.2">
      <c r="A417" s="81" t="s">
        <v>32</v>
      </c>
      <c r="B417" s="82" t="s">
        <v>78</v>
      </c>
      <c r="C417" s="89">
        <v>954.8</v>
      </c>
      <c r="D417" s="89">
        <v>0</v>
      </c>
      <c r="E417" s="89">
        <v>100</v>
      </c>
      <c r="F417" s="89"/>
      <c r="G417" s="88">
        <f t="shared" si="173"/>
        <v>954.8</v>
      </c>
      <c r="H417" s="89">
        <v>9.548</v>
      </c>
      <c r="I417" s="89">
        <v>0</v>
      </c>
      <c r="J417" s="89"/>
      <c r="K417" s="89"/>
      <c r="L417" s="89">
        <v>67.78</v>
      </c>
      <c r="M417" s="89"/>
      <c r="N417" s="88">
        <f t="shared" si="174"/>
        <v>977.47199999999998</v>
      </c>
      <c r="O417" s="106">
        <v>43796</v>
      </c>
      <c r="P417" s="165" t="s">
        <v>164</v>
      </c>
      <c r="Q417" s="144" t="s">
        <v>104</v>
      </c>
    </row>
    <row r="418" spans="1:18" x14ac:dyDescent="0.2">
      <c r="A418" s="81" t="s">
        <v>75</v>
      </c>
      <c r="B418" s="82" t="s">
        <v>79</v>
      </c>
      <c r="C418" s="89">
        <v>800</v>
      </c>
      <c r="D418" s="89">
        <v>0</v>
      </c>
      <c r="E418" s="89"/>
      <c r="F418" s="89"/>
      <c r="G418" s="88">
        <f t="shared" si="173"/>
        <v>800</v>
      </c>
      <c r="H418" s="89">
        <v>8</v>
      </c>
      <c r="I418" s="89"/>
      <c r="J418" s="89"/>
      <c r="K418" s="89"/>
      <c r="L418" s="89"/>
      <c r="M418" s="89"/>
      <c r="N418" s="88">
        <f t="shared" si="174"/>
        <v>792</v>
      </c>
      <c r="O418" s="106">
        <v>43796</v>
      </c>
      <c r="P418" s="165" t="s">
        <v>164</v>
      </c>
      <c r="Q418" s="144" t="s">
        <v>104</v>
      </c>
    </row>
    <row r="419" spans="1:18" x14ac:dyDescent="0.2">
      <c r="A419" s="81" t="s">
        <v>86</v>
      </c>
      <c r="B419" s="82" t="s">
        <v>106</v>
      </c>
      <c r="C419" s="89">
        <v>1000</v>
      </c>
      <c r="D419" s="89">
        <v>262.5</v>
      </c>
      <c r="E419" s="89"/>
      <c r="F419" s="89"/>
      <c r="G419" s="88">
        <f t="shared" si="173"/>
        <v>1262.5</v>
      </c>
      <c r="H419" s="89">
        <v>12.625</v>
      </c>
      <c r="I419" s="89"/>
      <c r="J419" s="89"/>
      <c r="K419" s="89"/>
      <c r="L419" s="89"/>
      <c r="M419" s="89"/>
      <c r="N419" s="88">
        <f t="shared" si="174"/>
        <v>1249.875</v>
      </c>
      <c r="O419" s="106">
        <v>43796</v>
      </c>
      <c r="P419" s="165" t="s">
        <v>164</v>
      </c>
      <c r="Q419" s="144" t="s">
        <v>104</v>
      </c>
    </row>
    <row r="420" spans="1:18" x14ac:dyDescent="0.2">
      <c r="A420" s="81" t="s">
        <v>107</v>
      </c>
      <c r="B420" s="82" t="s">
        <v>108</v>
      </c>
      <c r="C420" s="89">
        <v>1000</v>
      </c>
      <c r="D420" s="89">
        <v>0</v>
      </c>
      <c r="E420" s="89"/>
      <c r="F420" s="89"/>
      <c r="G420" s="88">
        <f t="shared" si="173"/>
        <v>1000</v>
      </c>
      <c r="H420" s="89">
        <v>10</v>
      </c>
      <c r="I420" s="89"/>
      <c r="J420" s="89"/>
      <c r="K420" s="89"/>
      <c r="L420" s="89"/>
      <c r="M420" s="89"/>
      <c r="N420" s="88">
        <f t="shared" si="174"/>
        <v>990</v>
      </c>
      <c r="O420" s="106">
        <v>43796</v>
      </c>
      <c r="P420" s="165" t="s">
        <v>164</v>
      </c>
      <c r="Q420" s="144" t="s">
        <v>104</v>
      </c>
    </row>
    <row r="421" spans="1:18" x14ac:dyDescent="0.2">
      <c r="A421" s="81" t="s">
        <v>110</v>
      </c>
      <c r="B421" s="82" t="s">
        <v>109</v>
      </c>
      <c r="C421" s="89">
        <v>740</v>
      </c>
      <c r="D421" s="89">
        <v>0</v>
      </c>
      <c r="E421" s="89"/>
      <c r="F421" s="89"/>
      <c r="G421" s="88">
        <f t="shared" si="173"/>
        <v>740</v>
      </c>
      <c r="H421" s="89">
        <v>7.4</v>
      </c>
      <c r="I421" s="89"/>
      <c r="J421" s="89"/>
      <c r="K421" s="89"/>
      <c r="L421" s="89"/>
      <c r="M421" s="89">
        <v>0</v>
      </c>
      <c r="N421" s="88">
        <f t="shared" si="174"/>
        <v>732.6</v>
      </c>
      <c r="O421" s="106">
        <v>43796</v>
      </c>
      <c r="P421" s="165" t="s">
        <v>164</v>
      </c>
      <c r="Q421" s="144" t="s">
        <v>104</v>
      </c>
    </row>
    <row r="422" spans="1:18" ht="13.5" thickBot="1" x14ac:dyDescent="0.25">
      <c r="A422" s="216" t="s">
        <v>149</v>
      </c>
      <c r="B422" s="82" t="s">
        <v>150</v>
      </c>
      <c r="C422" s="89">
        <v>1000</v>
      </c>
      <c r="D422" s="89">
        <v>412.5</v>
      </c>
      <c r="E422" s="89"/>
      <c r="F422" s="89"/>
      <c r="G422" s="88">
        <f t="shared" si="173"/>
        <v>1412.5</v>
      </c>
      <c r="H422" s="89">
        <v>14.125</v>
      </c>
      <c r="I422" s="89">
        <v>0</v>
      </c>
      <c r="J422" s="89"/>
      <c r="K422" s="89"/>
      <c r="L422" s="89"/>
      <c r="M422" s="89"/>
      <c r="N422" s="88">
        <f t="shared" si="174"/>
        <v>1398.375</v>
      </c>
      <c r="O422" s="106">
        <v>43796</v>
      </c>
      <c r="P422" s="165" t="s">
        <v>164</v>
      </c>
      <c r="Q422" s="144" t="s">
        <v>104</v>
      </c>
    </row>
    <row r="423" spans="1:18" s="94" customFormat="1" ht="13.5" thickBot="1" x14ac:dyDescent="0.25">
      <c r="A423" s="435" t="s">
        <v>0</v>
      </c>
      <c r="B423" s="436"/>
      <c r="C423" s="166">
        <f t="shared" ref="C423:N423" si="175">SUM(C414:C422)</f>
        <v>10803.6</v>
      </c>
      <c r="D423" s="166">
        <f t="shared" si="175"/>
        <v>3108.33</v>
      </c>
      <c r="E423" s="166">
        <f t="shared" si="175"/>
        <v>690</v>
      </c>
      <c r="F423" s="166">
        <f t="shared" si="175"/>
        <v>572.75</v>
      </c>
      <c r="G423" s="166">
        <f t="shared" si="175"/>
        <v>14484.679999999998</v>
      </c>
      <c r="H423" s="166">
        <f t="shared" si="175"/>
        <v>110.374</v>
      </c>
      <c r="I423" s="166">
        <f t="shared" si="175"/>
        <v>947</v>
      </c>
      <c r="J423" s="166">
        <f t="shared" si="175"/>
        <v>-155</v>
      </c>
      <c r="K423" s="166">
        <f t="shared" si="175"/>
        <v>572.75</v>
      </c>
      <c r="L423" s="166">
        <f t="shared" si="175"/>
        <v>402.23</v>
      </c>
      <c r="M423" s="166">
        <f t="shared" si="175"/>
        <v>1375</v>
      </c>
      <c r="N423" s="166">
        <f t="shared" si="175"/>
        <v>11349.575999999999</v>
      </c>
      <c r="O423" s="433" t="s">
        <v>0</v>
      </c>
      <c r="P423" s="434"/>
      <c r="Q423" s="145"/>
      <c r="R423" s="319"/>
    </row>
    <row r="424" spans="1:18" s="153" customFormat="1" ht="13.5" thickBot="1" x14ac:dyDescent="0.25">
      <c r="A424" s="437" t="s">
        <v>99</v>
      </c>
      <c r="B424" s="438"/>
      <c r="C424" s="171">
        <f t="shared" ref="C424:N424" si="176">C423+C413+C402+C391</f>
        <v>46194.400000000001</v>
      </c>
      <c r="D424" s="171">
        <f t="shared" si="176"/>
        <v>17400.580000000002</v>
      </c>
      <c r="E424" s="171">
        <f t="shared" si="176"/>
        <v>2760</v>
      </c>
      <c r="F424" s="171">
        <f t="shared" si="176"/>
        <v>2291</v>
      </c>
      <c r="G424" s="171">
        <f t="shared" si="176"/>
        <v>65885.98</v>
      </c>
      <c r="H424" s="171">
        <f t="shared" si="176"/>
        <v>526.09580000000005</v>
      </c>
      <c r="I424" s="171">
        <f t="shared" si="176"/>
        <v>3721</v>
      </c>
      <c r="J424" s="171">
        <f t="shared" si="176"/>
        <v>-620</v>
      </c>
      <c r="K424" s="171">
        <f t="shared" si="176"/>
        <v>2291</v>
      </c>
      <c r="L424" s="171">
        <f t="shared" si="176"/>
        <v>1608.92</v>
      </c>
      <c r="M424" s="171">
        <f t="shared" si="176"/>
        <v>7400</v>
      </c>
      <c r="N424" s="171">
        <f t="shared" si="176"/>
        <v>51427.964199999995</v>
      </c>
      <c r="O424" s="209"/>
      <c r="P424" s="157"/>
      <c r="Q424" s="152"/>
      <c r="R424" s="320"/>
    </row>
    <row r="425" spans="1:18" s="180" customFormat="1" x14ac:dyDescent="0.2">
      <c r="A425" s="175" t="s">
        <v>8</v>
      </c>
      <c r="B425" s="183" t="s">
        <v>111</v>
      </c>
      <c r="C425" s="176">
        <v>13535</v>
      </c>
      <c r="D425" s="176"/>
      <c r="E425" s="176"/>
      <c r="F425" s="176">
        <v>5162</v>
      </c>
      <c r="G425" s="88">
        <f t="shared" ref="G425:G427" si="177">C425+D425+F425</f>
        <v>18697</v>
      </c>
      <c r="H425" s="176"/>
      <c r="I425" s="176">
        <v>2364</v>
      </c>
      <c r="J425" s="176">
        <v>-829</v>
      </c>
      <c r="K425" s="176"/>
      <c r="L425" s="176"/>
      <c r="M425" s="176"/>
      <c r="N425" s="88">
        <f t="shared" ref="N425:N427" si="178">C425+D425+E425-H425-I425-J425-K425-L425-M425</f>
        <v>12000</v>
      </c>
      <c r="O425" s="193"/>
      <c r="P425" s="194"/>
      <c r="Q425" s="179"/>
      <c r="R425" s="321"/>
    </row>
    <row r="426" spans="1:18" s="180" customFormat="1" x14ac:dyDescent="0.2">
      <c r="A426" s="175" t="s">
        <v>27</v>
      </c>
      <c r="B426" s="183" t="s">
        <v>112</v>
      </c>
      <c r="C426" s="181">
        <v>13343</v>
      </c>
      <c r="D426" s="181"/>
      <c r="E426" s="181"/>
      <c r="F426" s="181">
        <v>2400</v>
      </c>
      <c r="G426" s="88">
        <f t="shared" si="177"/>
        <v>15743</v>
      </c>
      <c r="H426" s="181"/>
      <c r="I426" s="181">
        <v>1653</v>
      </c>
      <c r="J426" s="181">
        <v>-310</v>
      </c>
      <c r="K426" s="181"/>
      <c r="L426" s="181"/>
      <c r="M426" s="181"/>
      <c r="N426" s="88">
        <f t="shared" si="178"/>
        <v>12000</v>
      </c>
      <c r="O426" s="193"/>
      <c r="P426" s="194"/>
      <c r="Q426" s="179"/>
      <c r="R426" s="321"/>
    </row>
    <row r="427" spans="1:18" s="180" customFormat="1" ht="13.5" thickBot="1" x14ac:dyDescent="0.25">
      <c r="A427" s="175" t="s">
        <v>6</v>
      </c>
      <c r="B427" s="183" t="s">
        <v>113</v>
      </c>
      <c r="C427" s="182">
        <v>11713.13</v>
      </c>
      <c r="D427" s="182"/>
      <c r="E427" s="182"/>
      <c r="F427" s="182">
        <v>2100</v>
      </c>
      <c r="G427" s="88">
        <f t="shared" si="177"/>
        <v>13813.13</v>
      </c>
      <c r="H427" s="182">
        <v>138.13</v>
      </c>
      <c r="I427" s="182">
        <v>1304</v>
      </c>
      <c r="J427" s="182">
        <v>-829</v>
      </c>
      <c r="K427" s="182">
        <v>2100</v>
      </c>
      <c r="L427" s="182"/>
      <c r="M427" s="182"/>
      <c r="N427" s="88">
        <f t="shared" si="178"/>
        <v>9000</v>
      </c>
      <c r="O427" s="193"/>
      <c r="P427" s="194"/>
      <c r="Q427" s="179"/>
      <c r="R427" s="321"/>
    </row>
    <row r="428" spans="1:18" s="143" customFormat="1" ht="13.5" thickBot="1" x14ac:dyDescent="0.25">
      <c r="A428" s="439" t="s">
        <v>100</v>
      </c>
      <c r="B428" s="440"/>
      <c r="C428" s="174">
        <f>SUM(C425:C427)</f>
        <v>38591.129999999997</v>
      </c>
      <c r="D428" s="174">
        <f t="shared" ref="D428" si="179">SUM(D425:D427)</f>
        <v>0</v>
      </c>
      <c r="E428" s="174">
        <f t="shared" ref="E428" si="180">SUM(E425:E427)</f>
        <v>0</v>
      </c>
      <c r="F428" s="174">
        <f t="shared" ref="F428" si="181">SUM(F425:F427)</f>
        <v>9662</v>
      </c>
      <c r="G428" s="174">
        <f t="shared" ref="G428" si="182">SUM(G425:G427)</f>
        <v>48253.13</v>
      </c>
      <c r="H428" s="174">
        <f t="shared" ref="H428" si="183">SUM(H425:H427)</f>
        <v>138.13</v>
      </c>
      <c r="I428" s="174">
        <f t="shared" ref="I428" si="184">SUM(I425:I427)</f>
        <v>5321</v>
      </c>
      <c r="J428" s="174">
        <f t="shared" ref="J428" si="185">SUM(J425:J427)</f>
        <v>-1968</v>
      </c>
      <c r="K428" s="174">
        <f t="shared" ref="K428" si="186">SUM(K425:K427)</f>
        <v>2100</v>
      </c>
      <c r="L428" s="174">
        <f t="shared" ref="L428" si="187">SUM(L425:L427)</f>
        <v>0</v>
      </c>
      <c r="M428" s="174">
        <f t="shared" ref="M428" si="188">SUM(M425:M427)</f>
        <v>0</v>
      </c>
      <c r="N428" s="174">
        <f t="shared" ref="N428" si="189">SUM(N425:N427)</f>
        <v>33000</v>
      </c>
      <c r="O428" s="210"/>
      <c r="P428" s="142"/>
      <c r="Q428" s="146"/>
      <c r="R428" s="322"/>
    </row>
    <row r="429" spans="1:18" s="143" customFormat="1" ht="13.5" thickBot="1" x14ac:dyDescent="0.25">
      <c r="A429" s="441" t="s">
        <v>101</v>
      </c>
      <c r="B429" s="441"/>
      <c r="C429" s="154"/>
      <c r="D429" s="154"/>
      <c r="E429" s="154"/>
      <c r="F429" s="154"/>
      <c r="G429" s="154"/>
      <c r="H429" s="163">
        <f>(H424+H428)*2</f>
        <v>1328.4516000000001</v>
      </c>
      <c r="I429" s="159">
        <f>I424+I428</f>
        <v>9042</v>
      </c>
      <c r="J429" s="164">
        <f>J424+J428</f>
        <v>-2588</v>
      </c>
      <c r="K429" s="154"/>
      <c r="L429" s="154"/>
      <c r="M429" s="154"/>
      <c r="N429" s="154"/>
      <c r="O429" s="142"/>
      <c r="P429" s="142"/>
      <c r="Q429" s="156"/>
      <c r="R429" s="322"/>
    </row>
    <row r="430" spans="1:18" s="143" customFormat="1" ht="13.5" thickBot="1" x14ac:dyDescent="0.25">
      <c r="A430" s="170"/>
      <c r="B430" s="170"/>
      <c r="C430" s="154"/>
      <c r="D430" s="154"/>
      <c r="E430" s="154"/>
      <c r="F430" s="154"/>
      <c r="G430" s="154"/>
      <c r="H430" s="154"/>
      <c r="I430" s="455">
        <f>I429+J429</f>
        <v>6454</v>
      </c>
      <c r="J430" s="456"/>
      <c r="K430" s="154"/>
      <c r="L430" s="154"/>
      <c r="M430" s="154"/>
      <c r="N430" s="154"/>
      <c r="O430" s="142"/>
      <c r="P430" s="142"/>
      <c r="Q430" s="156"/>
      <c r="R430" s="322"/>
    </row>
    <row r="431" spans="1:18" s="143" customFormat="1" ht="13.5" thickBot="1" x14ac:dyDescent="0.25">
      <c r="A431" s="170"/>
      <c r="B431" s="170"/>
      <c r="C431" s="154"/>
      <c r="D431" s="154"/>
      <c r="E431" s="154"/>
      <c r="F431" s="154"/>
      <c r="G431" s="154"/>
      <c r="H431" s="457">
        <f>SUM(H429:J429)</f>
        <v>7782.4516000000003</v>
      </c>
      <c r="I431" s="458"/>
      <c r="J431" s="459"/>
      <c r="K431" s="154"/>
      <c r="L431" s="154"/>
      <c r="M431" s="154"/>
      <c r="N431" s="154"/>
      <c r="O431" s="142"/>
      <c r="P431" s="142"/>
      <c r="Q431" s="156"/>
      <c r="R431" s="322"/>
    </row>
    <row r="432" spans="1:18" ht="13.5" thickBot="1" x14ac:dyDescent="0.25"/>
    <row r="433" spans="1:18" s="79" customFormat="1" ht="13.5" thickBot="1" x14ac:dyDescent="0.25">
      <c r="A433" s="444" t="s">
        <v>126</v>
      </c>
      <c r="B433" s="445"/>
      <c r="C433" s="445"/>
      <c r="D433" s="445"/>
      <c r="E433" s="445"/>
      <c r="F433" s="445"/>
      <c r="G433" s="445"/>
      <c r="H433" s="445"/>
      <c r="I433" s="445"/>
      <c r="J433" s="445"/>
      <c r="K433" s="445"/>
      <c r="L433" s="445"/>
      <c r="M433" s="445"/>
      <c r="N433" s="445"/>
      <c r="O433" s="445"/>
      <c r="P433" s="445"/>
      <c r="Q433" s="446"/>
      <c r="R433" s="318"/>
    </row>
    <row r="434" spans="1:18" s="79" customFormat="1" ht="13.5" thickBot="1" x14ac:dyDescent="0.25">
      <c r="A434" s="85" t="s">
        <v>69</v>
      </c>
      <c r="B434" s="86" t="s">
        <v>1</v>
      </c>
      <c r="C434" s="87" t="s">
        <v>61</v>
      </c>
      <c r="D434" s="87" t="s">
        <v>62</v>
      </c>
      <c r="E434" s="87" t="s">
        <v>73</v>
      </c>
      <c r="F434" s="87" t="s">
        <v>67</v>
      </c>
      <c r="G434" s="87" t="s">
        <v>81</v>
      </c>
      <c r="H434" s="87" t="s">
        <v>64</v>
      </c>
      <c r="I434" s="87" t="s">
        <v>65</v>
      </c>
      <c r="J434" s="87" t="s">
        <v>72</v>
      </c>
      <c r="K434" s="87" t="s">
        <v>67</v>
      </c>
      <c r="L434" s="87" t="s">
        <v>63</v>
      </c>
      <c r="M434" s="87" t="s">
        <v>66</v>
      </c>
      <c r="N434" s="87" t="s">
        <v>2</v>
      </c>
      <c r="O434" s="92" t="s">
        <v>71</v>
      </c>
      <c r="P434" s="93" t="s">
        <v>74</v>
      </c>
      <c r="Q434" s="147" t="s">
        <v>97</v>
      </c>
      <c r="R434" s="318"/>
    </row>
    <row r="435" spans="1:18" x14ac:dyDescent="0.2">
      <c r="A435" s="83" t="s">
        <v>25</v>
      </c>
      <c r="B435" s="84" t="s">
        <v>68</v>
      </c>
      <c r="C435" s="89">
        <v>3415.2</v>
      </c>
      <c r="D435" s="89">
        <v>1216.67</v>
      </c>
      <c r="E435" s="89">
        <v>490</v>
      </c>
      <c r="F435" s="89">
        <v>572.75</v>
      </c>
      <c r="G435" s="88">
        <f t="shared" ref="G435:G443" si="190">C435+D435+F435</f>
        <v>5204.62</v>
      </c>
      <c r="H435" s="89">
        <v>37.18</v>
      </c>
      <c r="I435" s="89">
        <v>630</v>
      </c>
      <c r="J435" s="89">
        <v>-155</v>
      </c>
      <c r="K435" s="89">
        <v>572.75</v>
      </c>
      <c r="L435" s="89">
        <v>200.01</v>
      </c>
      <c r="M435" s="89">
        <v>1125</v>
      </c>
      <c r="N435" s="88">
        <f t="shared" ref="N435:N439" si="191">C435+D435+E435-H435-I435-J435-K435-L435-M435</f>
        <v>2711.9299999999994</v>
      </c>
      <c r="O435" s="106">
        <v>43803</v>
      </c>
      <c r="P435" s="131" t="s">
        <v>174</v>
      </c>
      <c r="Q435" s="144" t="s">
        <v>105</v>
      </c>
    </row>
    <row r="436" spans="1:18" x14ac:dyDescent="0.2">
      <c r="A436" s="81" t="s">
        <v>26</v>
      </c>
      <c r="B436" s="82" t="s">
        <v>76</v>
      </c>
      <c r="C436" s="89">
        <v>818.8</v>
      </c>
      <c r="D436" s="89">
        <v>0</v>
      </c>
      <c r="E436" s="89">
        <v>50</v>
      </c>
      <c r="F436" s="89"/>
      <c r="G436" s="88">
        <f t="shared" si="190"/>
        <v>818.8</v>
      </c>
      <c r="H436" s="89">
        <v>8.1880000000000006</v>
      </c>
      <c r="I436" s="89"/>
      <c r="J436" s="89"/>
      <c r="K436" s="89"/>
      <c r="L436" s="89">
        <v>58.14</v>
      </c>
      <c r="M436" s="89">
        <v>200</v>
      </c>
      <c r="N436" s="88">
        <f t="shared" si="191"/>
        <v>602.47199999999998</v>
      </c>
      <c r="O436" s="106">
        <v>43803</v>
      </c>
      <c r="P436" s="131" t="s">
        <v>174</v>
      </c>
      <c r="Q436" s="144" t="s">
        <v>105</v>
      </c>
    </row>
    <row r="437" spans="1:18" x14ac:dyDescent="0.2">
      <c r="A437" s="81" t="s">
        <v>3</v>
      </c>
      <c r="B437" s="82" t="s">
        <v>77</v>
      </c>
      <c r="C437" s="89">
        <v>1074.8</v>
      </c>
      <c r="D437" s="89">
        <v>0</v>
      </c>
      <c r="E437" s="89">
        <v>50</v>
      </c>
      <c r="F437" s="89"/>
      <c r="G437" s="88">
        <f t="shared" si="190"/>
        <v>1074.8</v>
      </c>
      <c r="H437" s="89">
        <v>10.747999999999999</v>
      </c>
      <c r="I437" s="89">
        <v>0</v>
      </c>
      <c r="J437" s="89"/>
      <c r="K437" s="89"/>
      <c r="L437" s="89">
        <v>76.3</v>
      </c>
      <c r="M437" s="89"/>
      <c r="N437" s="88">
        <f t="shared" si="191"/>
        <v>1037.752</v>
      </c>
      <c r="O437" s="106">
        <v>43803</v>
      </c>
      <c r="P437" s="131" t="s">
        <v>174</v>
      </c>
      <c r="Q437" s="144" t="s">
        <v>105</v>
      </c>
    </row>
    <row r="438" spans="1:18" x14ac:dyDescent="0.2">
      <c r="A438" s="81" t="s">
        <v>32</v>
      </c>
      <c r="B438" s="82" t="s">
        <v>78</v>
      </c>
      <c r="C438" s="89">
        <v>954.8</v>
      </c>
      <c r="D438" s="89">
        <v>286.44</v>
      </c>
      <c r="E438" s="89">
        <v>100</v>
      </c>
      <c r="F438" s="89"/>
      <c r="G438" s="88">
        <f t="shared" si="190"/>
        <v>1241.24</v>
      </c>
      <c r="H438" s="89">
        <v>12.41</v>
      </c>
      <c r="I438" s="89">
        <v>0</v>
      </c>
      <c r="J438" s="89"/>
      <c r="K438" s="89"/>
      <c r="L438" s="89">
        <v>67.78</v>
      </c>
      <c r="M438" s="89"/>
      <c r="N438" s="88">
        <f t="shared" si="191"/>
        <v>1261.05</v>
      </c>
      <c r="O438" s="106">
        <v>43803</v>
      </c>
      <c r="P438" s="131" t="s">
        <v>174</v>
      </c>
      <c r="Q438" s="144" t="s">
        <v>105</v>
      </c>
    </row>
    <row r="439" spans="1:18" x14ac:dyDescent="0.2">
      <c r="A439" s="81" t="s">
        <v>75</v>
      </c>
      <c r="B439" s="82" t="s">
        <v>79</v>
      </c>
      <c r="C439" s="89">
        <v>800</v>
      </c>
      <c r="D439" s="89">
        <v>0</v>
      </c>
      <c r="E439" s="89"/>
      <c r="F439" s="89"/>
      <c r="G439" s="88">
        <f t="shared" si="190"/>
        <v>800</v>
      </c>
      <c r="H439" s="89">
        <v>8</v>
      </c>
      <c r="I439" s="89"/>
      <c r="J439" s="89"/>
      <c r="K439" s="89"/>
      <c r="L439" s="89"/>
      <c r="M439" s="89"/>
      <c r="N439" s="88">
        <f t="shared" si="191"/>
        <v>792</v>
      </c>
      <c r="O439" s="106">
        <v>43803</v>
      </c>
      <c r="P439" s="131" t="s">
        <v>174</v>
      </c>
      <c r="Q439" s="144" t="s">
        <v>105</v>
      </c>
    </row>
    <row r="440" spans="1:18" x14ac:dyDescent="0.2">
      <c r="A440" s="81" t="s">
        <v>86</v>
      </c>
      <c r="B440" s="82" t="s">
        <v>106</v>
      </c>
      <c r="C440" s="89">
        <v>1000</v>
      </c>
      <c r="D440" s="89">
        <v>300</v>
      </c>
      <c r="E440" s="89"/>
      <c r="F440" s="89"/>
      <c r="G440" s="88">
        <f t="shared" si="190"/>
        <v>1300</v>
      </c>
      <c r="H440" s="89">
        <v>13</v>
      </c>
      <c r="I440" s="89"/>
      <c r="J440" s="89"/>
      <c r="K440" s="89"/>
      <c r="L440" s="89"/>
      <c r="M440" s="89"/>
      <c r="N440" s="88">
        <f>C440+D440+E440-H440-I440-J440-K440-L440-M440</f>
        <v>1287</v>
      </c>
      <c r="O440" s="106">
        <v>43803</v>
      </c>
      <c r="P440" s="131" t="s">
        <v>174</v>
      </c>
      <c r="Q440" s="144" t="s">
        <v>105</v>
      </c>
    </row>
    <row r="441" spans="1:18" x14ac:dyDescent="0.2">
      <c r="A441" s="81" t="s">
        <v>107</v>
      </c>
      <c r="B441" s="82" t="s">
        <v>108</v>
      </c>
      <c r="C441" s="89">
        <v>1000</v>
      </c>
      <c r="D441" s="89">
        <v>300</v>
      </c>
      <c r="E441" s="89"/>
      <c r="F441" s="89"/>
      <c r="G441" s="88">
        <f t="shared" si="190"/>
        <v>1300</v>
      </c>
      <c r="H441" s="89">
        <v>13</v>
      </c>
      <c r="I441" s="89"/>
      <c r="J441" s="89"/>
      <c r="K441" s="89"/>
      <c r="L441" s="89"/>
      <c r="M441" s="89"/>
      <c r="N441" s="88">
        <f>C441+D441+E441-H441-I441-J441-K441-L441-M441</f>
        <v>1287</v>
      </c>
      <c r="O441" s="106">
        <v>43803</v>
      </c>
      <c r="P441" s="131" t="s">
        <v>174</v>
      </c>
      <c r="Q441" s="144" t="s">
        <v>105</v>
      </c>
    </row>
    <row r="442" spans="1:18" x14ac:dyDescent="0.2">
      <c r="A442" s="81" t="s">
        <v>110</v>
      </c>
      <c r="B442" s="82" t="s">
        <v>109</v>
      </c>
      <c r="C442" s="89">
        <v>800</v>
      </c>
      <c r="D442" s="89">
        <v>240</v>
      </c>
      <c r="E442" s="89"/>
      <c r="F442" s="89"/>
      <c r="G442" s="88">
        <f t="shared" si="190"/>
        <v>1040</v>
      </c>
      <c r="H442" s="89">
        <v>10.4</v>
      </c>
      <c r="I442" s="89"/>
      <c r="J442" s="89"/>
      <c r="K442" s="89"/>
      <c r="L442" s="89"/>
      <c r="M442" s="89">
        <v>200</v>
      </c>
      <c r="N442" s="88">
        <f>C442+D442+E442-H442-I442-J442-K442-L442-M442</f>
        <v>829.59999999999991</v>
      </c>
      <c r="O442" s="106">
        <v>43803</v>
      </c>
      <c r="P442" s="131" t="s">
        <v>174</v>
      </c>
      <c r="Q442" s="144" t="s">
        <v>105</v>
      </c>
    </row>
    <row r="443" spans="1:18" ht="13.5" thickBot="1" x14ac:dyDescent="0.25">
      <c r="A443" s="81" t="s">
        <v>149</v>
      </c>
      <c r="B443" s="82" t="s">
        <v>150</v>
      </c>
      <c r="C443" s="89">
        <v>1000</v>
      </c>
      <c r="D443" s="89">
        <v>300</v>
      </c>
      <c r="E443" s="89"/>
      <c r="F443" s="89"/>
      <c r="G443" s="88">
        <f t="shared" si="190"/>
        <v>1300</v>
      </c>
      <c r="H443" s="89">
        <v>13</v>
      </c>
      <c r="I443" s="89">
        <v>0</v>
      </c>
      <c r="J443" s="89"/>
      <c r="K443" s="89"/>
      <c r="L443" s="89"/>
      <c r="M443" s="89"/>
      <c r="N443" s="88">
        <f>C443+D443+E443-H443-I443-J443-K443-L443-M443</f>
        <v>1287</v>
      </c>
      <c r="O443" s="106">
        <v>43803</v>
      </c>
      <c r="P443" s="131" t="s">
        <v>174</v>
      </c>
      <c r="Q443" s="144" t="s">
        <v>105</v>
      </c>
    </row>
    <row r="444" spans="1:18" s="94" customFormat="1" ht="13.5" thickBot="1" x14ac:dyDescent="0.25">
      <c r="A444" s="447" t="s">
        <v>0</v>
      </c>
      <c r="B444" s="448"/>
      <c r="C444" s="122">
        <f t="shared" ref="C444:N444" si="192">SUM(C435:C443)</f>
        <v>10863.6</v>
      </c>
      <c r="D444" s="122">
        <f t="shared" si="192"/>
        <v>2643.11</v>
      </c>
      <c r="E444" s="122">
        <f t="shared" si="192"/>
        <v>690</v>
      </c>
      <c r="F444" s="122">
        <f t="shared" si="192"/>
        <v>572.75</v>
      </c>
      <c r="G444" s="122">
        <f t="shared" si="192"/>
        <v>14079.460000000001</v>
      </c>
      <c r="H444" s="122">
        <f t="shared" si="192"/>
        <v>125.926</v>
      </c>
      <c r="I444" s="122">
        <f t="shared" si="192"/>
        <v>630</v>
      </c>
      <c r="J444" s="122">
        <f t="shared" si="192"/>
        <v>-155</v>
      </c>
      <c r="K444" s="122">
        <f t="shared" si="192"/>
        <v>572.75</v>
      </c>
      <c r="L444" s="122">
        <f t="shared" si="192"/>
        <v>402.23</v>
      </c>
      <c r="M444" s="122">
        <f t="shared" si="192"/>
        <v>1525</v>
      </c>
      <c r="N444" s="122">
        <f t="shared" si="192"/>
        <v>11095.803999999998</v>
      </c>
      <c r="O444" s="449" t="s">
        <v>0</v>
      </c>
      <c r="P444" s="450"/>
      <c r="Q444" s="144"/>
      <c r="R444" s="319"/>
    </row>
    <row r="445" spans="1:18" x14ac:dyDescent="0.2">
      <c r="A445" s="83" t="s">
        <v>25</v>
      </c>
      <c r="B445" s="84" t="s">
        <v>68</v>
      </c>
      <c r="C445" s="89">
        <v>3415.2</v>
      </c>
      <c r="D445" s="89">
        <v>1664.91</v>
      </c>
      <c r="E445" s="89">
        <v>490</v>
      </c>
      <c r="F445" s="89">
        <v>2342.25</v>
      </c>
      <c r="G445" s="88">
        <f t="shared" ref="G445:G453" si="193">C445+D445+F445</f>
        <v>7422.36</v>
      </c>
      <c r="H445" s="89">
        <v>148.72</v>
      </c>
      <c r="I445" s="89">
        <v>1768</v>
      </c>
      <c r="J445" s="89">
        <v>-620</v>
      </c>
      <c r="K445" s="89">
        <v>2342.25</v>
      </c>
      <c r="L445" s="89">
        <v>800.04</v>
      </c>
      <c r="M445" s="89">
        <f>4500-11715.6-14793.28</f>
        <v>-22008.880000000001</v>
      </c>
      <c r="N445" s="88">
        <f t="shared" ref="N445:N450" si="194">C445+D445+E445-H445-I445-J445-K445-L445-M445</f>
        <v>23139.98</v>
      </c>
      <c r="O445" s="106">
        <v>43810</v>
      </c>
      <c r="P445" s="167" t="s">
        <v>175</v>
      </c>
      <c r="Q445" s="144" t="s">
        <v>105</v>
      </c>
    </row>
    <row r="446" spans="1:18" x14ac:dyDescent="0.2">
      <c r="A446" s="81" t="s">
        <v>26</v>
      </c>
      <c r="B446" s="82" t="s">
        <v>76</v>
      </c>
      <c r="C446" s="89">
        <v>818.8</v>
      </c>
      <c r="D446" s="89">
        <v>0</v>
      </c>
      <c r="E446" s="89">
        <v>50</v>
      </c>
      <c r="F446" s="89"/>
      <c r="G446" s="88">
        <f t="shared" si="193"/>
        <v>818.8</v>
      </c>
      <c r="H446" s="89">
        <v>32.75</v>
      </c>
      <c r="I446" s="89"/>
      <c r="J446" s="89"/>
      <c r="K446" s="89"/>
      <c r="L446" s="89">
        <v>58.14</v>
      </c>
      <c r="M446" s="89">
        <f>400-2606.4-3546.71</f>
        <v>-5753.1100000000006</v>
      </c>
      <c r="N446" s="88">
        <f t="shared" si="194"/>
        <v>6531.02</v>
      </c>
      <c r="O446" s="106">
        <v>43810</v>
      </c>
      <c r="P446" s="167" t="s">
        <v>175</v>
      </c>
      <c r="Q446" s="144" t="s">
        <v>105</v>
      </c>
    </row>
    <row r="447" spans="1:18" x14ac:dyDescent="0.2">
      <c r="A447" s="81" t="s">
        <v>3</v>
      </c>
      <c r="B447" s="82" t="s">
        <v>77</v>
      </c>
      <c r="C447" s="89">
        <v>1074.8</v>
      </c>
      <c r="D447" s="89">
        <v>0</v>
      </c>
      <c r="E447" s="89">
        <v>50</v>
      </c>
      <c r="F447" s="89"/>
      <c r="G447" s="88">
        <f t="shared" si="193"/>
        <v>1074.8</v>
      </c>
      <c r="H447" s="89">
        <v>42.99</v>
      </c>
      <c r="I447" s="89">
        <v>0</v>
      </c>
      <c r="J447" s="89"/>
      <c r="K447" s="89"/>
      <c r="L447" s="89">
        <v>76.3</v>
      </c>
      <c r="M447" s="89">
        <f>-3374.4-4655.6</f>
        <v>-8030</v>
      </c>
      <c r="N447" s="88">
        <f t="shared" si="194"/>
        <v>9035.51</v>
      </c>
      <c r="O447" s="106">
        <v>43810</v>
      </c>
      <c r="P447" s="167" t="s">
        <v>175</v>
      </c>
      <c r="Q447" s="144" t="s">
        <v>105</v>
      </c>
    </row>
    <row r="448" spans="1:18" x14ac:dyDescent="0.2">
      <c r="A448" s="81" t="s">
        <v>32</v>
      </c>
      <c r="B448" s="82" t="s">
        <v>78</v>
      </c>
      <c r="C448" s="89">
        <v>954.8</v>
      </c>
      <c r="D448" s="89">
        <v>0</v>
      </c>
      <c r="E448" s="89">
        <v>100</v>
      </c>
      <c r="F448" s="89"/>
      <c r="G448" s="88">
        <f t="shared" si="193"/>
        <v>954.8</v>
      </c>
      <c r="H448" s="89">
        <v>38.19</v>
      </c>
      <c r="I448" s="89">
        <v>0</v>
      </c>
      <c r="J448" s="89"/>
      <c r="K448" s="89"/>
      <c r="L448" s="89">
        <v>67.78</v>
      </c>
      <c r="M448" s="89">
        <f>-3014.4-4106.36</f>
        <v>-7120.76</v>
      </c>
      <c r="N448" s="88">
        <f t="shared" si="194"/>
        <v>8069.59</v>
      </c>
      <c r="O448" s="106">
        <v>43810</v>
      </c>
      <c r="P448" s="167" t="s">
        <v>175</v>
      </c>
      <c r="Q448" s="144" t="s">
        <v>105</v>
      </c>
    </row>
    <row r="449" spans="1:18" x14ac:dyDescent="0.2">
      <c r="A449" s="81" t="s">
        <v>75</v>
      </c>
      <c r="B449" s="82" t="s">
        <v>79</v>
      </c>
      <c r="C449" s="89">
        <v>800</v>
      </c>
      <c r="D449" s="89">
        <v>0</v>
      </c>
      <c r="E449" s="89"/>
      <c r="F449" s="89"/>
      <c r="G449" s="88">
        <f t="shared" si="193"/>
        <v>800</v>
      </c>
      <c r="H449" s="89">
        <v>32</v>
      </c>
      <c r="I449" s="89"/>
      <c r="J449" s="89"/>
      <c r="K449" s="89"/>
      <c r="L449" s="89"/>
      <c r="M449" s="89">
        <f>-2400-3465.28</f>
        <v>-5865.2800000000007</v>
      </c>
      <c r="N449" s="88">
        <f t="shared" si="194"/>
        <v>6633.2800000000007</v>
      </c>
      <c r="O449" s="106">
        <v>43810</v>
      </c>
      <c r="P449" s="167" t="s">
        <v>175</v>
      </c>
      <c r="Q449" s="144" t="s">
        <v>105</v>
      </c>
    </row>
    <row r="450" spans="1:18" x14ac:dyDescent="0.2">
      <c r="A450" s="81" t="s">
        <v>86</v>
      </c>
      <c r="B450" s="82" t="s">
        <v>106</v>
      </c>
      <c r="C450" s="89">
        <v>1000</v>
      </c>
      <c r="D450" s="89">
        <v>187.5</v>
      </c>
      <c r="E450" s="89"/>
      <c r="F450" s="89"/>
      <c r="G450" s="88">
        <f t="shared" si="193"/>
        <v>1187.5</v>
      </c>
      <c r="H450" s="89">
        <f>33.29</f>
        <v>33.29</v>
      </c>
      <c r="I450" s="89"/>
      <c r="J450" s="89"/>
      <c r="K450" s="89"/>
      <c r="L450" s="89"/>
      <c r="M450" s="89">
        <f>-2141.03-3091.36</f>
        <v>-5232.3900000000003</v>
      </c>
      <c r="N450" s="88">
        <f t="shared" si="194"/>
        <v>6386.6</v>
      </c>
      <c r="O450" s="106">
        <v>43810</v>
      </c>
      <c r="P450" s="167" t="s">
        <v>175</v>
      </c>
      <c r="Q450" s="144" t="s">
        <v>105</v>
      </c>
    </row>
    <row r="451" spans="1:18" x14ac:dyDescent="0.2">
      <c r="A451" s="81" t="s">
        <v>107</v>
      </c>
      <c r="B451" s="82" t="s">
        <v>108</v>
      </c>
      <c r="C451" s="89">
        <v>1000</v>
      </c>
      <c r="D451" s="89">
        <v>0</v>
      </c>
      <c r="E451" s="89"/>
      <c r="F451" s="89"/>
      <c r="G451" s="88">
        <f t="shared" si="193"/>
        <v>1000</v>
      </c>
      <c r="H451" s="89">
        <v>19.62</v>
      </c>
      <c r="I451" s="89"/>
      <c r="J451" s="89"/>
      <c r="K451" s="89"/>
      <c r="L451" s="89"/>
      <c r="M451" s="89">
        <f>-961.54-1388.33</f>
        <v>-2349.87</v>
      </c>
      <c r="N451" s="88">
        <f>C451+D451+E451-H451-I451-J451-K451-L451-M451</f>
        <v>3330.25</v>
      </c>
      <c r="O451" s="106">
        <v>43810</v>
      </c>
      <c r="P451" s="167" t="s">
        <v>175</v>
      </c>
      <c r="Q451" s="144" t="s">
        <v>105</v>
      </c>
    </row>
    <row r="452" spans="1:18" x14ac:dyDescent="0.2">
      <c r="A452" s="81" t="s">
        <v>110</v>
      </c>
      <c r="B452" s="82" t="s">
        <v>109</v>
      </c>
      <c r="C452" s="89">
        <v>800</v>
      </c>
      <c r="D452" s="89">
        <v>0</v>
      </c>
      <c r="E452" s="89"/>
      <c r="F452" s="89"/>
      <c r="G452" s="88">
        <f t="shared" si="193"/>
        <v>800</v>
      </c>
      <c r="H452" s="89">
        <v>26.15</v>
      </c>
      <c r="I452" s="89"/>
      <c r="J452" s="89"/>
      <c r="K452" s="89"/>
      <c r="L452" s="89"/>
      <c r="M452" s="89">
        <f>-1815.38-2621.17</f>
        <v>-4436.55</v>
      </c>
      <c r="N452" s="88">
        <f>C452+D452+E452-H452-I452-J452-K452-L452-M452</f>
        <v>5210.4000000000005</v>
      </c>
      <c r="O452" s="106">
        <v>43810</v>
      </c>
      <c r="P452" s="167" t="s">
        <v>175</v>
      </c>
      <c r="Q452" s="144" t="s">
        <v>105</v>
      </c>
    </row>
    <row r="453" spans="1:18" ht="13.5" thickBot="1" x14ac:dyDescent="0.25">
      <c r="A453" s="81" t="s">
        <v>149</v>
      </c>
      <c r="B453" s="82" t="s">
        <v>150</v>
      </c>
      <c r="C453" s="89">
        <v>1000</v>
      </c>
      <c r="D453" s="89">
        <v>356.25</v>
      </c>
      <c r="E453" s="89"/>
      <c r="F453" s="89"/>
      <c r="G453" s="88">
        <f t="shared" si="193"/>
        <v>1356.25</v>
      </c>
      <c r="H453" s="89">
        <v>20.87</v>
      </c>
      <c r="I453" s="89">
        <v>0</v>
      </c>
      <c r="J453" s="89"/>
      <c r="K453" s="89"/>
      <c r="L453" s="89"/>
      <c r="M453" s="89">
        <f>-730.77-1055.13</f>
        <v>-1785.9</v>
      </c>
      <c r="N453" s="88">
        <f>C453+D453+E453-H453-I453-J453-K453-L453-M453</f>
        <v>3121.28</v>
      </c>
      <c r="O453" s="106">
        <v>43810</v>
      </c>
      <c r="P453" s="167" t="s">
        <v>175</v>
      </c>
      <c r="Q453" s="144" t="s">
        <v>105</v>
      </c>
    </row>
    <row r="454" spans="1:18" s="94" customFormat="1" ht="13.5" thickBot="1" x14ac:dyDescent="0.25">
      <c r="A454" s="451" t="s">
        <v>0</v>
      </c>
      <c r="B454" s="452"/>
      <c r="C454" s="168">
        <f t="shared" ref="C454:N454" si="195">SUM(C445:C453)</f>
        <v>10863.6</v>
      </c>
      <c r="D454" s="168">
        <f t="shared" si="195"/>
        <v>2208.66</v>
      </c>
      <c r="E454" s="168">
        <f t="shared" si="195"/>
        <v>690</v>
      </c>
      <c r="F454" s="168">
        <f t="shared" si="195"/>
        <v>2342.25</v>
      </c>
      <c r="G454" s="168">
        <f t="shared" si="195"/>
        <v>15414.509999999998</v>
      </c>
      <c r="H454" s="168">
        <f t="shared" si="195"/>
        <v>394.58</v>
      </c>
      <c r="I454" s="168">
        <f t="shared" si="195"/>
        <v>1768</v>
      </c>
      <c r="J454" s="168">
        <f t="shared" si="195"/>
        <v>-620</v>
      </c>
      <c r="K454" s="168">
        <f t="shared" si="195"/>
        <v>2342.25</v>
      </c>
      <c r="L454" s="168">
        <f t="shared" si="195"/>
        <v>1002.2599999999999</v>
      </c>
      <c r="M454" s="168">
        <f t="shared" si="195"/>
        <v>-62582.740000000013</v>
      </c>
      <c r="N454" s="168">
        <f t="shared" si="195"/>
        <v>71457.91</v>
      </c>
      <c r="O454" s="453" t="s">
        <v>0</v>
      </c>
      <c r="P454" s="454"/>
      <c r="Q454" s="144"/>
      <c r="R454" s="319"/>
    </row>
    <row r="455" spans="1:18" s="153" customFormat="1" ht="13.5" thickBot="1" x14ac:dyDescent="0.25">
      <c r="A455" s="437" t="s">
        <v>99</v>
      </c>
      <c r="B455" s="438"/>
      <c r="C455" s="171">
        <f t="shared" ref="C455:N455" si="196">C444+C454</f>
        <v>21727.200000000001</v>
      </c>
      <c r="D455" s="171">
        <f t="shared" si="196"/>
        <v>4851.7700000000004</v>
      </c>
      <c r="E455" s="171">
        <f t="shared" si="196"/>
        <v>1380</v>
      </c>
      <c r="F455" s="171">
        <f t="shared" si="196"/>
        <v>2915</v>
      </c>
      <c r="G455" s="171">
        <f t="shared" si="196"/>
        <v>29493.97</v>
      </c>
      <c r="H455" s="171">
        <f t="shared" si="196"/>
        <v>520.50599999999997</v>
      </c>
      <c r="I455" s="171">
        <f t="shared" si="196"/>
        <v>2398</v>
      </c>
      <c r="J455" s="171">
        <f t="shared" si="196"/>
        <v>-775</v>
      </c>
      <c r="K455" s="171">
        <f t="shared" si="196"/>
        <v>2915</v>
      </c>
      <c r="L455" s="171">
        <f t="shared" si="196"/>
        <v>1404.4899999999998</v>
      </c>
      <c r="M455" s="171">
        <f t="shared" si="196"/>
        <v>-61057.740000000013</v>
      </c>
      <c r="N455" s="171">
        <f t="shared" si="196"/>
        <v>82553.714000000007</v>
      </c>
      <c r="O455" s="209"/>
      <c r="P455" s="157"/>
      <c r="Q455" s="152"/>
      <c r="R455" s="320"/>
    </row>
    <row r="456" spans="1:18" s="180" customFormat="1" x14ac:dyDescent="0.2">
      <c r="A456" s="175" t="s">
        <v>8</v>
      </c>
      <c r="B456" s="183" t="s">
        <v>111</v>
      </c>
      <c r="C456" s="176">
        <v>13535</v>
      </c>
      <c r="D456" s="176"/>
      <c r="E456" s="176"/>
      <c r="F456" s="176">
        <v>5162</v>
      </c>
      <c r="G456" s="88">
        <f t="shared" ref="G456:G458" si="197">C456+D456+F456</f>
        <v>18697</v>
      </c>
      <c r="H456" s="176">
        <v>0</v>
      </c>
      <c r="I456" s="176">
        <v>2364</v>
      </c>
      <c r="J456" s="176">
        <v>-829</v>
      </c>
      <c r="K456" s="176"/>
      <c r="L456" s="176"/>
      <c r="M456" s="176"/>
      <c r="N456" s="88">
        <f t="shared" ref="N456:N458" si="198">C456+D456+E456-H456-I456-J456-K456-L456-M456</f>
        <v>12000</v>
      </c>
      <c r="O456" s="193"/>
      <c r="P456" s="194"/>
      <c r="Q456" s="179"/>
      <c r="R456" s="321"/>
    </row>
    <row r="457" spans="1:18" s="180" customFormat="1" x14ac:dyDescent="0.2">
      <c r="A457" s="175" t="s">
        <v>27</v>
      </c>
      <c r="B457" s="183" t="s">
        <v>112</v>
      </c>
      <c r="C457" s="181">
        <v>13343</v>
      </c>
      <c r="D457" s="181"/>
      <c r="E457" s="181"/>
      <c r="F457" s="181">
        <v>2400</v>
      </c>
      <c r="G457" s="88">
        <f t="shared" si="197"/>
        <v>15743</v>
      </c>
      <c r="H457" s="181">
        <v>0</v>
      </c>
      <c r="I457" s="181">
        <v>1653</v>
      </c>
      <c r="J457" s="181">
        <v>-310</v>
      </c>
      <c r="K457" s="181"/>
      <c r="L457" s="181"/>
      <c r="M457" s="181"/>
      <c r="N457" s="88">
        <f t="shared" si="198"/>
        <v>12000</v>
      </c>
      <c r="O457" s="193"/>
      <c r="P457" s="194"/>
      <c r="Q457" s="179"/>
      <c r="R457" s="321"/>
    </row>
    <row r="458" spans="1:18" s="180" customFormat="1" ht="13.5" thickBot="1" x14ac:dyDescent="0.25">
      <c r="A458" s="175" t="s">
        <v>6</v>
      </c>
      <c r="B458" s="183" t="s">
        <v>113</v>
      </c>
      <c r="C458" s="182">
        <v>12415.72</v>
      </c>
      <c r="D458" s="182"/>
      <c r="E458" s="182"/>
      <c r="F458" s="182">
        <v>5162</v>
      </c>
      <c r="G458" s="88">
        <f t="shared" si="197"/>
        <v>17577.72</v>
      </c>
      <c r="H458" s="182">
        <v>148.72</v>
      </c>
      <c r="I458" s="182">
        <v>1515</v>
      </c>
      <c r="J458" s="182">
        <v>-829</v>
      </c>
      <c r="K458" s="182">
        <v>2581</v>
      </c>
      <c r="L458" s="182"/>
      <c r="M458" s="182"/>
      <c r="N458" s="88">
        <f t="shared" si="198"/>
        <v>9000</v>
      </c>
      <c r="O458" s="193"/>
      <c r="P458" s="194"/>
      <c r="Q458" s="179"/>
      <c r="R458" s="321"/>
    </row>
    <row r="459" spans="1:18" s="143" customFormat="1" ht="13.5" thickBot="1" x14ac:dyDescent="0.25">
      <c r="A459" s="439" t="s">
        <v>100</v>
      </c>
      <c r="B459" s="440"/>
      <c r="C459" s="174">
        <f>SUM(C456:C458)</f>
        <v>39293.72</v>
      </c>
      <c r="D459" s="174">
        <f t="shared" ref="D459" si="199">SUM(D456:D458)</f>
        <v>0</v>
      </c>
      <c r="E459" s="174">
        <f t="shared" ref="E459" si="200">SUM(E456:E458)</f>
        <v>0</v>
      </c>
      <c r="F459" s="174">
        <f t="shared" ref="F459" si="201">SUM(F456:F458)</f>
        <v>12724</v>
      </c>
      <c r="G459" s="174">
        <f t="shared" ref="G459" si="202">SUM(G456:G458)</f>
        <v>52017.72</v>
      </c>
      <c r="H459" s="174">
        <f t="shared" ref="H459" si="203">SUM(H456:H458)</f>
        <v>148.72</v>
      </c>
      <c r="I459" s="174">
        <f t="shared" ref="I459" si="204">SUM(I456:I458)</f>
        <v>5532</v>
      </c>
      <c r="J459" s="174">
        <f t="shared" ref="J459" si="205">SUM(J456:J458)</f>
        <v>-1968</v>
      </c>
      <c r="K459" s="174">
        <f t="shared" ref="K459" si="206">SUM(K456:K458)</f>
        <v>2581</v>
      </c>
      <c r="L459" s="174">
        <f t="shared" ref="L459" si="207">SUM(L456:L458)</f>
        <v>0</v>
      </c>
      <c r="M459" s="174">
        <f t="shared" ref="M459" si="208">SUM(M456:M458)</f>
        <v>0</v>
      </c>
      <c r="N459" s="174">
        <f t="shared" ref="N459" si="209">SUM(N456:N458)</f>
        <v>33000</v>
      </c>
      <c r="O459" s="210"/>
      <c r="P459" s="142"/>
      <c r="Q459" s="146"/>
      <c r="R459" s="322"/>
    </row>
    <row r="460" spans="1:18" s="143" customFormat="1" ht="13.5" thickBot="1" x14ac:dyDescent="0.25">
      <c r="A460" s="441" t="s">
        <v>101</v>
      </c>
      <c r="B460" s="441"/>
      <c r="C460" s="154"/>
      <c r="D460" s="154"/>
      <c r="E460" s="154"/>
      <c r="F460" s="154"/>
      <c r="G460" s="154"/>
      <c r="H460" s="163">
        <f>(H455+H459)*2</f>
        <v>1338.452</v>
      </c>
      <c r="I460" s="159">
        <f>I455+I459</f>
        <v>7930</v>
      </c>
      <c r="J460" s="164">
        <f>J455+J459</f>
        <v>-2743</v>
      </c>
      <c r="K460" s="154"/>
      <c r="L460" s="154"/>
      <c r="M460" s="154"/>
      <c r="N460" s="154"/>
      <c r="O460" s="142"/>
      <c r="P460" s="142"/>
      <c r="Q460" s="156"/>
      <c r="R460" s="322"/>
    </row>
    <row r="461" spans="1:18" s="143" customFormat="1" ht="13.5" thickBot="1" x14ac:dyDescent="0.25">
      <c r="A461" s="170"/>
      <c r="B461" s="170"/>
      <c r="C461" s="154"/>
      <c r="D461" s="154"/>
      <c r="E461" s="154"/>
      <c r="F461" s="154"/>
      <c r="G461" s="154"/>
      <c r="H461" s="154"/>
      <c r="I461" s="455">
        <f>I460+J460</f>
        <v>5187</v>
      </c>
      <c r="J461" s="456"/>
      <c r="K461" s="154"/>
      <c r="L461" s="154"/>
      <c r="M461" s="154"/>
      <c r="N461" s="154"/>
      <c r="O461" s="142"/>
      <c r="P461" s="142"/>
      <c r="Q461" s="156"/>
      <c r="R461" s="322"/>
    </row>
    <row r="462" spans="1:18" s="143" customFormat="1" ht="13.5" thickBot="1" x14ac:dyDescent="0.25">
      <c r="A462" s="170"/>
      <c r="B462" s="170"/>
      <c r="C462" s="154"/>
      <c r="D462" s="154"/>
      <c r="E462" s="154"/>
      <c r="F462" s="154"/>
      <c r="G462" s="154"/>
      <c r="H462" s="457">
        <f>SUM(H460:J460)</f>
        <v>6525.4519999999993</v>
      </c>
      <c r="I462" s="458"/>
      <c r="J462" s="459"/>
      <c r="K462" s="154"/>
      <c r="L462" s="154"/>
      <c r="M462" s="154"/>
      <c r="N462" s="154"/>
      <c r="O462" s="142"/>
      <c r="P462" s="142"/>
      <c r="Q462" s="156"/>
      <c r="R462" s="322"/>
    </row>
    <row r="463" spans="1:18" ht="13.5" thickBot="1" x14ac:dyDescent="0.25"/>
    <row r="464" spans="1:18" s="79" customFormat="1" ht="13.5" thickBot="1" x14ac:dyDescent="0.25">
      <c r="A464" s="444" t="s">
        <v>127</v>
      </c>
      <c r="B464" s="445"/>
      <c r="C464" s="445"/>
      <c r="D464" s="445"/>
      <c r="E464" s="445"/>
      <c r="F464" s="445"/>
      <c r="G464" s="445"/>
      <c r="H464" s="445"/>
      <c r="I464" s="445"/>
      <c r="J464" s="445"/>
      <c r="K464" s="445"/>
      <c r="L464" s="445"/>
      <c r="M464" s="445"/>
      <c r="N464" s="445"/>
      <c r="O464" s="445"/>
      <c r="P464" s="445"/>
      <c r="Q464" s="446"/>
      <c r="R464" s="318"/>
    </row>
    <row r="465" spans="1:18" s="79" customFormat="1" ht="13.5" thickBot="1" x14ac:dyDescent="0.25">
      <c r="A465" s="85" t="s">
        <v>69</v>
      </c>
      <c r="B465" s="86" t="s">
        <v>1</v>
      </c>
      <c r="C465" s="87" t="s">
        <v>61</v>
      </c>
      <c r="D465" s="87" t="s">
        <v>62</v>
      </c>
      <c r="E465" s="87" t="s">
        <v>73</v>
      </c>
      <c r="F465" s="87" t="s">
        <v>67</v>
      </c>
      <c r="G465" s="87" t="s">
        <v>81</v>
      </c>
      <c r="H465" s="87" t="s">
        <v>64</v>
      </c>
      <c r="I465" s="87" t="s">
        <v>65</v>
      </c>
      <c r="J465" s="87" t="s">
        <v>72</v>
      </c>
      <c r="K465" s="87" t="s">
        <v>67</v>
      </c>
      <c r="L465" s="87" t="s">
        <v>63</v>
      </c>
      <c r="M465" s="87" t="s">
        <v>66</v>
      </c>
      <c r="N465" s="87" t="s">
        <v>2</v>
      </c>
      <c r="O465" s="92" t="s">
        <v>71</v>
      </c>
      <c r="P465" s="93" t="s">
        <v>74</v>
      </c>
      <c r="Q465" s="147" t="s">
        <v>97</v>
      </c>
      <c r="R465" s="318"/>
    </row>
    <row r="466" spans="1:18" x14ac:dyDescent="0.2">
      <c r="A466" s="83" t="s">
        <v>25</v>
      </c>
      <c r="B466" s="84" t="s">
        <v>68</v>
      </c>
      <c r="C466" s="89">
        <v>3475.2</v>
      </c>
      <c r="D466" s="89">
        <v>2671.56</v>
      </c>
      <c r="E466" s="89">
        <v>490</v>
      </c>
      <c r="F466" s="89">
        <v>624</v>
      </c>
      <c r="G466" s="88">
        <f t="shared" ref="G466:G472" si="210">C466+D466+F466</f>
        <v>6770.76</v>
      </c>
      <c r="H466" s="89">
        <v>29.74</v>
      </c>
      <c r="I466" s="89">
        <v>1036</v>
      </c>
      <c r="J466" s="89">
        <v>-155</v>
      </c>
      <c r="K466" s="89">
        <v>624</v>
      </c>
      <c r="L466" s="89">
        <v>200.01</v>
      </c>
      <c r="M466" s="89">
        <v>1125</v>
      </c>
      <c r="N466" s="88">
        <f t="shared" ref="N466:N470" si="211">C466+D466+E466-H466-I466-J466-K466-L466-M466</f>
        <v>3777.01</v>
      </c>
      <c r="O466" s="106">
        <v>43838</v>
      </c>
      <c r="P466" s="167" t="s">
        <v>203</v>
      </c>
      <c r="Q466" s="144" t="s">
        <v>127</v>
      </c>
    </row>
    <row r="467" spans="1:18" x14ac:dyDescent="0.2">
      <c r="A467" s="81" t="s">
        <v>26</v>
      </c>
      <c r="B467" s="82" t="s">
        <v>76</v>
      </c>
      <c r="C467" s="89">
        <v>818.8</v>
      </c>
      <c r="D467" s="89">
        <v>0</v>
      </c>
      <c r="E467" s="89">
        <v>50</v>
      </c>
      <c r="F467" s="89"/>
      <c r="G467" s="88">
        <f t="shared" si="210"/>
        <v>818.8</v>
      </c>
      <c r="H467" s="89">
        <v>8.1880000000000006</v>
      </c>
      <c r="I467" s="89"/>
      <c r="J467" s="89"/>
      <c r="K467" s="89"/>
      <c r="L467" s="89">
        <v>58.14</v>
      </c>
      <c r="M467" s="89">
        <v>0</v>
      </c>
      <c r="N467" s="88">
        <f t="shared" si="211"/>
        <v>802.47199999999998</v>
      </c>
      <c r="O467" s="106">
        <v>43838</v>
      </c>
      <c r="P467" s="167" t="s">
        <v>203</v>
      </c>
      <c r="Q467" s="144" t="s">
        <v>127</v>
      </c>
    </row>
    <row r="468" spans="1:18" x14ac:dyDescent="0.2">
      <c r="A468" s="81" t="s">
        <v>3</v>
      </c>
      <c r="B468" s="82" t="s">
        <v>77</v>
      </c>
      <c r="C468" s="89">
        <v>1074.8</v>
      </c>
      <c r="D468" s="89">
        <v>0</v>
      </c>
      <c r="E468" s="89">
        <v>50</v>
      </c>
      <c r="F468" s="89"/>
      <c r="G468" s="88">
        <f t="shared" si="210"/>
        <v>1074.8</v>
      </c>
      <c r="H468" s="89">
        <v>10.747999999999999</v>
      </c>
      <c r="I468" s="89">
        <v>0</v>
      </c>
      <c r="J468" s="89"/>
      <c r="K468" s="89"/>
      <c r="L468" s="89">
        <v>76.3</v>
      </c>
      <c r="M468" s="89"/>
      <c r="N468" s="88">
        <f t="shared" si="211"/>
        <v>1037.752</v>
      </c>
      <c r="O468" s="106">
        <v>43838</v>
      </c>
      <c r="P468" s="167" t="s">
        <v>203</v>
      </c>
      <c r="Q468" s="144" t="s">
        <v>127</v>
      </c>
    </row>
    <row r="469" spans="1:18" x14ac:dyDescent="0.2">
      <c r="A469" s="81" t="s">
        <v>32</v>
      </c>
      <c r="B469" s="82" t="s">
        <v>78</v>
      </c>
      <c r="C469" s="89">
        <v>954.8</v>
      </c>
      <c r="D469" s="89">
        <v>0</v>
      </c>
      <c r="E469" s="89">
        <v>100</v>
      </c>
      <c r="F469" s="89"/>
      <c r="G469" s="88">
        <f t="shared" si="210"/>
        <v>954.8</v>
      </c>
      <c r="H469" s="89">
        <v>9.548</v>
      </c>
      <c r="I469" s="89">
        <v>0</v>
      </c>
      <c r="J469" s="89"/>
      <c r="K469" s="89"/>
      <c r="L469" s="89">
        <v>67.78</v>
      </c>
      <c r="M469" s="89"/>
      <c r="N469" s="88">
        <f t="shared" si="211"/>
        <v>977.47199999999998</v>
      </c>
      <c r="O469" s="106">
        <v>43838</v>
      </c>
      <c r="P469" s="167" t="s">
        <v>203</v>
      </c>
      <c r="Q469" s="144" t="s">
        <v>127</v>
      </c>
    </row>
    <row r="470" spans="1:18" x14ac:dyDescent="0.2">
      <c r="A470" s="81" t="s">
        <v>75</v>
      </c>
      <c r="B470" s="82" t="s">
        <v>79</v>
      </c>
      <c r="C470" s="89">
        <v>800</v>
      </c>
      <c r="D470" s="89">
        <v>0</v>
      </c>
      <c r="E470" s="89"/>
      <c r="F470" s="89"/>
      <c r="G470" s="88">
        <f t="shared" si="210"/>
        <v>800</v>
      </c>
      <c r="H470" s="89">
        <v>8</v>
      </c>
      <c r="I470" s="89"/>
      <c r="J470" s="89"/>
      <c r="K470" s="89"/>
      <c r="L470" s="89"/>
      <c r="M470" s="89"/>
      <c r="N470" s="88">
        <f t="shared" si="211"/>
        <v>792</v>
      </c>
      <c r="O470" s="106">
        <v>43838</v>
      </c>
      <c r="P470" s="167" t="s">
        <v>203</v>
      </c>
      <c r="Q470" s="144" t="s">
        <v>127</v>
      </c>
    </row>
    <row r="471" spans="1:18" x14ac:dyDescent="0.2">
      <c r="A471" s="81" t="s">
        <v>86</v>
      </c>
      <c r="B471" s="82" t="s">
        <v>106</v>
      </c>
      <c r="C471" s="89">
        <v>1000</v>
      </c>
      <c r="D471" s="89">
        <v>0</v>
      </c>
      <c r="E471" s="89"/>
      <c r="F471" s="89"/>
      <c r="G471" s="88">
        <f t="shared" si="210"/>
        <v>1000</v>
      </c>
      <c r="H471" s="89">
        <v>10</v>
      </c>
      <c r="I471" s="89"/>
      <c r="J471" s="89"/>
      <c r="K471" s="89"/>
      <c r="L471" s="89"/>
      <c r="M471" s="89">
        <v>100</v>
      </c>
      <c r="N471" s="88">
        <f>C471+D471+E471-H471-I471-J471-K471-L471-M471</f>
        <v>890</v>
      </c>
      <c r="O471" s="106">
        <v>43838</v>
      </c>
      <c r="P471" s="167" t="s">
        <v>203</v>
      </c>
      <c r="Q471" s="144" t="s">
        <v>127</v>
      </c>
    </row>
    <row r="472" spans="1:18" ht="13.5" thickBot="1" x14ac:dyDescent="0.25">
      <c r="A472" s="81" t="s">
        <v>149</v>
      </c>
      <c r="B472" s="82" t="s">
        <v>150</v>
      </c>
      <c r="C472" s="89">
        <v>400</v>
      </c>
      <c r="D472" s="89">
        <v>0</v>
      </c>
      <c r="E472" s="89"/>
      <c r="F472" s="89"/>
      <c r="G472" s="88">
        <f t="shared" si="210"/>
        <v>400</v>
      </c>
      <c r="H472" s="89">
        <v>4</v>
      </c>
      <c r="I472" s="89">
        <v>0</v>
      </c>
      <c r="J472" s="89"/>
      <c r="K472" s="89"/>
      <c r="L472" s="89"/>
      <c r="M472" s="89"/>
      <c r="N472" s="88">
        <f>C472+D472+E472-H472-I472-J472-K472-L472-M472</f>
        <v>396</v>
      </c>
      <c r="O472" s="106">
        <v>43838</v>
      </c>
      <c r="P472" s="167" t="s">
        <v>203</v>
      </c>
      <c r="Q472" s="144" t="s">
        <v>127</v>
      </c>
    </row>
    <row r="473" spans="1:18" s="94" customFormat="1" ht="13.5" thickBot="1" x14ac:dyDescent="0.25">
      <c r="A473" s="451" t="s">
        <v>0</v>
      </c>
      <c r="B473" s="452"/>
      <c r="C473" s="168">
        <f t="shared" ref="C473:N473" si="212">SUM(C466:C472)</f>
        <v>8523.6</v>
      </c>
      <c r="D473" s="168">
        <f t="shared" si="212"/>
        <v>2671.56</v>
      </c>
      <c r="E473" s="168">
        <f t="shared" si="212"/>
        <v>690</v>
      </c>
      <c r="F473" s="168">
        <f t="shared" si="212"/>
        <v>624</v>
      </c>
      <c r="G473" s="168">
        <f t="shared" si="212"/>
        <v>11819.16</v>
      </c>
      <c r="H473" s="168">
        <f t="shared" si="212"/>
        <v>80.22399999999999</v>
      </c>
      <c r="I473" s="168">
        <f t="shared" si="212"/>
        <v>1036</v>
      </c>
      <c r="J473" s="168">
        <f t="shared" si="212"/>
        <v>-155</v>
      </c>
      <c r="K473" s="168">
        <f t="shared" si="212"/>
        <v>624</v>
      </c>
      <c r="L473" s="168">
        <f t="shared" si="212"/>
        <v>402.23</v>
      </c>
      <c r="M473" s="168">
        <f t="shared" si="212"/>
        <v>1225</v>
      </c>
      <c r="N473" s="168">
        <f t="shared" si="212"/>
        <v>8672.7060000000001</v>
      </c>
      <c r="O473" s="453" t="s">
        <v>0</v>
      </c>
      <c r="P473" s="454"/>
      <c r="Q473" s="144"/>
      <c r="R473" s="319"/>
    </row>
    <row r="474" spans="1:18" x14ac:dyDescent="0.2">
      <c r="A474" s="83" t="s">
        <v>25</v>
      </c>
      <c r="B474" s="84" t="s">
        <v>68</v>
      </c>
      <c r="C474" s="89">
        <v>3475.2</v>
      </c>
      <c r="D474" s="89">
        <v>0</v>
      </c>
      <c r="E474" s="89">
        <v>490</v>
      </c>
      <c r="F474" s="89">
        <v>624</v>
      </c>
      <c r="G474" s="88">
        <f t="shared" ref="G474:G480" si="213">C474+D474+F474</f>
        <v>4099.2</v>
      </c>
      <c r="H474" s="89">
        <v>29.74</v>
      </c>
      <c r="I474" s="89">
        <v>351</v>
      </c>
      <c r="J474" s="89">
        <v>-155</v>
      </c>
      <c r="K474" s="89">
        <v>624</v>
      </c>
      <c r="L474" s="89">
        <v>200.01</v>
      </c>
      <c r="M474" s="89">
        <v>1125</v>
      </c>
      <c r="N474" s="88">
        <f t="shared" ref="N474:N478" si="214">C474+D474+E474-H474-I474-J474-K474-L474-M474</f>
        <v>1790.4499999999998</v>
      </c>
      <c r="O474" s="106">
        <v>43845</v>
      </c>
      <c r="P474" s="134" t="s">
        <v>201</v>
      </c>
      <c r="Q474" s="144" t="s">
        <v>127</v>
      </c>
    </row>
    <row r="475" spans="1:18" x14ac:dyDescent="0.2">
      <c r="A475" s="81" t="s">
        <v>26</v>
      </c>
      <c r="B475" s="82" t="s">
        <v>76</v>
      </c>
      <c r="C475" s="89">
        <v>818.8</v>
      </c>
      <c r="D475" s="89">
        <v>0</v>
      </c>
      <c r="E475" s="89">
        <v>50</v>
      </c>
      <c r="F475" s="89"/>
      <c r="G475" s="88">
        <f t="shared" si="213"/>
        <v>818.8</v>
      </c>
      <c r="H475" s="89">
        <v>8.1880000000000006</v>
      </c>
      <c r="I475" s="89"/>
      <c r="J475" s="89"/>
      <c r="K475" s="89"/>
      <c r="L475" s="89">
        <v>58.14</v>
      </c>
      <c r="M475" s="89">
        <v>100</v>
      </c>
      <c r="N475" s="88">
        <f t="shared" si="214"/>
        <v>702.47199999999998</v>
      </c>
      <c r="O475" s="106">
        <v>43845</v>
      </c>
      <c r="P475" s="134" t="s">
        <v>201</v>
      </c>
      <c r="Q475" s="144" t="s">
        <v>127</v>
      </c>
    </row>
    <row r="476" spans="1:18" x14ac:dyDescent="0.2">
      <c r="A476" s="81" t="s">
        <v>3</v>
      </c>
      <c r="B476" s="82" t="s">
        <v>77</v>
      </c>
      <c r="C476" s="89">
        <v>1074.8</v>
      </c>
      <c r="D476" s="89">
        <v>0</v>
      </c>
      <c r="E476" s="89">
        <v>50</v>
      </c>
      <c r="F476" s="89"/>
      <c r="G476" s="88">
        <f t="shared" si="213"/>
        <v>1074.8</v>
      </c>
      <c r="H476" s="89">
        <v>10.747999999999999</v>
      </c>
      <c r="I476" s="89">
        <v>0</v>
      </c>
      <c r="J476" s="89"/>
      <c r="K476" s="89"/>
      <c r="L476" s="89">
        <v>76.3</v>
      </c>
      <c r="M476" s="89"/>
      <c r="N476" s="88">
        <f t="shared" si="214"/>
        <v>1037.752</v>
      </c>
      <c r="O476" s="106">
        <v>43845</v>
      </c>
      <c r="P476" s="134" t="s">
        <v>201</v>
      </c>
      <c r="Q476" s="144" t="s">
        <v>127</v>
      </c>
    </row>
    <row r="477" spans="1:18" x14ac:dyDescent="0.2">
      <c r="A477" s="81" t="s">
        <v>32</v>
      </c>
      <c r="B477" s="82" t="s">
        <v>78</v>
      </c>
      <c r="C477" s="89">
        <v>954.8</v>
      </c>
      <c r="D477" s="89">
        <v>0</v>
      </c>
      <c r="E477" s="89">
        <v>100</v>
      </c>
      <c r="F477" s="89"/>
      <c r="G477" s="88">
        <f t="shared" si="213"/>
        <v>954.8</v>
      </c>
      <c r="H477" s="89">
        <v>9.548</v>
      </c>
      <c r="I477" s="89">
        <v>0</v>
      </c>
      <c r="J477" s="89"/>
      <c r="K477" s="89"/>
      <c r="L477" s="89">
        <v>67.78</v>
      </c>
      <c r="M477" s="89"/>
      <c r="N477" s="88">
        <f t="shared" si="214"/>
        <v>977.47199999999998</v>
      </c>
      <c r="O477" s="106">
        <v>43845</v>
      </c>
      <c r="P477" s="134" t="s">
        <v>201</v>
      </c>
      <c r="Q477" s="144" t="s">
        <v>127</v>
      </c>
    </row>
    <row r="478" spans="1:18" x14ac:dyDescent="0.2">
      <c r="A478" s="81" t="s">
        <v>75</v>
      </c>
      <c r="B478" s="82" t="s">
        <v>79</v>
      </c>
      <c r="C478" s="89">
        <v>800</v>
      </c>
      <c r="D478" s="89">
        <v>0</v>
      </c>
      <c r="E478" s="89"/>
      <c r="F478" s="89"/>
      <c r="G478" s="88">
        <f t="shared" si="213"/>
        <v>800</v>
      </c>
      <c r="H478" s="89">
        <v>8</v>
      </c>
      <c r="I478" s="89"/>
      <c r="J478" s="89"/>
      <c r="K478" s="89"/>
      <c r="L478" s="89"/>
      <c r="M478" s="89"/>
      <c r="N478" s="88">
        <f t="shared" si="214"/>
        <v>792</v>
      </c>
      <c r="O478" s="106">
        <v>43845</v>
      </c>
      <c r="P478" s="134" t="s">
        <v>201</v>
      </c>
      <c r="Q478" s="144" t="s">
        <v>127</v>
      </c>
    </row>
    <row r="479" spans="1:18" x14ac:dyDescent="0.2">
      <c r="A479" s="81" t="s">
        <v>86</v>
      </c>
      <c r="B479" s="82" t="s">
        <v>106</v>
      </c>
      <c r="C479" s="89">
        <v>1000</v>
      </c>
      <c r="D479" s="89">
        <v>0</v>
      </c>
      <c r="E479" s="89"/>
      <c r="F479" s="89"/>
      <c r="G479" s="88">
        <f t="shared" si="213"/>
        <v>1000</v>
      </c>
      <c r="H479" s="89">
        <v>10</v>
      </c>
      <c r="I479" s="89"/>
      <c r="J479" s="89"/>
      <c r="K479" s="89"/>
      <c r="L479" s="89"/>
      <c r="M479" s="89">
        <v>100</v>
      </c>
      <c r="N479" s="88">
        <f>C479+D479+E479-H479-I479-J479-K479-L479-M479</f>
        <v>890</v>
      </c>
      <c r="O479" s="106">
        <v>43845</v>
      </c>
      <c r="P479" s="134" t="s">
        <v>201</v>
      </c>
      <c r="Q479" s="144" t="s">
        <v>127</v>
      </c>
    </row>
    <row r="480" spans="1:18" ht="13.5" thickBot="1" x14ac:dyDescent="0.25">
      <c r="A480" s="81" t="s">
        <v>149</v>
      </c>
      <c r="B480" s="82" t="s">
        <v>150</v>
      </c>
      <c r="C480" s="89">
        <v>1000</v>
      </c>
      <c r="D480" s="89">
        <v>0</v>
      </c>
      <c r="E480" s="89"/>
      <c r="F480" s="89"/>
      <c r="G480" s="88">
        <f t="shared" si="213"/>
        <v>1000</v>
      </c>
      <c r="H480" s="89">
        <v>10</v>
      </c>
      <c r="I480" s="89">
        <v>0</v>
      </c>
      <c r="J480" s="89"/>
      <c r="K480" s="89"/>
      <c r="L480" s="89"/>
      <c r="M480" s="89"/>
      <c r="N480" s="88">
        <f>C480+D480+E480-H480-I480-J480-K480-L480-M480</f>
        <v>990</v>
      </c>
      <c r="O480" s="106">
        <v>43845</v>
      </c>
      <c r="P480" s="134" t="s">
        <v>201</v>
      </c>
      <c r="Q480" s="144" t="s">
        <v>127</v>
      </c>
    </row>
    <row r="481" spans="1:18" s="94" customFormat="1" ht="13.5" thickBot="1" x14ac:dyDescent="0.25">
      <c r="A481" s="429" t="s">
        <v>0</v>
      </c>
      <c r="B481" s="430"/>
      <c r="C481" s="114">
        <f t="shared" ref="C481:I481" si="215">SUM(C474:C480)</f>
        <v>9123.6</v>
      </c>
      <c r="D481" s="114">
        <f t="shared" si="215"/>
        <v>0</v>
      </c>
      <c r="E481" s="114">
        <f t="shared" si="215"/>
        <v>690</v>
      </c>
      <c r="F481" s="114">
        <f t="shared" si="215"/>
        <v>624</v>
      </c>
      <c r="G481" s="114">
        <f t="shared" si="215"/>
        <v>9747.6</v>
      </c>
      <c r="H481" s="114">
        <f t="shared" si="215"/>
        <v>86.22399999999999</v>
      </c>
      <c r="I481" s="114">
        <f t="shared" si="215"/>
        <v>351</v>
      </c>
      <c r="J481" s="114">
        <f t="shared" ref="J481:N481" si="216">SUM(J474:J480)</f>
        <v>-155</v>
      </c>
      <c r="K481" s="114">
        <f t="shared" si="216"/>
        <v>624</v>
      </c>
      <c r="L481" s="114">
        <f t="shared" si="216"/>
        <v>402.23</v>
      </c>
      <c r="M481" s="114">
        <f t="shared" si="216"/>
        <v>1325</v>
      </c>
      <c r="N481" s="114">
        <f t="shared" si="216"/>
        <v>7180.1459999999997</v>
      </c>
      <c r="O481" s="431" t="s">
        <v>0</v>
      </c>
      <c r="P481" s="432"/>
      <c r="Q481" s="144"/>
      <c r="R481" s="319"/>
    </row>
    <row r="482" spans="1:18" x14ac:dyDescent="0.2">
      <c r="A482" s="83" t="s">
        <v>25</v>
      </c>
      <c r="B482" s="84" t="s">
        <v>68</v>
      </c>
      <c r="C482" s="89">
        <v>3475.2</v>
      </c>
      <c r="D482" s="89">
        <v>1042.56</v>
      </c>
      <c r="E482" s="89">
        <v>490</v>
      </c>
      <c r="F482" s="89">
        <v>624</v>
      </c>
      <c r="G482" s="88">
        <f t="shared" ref="G482:G488" si="217">C482+D482+F482</f>
        <v>5141.76</v>
      </c>
      <c r="H482" s="89">
        <v>29.74</v>
      </c>
      <c r="I482" s="89">
        <v>601</v>
      </c>
      <c r="J482" s="89">
        <v>-155</v>
      </c>
      <c r="K482" s="89">
        <v>624</v>
      </c>
      <c r="L482" s="89">
        <v>200.01</v>
      </c>
      <c r="M482" s="89">
        <v>1125</v>
      </c>
      <c r="N482" s="88">
        <f t="shared" ref="N482:N486" si="218">C482+D482+E482-H482-I482-J482-K482-L482-M482</f>
        <v>2583.0100000000002</v>
      </c>
      <c r="O482" s="106">
        <v>43852</v>
      </c>
      <c r="P482" s="165" t="s">
        <v>202</v>
      </c>
      <c r="Q482" s="144" t="s">
        <v>127</v>
      </c>
    </row>
    <row r="483" spans="1:18" x14ac:dyDescent="0.2">
      <c r="A483" s="81" t="s">
        <v>26</v>
      </c>
      <c r="B483" s="82" t="s">
        <v>76</v>
      </c>
      <c r="C483" s="89">
        <v>818.8</v>
      </c>
      <c r="D483" s="89">
        <v>0</v>
      </c>
      <c r="E483" s="89">
        <v>50</v>
      </c>
      <c r="F483" s="89"/>
      <c r="G483" s="88">
        <f t="shared" si="217"/>
        <v>818.8</v>
      </c>
      <c r="H483" s="89">
        <v>8.1880000000000006</v>
      </c>
      <c r="I483" s="89"/>
      <c r="J483" s="89"/>
      <c r="K483" s="89"/>
      <c r="L483" s="89">
        <v>58.14</v>
      </c>
      <c r="M483" s="89">
        <v>0</v>
      </c>
      <c r="N483" s="88">
        <f t="shared" si="218"/>
        <v>802.47199999999998</v>
      </c>
      <c r="O483" s="106">
        <v>43852</v>
      </c>
      <c r="P483" s="165" t="s">
        <v>202</v>
      </c>
      <c r="Q483" s="144" t="s">
        <v>127</v>
      </c>
    </row>
    <row r="484" spans="1:18" x14ac:dyDescent="0.2">
      <c r="A484" s="81" t="s">
        <v>3</v>
      </c>
      <c r="B484" s="82" t="s">
        <v>77</v>
      </c>
      <c r="C484" s="89">
        <v>1074.8</v>
      </c>
      <c r="D484" s="89">
        <v>0</v>
      </c>
      <c r="E484" s="89">
        <v>50</v>
      </c>
      <c r="F484" s="89"/>
      <c r="G484" s="88">
        <f t="shared" si="217"/>
        <v>1074.8</v>
      </c>
      <c r="H484" s="89">
        <v>10.747999999999999</v>
      </c>
      <c r="I484" s="89">
        <v>0</v>
      </c>
      <c r="J484" s="89"/>
      <c r="K484" s="89"/>
      <c r="L484" s="89">
        <v>76.3</v>
      </c>
      <c r="M484" s="89"/>
      <c r="N484" s="88">
        <f t="shared" si="218"/>
        <v>1037.752</v>
      </c>
      <c r="O484" s="106">
        <v>43852</v>
      </c>
      <c r="P484" s="165" t="s">
        <v>202</v>
      </c>
      <c r="Q484" s="144" t="s">
        <v>127</v>
      </c>
    </row>
    <row r="485" spans="1:18" x14ac:dyDescent="0.2">
      <c r="A485" s="81" t="s">
        <v>32</v>
      </c>
      <c r="B485" s="82" t="s">
        <v>78</v>
      </c>
      <c r="C485" s="89">
        <v>954.8</v>
      </c>
      <c r="D485" s="89">
        <v>0</v>
      </c>
      <c r="E485" s="89">
        <v>100</v>
      </c>
      <c r="F485" s="89"/>
      <c r="G485" s="88">
        <f t="shared" si="217"/>
        <v>954.8</v>
      </c>
      <c r="H485" s="89">
        <v>9.548</v>
      </c>
      <c r="I485" s="89">
        <v>0</v>
      </c>
      <c r="J485" s="89"/>
      <c r="K485" s="89"/>
      <c r="L485" s="89">
        <v>67.78</v>
      </c>
      <c r="M485" s="89"/>
      <c r="N485" s="88">
        <f t="shared" si="218"/>
        <v>977.47199999999998</v>
      </c>
      <c r="O485" s="106">
        <v>43852</v>
      </c>
      <c r="P485" s="165" t="s">
        <v>202</v>
      </c>
      <c r="Q485" s="144" t="s">
        <v>127</v>
      </c>
    </row>
    <row r="486" spans="1:18" x14ac:dyDescent="0.2">
      <c r="A486" s="81" t="s">
        <v>75</v>
      </c>
      <c r="B486" s="82" t="s">
        <v>79</v>
      </c>
      <c r="C486" s="89">
        <v>800</v>
      </c>
      <c r="D486" s="89">
        <v>0</v>
      </c>
      <c r="E486" s="89"/>
      <c r="F486" s="89"/>
      <c r="G486" s="88">
        <f t="shared" si="217"/>
        <v>800</v>
      </c>
      <c r="H486" s="89">
        <v>8</v>
      </c>
      <c r="I486" s="89"/>
      <c r="J486" s="89"/>
      <c r="K486" s="89"/>
      <c r="L486" s="89"/>
      <c r="M486" s="89"/>
      <c r="N486" s="88">
        <f t="shared" si="218"/>
        <v>792</v>
      </c>
      <c r="O486" s="106">
        <v>43852</v>
      </c>
      <c r="P486" s="165" t="s">
        <v>202</v>
      </c>
      <c r="Q486" s="144" t="s">
        <v>127</v>
      </c>
    </row>
    <row r="487" spans="1:18" x14ac:dyDescent="0.2">
      <c r="A487" s="81" t="s">
        <v>86</v>
      </c>
      <c r="B487" s="82" t="s">
        <v>106</v>
      </c>
      <c r="C487" s="89">
        <v>1000</v>
      </c>
      <c r="D487" s="89">
        <v>300</v>
      </c>
      <c r="E487" s="89"/>
      <c r="F487" s="89"/>
      <c r="G487" s="88">
        <f t="shared" si="217"/>
        <v>1300</v>
      </c>
      <c r="H487" s="89">
        <v>13</v>
      </c>
      <c r="I487" s="89"/>
      <c r="J487" s="89"/>
      <c r="K487" s="89"/>
      <c r="L487" s="89"/>
      <c r="M487" s="89">
        <v>100</v>
      </c>
      <c r="N487" s="88">
        <f>C487+D487+E487-H487-I487-J487-K487-L487-M487</f>
        <v>1187</v>
      </c>
      <c r="O487" s="106">
        <v>43852</v>
      </c>
      <c r="P487" s="165" t="s">
        <v>202</v>
      </c>
      <c r="Q487" s="144" t="s">
        <v>127</v>
      </c>
    </row>
    <row r="488" spans="1:18" ht="13.5" thickBot="1" x14ac:dyDescent="0.25">
      <c r="A488" s="81" t="s">
        <v>149</v>
      </c>
      <c r="B488" s="82" t="s">
        <v>150</v>
      </c>
      <c r="C488" s="89">
        <v>1000</v>
      </c>
      <c r="D488" s="89">
        <v>0</v>
      </c>
      <c r="E488" s="89"/>
      <c r="F488" s="89"/>
      <c r="G488" s="88">
        <f t="shared" si="217"/>
        <v>1000</v>
      </c>
      <c r="H488" s="89">
        <v>10</v>
      </c>
      <c r="I488" s="89">
        <v>0</v>
      </c>
      <c r="J488" s="89"/>
      <c r="K488" s="89"/>
      <c r="L488" s="89"/>
      <c r="M488" s="89"/>
      <c r="N488" s="88">
        <f>C488+D488+E488-H488-I488-J488-K488-L488-M488</f>
        <v>990</v>
      </c>
      <c r="O488" s="106">
        <v>43852</v>
      </c>
      <c r="P488" s="165" t="s">
        <v>202</v>
      </c>
      <c r="Q488" s="144" t="s">
        <v>127</v>
      </c>
    </row>
    <row r="489" spans="1:18" s="94" customFormat="1" ht="13.5" thickBot="1" x14ac:dyDescent="0.25">
      <c r="A489" s="435" t="s">
        <v>0</v>
      </c>
      <c r="B489" s="460"/>
      <c r="C489" s="166">
        <f t="shared" ref="C489:N489" si="219">SUM(C482:C488)</f>
        <v>9123.6</v>
      </c>
      <c r="D489" s="166">
        <f t="shared" si="219"/>
        <v>1342.56</v>
      </c>
      <c r="E489" s="166">
        <f t="shared" si="219"/>
        <v>690</v>
      </c>
      <c r="F489" s="166">
        <f t="shared" si="219"/>
        <v>624</v>
      </c>
      <c r="G489" s="166">
        <f t="shared" si="219"/>
        <v>11090.16</v>
      </c>
      <c r="H489" s="166">
        <f t="shared" si="219"/>
        <v>89.22399999999999</v>
      </c>
      <c r="I489" s="166">
        <f t="shared" si="219"/>
        <v>601</v>
      </c>
      <c r="J489" s="166">
        <f t="shared" si="219"/>
        <v>-155</v>
      </c>
      <c r="K489" s="166">
        <f t="shared" si="219"/>
        <v>624</v>
      </c>
      <c r="L489" s="166">
        <f t="shared" si="219"/>
        <v>402.23</v>
      </c>
      <c r="M489" s="166">
        <f t="shared" si="219"/>
        <v>1225</v>
      </c>
      <c r="N489" s="166">
        <f t="shared" si="219"/>
        <v>8369.7060000000001</v>
      </c>
      <c r="O489" s="433" t="s">
        <v>0</v>
      </c>
      <c r="P489" s="434"/>
      <c r="Q489" s="144"/>
      <c r="R489" s="319"/>
    </row>
    <row r="490" spans="1:18" x14ac:dyDescent="0.2">
      <c r="A490" s="83" t="s">
        <v>25</v>
      </c>
      <c r="B490" s="84" t="s">
        <v>68</v>
      </c>
      <c r="C490" s="89">
        <v>3475.2</v>
      </c>
      <c r="D490" s="89">
        <v>0</v>
      </c>
      <c r="E490" s="89">
        <v>0</v>
      </c>
      <c r="F490" s="89">
        <v>0</v>
      </c>
      <c r="G490" s="88">
        <f t="shared" ref="G490:G496" si="220">C490+D490+F490</f>
        <v>3475.2</v>
      </c>
      <c r="H490" s="89">
        <v>37.18</v>
      </c>
      <c r="I490" s="89">
        <v>351</v>
      </c>
      <c r="J490" s="89">
        <v>0</v>
      </c>
      <c r="K490" s="89">
        <v>0</v>
      </c>
      <c r="L490" s="89">
        <v>200.01</v>
      </c>
      <c r="M490" s="89">
        <v>0</v>
      </c>
      <c r="N490" s="88">
        <f t="shared" ref="N490:N496" si="221">C490+D490+E490-H490-I490-J490-K490-L490-M490</f>
        <v>2887.01</v>
      </c>
      <c r="O490" s="106">
        <v>43859</v>
      </c>
      <c r="P490" s="165" t="s">
        <v>204</v>
      </c>
      <c r="Q490" s="144" t="s">
        <v>127</v>
      </c>
    </row>
    <row r="491" spans="1:18" x14ac:dyDescent="0.2">
      <c r="A491" s="81" t="s">
        <v>26</v>
      </c>
      <c r="B491" s="82" t="s">
        <v>76</v>
      </c>
      <c r="C491" s="89">
        <v>818.8</v>
      </c>
      <c r="D491" s="89">
        <v>0</v>
      </c>
      <c r="E491" s="89">
        <v>50</v>
      </c>
      <c r="F491" s="89"/>
      <c r="G491" s="88">
        <f t="shared" si="220"/>
        <v>818.8</v>
      </c>
      <c r="H491" s="89">
        <v>8.1880000000000006</v>
      </c>
      <c r="I491" s="89"/>
      <c r="J491" s="89"/>
      <c r="K491" s="89"/>
      <c r="L491" s="89">
        <v>58.14</v>
      </c>
      <c r="M491" s="89">
        <v>100</v>
      </c>
      <c r="N491" s="88">
        <f t="shared" si="221"/>
        <v>702.47199999999998</v>
      </c>
      <c r="O491" s="106">
        <v>43859</v>
      </c>
      <c r="P491" s="165" t="s">
        <v>204</v>
      </c>
      <c r="Q491" s="144" t="s">
        <v>127</v>
      </c>
    </row>
    <row r="492" spans="1:18" x14ac:dyDescent="0.2">
      <c r="A492" s="81" t="s">
        <v>3</v>
      </c>
      <c r="B492" s="82" t="s">
        <v>77</v>
      </c>
      <c r="C492" s="89">
        <v>1074.8</v>
      </c>
      <c r="D492" s="89">
        <v>0</v>
      </c>
      <c r="E492" s="89">
        <v>50</v>
      </c>
      <c r="F492" s="89"/>
      <c r="G492" s="88">
        <f t="shared" si="220"/>
        <v>1074.8</v>
      </c>
      <c r="H492" s="89">
        <v>10.747999999999999</v>
      </c>
      <c r="I492" s="89">
        <v>0</v>
      </c>
      <c r="J492" s="89"/>
      <c r="K492" s="89"/>
      <c r="L492" s="89">
        <v>76.3</v>
      </c>
      <c r="M492" s="89"/>
      <c r="N492" s="88">
        <f t="shared" si="221"/>
        <v>1037.752</v>
      </c>
      <c r="O492" s="106">
        <v>43859</v>
      </c>
      <c r="P492" s="165" t="s">
        <v>204</v>
      </c>
      <c r="Q492" s="144" t="s">
        <v>127</v>
      </c>
    </row>
    <row r="493" spans="1:18" x14ac:dyDescent="0.2">
      <c r="A493" s="81" t="s">
        <v>32</v>
      </c>
      <c r="B493" s="82" t="s">
        <v>78</v>
      </c>
      <c r="C493" s="89">
        <v>954.8</v>
      </c>
      <c r="D493" s="89">
        <v>0</v>
      </c>
      <c r="E493" s="89">
        <v>100</v>
      </c>
      <c r="F493" s="89"/>
      <c r="G493" s="88">
        <f t="shared" si="220"/>
        <v>954.8</v>
      </c>
      <c r="H493" s="89">
        <v>9.548</v>
      </c>
      <c r="I493" s="89">
        <v>0</v>
      </c>
      <c r="J493" s="89"/>
      <c r="K493" s="89"/>
      <c r="L493" s="89">
        <v>67.78</v>
      </c>
      <c r="M493" s="89"/>
      <c r="N493" s="88">
        <f t="shared" si="221"/>
        <v>977.47199999999998</v>
      </c>
      <c r="O493" s="106">
        <v>43859</v>
      </c>
      <c r="P493" s="165" t="s">
        <v>204</v>
      </c>
      <c r="Q493" s="144" t="s">
        <v>127</v>
      </c>
    </row>
    <row r="494" spans="1:18" x14ac:dyDescent="0.2">
      <c r="A494" s="81" t="s">
        <v>75</v>
      </c>
      <c r="B494" s="82" t="s">
        <v>79</v>
      </c>
      <c r="C494" s="89">
        <v>800</v>
      </c>
      <c r="D494" s="89">
        <v>0</v>
      </c>
      <c r="E494" s="89"/>
      <c r="F494" s="89"/>
      <c r="G494" s="88">
        <f t="shared" si="220"/>
        <v>800</v>
      </c>
      <c r="H494" s="89">
        <v>8</v>
      </c>
      <c r="I494" s="89"/>
      <c r="J494" s="89"/>
      <c r="K494" s="89"/>
      <c r="L494" s="89"/>
      <c r="M494" s="89"/>
      <c r="N494" s="88">
        <f t="shared" si="221"/>
        <v>792</v>
      </c>
      <c r="O494" s="106">
        <v>43859</v>
      </c>
      <c r="P494" s="165" t="s">
        <v>204</v>
      </c>
      <c r="Q494" s="144" t="s">
        <v>127</v>
      </c>
    </row>
    <row r="495" spans="1:18" x14ac:dyDescent="0.2">
      <c r="A495" s="81" t="s">
        <v>86</v>
      </c>
      <c r="B495" s="82" t="s">
        <v>106</v>
      </c>
      <c r="C495" s="89">
        <v>1000</v>
      </c>
      <c r="D495" s="89">
        <v>0</v>
      </c>
      <c r="E495" s="89"/>
      <c r="F495" s="89"/>
      <c r="G495" s="88">
        <f t="shared" si="220"/>
        <v>1000</v>
      </c>
      <c r="H495" s="89">
        <v>10</v>
      </c>
      <c r="I495" s="89"/>
      <c r="J495" s="89"/>
      <c r="K495" s="89"/>
      <c r="L495" s="89"/>
      <c r="M495" s="89">
        <v>100</v>
      </c>
      <c r="N495" s="88">
        <f t="shared" si="221"/>
        <v>890</v>
      </c>
      <c r="O495" s="106">
        <v>43859</v>
      </c>
      <c r="P495" s="165" t="s">
        <v>204</v>
      </c>
      <c r="Q495" s="144" t="s">
        <v>127</v>
      </c>
    </row>
    <row r="496" spans="1:18" ht="13.5" thickBot="1" x14ac:dyDescent="0.25">
      <c r="A496" s="81" t="s">
        <v>149</v>
      </c>
      <c r="B496" s="82" t="s">
        <v>150</v>
      </c>
      <c r="C496" s="89">
        <v>1000</v>
      </c>
      <c r="D496" s="89">
        <v>0</v>
      </c>
      <c r="E496" s="89"/>
      <c r="F496" s="89"/>
      <c r="G496" s="88">
        <f t="shared" si="220"/>
        <v>1000</v>
      </c>
      <c r="H496" s="89">
        <v>10</v>
      </c>
      <c r="I496" s="89">
        <v>0</v>
      </c>
      <c r="J496" s="89"/>
      <c r="K496" s="89"/>
      <c r="L496" s="89"/>
      <c r="M496" s="89"/>
      <c r="N496" s="88">
        <f t="shared" si="221"/>
        <v>990</v>
      </c>
      <c r="O496" s="106">
        <v>43859</v>
      </c>
      <c r="P496" s="165" t="s">
        <v>204</v>
      </c>
      <c r="Q496" s="144" t="s">
        <v>127</v>
      </c>
    </row>
    <row r="497" spans="1:18" s="94" customFormat="1" ht="13.5" thickBot="1" x14ac:dyDescent="0.25">
      <c r="A497" s="435" t="s">
        <v>0</v>
      </c>
      <c r="B497" s="460"/>
      <c r="C497" s="166">
        <f t="shared" ref="C497:N497" si="222">SUM(C490:C496)</f>
        <v>9123.6</v>
      </c>
      <c r="D497" s="166">
        <f t="shared" si="222"/>
        <v>0</v>
      </c>
      <c r="E497" s="166">
        <f t="shared" si="222"/>
        <v>200</v>
      </c>
      <c r="F497" s="166">
        <f t="shared" si="222"/>
        <v>0</v>
      </c>
      <c r="G497" s="166">
        <f t="shared" si="222"/>
        <v>9123.6</v>
      </c>
      <c r="H497" s="166">
        <f t="shared" si="222"/>
        <v>93.664000000000001</v>
      </c>
      <c r="I497" s="166">
        <f t="shared" si="222"/>
        <v>351</v>
      </c>
      <c r="J497" s="166">
        <f t="shared" si="222"/>
        <v>0</v>
      </c>
      <c r="K497" s="166">
        <f t="shared" si="222"/>
        <v>0</v>
      </c>
      <c r="L497" s="166">
        <f t="shared" si="222"/>
        <v>402.23</v>
      </c>
      <c r="M497" s="166">
        <f t="shared" si="222"/>
        <v>200</v>
      </c>
      <c r="N497" s="166">
        <f t="shared" si="222"/>
        <v>8276.7060000000001</v>
      </c>
      <c r="O497" s="433" t="s">
        <v>0</v>
      </c>
      <c r="P497" s="434"/>
      <c r="Q497" s="145"/>
      <c r="R497" s="319"/>
    </row>
    <row r="498" spans="1:18" s="153" customFormat="1" ht="13.5" thickBot="1" x14ac:dyDescent="0.25">
      <c r="A498" s="437" t="s">
        <v>99</v>
      </c>
      <c r="B498" s="438"/>
      <c r="C498" s="171">
        <f t="shared" ref="C498:N498" si="223">C473+C481+C489+C497</f>
        <v>35894.400000000001</v>
      </c>
      <c r="D498" s="171">
        <f t="shared" si="223"/>
        <v>4014.12</v>
      </c>
      <c r="E498" s="171">
        <f t="shared" si="223"/>
        <v>2270</v>
      </c>
      <c r="F498" s="171">
        <f t="shared" si="223"/>
        <v>1872</v>
      </c>
      <c r="G498" s="171">
        <f t="shared" si="223"/>
        <v>41780.520000000004</v>
      </c>
      <c r="H498" s="171">
        <f t="shared" si="223"/>
        <v>349.33599999999996</v>
      </c>
      <c r="I498" s="171">
        <f t="shared" si="223"/>
        <v>2339</v>
      </c>
      <c r="J498" s="171">
        <f t="shared" si="223"/>
        <v>-465</v>
      </c>
      <c r="K498" s="171">
        <f t="shared" si="223"/>
        <v>1872</v>
      </c>
      <c r="L498" s="171">
        <f t="shared" si="223"/>
        <v>1608.92</v>
      </c>
      <c r="M498" s="171">
        <f t="shared" si="223"/>
        <v>3975</v>
      </c>
      <c r="N498" s="171">
        <f t="shared" si="223"/>
        <v>32499.263999999996</v>
      </c>
      <c r="O498" s="209"/>
      <c r="P498" s="157"/>
      <c r="Q498" s="152"/>
      <c r="R498" s="320"/>
    </row>
    <row r="499" spans="1:18" s="180" customFormat="1" x14ac:dyDescent="0.2">
      <c r="A499" s="175" t="s">
        <v>8</v>
      </c>
      <c r="B499" s="183" t="s">
        <v>111</v>
      </c>
      <c r="C499" s="176">
        <v>13708</v>
      </c>
      <c r="D499" s="176"/>
      <c r="E499" s="176"/>
      <c r="F499" s="176">
        <v>5624</v>
      </c>
      <c r="G499" s="88">
        <f t="shared" ref="G499:G501" si="224">C499+D499+F499</f>
        <v>19332</v>
      </c>
      <c r="H499" s="176">
        <v>0</v>
      </c>
      <c r="I499" s="176">
        <v>2537</v>
      </c>
      <c r="J499" s="176">
        <v>-829</v>
      </c>
      <c r="K499" s="176"/>
      <c r="L499" s="176"/>
      <c r="M499" s="176"/>
      <c r="N499" s="88">
        <f t="shared" ref="N499:N501" si="225">C499+D499+E499-H499-I499-J499-K499-L499-M499</f>
        <v>12000</v>
      </c>
      <c r="O499" s="193"/>
      <c r="P499" s="194"/>
      <c r="Q499" s="179"/>
      <c r="R499" s="321"/>
    </row>
    <row r="500" spans="1:18" s="180" customFormat="1" x14ac:dyDescent="0.2">
      <c r="A500" s="175" t="s">
        <v>27</v>
      </c>
      <c r="B500" s="183" t="s">
        <v>112</v>
      </c>
      <c r="C500" s="181">
        <v>13380</v>
      </c>
      <c r="D500" s="181"/>
      <c r="E500" s="181"/>
      <c r="F500" s="181">
        <v>2615</v>
      </c>
      <c r="G500" s="88">
        <f t="shared" si="224"/>
        <v>15995</v>
      </c>
      <c r="H500" s="181">
        <v>0</v>
      </c>
      <c r="I500" s="181">
        <v>1690</v>
      </c>
      <c r="J500" s="181">
        <v>-310</v>
      </c>
      <c r="K500" s="181"/>
      <c r="L500" s="181"/>
      <c r="M500" s="181"/>
      <c r="N500" s="88">
        <f t="shared" si="225"/>
        <v>12000</v>
      </c>
      <c r="O500" s="193"/>
      <c r="P500" s="194"/>
      <c r="Q500" s="179"/>
      <c r="R500" s="321"/>
    </row>
    <row r="501" spans="1:18" s="180" customFormat="1" ht="13.5" thickBot="1" x14ac:dyDescent="0.25">
      <c r="A501" s="175" t="s">
        <v>6</v>
      </c>
      <c r="B501" s="183" t="s">
        <v>113</v>
      </c>
      <c r="C501" s="182">
        <v>12747.72</v>
      </c>
      <c r="D501" s="182"/>
      <c r="E501" s="182"/>
      <c r="F501" s="182">
        <v>2812</v>
      </c>
      <c r="G501" s="88">
        <f t="shared" si="224"/>
        <v>15559.72</v>
      </c>
      <c r="H501" s="182">
        <v>148.72</v>
      </c>
      <c r="I501" s="182">
        <v>1616</v>
      </c>
      <c r="J501" s="182">
        <v>-829</v>
      </c>
      <c r="K501" s="182">
        <v>2812</v>
      </c>
      <c r="L501" s="182"/>
      <c r="M501" s="182"/>
      <c r="N501" s="88">
        <f t="shared" si="225"/>
        <v>9000</v>
      </c>
      <c r="O501" s="193"/>
      <c r="P501" s="194"/>
      <c r="Q501" s="179"/>
      <c r="R501" s="321"/>
    </row>
    <row r="502" spans="1:18" s="143" customFormat="1" ht="13.5" thickBot="1" x14ac:dyDescent="0.25">
      <c r="A502" s="439" t="s">
        <v>100</v>
      </c>
      <c r="B502" s="440"/>
      <c r="C502" s="174">
        <f>SUM(C499:C501)</f>
        <v>39835.72</v>
      </c>
      <c r="D502" s="174">
        <f t="shared" ref="D502" si="226">SUM(D499:D501)</f>
        <v>0</v>
      </c>
      <c r="E502" s="174">
        <f t="shared" ref="E502" si="227">SUM(E499:E501)</f>
        <v>0</v>
      </c>
      <c r="F502" s="174">
        <f t="shared" ref="F502" si="228">SUM(F499:F501)</f>
        <v>11051</v>
      </c>
      <c r="G502" s="174">
        <f t="shared" ref="G502" si="229">SUM(G499:G501)</f>
        <v>50886.720000000001</v>
      </c>
      <c r="H502" s="174">
        <f t="shared" ref="H502" si="230">SUM(H499:H501)</f>
        <v>148.72</v>
      </c>
      <c r="I502" s="174">
        <f t="shared" ref="I502" si="231">SUM(I499:I501)</f>
        <v>5843</v>
      </c>
      <c r="J502" s="174">
        <f t="shared" ref="J502" si="232">SUM(J499:J501)</f>
        <v>-1968</v>
      </c>
      <c r="K502" s="174">
        <f t="shared" ref="K502" si="233">SUM(K499:K501)</f>
        <v>2812</v>
      </c>
      <c r="L502" s="174">
        <f t="shared" ref="L502" si="234">SUM(L499:L501)</f>
        <v>0</v>
      </c>
      <c r="M502" s="174">
        <f t="shared" ref="M502" si="235">SUM(M499:M501)</f>
        <v>0</v>
      </c>
      <c r="N502" s="174">
        <f t="shared" ref="N502" si="236">SUM(N499:N501)</f>
        <v>33000</v>
      </c>
      <c r="O502" s="210"/>
      <c r="P502" s="142"/>
      <c r="Q502" s="146"/>
      <c r="R502" s="322"/>
    </row>
    <row r="503" spans="1:18" s="143" customFormat="1" ht="13.5" thickBot="1" x14ac:dyDescent="0.25">
      <c r="A503" s="441" t="s">
        <v>101</v>
      </c>
      <c r="B503" s="441"/>
      <c r="C503" s="154"/>
      <c r="D503" s="154"/>
      <c r="E503" s="154"/>
      <c r="F503" s="154"/>
      <c r="G503" s="154"/>
      <c r="H503" s="163">
        <f>(H498+H502)*2</f>
        <v>996.11199999999985</v>
      </c>
      <c r="I503" s="159">
        <f>I498+I502</f>
        <v>8182</v>
      </c>
      <c r="J503" s="164">
        <f>J498+J502</f>
        <v>-2433</v>
      </c>
      <c r="K503" s="154"/>
      <c r="L503" s="154"/>
      <c r="M503" s="154"/>
      <c r="N503" s="154"/>
      <c r="O503" s="142"/>
      <c r="P503" s="142"/>
      <c r="Q503" s="156"/>
      <c r="R503" s="322"/>
    </row>
    <row r="504" spans="1:18" s="143" customFormat="1" ht="13.5" thickBot="1" x14ac:dyDescent="0.25">
      <c r="A504" s="170"/>
      <c r="B504" s="170"/>
      <c r="C504" s="154"/>
      <c r="D504" s="154"/>
      <c r="E504" s="154"/>
      <c r="F504" s="154"/>
      <c r="G504" s="154"/>
      <c r="H504" s="154"/>
      <c r="I504" s="455">
        <f>I503+J503</f>
        <v>5749</v>
      </c>
      <c r="J504" s="456"/>
      <c r="K504" s="154"/>
      <c r="L504" s="154"/>
      <c r="M504" s="154"/>
      <c r="N504" s="154"/>
      <c r="O504" s="142"/>
      <c r="P504" s="142"/>
      <c r="Q504" s="156"/>
      <c r="R504" s="322"/>
    </row>
    <row r="505" spans="1:18" s="143" customFormat="1" ht="13.5" thickBot="1" x14ac:dyDescent="0.25">
      <c r="A505" s="170"/>
      <c r="B505" s="170"/>
      <c r="C505" s="154"/>
      <c r="D505" s="154"/>
      <c r="E505" s="154"/>
      <c r="F505" s="154"/>
      <c r="G505" s="154"/>
      <c r="H505" s="457">
        <f>SUM(H503:J503)</f>
        <v>6745.1119999999992</v>
      </c>
      <c r="I505" s="458"/>
      <c r="J505" s="459"/>
      <c r="K505" s="154"/>
      <c r="L505" s="154"/>
      <c r="M505" s="154"/>
      <c r="N505" s="154"/>
      <c r="O505" s="142"/>
      <c r="P505" s="142"/>
      <c r="Q505" s="156"/>
      <c r="R505" s="322"/>
    </row>
    <row r="506" spans="1:18" ht="13.5" thickBot="1" x14ac:dyDescent="0.25"/>
    <row r="507" spans="1:18" s="79" customFormat="1" ht="13.5" thickBot="1" x14ac:dyDescent="0.25">
      <c r="A507" s="444" t="s">
        <v>128</v>
      </c>
      <c r="B507" s="445"/>
      <c r="C507" s="445"/>
      <c r="D507" s="445"/>
      <c r="E507" s="445"/>
      <c r="F507" s="445"/>
      <c r="G507" s="445"/>
      <c r="H507" s="445"/>
      <c r="I507" s="445"/>
      <c r="J507" s="445"/>
      <c r="K507" s="445"/>
      <c r="L507" s="445"/>
      <c r="M507" s="445"/>
      <c r="N507" s="445"/>
      <c r="O507" s="445"/>
      <c r="P507" s="445"/>
      <c r="Q507" s="446"/>
      <c r="R507" s="318"/>
    </row>
    <row r="508" spans="1:18" s="79" customFormat="1" ht="13.5" thickBot="1" x14ac:dyDescent="0.25">
      <c r="A508" s="85" t="s">
        <v>69</v>
      </c>
      <c r="B508" s="86" t="s">
        <v>1</v>
      </c>
      <c r="C508" s="87" t="s">
        <v>61</v>
      </c>
      <c r="D508" s="87" t="s">
        <v>62</v>
      </c>
      <c r="E508" s="87" t="s">
        <v>73</v>
      </c>
      <c r="F508" s="87" t="s">
        <v>67</v>
      </c>
      <c r="G508" s="87" t="s">
        <v>81</v>
      </c>
      <c r="H508" s="87" t="s">
        <v>64</v>
      </c>
      <c r="I508" s="87" t="s">
        <v>65</v>
      </c>
      <c r="J508" s="87" t="s">
        <v>72</v>
      </c>
      <c r="K508" s="87" t="s">
        <v>67</v>
      </c>
      <c r="L508" s="87" t="s">
        <v>63</v>
      </c>
      <c r="M508" s="87" t="s">
        <v>66</v>
      </c>
      <c r="N508" s="87" t="s">
        <v>2</v>
      </c>
      <c r="O508" s="92" t="s">
        <v>71</v>
      </c>
      <c r="P508" s="93" t="s">
        <v>74</v>
      </c>
      <c r="Q508" s="147" t="s">
        <v>97</v>
      </c>
      <c r="R508" s="318"/>
    </row>
    <row r="509" spans="1:18" x14ac:dyDescent="0.2">
      <c r="A509" s="83" t="s">
        <v>25</v>
      </c>
      <c r="B509" s="84" t="s">
        <v>68</v>
      </c>
      <c r="C509" s="89">
        <v>3675.2</v>
      </c>
      <c r="D509" s="89">
        <v>0</v>
      </c>
      <c r="E509" s="89">
        <v>490</v>
      </c>
      <c r="F509" s="89">
        <v>624</v>
      </c>
      <c r="G509" s="88">
        <f t="shared" ref="G509:G515" si="237">C509+D509+F509</f>
        <v>4299.2</v>
      </c>
      <c r="H509" s="89">
        <v>37.18</v>
      </c>
      <c r="I509" s="89">
        <v>543</v>
      </c>
      <c r="J509" s="89">
        <v>-155</v>
      </c>
      <c r="K509" s="89">
        <v>624</v>
      </c>
      <c r="L509" s="89">
        <v>200.01</v>
      </c>
      <c r="M509" s="89">
        <v>1125</v>
      </c>
      <c r="N509" s="88">
        <f t="shared" ref="N509:N515" si="238">C509+D509+E509-H509-I509-J509-K509-L509-M509</f>
        <v>1791.0099999999993</v>
      </c>
      <c r="O509" s="106">
        <v>43866</v>
      </c>
      <c r="P509" s="131" t="s">
        <v>206</v>
      </c>
      <c r="Q509" s="144" t="s">
        <v>128</v>
      </c>
    </row>
    <row r="510" spans="1:18" x14ac:dyDescent="0.2">
      <c r="A510" s="81" t="s">
        <v>26</v>
      </c>
      <c r="B510" s="82" t="s">
        <v>76</v>
      </c>
      <c r="C510" s="89">
        <v>818.8</v>
      </c>
      <c r="D510" s="89">
        <v>0</v>
      </c>
      <c r="E510" s="89">
        <v>50</v>
      </c>
      <c r="F510" s="89"/>
      <c r="G510" s="88">
        <f t="shared" si="237"/>
        <v>818.8</v>
      </c>
      <c r="H510" s="89">
        <v>8.1880000000000006</v>
      </c>
      <c r="I510" s="89"/>
      <c r="J510" s="89"/>
      <c r="K510" s="89"/>
      <c r="L510" s="89">
        <v>58.14</v>
      </c>
      <c r="M510" s="89">
        <v>100</v>
      </c>
      <c r="N510" s="88">
        <f t="shared" si="238"/>
        <v>702.47199999999998</v>
      </c>
      <c r="O510" s="106">
        <v>43866</v>
      </c>
      <c r="P510" s="131" t="s">
        <v>206</v>
      </c>
      <c r="Q510" s="144" t="s">
        <v>128</v>
      </c>
    </row>
    <row r="511" spans="1:18" x14ac:dyDescent="0.2">
      <c r="A511" s="81" t="s">
        <v>3</v>
      </c>
      <c r="B511" s="82" t="s">
        <v>77</v>
      </c>
      <c r="C511" s="89">
        <v>1074.8</v>
      </c>
      <c r="D511" s="89">
        <v>0</v>
      </c>
      <c r="E511" s="89">
        <v>50</v>
      </c>
      <c r="F511" s="89"/>
      <c r="G511" s="88">
        <f t="shared" si="237"/>
        <v>1074.8</v>
      </c>
      <c r="H511" s="89">
        <v>10.747999999999999</v>
      </c>
      <c r="I511" s="89">
        <v>0</v>
      </c>
      <c r="J511" s="89"/>
      <c r="K511" s="89"/>
      <c r="L511" s="89">
        <v>76.3</v>
      </c>
      <c r="M511" s="89"/>
      <c r="N511" s="88">
        <f t="shared" si="238"/>
        <v>1037.752</v>
      </c>
      <c r="O511" s="106">
        <v>43866</v>
      </c>
      <c r="P511" s="131" t="s">
        <v>206</v>
      </c>
      <c r="Q511" s="144" t="s">
        <v>128</v>
      </c>
    </row>
    <row r="512" spans="1:18" x14ac:dyDescent="0.2">
      <c r="A512" s="81" t="s">
        <v>32</v>
      </c>
      <c r="B512" s="82" t="s">
        <v>78</v>
      </c>
      <c r="C512" s="89">
        <v>954.8</v>
      </c>
      <c r="D512" s="89">
        <v>0</v>
      </c>
      <c r="E512" s="89">
        <v>100</v>
      </c>
      <c r="F512" s="89"/>
      <c r="G512" s="88">
        <f t="shared" si="237"/>
        <v>954.8</v>
      </c>
      <c r="H512" s="89">
        <v>9.548</v>
      </c>
      <c r="I512" s="89">
        <v>0</v>
      </c>
      <c r="J512" s="89"/>
      <c r="K512" s="89"/>
      <c r="L512" s="89">
        <v>67.78</v>
      </c>
      <c r="M512" s="89"/>
      <c r="N512" s="88">
        <f t="shared" si="238"/>
        <v>977.47199999999998</v>
      </c>
      <c r="O512" s="106">
        <v>43866</v>
      </c>
      <c r="P512" s="131" t="s">
        <v>206</v>
      </c>
      <c r="Q512" s="144" t="s">
        <v>128</v>
      </c>
    </row>
    <row r="513" spans="1:18" x14ac:dyDescent="0.2">
      <c r="A513" s="81" t="s">
        <v>75</v>
      </c>
      <c r="B513" s="82" t="s">
        <v>79</v>
      </c>
      <c r="C513" s="89">
        <v>800</v>
      </c>
      <c r="D513" s="89">
        <v>0</v>
      </c>
      <c r="E513" s="89"/>
      <c r="F513" s="89"/>
      <c r="G513" s="88">
        <f t="shared" si="237"/>
        <v>800</v>
      </c>
      <c r="H513" s="89">
        <v>8</v>
      </c>
      <c r="I513" s="89"/>
      <c r="J513" s="89"/>
      <c r="K513" s="89"/>
      <c r="L513" s="89"/>
      <c r="M513" s="89"/>
      <c r="N513" s="88">
        <f t="shared" si="238"/>
        <v>792</v>
      </c>
      <c r="O513" s="106">
        <v>43866</v>
      </c>
      <c r="P513" s="131" t="s">
        <v>206</v>
      </c>
      <c r="Q513" s="144" t="s">
        <v>128</v>
      </c>
    </row>
    <row r="514" spans="1:18" x14ac:dyDescent="0.2">
      <c r="A514" s="81" t="s">
        <v>86</v>
      </c>
      <c r="B514" s="82" t="s">
        <v>106</v>
      </c>
      <c r="C514" s="89">
        <v>1000</v>
      </c>
      <c r="D514" s="89">
        <v>0</v>
      </c>
      <c r="E514" s="89"/>
      <c r="F514" s="89"/>
      <c r="G514" s="88">
        <f t="shared" si="237"/>
        <v>1000</v>
      </c>
      <c r="H514" s="89">
        <v>10</v>
      </c>
      <c r="I514" s="89"/>
      <c r="J514" s="89"/>
      <c r="K514" s="89"/>
      <c r="L514" s="89"/>
      <c r="M514" s="89">
        <v>100</v>
      </c>
      <c r="N514" s="88">
        <f t="shared" si="238"/>
        <v>890</v>
      </c>
      <c r="O514" s="106">
        <v>43866</v>
      </c>
      <c r="P514" s="131" t="s">
        <v>206</v>
      </c>
      <c r="Q514" s="144" t="s">
        <v>128</v>
      </c>
    </row>
    <row r="515" spans="1:18" ht="13.5" thickBot="1" x14ac:dyDescent="0.25">
      <c r="A515" s="81" t="s">
        <v>149</v>
      </c>
      <c r="B515" s="82" t="s">
        <v>150</v>
      </c>
      <c r="C515" s="89">
        <v>1000</v>
      </c>
      <c r="D515" s="89">
        <v>18.75</v>
      </c>
      <c r="E515" s="89"/>
      <c r="F515" s="89"/>
      <c r="G515" s="88">
        <f t="shared" si="237"/>
        <v>1018.75</v>
      </c>
      <c r="H515" s="89">
        <v>10.1875</v>
      </c>
      <c r="I515" s="89">
        <v>0</v>
      </c>
      <c r="J515" s="89"/>
      <c r="K515" s="89"/>
      <c r="L515" s="89"/>
      <c r="M515" s="89"/>
      <c r="N515" s="88">
        <f t="shared" si="238"/>
        <v>1008.5625</v>
      </c>
      <c r="O515" s="106">
        <v>43866</v>
      </c>
      <c r="P515" s="131" t="s">
        <v>206</v>
      </c>
      <c r="Q515" s="144" t="s">
        <v>128</v>
      </c>
    </row>
    <row r="516" spans="1:18" s="94" customFormat="1" ht="13.5" thickBot="1" x14ac:dyDescent="0.25">
      <c r="A516" s="447" t="s">
        <v>0</v>
      </c>
      <c r="B516" s="448"/>
      <c r="C516" s="122">
        <f t="shared" ref="C516:N516" si="239">SUM(C509:C515)</f>
        <v>9323.6</v>
      </c>
      <c r="D516" s="122">
        <f t="shared" si="239"/>
        <v>18.75</v>
      </c>
      <c r="E516" s="122">
        <f t="shared" si="239"/>
        <v>690</v>
      </c>
      <c r="F516" s="122">
        <f t="shared" si="239"/>
        <v>624</v>
      </c>
      <c r="G516" s="122">
        <f t="shared" si="239"/>
        <v>9966.35</v>
      </c>
      <c r="H516" s="122">
        <f t="shared" si="239"/>
        <v>93.851500000000001</v>
      </c>
      <c r="I516" s="122">
        <f t="shared" si="239"/>
        <v>543</v>
      </c>
      <c r="J516" s="122">
        <f t="shared" si="239"/>
        <v>-155</v>
      </c>
      <c r="K516" s="122">
        <f t="shared" si="239"/>
        <v>624</v>
      </c>
      <c r="L516" s="122">
        <f t="shared" si="239"/>
        <v>402.23</v>
      </c>
      <c r="M516" s="122">
        <f t="shared" si="239"/>
        <v>1325</v>
      </c>
      <c r="N516" s="122">
        <f t="shared" si="239"/>
        <v>7199.2684999999992</v>
      </c>
      <c r="O516" s="449" t="s">
        <v>0</v>
      </c>
      <c r="P516" s="450"/>
      <c r="Q516" s="144"/>
      <c r="R516" s="319"/>
    </row>
    <row r="517" spans="1:18" x14ac:dyDescent="0.2">
      <c r="A517" s="83" t="s">
        <v>25</v>
      </c>
      <c r="B517" s="84" t="s">
        <v>68</v>
      </c>
      <c r="C517" s="89">
        <v>3675.2</v>
      </c>
      <c r="D517" s="89">
        <v>0</v>
      </c>
      <c r="E517" s="89">
        <v>490</v>
      </c>
      <c r="F517" s="89">
        <v>624</v>
      </c>
      <c r="G517" s="88">
        <f t="shared" ref="G517:G523" si="240">C517+D517+F517</f>
        <v>4299.2</v>
      </c>
      <c r="H517" s="89">
        <v>37.18</v>
      </c>
      <c r="I517" s="89">
        <v>543</v>
      </c>
      <c r="J517" s="89">
        <v>-155</v>
      </c>
      <c r="K517" s="89">
        <v>624</v>
      </c>
      <c r="L517" s="89">
        <v>200.01</v>
      </c>
      <c r="M517" s="89">
        <v>1125</v>
      </c>
      <c r="N517" s="88">
        <f t="shared" ref="N517:N523" si="241">C517+D517+E517-H517-I517-J517-K517-L517-M517</f>
        <v>1791.0099999999993</v>
      </c>
      <c r="O517" s="106">
        <v>43873</v>
      </c>
      <c r="P517" s="167" t="s">
        <v>207</v>
      </c>
      <c r="Q517" s="144" t="s">
        <v>128</v>
      </c>
    </row>
    <row r="518" spans="1:18" x14ac:dyDescent="0.2">
      <c r="A518" s="81" t="s">
        <v>26</v>
      </c>
      <c r="B518" s="82" t="s">
        <v>76</v>
      </c>
      <c r="C518" s="89">
        <v>818.8</v>
      </c>
      <c r="D518" s="89">
        <v>0</v>
      </c>
      <c r="E518" s="89">
        <v>50</v>
      </c>
      <c r="F518" s="89"/>
      <c r="G518" s="88">
        <f t="shared" si="240"/>
        <v>818.8</v>
      </c>
      <c r="H518" s="89">
        <v>8.1880000000000006</v>
      </c>
      <c r="I518" s="89"/>
      <c r="J518" s="89"/>
      <c r="K518" s="89"/>
      <c r="L518" s="89">
        <v>58.14</v>
      </c>
      <c r="M518" s="89">
        <v>100</v>
      </c>
      <c r="N518" s="88">
        <f t="shared" si="241"/>
        <v>702.47199999999998</v>
      </c>
      <c r="O518" s="106">
        <v>43873</v>
      </c>
      <c r="P518" s="167" t="s">
        <v>207</v>
      </c>
      <c r="Q518" s="144" t="s">
        <v>128</v>
      </c>
    </row>
    <row r="519" spans="1:18" x14ac:dyDescent="0.2">
      <c r="A519" s="81" t="s">
        <v>3</v>
      </c>
      <c r="B519" s="82" t="s">
        <v>77</v>
      </c>
      <c r="C519" s="89">
        <v>1074.8</v>
      </c>
      <c r="D519" s="89">
        <v>0</v>
      </c>
      <c r="E519" s="89">
        <v>50</v>
      </c>
      <c r="F519" s="89"/>
      <c r="G519" s="88">
        <f t="shared" si="240"/>
        <v>1074.8</v>
      </c>
      <c r="H519" s="89">
        <v>10.747999999999999</v>
      </c>
      <c r="I519" s="89">
        <v>0</v>
      </c>
      <c r="J519" s="89"/>
      <c r="K519" s="89"/>
      <c r="L519" s="89">
        <v>76.3</v>
      </c>
      <c r="M519" s="89"/>
      <c r="N519" s="88">
        <f t="shared" si="241"/>
        <v>1037.752</v>
      </c>
      <c r="O519" s="106">
        <v>43873</v>
      </c>
      <c r="P519" s="167" t="s">
        <v>207</v>
      </c>
      <c r="Q519" s="144" t="s">
        <v>128</v>
      </c>
    </row>
    <row r="520" spans="1:18" x14ac:dyDescent="0.2">
      <c r="A520" s="81" t="s">
        <v>32</v>
      </c>
      <c r="B520" s="82" t="s">
        <v>78</v>
      </c>
      <c r="C520" s="89">
        <v>954.8</v>
      </c>
      <c r="D520" s="89">
        <v>0</v>
      </c>
      <c r="E520" s="89">
        <v>100</v>
      </c>
      <c r="F520" s="89"/>
      <c r="G520" s="88">
        <f t="shared" si="240"/>
        <v>954.8</v>
      </c>
      <c r="H520" s="89">
        <v>9.548</v>
      </c>
      <c r="I520" s="89">
        <v>0</v>
      </c>
      <c r="J520" s="89"/>
      <c r="K520" s="89"/>
      <c r="L520" s="89">
        <v>67.78</v>
      </c>
      <c r="M520" s="89"/>
      <c r="N520" s="88">
        <f t="shared" si="241"/>
        <v>977.47199999999998</v>
      </c>
      <c r="O520" s="106">
        <v>43873</v>
      </c>
      <c r="P520" s="167" t="s">
        <v>207</v>
      </c>
      <c r="Q520" s="144" t="s">
        <v>128</v>
      </c>
    </row>
    <row r="521" spans="1:18" x14ac:dyDescent="0.2">
      <c r="A521" s="81" t="s">
        <v>75</v>
      </c>
      <c r="B521" s="82" t="s">
        <v>79</v>
      </c>
      <c r="C521" s="89">
        <v>800</v>
      </c>
      <c r="D521" s="89">
        <v>0</v>
      </c>
      <c r="E521" s="89"/>
      <c r="F521" s="89"/>
      <c r="G521" s="88">
        <f t="shared" si="240"/>
        <v>800</v>
      </c>
      <c r="H521" s="89">
        <v>8</v>
      </c>
      <c r="I521" s="89"/>
      <c r="J521" s="89"/>
      <c r="K521" s="89"/>
      <c r="L521" s="89"/>
      <c r="M521" s="89"/>
      <c r="N521" s="88">
        <f t="shared" si="241"/>
        <v>792</v>
      </c>
      <c r="O521" s="106">
        <v>43873</v>
      </c>
      <c r="P521" s="167" t="s">
        <v>207</v>
      </c>
      <c r="Q521" s="144" t="s">
        <v>128</v>
      </c>
    </row>
    <row r="522" spans="1:18" x14ac:dyDescent="0.2">
      <c r="A522" s="81" t="s">
        <v>86</v>
      </c>
      <c r="B522" s="82" t="s">
        <v>106</v>
      </c>
      <c r="C522" s="89">
        <v>1000</v>
      </c>
      <c r="D522" s="89">
        <v>0</v>
      </c>
      <c r="E522" s="89"/>
      <c r="F522" s="89"/>
      <c r="G522" s="88">
        <f t="shared" si="240"/>
        <v>1000</v>
      </c>
      <c r="H522" s="89">
        <v>10</v>
      </c>
      <c r="I522" s="89"/>
      <c r="J522" s="89"/>
      <c r="K522" s="89"/>
      <c r="L522" s="89"/>
      <c r="M522" s="89">
        <v>100</v>
      </c>
      <c r="N522" s="88">
        <f t="shared" si="241"/>
        <v>890</v>
      </c>
      <c r="O522" s="106">
        <v>43873</v>
      </c>
      <c r="P522" s="167" t="s">
        <v>207</v>
      </c>
      <c r="Q522" s="144" t="s">
        <v>128</v>
      </c>
    </row>
    <row r="523" spans="1:18" ht="13.5" thickBot="1" x14ac:dyDescent="0.25">
      <c r="A523" s="81" t="s">
        <v>149</v>
      </c>
      <c r="B523" s="82" t="s">
        <v>150</v>
      </c>
      <c r="C523" s="89">
        <v>1000</v>
      </c>
      <c r="D523" s="89">
        <v>37.5</v>
      </c>
      <c r="E523" s="89"/>
      <c r="F523" s="89"/>
      <c r="G523" s="88">
        <f t="shared" si="240"/>
        <v>1037.5</v>
      </c>
      <c r="H523" s="89">
        <v>10.375</v>
      </c>
      <c r="I523" s="89">
        <v>0</v>
      </c>
      <c r="J523" s="89"/>
      <c r="K523" s="89"/>
      <c r="L523" s="89"/>
      <c r="M523" s="89"/>
      <c r="N523" s="88">
        <f t="shared" si="241"/>
        <v>1027.125</v>
      </c>
      <c r="O523" s="106">
        <v>43873</v>
      </c>
      <c r="P523" s="167" t="s">
        <v>207</v>
      </c>
      <c r="Q523" s="144" t="s">
        <v>128</v>
      </c>
    </row>
    <row r="524" spans="1:18" s="94" customFormat="1" ht="13.5" thickBot="1" x14ac:dyDescent="0.25">
      <c r="A524" s="451" t="s">
        <v>0</v>
      </c>
      <c r="B524" s="452"/>
      <c r="C524" s="168">
        <f t="shared" ref="C524:N524" si="242">SUM(C517:C523)</f>
        <v>9323.6</v>
      </c>
      <c r="D524" s="168">
        <f t="shared" si="242"/>
        <v>37.5</v>
      </c>
      <c r="E524" s="168">
        <f t="shared" si="242"/>
        <v>690</v>
      </c>
      <c r="F524" s="168">
        <f t="shared" si="242"/>
        <v>624</v>
      </c>
      <c r="G524" s="168">
        <f t="shared" si="242"/>
        <v>9985.1</v>
      </c>
      <c r="H524" s="168">
        <f t="shared" si="242"/>
        <v>94.039000000000001</v>
      </c>
      <c r="I524" s="168">
        <f t="shared" si="242"/>
        <v>543</v>
      </c>
      <c r="J524" s="168">
        <f t="shared" si="242"/>
        <v>-155</v>
      </c>
      <c r="K524" s="168">
        <f t="shared" si="242"/>
        <v>624</v>
      </c>
      <c r="L524" s="168">
        <f t="shared" si="242"/>
        <v>402.23</v>
      </c>
      <c r="M524" s="168">
        <f t="shared" si="242"/>
        <v>1325</v>
      </c>
      <c r="N524" s="168">
        <f t="shared" si="242"/>
        <v>7217.8309999999992</v>
      </c>
      <c r="O524" s="453" t="s">
        <v>0</v>
      </c>
      <c r="P524" s="454"/>
      <c r="Q524" s="144"/>
      <c r="R524" s="319"/>
    </row>
    <row r="525" spans="1:18" x14ac:dyDescent="0.2">
      <c r="A525" s="83" t="s">
        <v>25</v>
      </c>
      <c r="B525" s="84" t="s">
        <v>68</v>
      </c>
      <c r="C525" s="89">
        <v>3675.2</v>
      </c>
      <c r="D525" s="89">
        <v>0</v>
      </c>
      <c r="E525" s="89">
        <v>490</v>
      </c>
      <c r="F525" s="89">
        <v>624</v>
      </c>
      <c r="G525" s="88">
        <f t="shared" ref="G525:G531" si="243">C525+D525+F525</f>
        <v>4299.2</v>
      </c>
      <c r="H525" s="89">
        <v>37.18</v>
      </c>
      <c r="I525" s="89">
        <v>543</v>
      </c>
      <c r="J525" s="89">
        <v>-155</v>
      </c>
      <c r="K525" s="89">
        <v>624</v>
      </c>
      <c r="L525" s="89">
        <v>200.01</v>
      </c>
      <c r="M525" s="89">
        <v>1125</v>
      </c>
      <c r="N525" s="88">
        <f t="shared" ref="N525:N531" si="244">C525+D525+E525-H525-I525-J525-K525-L525-M525</f>
        <v>1791.0099999999993</v>
      </c>
      <c r="O525" s="106">
        <v>43880</v>
      </c>
      <c r="P525" s="134" t="s">
        <v>208</v>
      </c>
      <c r="Q525" s="144" t="s">
        <v>128</v>
      </c>
    </row>
    <row r="526" spans="1:18" x14ac:dyDescent="0.2">
      <c r="A526" s="81" t="s">
        <v>26</v>
      </c>
      <c r="B526" s="82" t="s">
        <v>76</v>
      </c>
      <c r="C526" s="89">
        <v>818.8</v>
      </c>
      <c r="D526" s="89">
        <v>0</v>
      </c>
      <c r="E526" s="89">
        <v>50</v>
      </c>
      <c r="F526" s="89"/>
      <c r="G526" s="88">
        <f t="shared" si="243"/>
        <v>818.8</v>
      </c>
      <c r="H526" s="89">
        <v>8.1880000000000006</v>
      </c>
      <c r="I526" s="89"/>
      <c r="J526" s="89"/>
      <c r="K526" s="89"/>
      <c r="L526" s="89">
        <v>58.14</v>
      </c>
      <c r="M526" s="89">
        <v>100</v>
      </c>
      <c r="N526" s="88">
        <f t="shared" si="244"/>
        <v>702.47199999999998</v>
      </c>
      <c r="O526" s="106">
        <v>43880</v>
      </c>
      <c r="P526" s="134" t="s">
        <v>208</v>
      </c>
      <c r="Q526" s="144" t="s">
        <v>128</v>
      </c>
    </row>
    <row r="527" spans="1:18" x14ac:dyDescent="0.2">
      <c r="A527" s="81" t="s">
        <v>3</v>
      </c>
      <c r="B527" s="82" t="s">
        <v>77</v>
      </c>
      <c r="C527" s="89">
        <v>1074.8</v>
      </c>
      <c r="D527" s="89">
        <v>0</v>
      </c>
      <c r="E527" s="89">
        <v>50</v>
      </c>
      <c r="F527" s="89"/>
      <c r="G527" s="88">
        <f t="shared" si="243"/>
        <v>1074.8</v>
      </c>
      <c r="H527" s="89">
        <v>10.747999999999999</v>
      </c>
      <c r="I527" s="89">
        <v>0</v>
      </c>
      <c r="J527" s="89"/>
      <c r="K527" s="89"/>
      <c r="L527" s="89">
        <v>76.3</v>
      </c>
      <c r="M527" s="89"/>
      <c r="N527" s="88">
        <f t="shared" si="244"/>
        <v>1037.752</v>
      </c>
      <c r="O527" s="106">
        <v>43880</v>
      </c>
      <c r="P527" s="134" t="s">
        <v>208</v>
      </c>
      <c r="Q527" s="144" t="s">
        <v>128</v>
      </c>
    </row>
    <row r="528" spans="1:18" x14ac:dyDescent="0.2">
      <c r="A528" s="81" t="s">
        <v>32</v>
      </c>
      <c r="B528" s="82" t="s">
        <v>78</v>
      </c>
      <c r="C528" s="89">
        <v>954.8</v>
      </c>
      <c r="D528" s="89">
        <v>0</v>
      </c>
      <c r="E528" s="89">
        <v>100</v>
      </c>
      <c r="F528" s="89"/>
      <c r="G528" s="88">
        <f t="shared" si="243"/>
        <v>954.8</v>
      </c>
      <c r="H528" s="89">
        <v>9.548</v>
      </c>
      <c r="I528" s="89">
        <v>0</v>
      </c>
      <c r="J528" s="89"/>
      <c r="K528" s="89"/>
      <c r="L528" s="89">
        <v>67.78</v>
      </c>
      <c r="M528" s="89"/>
      <c r="N528" s="88">
        <f t="shared" si="244"/>
        <v>977.47199999999998</v>
      </c>
      <c r="O528" s="106">
        <v>43880</v>
      </c>
      <c r="P528" s="134" t="s">
        <v>208</v>
      </c>
      <c r="Q528" s="144" t="s">
        <v>128</v>
      </c>
    </row>
    <row r="529" spans="1:18" x14ac:dyDescent="0.2">
      <c r="A529" s="81" t="s">
        <v>75</v>
      </c>
      <c r="B529" s="82" t="s">
        <v>79</v>
      </c>
      <c r="C529" s="89">
        <v>800</v>
      </c>
      <c r="D529" s="89">
        <v>0</v>
      </c>
      <c r="E529" s="89"/>
      <c r="F529" s="89"/>
      <c r="G529" s="88">
        <f t="shared" si="243"/>
        <v>800</v>
      </c>
      <c r="H529" s="89">
        <v>8</v>
      </c>
      <c r="I529" s="89"/>
      <c r="J529" s="89"/>
      <c r="K529" s="89"/>
      <c r="L529" s="89"/>
      <c r="M529" s="89"/>
      <c r="N529" s="88">
        <f t="shared" si="244"/>
        <v>792</v>
      </c>
      <c r="O529" s="106">
        <v>43880</v>
      </c>
      <c r="P529" s="134" t="s">
        <v>208</v>
      </c>
      <c r="Q529" s="144" t="s">
        <v>128</v>
      </c>
    </row>
    <row r="530" spans="1:18" x14ac:dyDescent="0.2">
      <c r="A530" s="81" t="s">
        <v>86</v>
      </c>
      <c r="B530" s="82" t="s">
        <v>106</v>
      </c>
      <c r="C530" s="89">
        <v>1000</v>
      </c>
      <c r="D530" s="89">
        <v>0</v>
      </c>
      <c r="E530" s="89"/>
      <c r="F530" s="89"/>
      <c r="G530" s="88">
        <f t="shared" si="243"/>
        <v>1000</v>
      </c>
      <c r="H530" s="89">
        <v>10</v>
      </c>
      <c r="I530" s="89"/>
      <c r="J530" s="89"/>
      <c r="K530" s="89"/>
      <c r="L530" s="89"/>
      <c r="M530" s="89">
        <v>100</v>
      </c>
      <c r="N530" s="88">
        <f t="shared" si="244"/>
        <v>890</v>
      </c>
      <c r="O530" s="106">
        <v>43880</v>
      </c>
      <c r="P530" s="134" t="s">
        <v>208</v>
      </c>
      <c r="Q530" s="144" t="s">
        <v>128</v>
      </c>
    </row>
    <row r="531" spans="1:18" ht="13.5" thickBot="1" x14ac:dyDescent="0.25">
      <c r="A531" s="81" t="s">
        <v>149</v>
      </c>
      <c r="B531" s="82" t="s">
        <v>150</v>
      </c>
      <c r="C531" s="89">
        <v>1000</v>
      </c>
      <c r="D531" s="89">
        <v>0</v>
      </c>
      <c r="E531" s="89"/>
      <c r="F531" s="89"/>
      <c r="G531" s="88">
        <f t="shared" si="243"/>
        <v>1000</v>
      </c>
      <c r="H531" s="89">
        <v>10</v>
      </c>
      <c r="I531" s="89">
        <v>0</v>
      </c>
      <c r="J531" s="89"/>
      <c r="K531" s="89"/>
      <c r="L531" s="89"/>
      <c r="M531" s="89"/>
      <c r="N531" s="88">
        <f t="shared" si="244"/>
        <v>990</v>
      </c>
      <c r="O531" s="106">
        <v>43880</v>
      </c>
      <c r="P531" s="134" t="s">
        <v>208</v>
      </c>
      <c r="Q531" s="144" t="s">
        <v>128</v>
      </c>
    </row>
    <row r="532" spans="1:18" s="94" customFormat="1" ht="13.5" thickBot="1" x14ac:dyDescent="0.25">
      <c r="A532" s="429" t="s">
        <v>0</v>
      </c>
      <c r="B532" s="430"/>
      <c r="C532" s="114">
        <f t="shared" ref="C532:N532" si="245">SUM(C525:C531)</f>
        <v>9323.6</v>
      </c>
      <c r="D532" s="114">
        <f t="shared" si="245"/>
        <v>0</v>
      </c>
      <c r="E532" s="114">
        <f t="shared" si="245"/>
        <v>690</v>
      </c>
      <c r="F532" s="114">
        <f t="shared" si="245"/>
        <v>624</v>
      </c>
      <c r="G532" s="114">
        <f t="shared" si="245"/>
        <v>9947.6</v>
      </c>
      <c r="H532" s="114">
        <f t="shared" si="245"/>
        <v>93.664000000000001</v>
      </c>
      <c r="I532" s="114">
        <f t="shared" si="245"/>
        <v>543</v>
      </c>
      <c r="J532" s="114">
        <f t="shared" si="245"/>
        <v>-155</v>
      </c>
      <c r="K532" s="114">
        <f t="shared" si="245"/>
        <v>624</v>
      </c>
      <c r="L532" s="114">
        <f t="shared" si="245"/>
        <v>402.23</v>
      </c>
      <c r="M532" s="114">
        <f t="shared" si="245"/>
        <v>1325</v>
      </c>
      <c r="N532" s="114">
        <f t="shared" si="245"/>
        <v>7180.7059999999992</v>
      </c>
      <c r="O532" s="431" t="s">
        <v>0</v>
      </c>
      <c r="P532" s="432"/>
      <c r="Q532" s="144"/>
      <c r="R532" s="323" t="s">
        <v>231</v>
      </c>
    </row>
    <row r="533" spans="1:18" x14ac:dyDescent="0.2">
      <c r="A533" s="83" t="s">
        <v>25</v>
      </c>
      <c r="B533" s="84" t="s">
        <v>68</v>
      </c>
      <c r="C533" s="89">
        <v>3675.2</v>
      </c>
      <c r="D533" s="89">
        <v>0</v>
      </c>
      <c r="E533" s="89">
        <v>490</v>
      </c>
      <c r="F533" s="89">
        <v>624</v>
      </c>
      <c r="G533" s="88">
        <f t="shared" ref="G533:G539" si="246">C533+D533+F533</f>
        <v>4299.2</v>
      </c>
      <c r="H533" s="89">
        <v>37.18</v>
      </c>
      <c r="I533" s="89">
        <v>543</v>
      </c>
      <c r="J533" s="89">
        <v>-155</v>
      </c>
      <c r="K533" s="89">
        <v>624</v>
      </c>
      <c r="L533" s="89">
        <v>200.01</v>
      </c>
      <c r="M533" s="89">
        <v>1125</v>
      </c>
      <c r="N533" s="88">
        <f t="shared" ref="N533:N539" si="247">C533+D533+E533-H533-I533-J533-K533-L533-M533</f>
        <v>1791.0099999999993</v>
      </c>
      <c r="O533" s="106">
        <v>43887</v>
      </c>
      <c r="P533" s="165" t="s">
        <v>209</v>
      </c>
      <c r="Q533" s="144" t="s">
        <v>128</v>
      </c>
      <c r="R533" s="90">
        <f>C533+C525+C517+C509</f>
        <v>14700.8</v>
      </c>
    </row>
    <row r="534" spans="1:18" x14ac:dyDescent="0.2">
      <c r="A534" s="81" t="s">
        <v>26</v>
      </c>
      <c r="B534" s="82" t="s">
        <v>76</v>
      </c>
      <c r="C534" s="89">
        <v>818.8</v>
      </c>
      <c r="D534" s="89">
        <v>0</v>
      </c>
      <c r="E534" s="89">
        <v>50</v>
      </c>
      <c r="F534" s="89"/>
      <c r="G534" s="88">
        <f t="shared" si="246"/>
        <v>818.8</v>
      </c>
      <c r="H534" s="89">
        <v>8.1880000000000006</v>
      </c>
      <c r="I534" s="89"/>
      <c r="J534" s="89"/>
      <c r="K534" s="89"/>
      <c r="L534" s="89">
        <v>58.14</v>
      </c>
      <c r="M534" s="89">
        <v>100</v>
      </c>
      <c r="N534" s="88">
        <f t="shared" si="247"/>
        <v>702.47199999999998</v>
      </c>
      <c r="O534" s="106">
        <v>43887</v>
      </c>
      <c r="P534" s="165" t="s">
        <v>209</v>
      </c>
      <c r="Q534" s="144" t="s">
        <v>128</v>
      </c>
      <c r="R534" s="90">
        <f t="shared" ref="R534:R539" si="248">C534+C526+C518+C510</f>
        <v>3275.2</v>
      </c>
    </row>
    <row r="535" spans="1:18" x14ac:dyDescent="0.2">
      <c r="A535" s="81" t="s">
        <v>3</v>
      </c>
      <c r="B535" s="82" t="s">
        <v>77</v>
      </c>
      <c r="C535" s="89">
        <v>1074.8</v>
      </c>
      <c r="D535" s="89">
        <v>0</v>
      </c>
      <c r="E535" s="89">
        <v>50</v>
      </c>
      <c r="F535" s="89"/>
      <c r="G535" s="88">
        <f t="shared" si="246"/>
        <v>1074.8</v>
      </c>
      <c r="H535" s="89">
        <v>10.747999999999999</v>
      </c>
      <c r="I535" s="89">
        <v>0</v>
      </c>
      <c r="J535" s="89"/>
      <c r="K535" s="89"/>
      <c r="L535" s="89">
        <v>76.3</v>
      </c>
      <c r="M535" s="89"/>
      <c r="N535" s="88">
        <f t="shared" si="247"/>
        <v>1037.752</v>
      </c>
      <c r="O535" s="106">
        <v>43887</v>
      </c>
      <c r="P535" s="165" t="s">
        <v>209</v>
      </c>
      <c r="Q535" s="144" t="s">
        <v>128</v>
      </c>
      <c r="R535" s="90">
        <f t="shared" si="248"/>
        <v>4299.2</v>
      </c>
    </row>
    <row r="536" spans="1:18" x14ac:dyDescent="0.2">
      <c r="A536" s="81" t="s">
        <v>32</v>
      </c>
      <c r="B536" s="82" t="s">
        <v>78</v>
      </c>
      <c r="C536" s="89">
        <v>954.8</v>
      </c>
      <c r="D536" s="89">
        <v>0</v>
      </c>
      <c r="E536" s="89">
        <v>100</v>
      </c>
      <c r="F536" s="89"/>
      <c r="G536" s="88">
        <f t="shared" si="246"/>
        <v>954.8</v>
      </c>
      <c r="H536" s="89">
        <v>9.548</v>
      </c>
      <c r="I536" s="89">
        <v>0</v>
      </c>
      <c r="J536" s="89"/>
      <c r="K536" s="89"/>
      <c r="L536" s="89">
        <v>67.78</v>
      </c>
      <c r="M536" s="89"/>
      <c r="N536" s="88">
        <f t="shared" si="247"/>
        <v>977.47199999999998</v>
      </c>
      <c r="O536" s="106">
        <v>43887</v>
      </c>
      <c r="P536" s="165" t="s">
        <v>209</v>
      </c>
      <c r="Q536" s="144" t="s">
        <v>128</v>
      </c>
      <c r="R536" s="90">
        <f t="shared" si="248"/>
        <v>3819.2</v>
      </c>
    </row>
    <row r="537" spans="1:18" x14ac:dyDescent="0.2">
      <c r="A537" s="81" t="s">
        <v>75</v>
      </c>
      <c r="B537" s="82" t="s">
        <v>79</v>
      </c>
      <c r="C537" s="89">
        <v>800</v>
      </c>
      <c r="D537" s="89">
        <v>0</v>
      </c>
      <c r="E537" s="89"/>
      <c r="F537" s="89"/>
      <c r="G537" s="88">
        <f t="shared" si="246"/>
        <v>800</v>
      </c>
      <c r="H537" s="89">
        <v>8</v>
      </c>
      <c r="I537" s="89"/>
      <c r="J537" s="89"/>
      <c r="K537" s="89"/>
      <c r="L537" s="89"/>
      <c r="M537" s="89"/>
      <c r="N537" s="88">
        <f t="shared" si="247"/>
        <v>792</v>
      </c>
      <c r="O537" s="106">
        <v>43887</v>
      </c>
      <c r="P537" s="165" t="s">
        <v>209</v>
      </c>
      <c r="Q537" s="144" t="s">
        <v>128</v>
      </c>
      <c r="R537" s="90">
        <f t="shared" si="248"/>
        <v>3200</v>
      </c>
    </row>
    <row r="538" spans="1:18" x14ac:dyDescent="0.2">
      <c r="A538" s="81" t="s">
        <v>86</v>
      </c>
      <c r="B538" s="82" t="s">
        <v>106</v>
      </c>
      <c r="C538" s="89">
        <v>1000</v>
      </c>
      <c r="D538" s="89">
        <v>0</v>
      </c>
      <c r="E538" s="89"/>
      <c r="F538" s="89"/>
      <c r="G538" s="88">
        <f t="shared" si="246"/>
        <v>1000</v>
      </c>
      <c r="H538" s="89">
        <v>10</v>
      </c>
      <c r="I538" s="89"/>
      <c r="J538" s="89"/>
      <c r="K538" s="89"/>
      <c r="L538" s="89"/>
      <c r="M538" s="89">
        <v>100</v>
      </c>
      <c r="N538" s="88">
        <f t="shared" si="247"/>
        <v>890</v>
      </c>
      <c r="O538" s="106">
        <v>43887</v>
      </c>
      <c r="P538" s="165" t="s">
        <v>209</v>
      </c>
      <c r="Q538" s="144" t="s">
        <v>128</v>
      </c>
      <c r="R538" s="90">
        <f t="shared" si="248"/>
        <v>4000</v>
      </c>
    </row>
    <row r="539" spans="1:18" ht="13.5" thickBot="1" x14ac:dyDescent="0.25">
      <c r="A539" s="81" t="s">
        <v>149</v>
      </c>
      <c r="B539" s="82" t="s">
        <v>150</v>
      </c>
      <c r="C539" s="89">
        <v>1000</v>
      </c>
      <c r="D539" s="89">
        <v>28.13</v>
      </c>
      <c r="E539" s="89"/>
      <c r="F539" s="89"/>
      <c r="G539" s="88">
        <f t="shared" si="246"/>
        <v>1028.1300000000001</v>
      </c>
      <c r="H539" s="89">
        <v>10.28</v>
      </c>
      <c r="I539" s="89">
        <v>0</v>
      </c>
      <c r="J539" s="89"/>
      <c r="K539" s="89"/>
      <c r="L539" s="89"/>
      <c r="M539" s="89"/>
      <c r="N539" s="88">
        <f t="shared" si="247"/>
        <v>1017.8500000000001</v>
      </c>
      <c r="O539" s="106">
        <v>43887</v>
      </c>
      <c r="P539" s="165" t="s">
        <v>209</v>
      </c>
      <c r="Q539" s="144" t="s">
        <v>128</v>
      </c>
      <c r="R539" s="90">
        <f t="shared" si="248"/>
        <v>4000</v>
      </c>
    </row>
    <row r="540" spans="1:18" s="94" customFormat="1" ht="13.5" thickBot="1" x14ac:dyDescent="0.25">
      <c r="A540" s="435" t="s">
        <v>0</v>
      </c>
      <c r="B540" s="436"/>
      <c r="C540" s="166">
        <f t="shared" ref="C540:N540" si="249">SUM(C533:C539)</f>
        <v>9323.6</v>
      </c>
      <c r="D540" s="166">
        <f t="shared" si="249"/>
        <v>28.13</v>
      </c>
      <c r="E540" s="166">
        <f t="shared" si="249"/>
        <v>690</v>
      </c>
      <c r="F540" s="166">
        <f t="shared" si="249"/>
        <v>624</v>
      </c>
      <c r="G540" s="166">
        <f t="shared" si="249"/>
        <v>9975.73</v>
      </c>
      <c r="H540" s="166">
        <f t="shared" si="249"/>
        <v>93.944000000000003</v>
      </c>
      <c r="I540" s="166">
        <f t="shared" si="249"/>
        <v>543</v>
      </c>
      <c r="J540" s="166">
        <f t="shared" si="249"/>
        <v>-155</v>
      </c>
      <c r="K540" s="166">
        <f t="shared" si="249"/>
        <v>624</v>
      </c>
      <c r="L540" s="166">
        <f t="shared" si="249"/>
        <v>402.23</v>
      </c>
      <c r="M540" s="166">
        <f t="shared" si="249"/>
        <v>1325</v>
      </c>
      <c r="N540" s="166">
        <f t="shared" si="249"/>
        <v>7208.5559999999996</v>
      </c>
      <c r="O540" s="433" t="s">
        <v>0</v>
      </c>
      <c r="P540" s="434"/>
      <c r="Q540" s="145"/>
      <c r="R540" s="319"/>
    </row>
    <row r="541" spans="1:18" s="153" customFormat="1" ht="13.5" thickBot="1" x14ac:dyDescent="0.25">
      <c r="A541" s="437" t="s">
        <v>99</v>
      </c>
      <c r="B541" s="438"/>
      <c r="C541" s="171">
        <f t="shared" ref="C541:N541" si="250">C516+C524+C532+C540</f>
        <v>37294.400000000001</v>
      </c>
      <c r="D541" s="171">
        <f t="shared" si="250"/>
        <v>84.38</v>
      </c>
      <c r="E541" s="171">
        <f t="shared" si="250"/>
        <v>2760</v>
      </c>
      <c r="F541" s="171">
        <f t="shared" si="250"/>
        <v>2496</v>
      </c>
      <c r="G541" s="171">
        <f t="shared" si="250"/>
        <v>39874.78</v>
      </c>
      <c r="H541" s="171">
        <f t="shared" si="250"/>
        <v>375.49850000000004</v>
      </c>
      <c r="I541" s="171">
        <f t="shared" si="250"/>
        <v>2172</v>
      </c>
      <c r="J541" s="171">
        <f t="shared" si="250"/>
        <v>-620</v>
      </c>
      <c r="K541" s="171">
        <f t="shared" si="250"/>
        <v>2496</v>
      </c>
      <c r="L541" s="171">
        <f t="shared" si="250"/>
        <v>1608.92</v>
      </c>
      <c r="M541" s="171">
        <f t="shared" si="250"/>
        <v>5300</v>
      </c>
      <c r="N541" s="171">
        <f t="shared" si="250"/>
        <v>28806.361499999999</v>
      </c>
      <c r="O541" s="209"/>
      <c r="P541" s="157"/>
      <c r="Q541" s="152"/>
      <c r="R541" s="320"/>
    </row>
    <row r="542" spans="1:18" s="180" customFormat="1" x14ac:dyDescent="0.2">
      <c r="A542" s="175" t="s">
        <v>8</v>
      </c>
      <c r="B542" s="183" t="s">
        <v>111</v>
      </c>
      <c r="C542" s="176">
        <v>13708</v>
      </c>
      <c r="D542" s="176"/>
      <c r="E542" s="176"/>
      <c r="F542" s="176">
        <v>5624</v>
      </c>
      <c r="G542" s="88">
        <f t="shared" ref="G542:G544" si="251">C542+D542+F542</f>
        <v>19332</v>
      </c>
      <c r="H542" s="176">
        <v>0</v>
      </c>
      <c r="I542" s="176">
        <v>2537</v>
      </c>
      <c r="J542" s="176">
        <v>-829</v>
      </c>
      <c r="K542" s="176"/>
      <c r="L542" s="176"/>
      <c r="M542" s="176"/>
      <c r="N542" s="88">
        <f t="shared" ref="N542:N544" si="252">C542+D542+E542-H542-I542-J542-K542-L542-M542</f>
        <v>12000</v>
      </c>
      <c r="O542" s="193"/>
      <c r="P542" s="194"/>
      <c r="Q542" s="179"/>
      <c r="R542" s="321"/>
    </row>
    <row r="543" spans="1:18" s="180" customFormat="1" x14ac:dyDescent="0.2">
      <c r="A543" s="175" t="s">
        <v>27</v>
      </c>
      <c r="B543" s="183" t="s">
        <v>112</v>
      </c>
      <c r="C543" s="181">
        <v>13380</v>
      </c>
      <c r="D543" s="181"/>
      <c r="E543" s="181"/>
      <c r="F543" s="181">
        <v>2615</v>
      </c>
      <c r="G543" s="88">
        <f t="shared" si="251"/>
        <v>15995</v>
      </c>
      <c r="H543" s="181">
        <v>0</v>
      </c>
      <c r="I543" s="181">
        <v>1690</v>
      </c>
      <c r="J543" s="181">
        <v>-310</v>
      </c>
      <c r="K543" s="181"/>
      <c r="L543" s="181"/>
      <c r="M543" s="181"/>
      <c r="N543" s="88">
        <f t="shared" si="252"/>
        <v>12000</v>
      </c>
      <c r="O543" s="193"/>
      <c r="P543" s="194"/>
      <c r="Q543" s="179"/>
      <c r="R543" s="321"/>
    </row>
    <row r="544" spans="1:18" s="180" customFormat="1" ht="13.5" thickBot="1" x14ac:dyDescent="0.25">
      <c r="A544" s="175" t="s">
        <v>6</v>
      </c>
      <c r="B544" s="183" t="s">
        <v>113</v>
      </c>
      <c r="C544" s="182">
        <v>12747.72</v>
      </c>
      <c r="D544" s="182"/>
      <c r="E544" s="182"/>
      <c r="F544" s="182">
        <v>2812</v>
      </c>
      <c r="G544" s="88">
        <f t="shared" si="251"/>
        <v>15559.72</v>
      </c>
      <c r="H544" s="182">
        <v>148.72</v>
      </c>
      <c r="I544" s="182">
        <v>1616</v>
      </c>
      <c r="J544" s="182">
        <v>-829</v>
      </c>
      <c r="K544" s="182">
        <v>2812</v>
      </c>
      <c r="L544" s="182"/>
      <c r="M544" s="182"/>
      <c r="N544" s="88">
        <f t="shared" si="252"/>
        <v>9000</v>
      </c>
      <c r="O544" s="193"/>
      <c r="P544" s="194"/>
      <c r="Q544" s="179"/>
      <c r="R544" s="321"/>
    </row>
    <row r="545" spans="1:18" s="143" customFormat="1" ht="13.5" thickBot="1" x14ac:dyDescent="0.25">
      <c r="A545" s="439" t="s">
        <v>100</v>
      </c>
      <c r="B545" s="440"/>
      <c r="C545" s="174">
        <f>SUM(C542:C544)</f>
        <v>39835.72</v>
      </c>
      <c r="D545" s="174">
        <f t="shared" ref="D545:N545" si="253">SUM(D542:D544)</f>
        <v>0</v>
      </c>
      <c r="E545" s="174">
        <f t="shared" si="253"/>
        <v>0</v>
      </c>
      <c r="F545" s="174">
        <f t="shared" si="253"/>
        <v>11051</v>
      </c>
      <c r="G545" s="174">
        <f t="shared" si="253"/>
        <v>50886.720000000001</v>
      </c>
      <c r="H545" s="174">
        <f t="shared" si="253"/>
        <v>148.72</v>
      </c>
      <c r="I545" s="174">
        <f t="shared" si="253"/>
        <v>5843</v>
      </c>
      <c r="J545" s="174">
        <f t="shared" si="253"/>
        <v>-1968</v>
      </c>
      <c r="K545" s="174">
        <f t="shared" si="253"/>
        <v>2812</v>
      </c>
      <c r="L545" s="174">
        <f t="shared" si="253"/>
        <v>0</v>
      </c>
      <c r="M545" s="174">
        <f t="shared" si="253"/>
        <v>0</v>
      </c>
      <c r="N545" s="174">
        <f t="shared" si="253"/>
        <v>33000</v>
      </c>
      <c r="O545" s="210"/>
      <c r="P545" s="142"/>
      <c r="Q545" s="146"/>
      <c r="R545" s="322"/>
    </row>
    <row r="546" spans="1:18" s="143" customFormat="1" ht="13.5" thickBot="1" x14ac:dyDescent="0.25">
      <c r="A546" s="441" t="s">
        <v>101</v>
      </c>
      <c r="B546" s="441"/>
      <c r="C546" s="154"/>
      <c r="D546" s="154"/>
      <c r="E546" s="154"/>
      <c r="F546" s="154"/>
      <c r="G546" s="154"/>
      <c r="H546" s="163">
        <f>(H541+H545)*2</f>
        <v>1048.4370000000001</v>
      </c>
      <c r="I546" s="159">
        <f>I541+I545</f>
        <v>8015</v>
      </c>
      <c r="J546" s="164">
        <f>J541+J545</f>
        <v>-2588</v>
      </c>
      <c r="K546" s="154"/>
      <c r="L546" s="154"/>
      <c r="M546" s="154"/>
      <c r="N546" s="154"/>
      <c r="O546" s="142"/>
      <c r="P546" s="142"/>
      <c r="Q546" s="156"/>
      <c r="R546" s="322"/>
    </row>
    <row r="547" spans="1:18" s="143" customFormat="1" ht="13.5" thickBot="1" x14ac:dyDescent="0.25">
      <c r="A547" s="252"/>
      <c r="B547" s="252"/>
      <c r="C547" s="154"/>
      <c r="D547" s="154"/>
      <c r="E547" s="154"/>
      <c r="F547" s="154"/>
      <c r="G547" s="154"/>
      <c r="H547" s="154"/>
      <c r="I547" s="442">
        <f>I546+J546</f>
        <v>5427</v>
      </c>
      <c r="J547" s="443"/>
      <c r="K547" s="154"/>
      <c r="L547" s="154"/>
      <c r="M547" s="154"/>
      <c r="N547" s="154"/>
      <c r="O547" s="142"/>
      <c r="P547" s="142"/>
      <c r="Q547" s="156"/>
      <c r="R547" s="322"/>
    </row>
  </sheetData>
  <mergeCells count="170">
    <mergeCell ref="A1:Q2"/>
    <mergeCell ref="A311:B311"/>
    <mergeCell ref="A312:B312"/>
    <mergeCell ref="I313:J313"/>
    <mergeCell ref="H314:J314"/>
    <mergeCell ref="A374:B374"/>
    <mergeCell ref="A375:B375"/>
    <mergeCell ref="I376:J376"/>
    <mergeCell ref="H377:J377"/>
    <mergeCell ref="A327:B327"/>
    <mergeCell ref="A26:B26"/>
    <mergeCell ref="O26:P26"/>
    <mergeCell ref="A19:B19"/>
    <mergeCell ref="O19:P19"/>
    <mergeCell ref="A12:B12"/>
    <mergeCell ref="O12:P12"/>
    <mergeCell ref="A4:Q4"/>
    <mergeCell ref="A33:B33"/>
    <mergeCell ref="O33:P33"/>
    <mergeCell ref="A51:B51"/>
    <mergeCell ref="O51:P51"/>
    <mergeCell ref="A58:B58"/>
    <mergeCell ref="O58:P58"/>
    <mergeCell ref="A34:B34"/>
    <mergeCell ref="A38:B38"/>
    <mergeCell ref="A39:B39"/>
    <mergeCell ref="I40:J40"/>
    <mergeCell ref="H41:J41"/>
    <mergeCell ref="A43:Q43"/>
    <mergeCell ref="A97:B97"/>
    <mergeCell ref="O97:P97"/>
    <mergeCell ref="A104:B104"/>
    <mergeCell ref="O104:P104"/>
    <mergeCell ref="A111:B111"/>
    <mergeCell ref="O111:P111"/>
    <mergeCell ref="A65:B65"/>
    <mergeCell ref="O65:P65"/>
    <mergeCell ref="A72:B72"/>
    <mergeCell ref="O72:P72"/>
    <mergeCell ref="A90:B90"/>
    <mergeCell ref="O90:P90"/>
    <mergeCell ref="A73:B73"/>
    <mergeCell ref="A82:Q82"/>
    <mergeCell ref="A77:B77"/>
    <mergeCell ref="A78:B78"/>
    <mergeCell ref="I79:J79"/>
    <mergeCell ref="H80:J80"/>
    <mergeCell ref="A118:B118"/>
    <mergeCell ref="O118:P118"/>
    <mergeCell ref="A136:B136"/>
    <mergeCell ref="O136:P136"/>
    <mergeCell ref="A143:B143"/>
    <mergeCell ref="O143:P143"/>
    <mergeCell ref="A119:B119"/>
    <mergeCell ref="A128:Q128"/>
    <mergeCell ref="A123:B123"/>
    <mergeCell ref="A124:B124"/>
    <mergeCell ref="I125:J125"/>
    <mergeCell ref="H126:J126"/>
    <mergeCell ref="A151:B151"/>
    <mergeCell ref="O151:P151"/>
    <mergeCell ref="A159:B159"/>
    <mergeCell ref="O159:P159"/>
    <mergeCell ref="A178:B178"/>
    <mergeCell ref="O178:P178"/>
    <mergeCell ref="A160:B160"/>
    <mergeCell ref="A169:Q169"/>
    <mergeCell ref="A164:B164"/>
    <mergeCell ref="A165:B165"/>
    <mergeCell ref="I166:J166"/>
    <mergeCell ref="H167:J167"/>
    <mergeCell ref="A211:B211"/>
    <mergeCell ref="A215:B215"/>
    <mergeCell ref="A216:B216"/>
    <mergeCell ref="I217:J217"/>
    <mergeCell ref="H218:J218"/>
    <mergeCell ref="A186:B186"/>
    <mergeCell ref="O186:P186"/>
    <mergeCell ref="A194:B194"/>
    <mergeCell ref="O194:P194"/>
    <mergeCell ref="A210:B210"/>
    <mergeCell ref="O210:P210"/>
    <mergeCell ref="A202:B202"/>
    <mergeCell ref="O202:P202"/>
    <mergeCell ref="A247:B247"/>
    <mergeCell ref="O247:P247"/>
    <mergeCell ref="A256:B256"/>
    <mergeCell ref="O256:P256"/>
    <mergeCell ref="A257:B257"/>
    <mergeCell ref="A261:B261"/>
    <mergeCell ref="A262:B262"/>
    <mergeCell ref="A220:Q220"/>
    <mergeCell ref="A229:B229"/>
    <mergeCell ref="O229:P229"/>
    <mergeCell ref="A238:B238"/>
    <mergeCell ref="O238:P238"/>
    <mergeCell ref="I263:J263"/>
    <mergeCell ref="H264:J264"/>
    <mergeCell ref="A296:B296"/>
    <mergeCell ref="O296:P296"/>
    <mergeCell ref="A306:B306"/>
    <mergeCell ref="O306:P306"/>
    <mergeCell ref="A307:B307"/>
    <mergeCell ref="A266:Q266"/>
    <mergeCell ref="A276:B276"/>
    <mergeCell ref="O276:P276"/>
    <mergeCell ref="A286:B286"/>
    <mergeCell ref="O286:P286"/>
    <mergeCell ref="O327:P327"/>
    <mergeCell ref="A337:B337"/>
    <mergeCell ref="O337:P337"/>
    <mergeCell ref="A347:B347"/>
    <mergeCell ref="O347:P347"/>
    <mergeCell ref="A316:Q316"/>
    <mergeCell ref="A429:B429"/>
    <mergeCell ref="I430:J430"/>
    <mergeCell ref="A379:Q379"/>
    <mergeCell ref="A358:B358"/>
    <mergeCell ref="O358:P358"/>
    <mergeCell ref="A369:B369"/>
    <mergeCell ref="O369:P369"/>
    <mergeCell ref="A370:B370"/>
    <mergeCell ref="A428:B428"/>
    <mergeCell ref="H431:J431"/>
    <mergeCell ref="A459:B459"/>
    <mergeCell ref="A460:B460"/>
    <mergeCell ref="O423:P423"/>
    <mergeCell ref="A424:B424"/>
    <mergeCell ref="A391:B391"/>
    <mergeCell ref="O391:P391"/>
    <mergeCell ref="A402:B402"/>
    <mergeCell ref="O402:P402"/>
    <mergeCell ref="A413:B413"/>
    <mergeCell ref="O413:P413"/>
    <mergeCell ref="A423:B423"/>
    <mergeCell ref="A455:B455"/>
    <mergeCell ref="A454:B454"/>
    <mergeCell ref="O454:P454"/>
    <mergeCell ref="A433:Q433"/>
    <mergeCell ref="A444:B444"/>
    <mergeCell ref="O444:P444"/>
    <mergeCell ref="A498:B498"/>
    <mergeCell ref="A503:B503"/>
    <mergeCell ref="I504:J504"/>
    <mergeCell ref="H505:J505"/>
    <mergeCell ref="I461:J461"/>
    <mergeCell ref="H462:J462"/>
    <mergeCell ref="A502:B502"/>
    <mergeCell ref="A481:B481"/>
    <mergeCell ref="O481:P481"/>
    <mergeCell ref="A489:B489"/>
    <mergeCell ref="O489:P489"/>
    <mergeCell ref="A497:B497"/>
    <mergeCell ref="O497:P497"/>
    <mergeCell ref="A464:Q464"/>
    <mergeCell ref="A473:B473"/>
    <mergeCell ref="O473:P473"/>
    <mergeCell ref="A532:B532"/>
    <mergeCell ref="O532:P532"/>
    <mergeCell ref="O540:P540"/>
    <mergeCell ref="A540:B540"/>
    <mergeCell ref="A541:B541"/>
    <mergeCell ref="A545:B545"/>
    <mergeCell ref="A546:B546"/>
    <mergeCell ref="I547:J547"/>
    <mergeCell ref="A507:Q507"/>
    <mergeCell ref="A516:B516"/>
    <mergeCell ref="O516:P516"/>
    <mergeCell ref="A524:B524"/>
    <mergeCell ref="O524:P524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9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07"/>
  <sheetViews>
    <sheetView tabSelected="1" topLeftCell="E1" zoomScale="85" zoomScaleNormal="85" workbookViewId="0">
      <pane ySplit="3" topLeftCell="A4" activePane="bottomLeft" state="frozen"/>
      <selection pane="bottomLeft" activeCell="I27" sqref="I27"/>
    </sheetView>
  </sheetViews>
  <sheetFormatPr defaultRowHeight="12.75" x14ac:dyDescent="0.2"/>
  <cols>
    <col min="1" max="1" width="9.140625" style="344"/>
    <col min="2" max="2" width="9.140625" style="78"/>
    <col min="3" max="3" width="11.85546875" style="90" customWidth="1"/>
    <col min="4" max="4" width="11.5703125" style="90" customWidth="1"/>
    <col min="5" max="5" width="12" style="90" customWidth="1"/>
    <col min="6" max="7" width="10" style="90" customWidth="1"/>
    <col min="8" max="9" width="11.140625" style="90" customWidth="1"/>
    <col min="10" max="10" width="12.85546875" style="90" customWidth="1"/>
    <col min="11" max="11" width="9.7109375" style="90" customWidth="1"/>
    <col min="12" max="12" width="11.28515625" style="90" customWidth="1"/>
    <col min="13" max="13" width="10.5703125" style="90" customWidth="1"/>
    <col min="14" max="14" width="11.140625" style="90" customWidth="1"/>
    <col min="15" max="15" width="9.140625" style="78" customWidth="1"/>
    <col min="16" max="16" width="6.28515625" style="80" customWidth="1"/>
    <col min="17" max="17" width="9.140625" style="78"/>
    <col min="18" max="18" width="11.7109375" style="90" customWidth="1"/>
    <col min="19" max="19" width="9.7109375" style="90" bestFit="1" customWidth="1"/>
    <col min="20" max="20" width="10.140625" style="90" customWidth="1"/>
    <col min="21" max="21" width="10.85546875" style="90" customWidth="1"/>
    <col min="22" max="22" width="12.5703125" style="90" customWidth="1"/>
    <col min="23" max="23" width="9.7109375" style="90" bestFit="1" customWidth="1"/>
    <col min="24" max="24" width="10" style="90" customWidth="1"/>
    <col min="25" max="25" width="10.42578125" style="90" customWidth="1"/>
    <col min="26" max="26" width="9.7109375" style="90" customWidth="1"/>
    <col min="27" max="27" width="11.140625" style="90" customWidth="1"/>
    <col min="28" max="28" width="10.28515625" style="90" bestFit="1" customWidth="1"/>
    <col min="29" max="29" width="11.7109375" style="90" customWidth="1"/>
    <col min="30" max="30" width="11.7109375" style="104" customWidth="1"/>
    <col min="31" max="31" width="4.5703125" style="91" customWidth="1"/>
    <col min="32" max="32" width="9.140625" style="80"/>
    <col min="33" max="33" width="9.7109375" style="90" bestFit="1" customWidth="1"/>
    <col min="34" max="16384" width="9.140625" style="78"/>
  </cols>
  <sheetData>
    <row r="1" spans="1:33" ht="22.5" customHeight="1" x14ac:dyDescent="0.2">
      <c r="B1" s="483" t="s">
        <v>233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P1" s="477" t="s">
        <v>70</v>
      </c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</row>
    <row r="2" spans="1:33" ht="13.5" customHeight="1" thickBot="1" x14ac:dyDescent="0.25">
      <c r="E2" s="341">
        <v>3601</v>
      </c>
      <c r="F2" s="341">
        <v>3602</v>
      </c>
      <c r="G2" s="341">
        <v>3605</v>
      </c>
      <c r="H2" s="341" t="s">
        <v>237</v>
      </c>
      <c r="I2" s="341">
        <v>4005</v>
      </c>
      <c r="J2" s="341">
        <v>4141</v>
      </c>
      <c r="K2" s="341">
        <v>4102</v>
      </c>
      <c r="L2" s="341">
        <v>4116</v>
      </c>
      <c r="M2" s="349">
        <v>4102</v>
      </c>
      <c r="N2" s="341">
        <v>4001</v>
      </c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</row>
    <row r="3" spans="1:33" s="340" customFormat="1" ht="26.25" thickBot="1" x14ac:dyDescent="0.25">
      <c r="A3" s="343" t="s">
        <v>236</v>
      </c>
      <c r="B3" s="328" t="s">
        <v>1</v>
      </c>
      <c r="C3" s="329" t="s">
        <v>61</v>
      </c>
      <c r="D3" s="330" t="s">
        <v>62</v>
      </c>
      <c r="E3" s="330" t="s">
        <v>235</v>
      </c>
      <c r="F3" s="330" t="s">
        <v>73</v>
      </c>
      <c r="G3" s="330" t="s">
        <v>178</v>
      </c>
      <c r="H3" s="330" t="s">
        <v>67</v>
      </c>
      <c r="I3" s="330" t="s">
        <v>238</v>
      </c>
      <c r="J3" s="330" t="s">
        <v>64</v>
      </c>
      <c r="K3" s="330" t="s">
        <v>65</v>
      </c>
      <c r="L3" s="330" t="s">
        <v>72</v>
      </c>
      <c r="M3" s="330" t="s">
        <v>232</v>
      </c>
      <c r="N3" s="331" t="s">
        <v>63</v>
      </c>
      <c r="O3" s="332"/>
      <c r="P3" s="333" t="s">
        <v>69</v>
      </c>
      <c r="Q3" s="334" t="s">
        <v>1</v>
      </c>
      <c r="R3" s="335" t="s">
        <v>61</v>
      </c>
      <c r="S3" s="335" t="s">
        <v>62</v>
      </c>
      <c r="T3" s="335" t="s">
        <v>73</v>
      </c>
      <c r="U3" s="335" t="s">
        <v>67</v>
      </c>
      <c r="V3" s="335" t="s">
        <v>81</v>
      </c>
      <c r="W3" s="335" t="s">
        <v>64</v>
      </c>
      <c r="X3" s="335" t="s">
        <v>65</v>
      </c>
      <c r="Y3" s="335" t="s">
        <v>72</v>
      </c>
      <c r="Z3" s="335" t="s">
        <v>67</v>
      </c>
      <c r="AA3" s="335" t="s">
        <v>63</v>
      </c>
      <c r="AB3" s="335" t="s">
        <v>66</v>
      </c>
      <c r="AC3" s="335" t="s">
        <v>2</v>
      </c>
      <c r="AD3" s="336" t="s">
        <v>71</v>
      </c>
      <c r="AE3" s="337" t="s">
        <v>74</v>
      </c>
      <c r="AF3" s="338" t="s">
        <v>97</v>
      </c>
      <c r="AG3" s="339"/>
    </row>
    <row r="4" spans="1:33" x14ac:dyDescent="0.2">
      <c r="A4" s="344">
        <v>2020</v>
      </c>
      <c r="B4" s="94" t="s">
        <v>68</v>
      </c>
      <c r="C4" s="324">
        <f>SUMPRODUCT(--($Q$4:$Q$405=B4),$R$4:$R$405)-G4</f>
        <v>179464.22000000006</v>
      </c>
      <c r="D4" s="324">
        <f>SUMPRODUCT(--($Q$4:$Q$405=B4),$S$4:$S$405)</f>
        <v>55133.820000000014</v>
      </c>
      <c r="E4" s="324">
        <f>SUM(C4:D4)</f>
        <v>234598.04000000007</v>
      </c>
      <c r="F4" s="324">
        <f t="shared" ref="F4:F17" si="0">SUMPRODUCT(--($Q$4:$Q$405=B4),$T$4:$T$405)</f>
        <v>22050</v>
      </c>
      <c r="G4" s="324">
        <v>14793.28</v>
      </c>
      <c r="H4" s="324">
        <f t="shared" ref="H4:H14" si="1">SUMPRODUCT(--($Q$4:$Q$405=B4),$U$4:$U$405)</f>
        <v>27902</v>
      </c>
      <c r="I4" s="324">
        <f>H4*2</f>
        <v>55804</v>
      </c>
      <c r="J4" s="324">
        <f t="shared" ref="J4:J17" si="2">SUMPRODUCT(--($Q$4:$Q$405=B4),$W$4:$W$405)</f>
        <v>1729.1400000000006</v>
      </c>
      <c r="K4" s="324">
        <f t="shared" ref="K4:K17" si="3">SUMPRODUCT(--($Q$4:$Q$405=B4),$X$4:$X$405)</f>
        <v>31887</v>
      </c>
      <c r="L4" s="324">
        <f t="shared" ref="L4:L17" si="4">SUMPRODUCT(--($Q$4:$Q$405=B4),$Y$4:$Y$405)</f>
        <v>-7440</v>
      </c>
      <c r="M4" s="324">
        <f t="shared" ref="M4:M17" si="5">K4+L4</f>
        <v>24447</v>
      </c>
      <c r="N4" s="325">
        <f t="shared" ref="N4:N17" si="6">SUMPRODUCT(--($Q$4:$Q$405=B4),$AA$4:$AA$405)</f>
        <v>10400.520000000008</v>
      </c>
      <c r="P4" s="367" t="s">
        <v>25</v>
      </c>
      <c r="Q4" s="368" t="s">
        <v>68</v>
      </c>
      <c r="R4" s="369">
        <v>3119.2</v>
      </c>
      <c r="S4" s="369"/>
      <c r="T4" s="369">
        <v>490</v>
      </c>
      <c r="U4" s="369">
        <v>572.75</v>
      </c>
      <c r="V4" s="369">
        <f>R4+S4+U4+T4</f>
        <v>4181.95</v>
      </c>
      <c r="W4" s="369">
        <v>36.92</v>
      </c>
      <c r="X4" s="369">
        <v>288</v>
      </c>
      <c r="Y4" s="369">
        <v>-155</v>
      </c>
      <c r="Z4" s="369">
        <f>U4</f>
        <v>572.75</v>
      </c>
      <c r="AA4" s="369">
        <v>200.01</v>
      </c>
      <c r="AB4" s="369">
        <v>1125</v>
      </c>
      <c r="AC4" s="369">
        <f>R4+S4+T4-W4-X4-Y4-Z4-AA4-AB4</f>
        <v>1541.5199999999995</v>
      </c>
      <c r="AD4" s="370">
        <v>43530</v>
      </c>
      <c r="AE4" s="371" t="s">
        <v>17</v>
      </c>
      <c r="AF4" s="372" t="s">
        <v>98</v>
      </c>
    </row>
    <row r="5" spans="1:33" x14ac:dyDescent="0.2">
      <c r="A5" s="344">
        <v>2020</v>
      </c>
      <c r="B5" s="94" t="s">
        <v>76</v>
      </c>
      <c r="C5" s="324">
        <f t="shared" ref="C5:C17" si="7">SUMPRODUCT(--($Q$4:$Q$405=B5),$R$4:$R$405)-G5</f>
        <v>42727.600000000006</v>
      </c>
      <c r="D5" s="324">
        <f t="shared" ref="D5:D17" si="8">SUMPRODUCT(--($Q$4:$Q$405=B5),$S$4:$S$405)</f>
        <v>491.27</v>
      </c>
      <c r="E5" s="324">
        <f t="shared" ref="E5:E16" si="9">SUM(C5:D5)</f>
        <v>43218.87</v>
      </c>
      <c r="F5" s="324">
        <f t="shared" si="0"/>
        <v>2450</v>
      </c>
      <c r="G5" s="324">
        <v>3546.71</v>
      </c>
      <c r="H5" s="324">
        <f t="shared" si="1"/>
        <v>0</v>
      </c>
      <c r="I5" s="324"/>
      <c r="J5" s="324">
        <f t="shared" si="2"/>
        <v>430.74949999999984</v>
      </c>
      <c r="K5" s="324">
        <f t="shared" si="3"/>
        <v>0</v>
      </c>
      <c r="L5" s="324">
        <f t="shared" si="4"/>
        <v>0</v>
      </c>
      <c r="M5" s="324">
        <f t="shared" si="5"/>
        <v>0</v>
      </c>
      <c r="N5" s="325">
        <f t="shared" si="6"/>
        <v>2848.86</v>
      </c>
      <c r="P5" s="373" t="s">
        <v>29</v>
      </c>
      <c r="Q5" s="374" t="s">
        <v>76</v>
      </c>
      <c r="R5" s="375">
        <v>818.8</v>
      </c>
      <c r="S5" s="375"/>
      <c r="T5" s="375">
        <v>50</v>
      </c>
      <c r="U5" s="375"/>
      <c r="V5" s="376">
        <f>R5+S5+U5+T5</f>
        <v>868.8</v>
      </c>
      <c r="W5" s="375">
        <v>8.19</v>
      </c>
      <c r="X5" s="375"/>
      <c r="Y5" s="375"/>
      <c r="Z5" s="375"/>
      <c r="AA5" s="375">
        <v>58.14</v>
      </c>
      <c r="AB5" s="375">
        <v>200</v>
      </c>
      <c r="AC5" s="376">
        <f t="shared" ref="AC5:AC65" si="10">R5+S5+T5-W5-X5-Y5-Z5-AA5-AB5</f>
        <v>602.46999999999991</v>
      </c>
      <c r="AD5" s="377">
        <v>43530</v>
      </c>
      <c r="AE5" s="378" t="s">
        <v>17</v>
      </c>
      <c r="AF5" s="379" t="s">
        <v>98</v>
      </c>
    </row>
    <row r="6" spans="1:33" x14ac:dyDescent="0.2">
      <c r="A6" s="344">
        <v>2020</v>
      </c>
      <c r="B6" s="94" t="s">
        <v>77</v>
      </c>
      <c r="C6" s="324">
        <f t="shared" si="7"/>
        <v>56039.600000000042</v>
      </c>
      <c r="D6" s="324">
        <f t="shared" si="8"/>
        <v>5159.07</v>
      </c>
      <c r="E6" s="324">
        <f t="shared" si="9"/>
        <v>61198.670000000042</v>
      </c>
      <c r="F6" s="324">
        <f t="shared" si="0"/>
        <v>2450</v>
      </c>
      <c r="G6" s="324">
        <v>4655.6000000000004</v>
      </c>
      <c r="H6" s="324">
        <f t="shared" si="1"/>
        <v>0</v>
      </c>
      <c r="I6" s="324"/>
      <c r="J6" s="324">
        <f t="shared" si="2"/>
        <v>610.52240000000052</v>
      </c>
      <c r="K6" s="324">
        <f t="shared" si="3"/>
        <v>100</v>
      </c>
      <c r="L6" s="324">
        <f t="shared" si="4"/>
        <v>0</v>
      </c>
      <c r="M6" s="324">
        <f t="shared" si="5"/>
        <v>100</v>
      </c>
      <c r="N6" s="325">
        <f t="shared" si="6"/>
        <v>3738.7000000000035</v>
      </c>
      <c r="P6" s="373" t="s">
        <v>26</v>
      </c>
      <c r="Q6" s="374" t="s">
        <v>77</v>
      </c>
      <c r="R6" s="375">
        <v>1074.8</v>
      </c>
      <c r="S6" s="375"/>
      <c r="T6" s="375">
        <v>50</v>
      </c>
      <c r="U6" s="375"/>
      <c r="V6" s="376">
        <f>R6+S6+U6+T6</f>
        <v>1124.8</v>
      </c>
      <c r="W6" s="375">
        <v>10.75</v>
      </c>
      <c r="X6" s="375"/>
      <c r="Y6" s="375"/>
      <c r="Z6" s="375"/>
      <c r="AA6" s="375">
        <v>76.3</v>
      </c>
      <c r="AB6" s="375"/>
      <c r="AC6" s="376">
        <f t="shared" si="10"/>
        <v>1037.75</v>
      </c>
      <c r="AD6" s="377">
        <v>43530</v>
      </c>
      <c r="AE6" s="378" t="s">
        <v>17</v>
      </c>
      <c r="AF6" s="379" t="s">
        <v>98</v>
      </c>
    </row>
    <row r="7" spans="1:33" x14ac:dyDescent="0.2">
      <c r="A7" s="344">
        <v>2020</v>
      </c>
      <c r="B7" s="94" t="s">
        <v>78</v>
      </c>
      <c r="C7" s="324">
        <f t="shared" si="7"/>
        <v>49799.60000000002</v>
      </c>
      <c r="D7" s="324">
        <f t="shared" si="8"/>
        <v>4905.3099999999995</v>
      </c>
      <c r="E7" s="324">
        <f t="shared" si="9"/>
        <v>54704.910000000018</v>
      </c>
      <c r="F7" s="324">
        <f t="shared" si="0"/>
        <v>4900</v>
      </c>
      <c r="G7" s="324">
        <v>4106.3599999999997</v>
      </c>
      <c r="H7" s="324">
        <f t="shared" si="1"/>
        <v>0</v>
      </c>
      <c r="I7" s="324"/>
      <c r="J7" s="324">
        <f t="shared" si="2"/>
        <v>545.5744000000002</v>
      </c>
      <c r="K7" s="324">
        <f t="shared" si="3"/>
        <v>8</v>
      </c>
      <c r="L7" s="324">
        <f t="shared" si="4"/>
        <v>0</v>
      </c>
      <c r="M7" s="324">
        <f t="shared" si="5"/>
        <v>8</v>
      </c>
      <c r="N7" s="325">
        <f t="shared" si="6"/>
        <v>3321.220000000003</v>
      </c>
      <c r="P7" s="373" t="s">
        <v>3</v>
      </c>
      <c r="Q7" s="374" t="s">
        <v>78</v>
      </c>
      <c r="R7" s="375">
        <v>954.8</v>
      </c>
      <c r="S7" s="375"/>
      <c r="T7" s="375">
        <v>100</v>
      </c>
      <c r="U7" s="375"/>
      <c r="V7" s="376">
        <f>R7+S7+U7+T7</f>
        <v>1054.8</v>
      </c>
      <c r="W7" s="375">
        <v>9.5500000000000007</v>
      </c>
      <c r="X7" s="375"/>
      <c r="Y7" s="375"/>
      <c r="Z7" s="375"/>
      <c r="AA7" s="375">
        <v>67.78</v>
      </c>
      <c r="AB7" s="375"/>
      <c r="AC7" s="376">
        <f>R7+S7+T7-W7-X7-Y7-Z7-AA7-AB7</f>
        <v>977.47</v>
      </c>
      <c r="AD7" s="377">
        <v>43530</v>
      </c>
      <c r="AE7" s="378" t="s">
        <v>17</v>
      </c>
      <c r="AF7" s="379" t="s">
        <v>98</v>
      </c>
    </row>
    <row r="8" spans="1:33" x14ac:dyDescent="0.2">
      <c r="A8" s="344">
        <v>2020</v>
      </c>
      <c r="B8" s="94" t="s">
        <v>79</v>
      </c>
      <c r="C8" s="324">
        <f t="shared" si="7"/>
        <v>41600</v>
      </c>
      <c r="D8" s="324">
        <f t="shared" si="8"/>
        <v>3330</v>
      </c>
      <c r="E8" s="324">
        <f t="shared" si="9"/>
        <v>44930</v>
      </c>
      <c r="F8" s="324">
        <f t="shared" si="0"/>
        <v>0</v>
      </c>
      <c r="G8" s="324">
        <v>3465.28</v>
      </c>
      <c r="H8" s="324">
        <f t="shared" si="1"/>
        <v>0</v>
      </c>
      <c r="I8" s="324"/>
      <c r="J8" s="324">
        <f t="shared" si="2"/>
        <v>449.3</v>
      </c>
      <c r="K8" s="324">
        <f t="shared" si="3"/>
        <v>0</v>
      </c>
      <c r="L8" s="324">
        <f t="shared" si="4"/>
        <v>0</v>
      </c>
      <c r="M8" s="324">
        <f t="shared" si="5"/>
        <v>0</v>
      </c>
      <c r="N8" s="325">
        <f t="shared" si="6"/>
        <v>0</v>
      </c>
      <c r="P8" s="373" t="s">
        <v>32</v>
      </c>
      <c r="Q8" s="374" t="s">
        <v>79</v>
      </c>
      <c r="R8" s="375">
        <v>800</v>
      </c>
      <c r="S8" s="375"/>
      <c r="T8" s="375"/>
      <c r="U8" s="375"/>
      <c r="V8" s="376">
        <f t="shared" ref="V8:V65" si="11">R8+S8+U8</f>
        <v>800</v>
      </c>
      <c r="W8" s="375">
        <v>8</v>
      </c>
      <c r="X8" s="375"/>
      <c r="Y8" s="375"/>
      <c r="Z8" s="375"/>
      <c r="AA8" s="375"/>
      <c r="AB8" s="375"/>
      <c r="AC8" s="376">
        <f t="shared" si="10"/>
        <v>792</v>
      </c>
      <c r="AD8" s="377">
        <v>43530</v>
      </c>
      <c r="AE8" s="378" t="s">
        <v>17</v>
      </c>
      <c r="AF8" s="379" t="s">
        <v>98</v>
      </c>
    </row>
    <row r="9" spans="1:33" x14ac:dyDescent="0.2">
      <c r="B9" s="94" t="s">
        <v>80</v>
      </c>
      <c r="C9" s="324">
        <f t="shared" si="7"/>
        <v>1800</v>
      </c>
      <c r="D9" s="324">
        <f t="shared" si="8"/>
        <v>0</v>
      </c>
      <c r="E9" s="324">
        <f t="shared" si="9"/>
        <v>1800</v>
      </c>
      <c r="F9" s="324">
        <f t="shared" si="0"/>
        <v>0</v>
      </c>
      <c r="G9" s="324">
        <v>0</v>
      </c>
      <c r="H9" s="324">
        <f t="shared" si="1"/>
        <v>0</v>
      </c>
      <c r="I9" s="324"/>
      <c r="J9" s="324">
        <f t="shared" si="2"/>
        <v>18</v>
      </c>
      <c r="K9" s="324">
        <f t="shared" si="3"/>
        <v>0</v>
      </c>
      <c r="L9" s="324">
        <f t="shared" si="4"/>
        <v>0</v>
      </c>
      <c r="M9" s="324">
        <f t="shared" si="5"/>
        <v>0</v>
      </c>
      <c r="N9" s="325">
        <f t="shared" si="6"/>
        <v>0</v>
      </c>
      <c r="P9" s="373" t="s">
        <v>48</v>
      </c>
      <c r="Q9" s="374" t="s">
        <v>80</v>
      </c>
      <c r="R9" s="375">
        <v>800</v>
      </c>
      <c r="S9" s="375"/>
      <c r="T9" s="375"/>
      <c r="U9" s="375"/>
      <c r="V9" s="376">
        <f t="shared" si="11"/>
        <v>800</v>
      </c>
      <c r="W9" s="375">
        <v>8</v>
      </c>
      <c r="X9" s="375"/>
      <c r="Y9" s="375"/>
      <c r="Z9" s="375"/>
      <c r="AA9" s="375"/>
      <c r="AB9" s="375"/>
      <c r="AC9" s="376">
        <f t="shared" si="10"/>
        <v>792</v>
      </c>
      <c r="AD9" s="377">
        <v>43530</v>
      </c>
      <c r="AE9" s="378" t="s">
        <v>17</v>
      </c>
      <c r="AF9" s="379" t="s">
        <v>98</v>
      </c>
    </row>
    <row r="10" spans="1:33" ht="13.5" thickBot="1" x14ac:dyDescent="0.25">
      <c r="B10" s="94" t="s">
        <v>106</v>
      </c>
      <c r="C10" s="324">
        <f t="shared" si="7"/>
        <v>38741.03</v>
      </c>
      <c r="D10" s="324">
        <f t="shared" si="8"/>
        <v>8081.25</v>
      </c>
      <c r="E10" s="324">
        <f t="shared" si="9"/>
        <v>46822.28</v>
      </c>
      <c r="F10" s="324">
        <f t="shared" si="0"/>
        <v>0</v>
      </c>
      <c r="G10" s="324">
        <v>3091.36</v>
      </c>
      <c r="H10" s="324">
        <f t="shared" si="1"/>
        <v>0</v>
      </c>
      <c r="I10" s="324"/>
      <c r="J10" s="324">
        <f t="shared" si="2"/>
        <v>468.23750000000001</v>
      </c>
      <c r="K10" s="324">
        <f t="shared" si="3"/>
        <v>90</v>
      </c>
      <c r="L10" s="324">
        <f t="shared" si="4"/>
        <v>0</v>
      </c>
      <c r="M10" s="324">
        <f t="shared" si="5"/>
        <v>90</v>
      </c>
      <c r="N10" s="325">
        <f t="shared" si="6"/>
        <v>0</v>
      </c>
      <c r="P10" s="373" t="s">
        <v>86</v>
      </c>
      <c r="Q10" s="374" t="s">
        <v>106</v>
      </c>
      <c r="R10" s="375">
        <v>1000</v>
      </c>
      <c r="S10" s="375"/>
      <c r="T10" s="375"/>
      <c r="U10" s="375"/>
      <c r="V10" s="376">
        <f t="shared" si="11"/>
        <v>1000</v>
      </c>
      <c r="W10" s="375">
        <v>10</v>
      </c>
      <c r="X10" s="375"/>
      <c r="Y10" s="375"/>
      <c r="Z10" s="375"/>
      <c r="AA10" s="375"/>
      <c r="AB10" s="375">
        <v>200</v>
      </c>
      <c r="AC10" s="380">
        <f t="shared" si="10"/>
        <v>790</v>
      </c>
      <c r="AD10" s="377">
        <v>43530</v>
      </c>
      <c r="AE10" s="378" t="s">
        <v>17</v>
      </c>
      <c r="AF10" s="379" t="s">
        <v>98</v>
      </c>
    </row>
    <row r="11" spans="1:33" x14ac:dyDescent="0.2">
      <c r="B11" s="94" t="s">
        <v>109</v>
      </c>
      <c r="C11" s="324">
        <f t="shared" si="7"/>
        <v>31675.380000000005</v>
      </c>
      <c r="D11" s="324">
        <f t="shared" si="8"/>
        <v>3195</v>
      </c>
      <c r="E11" s="324">
        <f t="shared" si="9"/>
        <v>34870.380000000005</v>
      </c>
      <c r="F11" s="324">
        <f t="shared" si="0"/>
        <v>0</v>
      </c>
      <c r="G11" s="324">
        <v>2621.17</v>
      </c>
      <c r="H11" s="324">
        <f t="shared" si="1"/>
        <v>0</v>
      </c>
      <c r="I11" s="324"/>
      <c r="J11" s="324">
        <f t="shared" si="2"/>
        <v>348.69999999999993</v>
      </c>
      <c r="K11" s="324">
        <f t="shared" si="3"/>
        <v>0</v>
      </c>
      <c r="L11" s="324">
        <f t="shared" si="4"/>
        <v>0</v>
      </c>
      <c r="M11" s="324">
        <f t="shared" si="5"/>
        <v>0</v>
      </c>
      <c r="N11" s="325">
        <f t="shared" si="6"/>
        <v>0</v>
      </c>
      <c r="P11" s="367" t="s">
        <v>25</v>
      </c>
      <c r="Q11" s="368" t="s">
        <v>68</v>
      </c>
      <c r="R11" s="376">
        <v>3119.2</v>
      </c>
      <c r="S11" s="376"/>
      <c r="T11" s="376">
        <v>490</v>
      </c>
      <c r="U11" s="376">
        <v>572.75</v>
      </c>
      <c r="V11" s="376">
        <f>R11+S11+U11+T11</f>
        <v>4181.95</v>
      </c>
      <c r="W11" s="376">
        <v>36.92</v>
      </c>
      <c r="X11" s="376">
        <v>288</v>
      </c>
      <c r="Y11" s="376">
        <v>-155</v>
      </c>
      <c r="Z11" s="376">
        <f>U11</f>
        <v>572.75</v>
      </c>
      <c r="AA11" s="376">
        <v>200.01</v>
      </c>
      <c r="AB11" s="376">
        <v>1125</v>
      </c>
      <c r="AC11" s="376">
        <f t="shared" si="10"/>
        <v>1541.5199999999995</v>
      </c>
      <c r="AD11" s="381">
        <v>43537</v>
      </c>
      <c r="AE11" s="382" t="s">
        <v>38</v>
      </c>
      <c r="AF11" s="379" t="s">
        <v>98</v>
      </c>
    </row>
    <row r="12" spans="1:33" x14ac:dyDescent="0.2">
      <c r="B12" s="326" t="s">
        <v>108</v>
      </c>
      <c r="C12" s="324">
        <f t="shared" si="7"/>
        <v>17761.54</v>
      </c>
      <c r="D12" s="324">
        <f t="shared" si="8"/>
        <v>5700</v>
      </c>
      <c r="E12" s="324">
        <f t="shared" si="9"/>
        <v>23461.54</v>
      </c>
      <c r="F12" s="324">
        <f t="shared" si="0"/>
        <v>0</v>
      </c>
      <c r="G12" s="324">
        <v>1388.33</v>
      </c>
      <c r="H12" s="324">
        <f t="shared" si="1"/>
        <v>0</v>
      </c>
      <c r="I12" s="324"/>
      <c r="J12" s="324">
        <f t="shared" si="2"/>
        <v>234.61750000000001</v>
      </c>
      <c r="K12" s="324">
        <f t="shared" si="3"/>
        <v>40</v>
      </c>
      <c r="L12" s="324">
        <f t="shared" si="4"/>
        <v>0</v>
      </c>
      <c r="M12" s="324">
        <f t="shared" si="5"/>
        <v>40</v>
      </c>
      <c r="N12" s="325">
        <f t="shared" si="6"/>
        <v>0</v>
      </c>
      <c r="P12" s="373" t="s">
        <v>26</v>
      </c>
      <c r="Q12" s="374" t="s">
        <v>76</v>
      </c>
      <c r="R12" s="375">
        <v>818.8</v>
      </c>
      <c r="S12" s="375"/>
      <c r="T12" s="375">
        <v>50</v>
      </c>
      <c r="U12" s="375"/>
      <c r="V12" s="376">
        <f>R12+S12+U12+T12</f>
        <v>868.8</v>
      </c>
      <c r="W12" s="375">
        <v>8.19</v>
      </c>
      <c r="X12" s="375"/>
      <c r="Y12" s="375"/>
      <c r="Z12" s="375"/>
      <c r="AA12" s="375">
        <v>58.14</v>
      </c>
      <c r="AB12" s="375">
        <v>100</v>
      </c>
      <c r="AC12" s="376">
        <f t="shared" si="10"/>
        <v>702.46999999999991</v>
      </c>
      <c r="AD12" s="383">
        <v>43537</v>
      </c>
      <c r="AE12" s="384" t="s">
        <v>38</v>
      </c>
      <c r="AF12" s="379" t="s">
        <v>98</v>
      </c>
    </row>
    <row r="13" spans="1:33" x14ac:dyDescent="0.2">
      <c r="B13" s="326" t="s">
        <v>150</v>
      </c>
      <c r="C13" s="324">
        <f t="shared" si="7"/>
        <v>21730.77</v>
      </c>
      <c r="D13" s="324">
        <f t="shared" si="8"/>
        <v>5728.13</v>
      </c>
      <c r="E13" s="324">
        <f t="shared" si="9"/>
        <v>27458.9</v>
      </c>
      <c r="F13" s="324">
        <f t="shared" si="0"/>
        <v>0</v>
      </c>
      <c r="G13" s="324">
        <v>1055.1300000000001</v>
      </c>
      <c r="H13" s="324">
        <f t="shared" si="1"/>
        <v>0</v>
      </c>
      <c r="I13" s="324"/>
      <c r="J13" s="324">
        <f t="shared" si="2"/>
        <v>274.58499999999998</v>
      </c>
      <c r="K13" s="324">
        <f t="shared" si="3"/>
        <v>73</v>
      </c>
      <c r="L13" s="324">
        <f t="shared" si="4"/>
        <v>0</v>
      </c>
      <c r="M13" s="324">
        <f t="shared" si="5"/>
        <v>73</v>
      </c>
      <c r="N13" s="325">
        <f t="shared" si="6"/>
        <v>0</v>
      </c>
      <c r="P13" s="373" t="s">
        <v>3</v>
      </c>
      <c r="Q13" s="374" t="s">
        <v>77</v>
      </c>
      <c r="R13" s="375">
        <v>1074.8</v>
      </c>
      <c r="S13" s="375"/>
      <c r="T13" s="375">
        <v>50</v>
      </c>
      <c r="U13" s="375"/>
      <c r="V13" s="376">
        <f>R13+S13+U13+T13</f>
        <v>1124.8</v>
      </c>
      <c r="W13" s="375">
        <v>10.75</v>
      </c>
      <c r="X13" s="375"/>
      <c r="Y13" s="375"/>
      <c r="Z13" s="375"/>
      <c r="AA13" s="375">
        <v>76.3</v>
      </c>
      <c r="AB13" s="375"/>
      <c r="AC13" s="376">
        <f t="shared" si="10"/>
        <v>1037.75</v>
      </c>
      <c r="AD13" s="385">
        <v>43537</v>
      </c>
      <c r="AE13" s="384" t="s">
        <v>38</v>
      </c>
      <c r="AF13" s="379" t="s">
        <v>98</v>
      </c>
    </row>
    <row r="14" spans="1:33" ht="13.5" thickBot="1" x14ac:dyDescent="0.25">
      <c r="A14" s="346"/>
      <c r="B14" s="347" t="s">
        <v>159</v>
      </c>
      <c r="C14" s="348">
        <f t="shared" si="7"/>
        <v>4200</v>
      </c>
      <c r="D14" s="348">
        <f t="shared" si="8"/>
        <v>1537.5</v>
      </c>
      <c r="E14" s="348">
        <f t="shared" si="9"/>
        <v>5737.5</v>
      </c>
      <c r="F14" s="348">
        <f t="shared" si="0"/>
        <v>0</v>
      </c>
      <c r="G14" s="348">
        <v>0</v>
      </c>
      <c r="H14" s="348">
        <f t="shared" si="1"/>
        <v>0</v>
      </c>
      <c r="I14" s="348"/>
      <c r="J14" s="348">
        <f t="shared" si="2"/>
        <v>57.375</v>
      </c>
      <c r="K14" s="348">
        <f t="shared" si="3"/>
        <v>15</v>
      </c>
      <c r="L14" s="348">
        <f t="shared" si="4"/>
        <v>0</v>
      </c>
      <c r="M14" s="348">
        <f t="shared" si="5"/>
        <v>15</v>
      </c>
      <c r="N14" s="150">
        <f t="shared" si="6"/>
        <v>0</v>
      </c>
      <c r="P14" s="373" t="s">
        <v>32</v>
      </c>
      <c r="Q14" s="374" t="s">
        <v>78</v>
      </c>
      <c r="R14" s="375">
        <v>954.8</v>
      </c>
      <c r="S14" s="375"/>
      <c r="T14" s="375">
        <v>100</v>
      </c>
      <c r="U14" s="375"/>
      <c r="V14" s="376">
        <f>R14+S14+U14+T14</f>
        <v>1054.8</v>
      </c>
      <c r="W14" s="375">
        <v>9.5500000000000007</v>
      </c>
      <c r="X14" s="375"/>
      <c r="Y14" s="375"/>
      <c r="Z14" s="375"/>
      <c r="AA14" s="375">
        <v>67.78</v>
      </c>
      <c r="AB14" s="375"/>
      <c r="AC14" s="376">
        <f>R14+S14+T14-W14-X14-Y14-Z14-AA14-AB14</f>
        <v>977.47</v>
      </c>
      <c r="AD14" s="385">
        <v>43537</v>
      </c>
      <c r="AE14" s="384" t="s">
        <v>38</v>
      </c>
      <c r="AF14" s="379" t="s">
        <v>98</v>
      </c>
    </row>
    <row r="15" spans="1:33" x14ac:dyDescent="0.2">
      <c r="A15" s="344">
        <v>2020</v>
      </c>
      <c r="B15" s="326" t="s">
        <v>111</v>
      </c>
      <c r="C15" s="324">
        <f t="shared" si="7"/>
        <v>162766</v>
      </c>
      <c r="D15" s="324">
        <f t="shared" si="8"/>
        <v>0</v>
      </c>
      <c r="E15" s="324">
        <f t="shared" si="9"/>
        <v>162766</v>
      </c>
      <c r="F15" s="324">
        <f t="shared" si="0"/>
        <v>0</v>
      </c>
      <c r="G15" s="324"/>
      <c r="H15" s="324"/>
      <c r="I15" s="324">
        <v>62868</v>
      </c>
      <c r="J15" s="324">
        <f t="shared" si="2"/>
        <v>0</v>
      </c>
      <c r="K15" s="324">
        <f t="shared" si="3"/>
        <v>28714</v>
      </c>
      <c r="L15" s="324">
        <f t="shared" si="4"/>
        <v>-9948</v>
      </c>
      <c r="M15" s="324">
        <f t="shared" si="5"/>
        <v>18766</v>
      </c>
      <c r="N15" s="325">
        <f t="shared" si="6"/>
        <v>0</v>
      </c>
      <c r="P15" s="386" t="s">
        <v>75</v>
      </c>
      <c r="Q15" s="387" t="s">
        <v>79</v>
      </c>
      <c r="R15" s="375">
        <v>800</v>
      </c>
      <c r="S15" s="375"/>
      <c r="T15" s="375"/>
      <c r="U15" s="375"/>
      <c r="V15" s="376">
        <f>R15+S15+U15</f>
        <v>800</v>
      </c>
      <c r="W15" s="375">
        <v>8</v>
      </c>
      <c r="X15" s="375"/>
      <c r="Y15" s="375"/>
      <c r="Z15" s="375"/>
      <c r="AA15" s="375"/>
      <c r="AB15" s="375"/>
      <c r="AC15" s="376">
        <f t="shared" si="10"/>
        <v>792</v>
      </c>
      <c r="AD15" s="385">
        <v>43537</v>
      </c>
      <c r="AE15" s="384" t="s">
        <v>38</v>
      </c>
      <c r="AF15" s="379" t="s">
        <v>98</v>
      </c>
    </row>
    <row r="16" spans="1:33" ht="13.5" thickBot="1" x14ac:dyDescent="0.25">
      <c r="A16" s="344">
        <v>2020</v>
      </c>
      <c r="B16" s="326" t="s">
        <v>113</v>
      </c>
      <c r="C16" s="324">
        <f t="shared" si="7"/>
        <v>143329.33000000002</v>
      </c>
      <c r="D16" s="324">
        <f t="shared" si="8"/>
        <v>0</v>
      </c>
      <c r="E16" s="324">
        <f t="shared" si="9"/>
        <v>143329.33000000002</v>
      </c>
      <c r="F16" s="324">
        <f t="shared" si="0"/>
        <v>0</v>
      </c>
      <c r="G16" s="324"/>
      <c r="H16" s="324">
        <f>I16/2</f>
        <v>31419</v>
      </c>
      <c r="I16" s="324">
        <v>62838</v>
      </c>
      <c r="J16" s="324">
        <f t="shared" si="2"/>
        <v>1689.3300000000002</v>
      </c>
      <c r="K16" s="324">
        <f t="shared" si="3"/>
        <v>16483</v>
      </c>
      <c r="L16" s="324">
        <f t="shared" si="4"/>
        <v>-9948</v>
      </c>
      <c r="M16" s="324">
        <f t="shared" si="5"/>
        <v>6535</v>
      </c>
      <c r="N16" s="325">
        <f t="shared" si="6"/>
        <v>0</v>
      </c>
      <c r="P16" s="386" t="s">
        <v>86</v>
      </c>
      <c r="Q16" s="387" t="s">
        <v>106</v>
      </c>
      <c r="R16" s="375">
        <v>1000</v>
      </c>
      <c r="S16" s="375"/>
      <c r="T16" s="375"/>
      <c r="U16" s="375"/>
      <c r="V16" s="376">
        <f>R16+S16+U16</f>
        <v>1000</v>
      </c>
      <c r="W16" s="375">
        <v>10</v>
      </c>
      <c r="X16" s="375"/>
      <c r="Y16" s="375"/>
      <c r="Z16" s="375"/>
      <c r="AA16" s="375"/>
      <c r="AB16" s="375">
        <v>200</v>
      </c>
      <c r="AC16" s="380">
        <f t="shared" si="10"/>
        <v>790</v>
      </c>
      <c r="AD16" s="377">
        <v>43537</v>
      </c>
      <c r="AE16" s="388" t="s">
        <v>38</v>
      </c>
      <c r="AF16" s="379" t="s">
        <v>98</v>
      </c>
    </row>
    <row r="17" spans="1:33" x14ac:dyDescent="0.2">
      <c r="A17" s="344">
        <v>2020</v>
      </c>
      <c r="B17" s="327" t="s">
        <v>112</v>
      </c>
      <c r="C17" s="88">
        <f t="shared" si="7"/>
        <v>155270</v>
      </c>
      <c r="D17" s="192">
        <f t="shared" si="8"/>
        <v>0</v>
      </c>
      <c r="E17" s="88">
        <f>SUM(C17:D17)</f>
        <v>155270</v>
      </c>
      <c r="F17" s="192">
        <f t="shared" si="0"/>
        <v>0</v>
      </c>
      <c r="G17" s="192"/>
      <c r="H17" s="192"/>
      <c r="I17" s="192">
        <v>29230</v>
      </c>
      <c r="J17" s="192">
        <f t="shared" si="2"/>
        <v>0</v>
      </c>
      <c r="K17" s="192">
        <f t="shared" si="3"/>
        <v>18990</v>
      </c>
      <c r="L17" s="88">
        <f t="shared" si="4"/>
        <v>-3720</v>
      </c>
      <c r="M17" s="192">
        <f t="shared" si="5"/>
        <v>15270</v>
      </c>
      <c r="N17" s="88">
        <f t="shared" si="6"/>
        <v>0</v>
      </c>
      <c r="P17" s="389" t="s">
        <v>25</v>
      </c>
      <c r="Q17" s="390" t="s">
        <v>68</v>
      </c>
      <c r="R17" s="376">
        <v>3119.2</v>
      </c>
      <c r="S17" s="376">
        <v>584.85</v>
      </c>
      <c r="T17" s="376">
        <v>490</v>
      </c>
      <c r="U17" s="376">
        <v>572.75</v>
      </c>
      <c r="V17" s="376">
        <f>R17+S17+U17+T17</f>
        <v>4766.7999999999993</v>
      </c>
      <c r="W17" s="376">
        <v>42.77</v>
      </c>
      <c r="X17" s="376">
        <v>394</v>
      </c>
      <c r="Y17" s="376">
        <v>-155</v>
      </c>
      <c r="Z17" s="376">
        <f>U17</f>
        <v>572.75</v>
      </c>
      <c r="AA17" s="376">
        <v>200.01</v>
      </c>
      <c r="AB17" s="376">
        <v>1125</v>
      </c>
      <c r="AC17" s="376">
        <f t="shared" si="10"/>
        <v>2014.5199999999986</v>
      </c>
      <c r="AD17" s="377">
        <v>43544</v>
      </c>
      <c r="AE17" s="391" t="s">
        <v>18</v>
      </c>
      <c r="AF17" s="379" t="s">
        <v>98</v>
      </c>
    </row>
    <row r="18" spans="1:33" x14ac:dyDescent="0.2">
      <c r="C18" s="89">
        <f t="shared" ref="C18:H18" si="12">SUM(C4:C17)</f>
        <v>946905.0700000003</v>
      </c>
      <c r="D18" s="192">
        <f t="shared" si="12"/>
        <v>93261.35000000002</v>
      </c>
      <c r="E18" s="192">
        <f t="shared" si="12"/>
        <v>1040166.4200000002</v>
      </c>
      <c r="F18" s="192">
        <f t="shared" si="12"/>
        <v>31850</v>
      </c>
      <c r="G18" s="192">
        <f t="shared" si="12"/>
        <v>38723.22</v>
      </c>
      <c r="H18" s="192">
        <f t="shared" si="12"/>
        <v>59321</v>
      </c>
      <c r="I18" s="192"/>
      <c r="J18" s="192">
        <f>SUM(J4:J17)</f>
        <v>6856.1313000000018</v>
      </c>
      <c r="K18" s="192">
        <f>SUM(K4:K17)</f>
        <v>96400</v>
      </c>
      <c r="L18" s="192">
        <f>SUM(L4:L17)</f>
        <v>-31056</v>
      </c>
      <c r="M18" s="192">
        <f>SUM(M4:M17)</f>
        <v>65344</v>
      </c>
      <c r="N18" s="88">
        <f>SUM(N4:N17)</f>
        <v>20309.300000000017</v>
      </c>
      <c r="P18" s="373" t="s">
        <v>26</v>
      </c>
      <c r="Q18" s="374" t="s">
        <v>76</v>
      </c>
      <c r="R18" s="375">
        <v>818.8</v>
      </c>
      <c r="S18" s="375"/>
      <c r="T18" s="375">
        <v>50</v>
      </c>
      <c r="U18" s="375"/>
      <c r="V18" s="376">
        <f>R18+S18+U18+T18</f>
        <v>868.8</v>
      </c>
      <c r="W18" s="375">
        <v>8.19</v>
      </c>
      <c r="X18" s="375"/>
      <c r="Y18" s="375"/>
      <c r="Z18" s="375"/>
      <c r="AA18" s="375">
        <v>58.14</v>
      </c>
      <c r="AB18" s="375">
        <v>100</v>
      </c>
      <c r="AC18" s="376">
        <f>R18+S18+T18-W18-X18-Y18-Z18-AA18-AB18</f>
        <v>702.46999999999991</v>
      </c>
      <c r="AD18" s="377">
        <v>43544</v>
      </c>
      <c r="AE18" s="391" t="s">
        <v>18</v>
      </c>
      <c r="AF18" s="379" t="s">
        <v>98</v>
      </c>
    </row>
    <row r="19" spans="1:33" x14ac:dyDescent="0.2">
      <c r="E19" s="90">
        <f>C18+D18</f>
        <v>1040166.4200000003</v>
      </c>
      <c r="P19" s="373" t="s">
        <v>3</v>
      </c>
      <c r="Q19" s="374" t="s">
        <v>77</v>
      </c>
      <c r="R19" s="375">
        <v>1074.8</v>
      </c>
      <c r="S19" s="375"/>
      <c r="T19" s="375">
        <v>50</v>
      </c>
      <c r="U19" s="375"/>
      <c r="V19" s="376">
        <f>R19+S19+U19+T19</f>
        <v>1124.8</v>
      </c>
      <c r="W19" s="375">
        <v>10.75</v>
      </c>
      <c r="X19" s="375"/>
      <c r="Y19" s="375"/>
      <c r="Z19" s="375"/>
      <c r="AA19" s="375">
        <v>76.3</v>
      </c>
      <c r="AB19" s="375"/>
      <c r="AC19" s="376">
        <f>R19+S19+T19-W19-X19-Y19-Z19-AA19-AB19</f>
        <v>1037.75</v>
      </c>
      <c r="AD19" s="377">
        <v>43544</v>
      </c>
      <c r="AE19" s="391" t="s">
        <v>18</v>
      </c>
      <c r="AF19" s="379" t="s">
        <v>98</v>
      </c>
    </row>
    <row r="20" spans="1:33" x14ac:dyDescent="0.2">
      <c r="C20" s="90">
        <f>R406-G18</f>
        <v>946905.07000000135</v>
      </c>
      <c r="D20" s="90">
        <f>S406</f>
        <v>93261.350000000035</v>
      </c>
      <c r="F20" s="90">
        <f>T406</f>
        <v>31850</v>
      </c>
      <c r="H20" s="90">
        <f>U406</f>
        <v>149686</v>
      </c>
      <c r="J20" s="90">
        <f>W406</f>
        <v>6856.1312999999936</v>
      </c>
      <c r="K20" s="90">
        <f>X406</f>
        <v>96400</v>
      </c>
      <c r="L20" s="90">
        <f>Y406</f>
        <v>-31056</v>
      </c>
      <c r="M20" s="90">
        <f>K20+L20</f>
        <v>65344</v>
      </c>
      <c r="N20" s="90">
        <f>AA406</f>
        <v>20309.299999999963</v>
      </c>
      <c r="P20" s="373" t="s">
        <v>32</v>
      </c>
      <c r="Q20" s="374" t="s">
        <v>78</v>
      </c>
      <c r="R20" s="375">
        <v>954.8</v>
      </c>
      <c r="S20" s="375"/>
      <c r="T20" s="375">
        <v>100</v>
      </c>
      <c r="U20" s="375"/>
      <c r="V20" s="376">
        <f>R20+S20+U20+T20</f>
        <v>1054.8</v>
      </c>
      <c r="W20" s="375">
        <v>9.5500000000000007</v>
      </c>
      <c r="X20" s="375"/>
      <c r="Y20" s="375"/>
      <c r="Z20" s="375"/>
      <c r="AA20" s="375">
        <v>67.78</v>
      </c>
      <c r="AB20" s="375"/>
      <c r="AC20" s="376">
        <f>R20+S20+T20-W20-X20-Y20-Z20-AA20-AB20</f>
        <v>977.47</v>
      </c>
      <c r="AD20" s="377">
        <v>43544</v>
      </c>
      <c r="AE20" s="391" t="s">
        <v>18</v>
      </c>
      <c r="AF20" s="379" t="s">
        <v>98</v>
      </c>
    </row>
    <row r="21" spans="1:33" x14ac:dyDescent="0.2">
      <c r="P21" s="373" t="s">
        <v>75</v>
      </c>
      <c r="Q21" s="374" t="s">
        <v>79</v>
      </c>
      <c r="R21" s="375">
        <v>800</v>
      </c>
      <c r="S21" s="375"/>
      <c r="T21" s="375"/>
      <c r="U21" s="375"/>
      <c r="V21" s="376">
        <f>R21+S21+U21</f>
        <v>800</v>
      </c>
      <c r="W21" s="375">
        <v>8</v>
      </c>
      <c r="X21" s="375"/>
      <c r="Y21" s="375"/>
      <c r="Z21" s="375"/>
      <c r="AA21" s="375"/>
      <c r="AB21" s="375"/>
      <c r="AC21" s="376">
        <f t="shared" si="10"/>
        <v>792</v>
      </c>
      <c r="AD21" s="377">
        <v>43544</v>
      </c>
      <c r="AE21" s="391" t="s">
        <v>18</v>
      </c>
      <c r="AF21" s="379" t="s">
        <v>98</v>
      </c>
    </row>
    <row r="22" spans="1:33" ht="13.5" thickBot="1" x14ac:dyDescent="0.25">
      <c r="P22" s="373" t="s">
        <v>86</v>
      </c>
      <c r="Q22" s="374" t="s">
        <v>106</v>
      </c>
      <c r="R22" s="375">
        <v>1000</v>
      </c>
      <c r="S22" s="375"/>
      <c r="T22" s="375"/>
      <c r="U22" s="375"/>
      <c r="V22" s="376">
        <f>R22+S22+U22</f>
        <v>1000</v>
      </c>
      <c r="W22" s="375">
        <v>10</v>
      </c>
      <c r="X22" s="375"/>
      <c r="Y22" s="375"/>
      <c r="Z22" s="375"/>
      <c r="AA22" s="375"/>
      <c r="AB22" s="375">
        <v>200</v>
      </c>
      <c r="AC22" s="376">
        <f t="shared" si="10"/>
        <v>790</v>
      </c>
      <c r="AD22" s="377">
        <v>43544</v>
      </c>
      <c r="AE22" s="391" t="s">
        <v>18</v>
      </c>
      <c r="AF22" s="379" t="s">
        <v>98</v>
      </c>
    </row>
    <row r="23" spans="1:33" ht="18.75" x14ac:dyDescent="0.3">
      <c r="A23" s="485" t="s">
        <v>239</v>
      </c>
      <c r="B23" s="485"/>
      <c r="C23" s="485"/>
      <c r="D23" s="485"/>
      <c r="P23" s="367" t="s">
        <v>25</v>
      </c>
      <c r="Q23" s="368" t="s">
        <v>68</v>
      </c>
      <c r="R23" s="376">
        <v>3119.2</v>
      </c>
      <c r="S23" s="376">
        <v>584.85</v>
      </c>
      <c r="T23" s="376">
        <v>490</v>
      </c>
      <c r="U23" s="376">
        <v>572.75</v>
      </c>
      <c r="V23" s="376">
        <f>R23+S23+U23+T23</f>
        <v>4766.7999999999993</v>
      </c>
      <c r="W23" s="376">
        <v>42.77</v>
      </c>
      <c r="X23" s="376">
        <v>394</v>
      </c>
      <c r="Y23" s="376">
        <v>-155</v>
      </c>
      <c r="Z23" s="376">
        <f>U23</f>
        <v>572.75</v>
      </c>
      <c r="AA23" s="376">
        <v>200.01</v>
      </c>
      <c r="AB23" s="376">
        <v>1125</v>
      </c>
      <c r="AC23" s="376">
        <f t="shared" si="10"/>
        <v>2014.5199999999986</v>
      </c>
      <c r="AD23" s="381">
        <v>43551</v>
      </c>
      <c r="AE23" s="382" t="s">
        <v>39</v>
      </c>
      <c r="AF23" s="379" t="s">
        <v>98</v>
      </c>
    </row>
    <row r="24" spans="1:33" ht="38.25" x14ac:dyDescent="0.2">
      <c r="A24" s="350" t="s">
        <v>240</v>
      </c>
      <c r="B24" s="351" t="s">
        <v>241</v>
      </c>
      <c r="C24" s="351" t="s">
        <v>242</v>
      </c>
      <c r="D24" s="352" t="s">
        <v>243</v>
      </c>
      <c r="P24" s="373" t="s">
        <v>26</v>
      </c>
      <c r="Q24" s="374" t="s">
        <v>76</v>
      </c>
      <c r="R24" s="375">
        <v>818.8</v>
      </c>
      <c r="S24" s="375"/>
      <c r="T24" s="375">
        <v>50</v>
      </c>
      <c r="U24" s="375"/>
      <c r="V24" s="376">
        <f>R24+S24+U24+T24</f>
        <v>868.8</v>
      </c>
      <c r="W24" s="375">
        <v>8.19</v>
      </c>
      <c r="X24" s="375"/>
      <c r="Y24" s="375"/>
      <c r="Z24" s="375"/>
      <c r="AA24" s="375">
        <v>58.14</v>
      </c>
      <c r="AB24" s="375">
        <v>100</v>
      </c>
      <c r="AC24" s="376">
        <f>R24+S24+T24-W24-X24-Y24-Z24-AA24-AB24</f>
        <v>702.46999999999991</v>
      </c>
      <c r="AD24" s="385">
        <v>43551</v>
      </c>
      <c r="AE24" s="384" t="s">
        <v>39</v>
      </c>
      <c r="AF24" s="379" t="s">
        <v>98</v>
      </c>
    </row>
    <row r="25" spans="1:33" x14ac:dyDescent="0.2">
      <c r="A25" s="353" t="s">
        <v>117</v>
      </c>
      <c r="B25" s="354">
        <f>COUNTA(Q4:Q10,Q11:Q16,Q17:Q22,Q23:Q28)/4</f>
        <v>6.25</v>
      </c>
      <c r="C25" s="355">
        <v>1</v>
      </c>
      <c r="D25" s="90">
        <f>SUM(V4:V28,AC29)</f>
        <v>49750.130000000005</v>
      </c>
      <c r="P25" s="373" t="s">
        <v>3</v>
      </c>
      <c r="Q25" s="374" t="s">
        <v>77</v>
      </c>
      <c r="R25" s="375">
        <v>1074.8</v>
      </c>
      <c r="S25" s="375"/>
      <c r="T25" s="375">
        <v>50</v>
      </c>
      <c r="U25" s="375"/>
      <c r="V25" s="376">
        <f>R25+S25+U25+T25</f>
        <v>1124.8</v>
      </c>
      <c r="W25" s="375">
        <v>10.75</v>
      </c>
      <c r="X25" s="375"/>
      <c r="Y25" s="375"/>
      <c r="Z25" s="375"/>
      <c r="AA25" s="375">
        <v>76.3</v>
      </c>
      <c r="AB25" s="375"/>
      <c r="AC25" s="376">
        <f t="shared" si="10"/>
        <v>1037.75</v>
      </c>
      <c r="AD25" s="385">
        <v>43551</v>
      </c>
      <c r="AE25" s="384" t="s">
        <v>39</v>
      </c>
      <c r="AF25" s="379" t="s">
        <v>98</v>
      </c>
    </row>
    <row r="26" spans="1:33" x14ac:dyDescent="0.2">
      <c r="A26" s="353" t="s">
        <v>118</v>
      </c>
      <c r="B26" s="354">
        <f>COUNTA(Q32:Q37,Q38:Q43,Q44:Q49,Q50:Q55)/4</f>
        <v>6</v>
      </c>
      <c r="C26" s="355">
        <v>1</v>
      </c>
      <c r="D26" s="90">
        <f>SUM(V32:V55,AC56)</f>
        <v>48157.16</v>
      </c>
      <c r="P26" s="373" t="s">
        <v>32</v>
      </c>
      <c r="Q26" s="374" t="s">
        <v>78</v>
      </c>
      <c r="R26" s="375">
        <v>954.8</v>
      </c>
      <c r="S26" s="375">
        <v>179.03</v>
      </c>
      <c r="T26" s="375">
        <v>100</v>
      </c>
      <c r="U26" s="375"/>
      <c r="V26" s="376">
        <f>R26+S26+U26+T26</f>
        <v>1233.83</v>
      </c>
      <c r="W26" s="375">
        <v>11.34</v>
      </c>
      <c r="X26" s="375"/>
      <c r="Y26" s="375"/>
      <c r="Z26" s="375"/>
      <c r="AA26" s="375">
        <v>67.78</v>
      </c>
      <c r="AB26" s="375"/>
      <c r="AC26" s="376">
        <f>R26+S26+T26-W26-X26-Y26-Z26-AA26-AB26</f>
        <v>1154.71</v>
      </c>
      <c r="AD26" s="385">
        <v>43551</v>
      </c>
      <c r="AE26" s="384" t="s">
        <v>39</v>
      </c>
      <c r="AF26" s="379" t="s">
        <v>98</v>
      </c>
    </row>
    <row r="27" spans="1:33" x14ac:dyDescent="0.2">
      <c r="A27" s="353" t="s">
        <v>119</v>
      </c>
      <c r="B27" s="354">
        <f>COUNTA(Q59:Q64,Q65:Q70,Q71:Q76,Q77:Q82,Q83:Q88)/5</f>
        <v>6</v>
      </c>
      <c r="C27" s="355">
        <v>1</v>
      </c>
      <c r="D27" s="90">
        <f>SUM(V59:V88,AC89)</f>
        <v>63663.150000000009</v>
      </c>
      <c r="O27" s="180"/>
      <c r="P27" s="373" t="s">
        <v>75</v>
      </c>
      <c r="Q27" s="374" t="s">
        <v>79</v>
      </c>
      <c r="R27" s="375">
        <v>800</v>
      </c>
      <c r="S27" s="375"/>
      <c r="T27" s="375"/>
      <c r="U27" s="375"/>
      <c r="V27" s="376">
        <f>R27+S27+U27</f>
        <v>800</v>
      </c>
      <c r="W27" s="375">
        <v>8</v>
      </c>
      <c r="X27" s="375"/>
      <c r="Y27" s="375"/>
      <c r="Z27" s="375"/>
      <c r="AA27" s="375"/>
      <c r="AB27" s="375"/>
      <c r="AC27" s="376">
        <f t="shared" si="10"/>
        <v>792</v>
      </c>
      <c r="AD27" s="385">
        <v>43551</v>
      </c>
      <c r="AE27" s="384" t="s">
        <v>39</v>
      </c>
      <c r="AF27" s="379" t="s">
        <v>98</v>
      </c>
    </row>
    <row r="28" spans="1:33" x14ac:dyDescent="0.2">
      <c r="A28" s="353" t="s">
        <v>121</v>
      </c>
      <c r="B28" s="354">
        <f>COUNTA(Q92:Q97,Q98:Q103,Q104:Q110,Q111:Q117)/4</f>
        <v>6.5</v>
      </c>
      <c r="C28" s="355">
        <v>1</v>
      </c>
      <c r="D28" s="90">
        <f>SUM(V92:V117,AC118)</f>
        <v>51479.48</v>
      </c>
      <c r="O28" s="180"/>
      <c r="P28" s="373" t="s">
        <v>110</v>
      </c>
      <c r="Q28" s="374" t="s">
        <v>109</v>
      </c>
      <c r="R28" s="375">
        <v>480</v>
      </c>
      <c r="S28" s="375"/>
      <c r="T28" s="375"/>
      <c r="U28" s="375"/>
      <c r="V28" s="376">
        <f>R28+S28+U28</f>
        <v>480</v>
      </c>
      <c r="W28" s="375">
        <v>4.8</v>
      </c>
      <c r="X28" s="375"/>
      <c r="Y28" s="375"/>
      <c r="Z28" s="375"/>
      <c r="AA28" s="375"/>
      <c r="AB28" s="375"/>
      <c r="AC28" s="376">
        <f t="shared" si="10"/>
        <v>475.2</v>
      </c>
      <c r="AD28" s="377">
        <v>43551</v>
      </c>
      <c r="AE28" s="384" t="s">
        <v>39</v>
      </c>
      <c r="AF28" s="379" t="s">
        <v>98</v>
      </c>
    </row>
    <row r="29" spans="1:33" s="180" customFormat="1" x14ac:dyDescent="0.2">
      <c r="A29" s="353" t="s">
        <v>120</v>
      </c>
      <c r="B29" s="354">
        <f>COUNTA(Q121:Q127,Q128:Q134,Q135:Q141,Q142:Q148,Q149:Q155)/5</f>
        <v>7</v>
      </c>
      <c r="C29" s="355">
        <v>1</v>
      </c>
      <c r="D29" s="90">
        <f>SUM(V121:V155,AC156)</f>
        <v>62874.290000000015</v>
      </c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P29" s="373" t="s">
        <v>8</v>
      </c>
      <c r="Q29" s="392" t="s">
        <v>111</v>
      </c>
      <c r="R29" s="376">
        <v>13535</v>
      </c>
      <c r="S29" s="376"/>
      <c r="T29" s="376"/>
      <c r="U29" s="376">
        <v>5162</v>
      </c>
      <c r="V29" s="376"/>
      <c r="W29" s="376"/>
      <c r="X29" s="376">
        <v>2364</v>
      </c>
      <c r="Y29" s="376">
        <v>-829</v>
      </c>
      <c r="Z29" s="376"/>
      <c r="AA29" s="376"/>
      <c r="AB29" s="376"/>
      <c r="AC29" s="376">
        <f t="shared" si="10"/>
        <v>12000</v>
      </c>
      <c r="AD29" s="393"/>
      <c r="AE29" s="394"/>
      <c r="AF29" s="395"/>
      <c r="AG29" s="321"/>
    </row>
    <row r="30" spans="1:33" s="180" customFormat="1" x14ac:dyDescent="0.2">
      <c r="A30" s="353" t="s">
        <v>122</v>
      </c>
      <c r="B30" s="354">
        <f>COUNTA(Q159:Q165,Q166:Q173,Q174:Q181,Q182:Q189)/4</f>
        <v>7.75</v>
      </c>
      <c r="C30" s="355">
        <v>1</v>
      </c>
      <c r="D30" s="90">
        <f>SUM(V159:V189,AC190)</f>
        <v>59456.94999999999</v>
      </c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78"/>
      <c r="P30" s="373" t="s">
        <v>27</v>
      </c>
      <c r="Q30" s="392" t="s">
        <v>112</v>
      </c>
      <c r="R30" s="375">
        <v>12113</v>
      </c>
      <c r="S30" s="375"/>
      <c r="T30" s="375"/>
      <c r="U30" s="375">
        <v>2400</v>
      </c>
      <c r="V30" s="375"/>
      <c r="W30" s="375"/>
      <c r="X30" s="375">
        <v>1423</v>
      </c>
      <c r="Y30" s="375">
        <v>-310</v>
      </c>
      <c r="Z30" s="375"/>
      <c r="AA30" s="375"/>
      <c r="AB30" s="375"/>
      <c r="AC30" s="376">
        <f t="shared" si="10"/>
        <v>11000</v>
      </c>
      <c r="AD30" s="393"/>
      <c r="AE30" s="394"/>
      <c r="AF30" s="395"/>
      <c r="AG30" s="321"/>
    </row>
    <row r="31" spans="1:33" s="180" customFormat="1" ht="13.5" thickBot="1" x14ac:dyDescent="0.25">
      <c r="A31" s="353" t="s">
        <v>123</v>
      </c>
      <c r="B31" s="354">
        <f>COUNTA(Q193:Q200,Q201:Q209,Q210:Q218,Q219:Q227)/4</f>
        <v>8.75</v>
      </c>
      <c r="C31" s="355">
        <v>1</v>
      </c>
      <c r="D31" s="90">
        <f>SUM(V193:V227,AC228)</f>
        <v>71259.41</v>
      </c>
      <c r="E31" s="321"/>
      <c r="F31" s="321"/>
      <c r="G31" s="321"/>
      <c r="H31" s="321"/>
      <c r="I31" s="321"/>
      <c r="J31" s="321"/>
      <c r="K31" s="321"/>
      <c r="L31" s="321"/>
      <c r="M31" s="321"/>
      <c r="N31" s="321"/>
      <c r="O31" s="78"/>
      <c r="P31" s="396" t="s">
        <v>6</v>
      </c>
      <c r="Q31" s="397" t="s">
        <v>113</v>
      </c>
      <c r="R31" s="380">
        <v>11713.13</v>
      </c>
      <c r="S31" s="380"/>
      <c r="T31" s="380"/>
      <c r="U31" s="380">
        <v>2100</v>
      </c>
      <c r="V31" s="380"/>
      <c r="W31" s="380">
        <v>138.13</v>
      </c>
      <c r="X31" s="380">
        <v>1304</v>
      </c>
      <c r="Y31" s="380">
        <v>-829</v>
      </c>
      <c r="Z31" s="380">
        <v>2100</v>
      </c>
      <c r="AA31" s="380"/>
      <c r="AB31" s="380"/>
      <c r="AC31" s="398">
        <f t="shared" si="10"/>
        <v>9000</v>
      </c>
      <c r="AD31" s="399"/>
      <c r="AE31" s="400"/>
      <c r="AF31" s="401"/>
      <c r="AG31" s="321"/>
    </row>
    <row r="32" spans="1:33" x14ac:dyDescent="0.2">
      <c r="A32" s="353" t="s">
        <v>124</v>
      </c>
      <c r="B32" s="354">
        <f>COUNTA(Q231:Q239,Q240:Q248,Q249:Q257,Q258:Q267,Q268:Q277)/5</f>
        <v>9.4</v>
      </c>
      <c r="C32" s="355">
        <v>1</v>
      </c>
      <c r="D32" s="90">
        <f>SUM(V231:V277,AC278)</f>
        <v>96587.75</v>
      </c>
      <c r="P32" s="357" t="s">
        <v>25</v>
      </c>
      <c r="Q32" s="84" t="s">
        <v>68</v>
      </c>
      <c r="R32" s="88">
        <v>3119.2</v>
      </c>
      <c r="S32" s="88">
        <v>935.76</v>
      </c>
      <c r="T32" s="88">
        <v>490</v>
      </c>
      <c r="U32" s="88">
        <v>572.75</v>
      </c>
      <c r="V32" s="88">
        <f>R32+S32+U32+T32</f>
        <v>5117.71</v>
      </c>
      <c r="W32" s="88">
        <v>46.28</v>
      </c>
      <c r="X32" s="88">
        <v>481</v>
      </c>
      <c r="Y32" s="88">
        <v>-155</v>
      </c>
      <c r="Z32" s="88">
        <f>U32</f>
        <v>572.75</v>
      </c>
      <c r="AA32" s="88">
        <v>200.01</v>
      </c>
      <c r="AB32" s="88">
        <v>1125</v>
      </c>
      <c r="AC32" s="88">
        <f t="shared" si="10"/>
        <v>2274.92</v>
      </c>
      <c r="AD32" s="107">
        <v>43558</v>
      </c>
      <c r="AE32" s="149" t="s">
        <v>43</v>
      </c>
      <c r="AF32" s="360" t="s">
        <v>102</v>
      </c>
    </row>
    <row r="33" spans="1:32" x14ac:dyDescent="0.2">
      <c r="A33" s="353" t="s">
        <v>125</v>
      </c>
      <c r="B33" s="354">
        <f>COUNTA(Q281:Q290,Q291:Q300,Q301:Q310,Q311:Q319)/4</f>
        <v>9.75</v>
      </c>
      <c r="C33" s="355">
        <v>1</v>
      </c>
      <c r="D33" s="90">
        <f>SUM(V281:V319,AC320)</f>
        <v>77885.98000000001</v>
      </c>
      <c r="P33" s="99" t="s">
        <v>26</v>
      </c>
      <c r="Q33" s="82" t="s">
        <v>76</v>
      </c>
      <c r="R33" s="89">
        <v>818.8</v>
      </c>
      <c r="S33" s="89"/>
      <c r="T33" s="89">
        <v>50</v>
      </c>
      <c r="U33" s="89"/>
      <c r="V33" s="88">
        <f>R33+S33+U33+T33</f>
        <v>868.8</v>
      </c>
      <c r="W33" s="89">
        <v>8.19</v>
      </c>
      <c r="X33" s="89"/>
      <c r="Y33" s="89"/>
      <c r="Z33" s="89"/>
      <c r="AA33" s="89">
        <v>58.14</v>
      </c>
      <c r="AB33" s="89">
        <v>100</v>
      </c>
      <c r="AC33" s="88">
        <f t="shared" si="10"/>
        <v>702.46999999999991</v>
      </c>
      <c r="AD33" s="106">
        <v>43558</v>
      </c>
      <c r="AE33" s="149" t="s">
        <v>43</v>
      </c>
      <c r="AF33" s="360" t="s">
        <v>102</v>
      </c>
    </row>
    <row r="34" spans="1:32" x14ac:dyDescent="0.2">
      <c r="A34" s="353" t="s">
        <v>126</v>
      </c>
      <c r="B34" s="354">
        <f>COUNTA(Q323:Q331,Q332:Q340)/2</f>
        <v>9</v>
      </c>
      <c r="C34" s="355">
        <v>1</v>
      </c>
      <c r="D34" s="90">
        <f>SUM(V323:V340,AC341)</f>
        <v>108976.70999999999</v>
      </c>
      <c r="P34" s="99" t="s">
        <v>3</v>
      </c>
      <c r="Q34" s="82" t="s">
        <v>77</v>
      </c>
      <c r="R34" s="89">
        <v>1074.8</v>
      </c>
      <c r="S34" s="89"/>
      <c r="T34" s="89">
        <v>50</v>
      </c>
      <c r="U34" s="89"/>
      <c r="V34" s="88">
        <f>R34+S34+U34+T34</f>
        <v>1124.8</v>
      </c>
      <c r="W34" s="89">
        <v>10.75</v>
      </c>
      <c r="X34" s="89"/>
      <c r="Y34" s="89"/>
      <c r="Z34" s="89"/>
      <c r="AA34" s="89">
        <v>76.3</v>
      </c>
      <c r="AB34" s="89"/>
      <c r="AC34" s="88">
        <f t="shared" si="10"/>
        <v>1037.75</v>
      </c>
      <c r="AD34" s="106">
        <v>43558</v>
      </c>
      <c r="AE34" s="149" t="s">
        <v>43</v>
      </c>
      <c r="AF34" s="360" t="s">
        <v>102</v>
      </c>
    </row>
    <row r="35" spans="1:32" x14ac:dyDescent="0.2">
      <c r="A35" s="353" t="s">
        <v>127</v>
      </c>
      <c r="B35" s="354">
        <f>COUNTA(Q344:Q350,Q351:Q357,Q358:Q364,Q365:Q371)/4</f>
        <v>7</v>
      </c>
      <c r="C35" s="355">
        <v>1</v>
      </c>
      <c r="D35" s="90">
        <f>SUM(V344:V371,AC372)</f>
        <v>53780.520000000004</v>
      </c>
      <c r="P35" s="99" t="s">
        <v>32</v>
      </c>
      <c r="Q35" s="82" t="s">
        <v>78</v>
      </c>
      <c r="R35" s="89">
        <v>954.8</v>
      </c>
      <c r="S35" s="89"/>
      <c r="T35" s="89">
        <v>100</v>
      </c>
      <c r="U35" s="89"/>
      <c r="V35" s="88">
        <f>R35+S35+U35+T35</f>
        <v>1054.8</v>
      </c>
      <c r="W35" s="89">
        <v>9.5500000000000007</v>
      </c>
      <c r="X35" s="89"/>
      <c r="Y35" s="89"/>
      <c r="Z35" s="89"/>
      <c r="AA35" s="89">
        <v>67.78</v>
      </c>
      <c r="AB35" s="89"/>
      <c r="AC35" s="88">
        <f>R35+S35+T35-W35-X35-Y35-Z35-AA35-AB35</f>
        <v>977.47</v>
      </c>
      <c r="AD35" s="106">
        <v>43558</v>
      </c>
      <c r="AE35" s="149" t="s">
        <v>43</v>
      </c>
      <c r="AF35" s="360" t="s">
        <v>102</v>
      </c>
    </row>
    <row r="36" spans="1:32" x14ac:dyDescent="0.2">
      <c r="A36" s="353" t="s">
        <v>128</v>
      </c>
      <c r="B36" s="354">
        <f>COUNTA(Q375:Q381,Q382:Q388,Q389:Q395,Q396:Q402)/4</f>
        <v>7</v>
      </c>
      <c r="C36" s="355">
        <v>1</v>
      </c>
      <c r="D36" s="90">
        <f>SUM(V375:V402,AC403)</f>
        <v>51874.78</v>
      </c>
      <c r="P36" s="103" t="s">
        <v>75</v>
      </c>
      <c r="Q36" s="95" t="s">
        <v>79</v>
      </c>
      <c r="R36" s="185">
        <v>800</v>
      </c>
      <c r="S36" s="185"/>
      <c r="T36" s="185"/>
      <c r="U36" s="185"/>
      <c r="V36" s="88">
        <f>R36+S36+U36</f>
        <v>800</v>
      </c>
      <c r="W36" s="185">
        <v>8</v>
      </c>
      <c r="X36" s="185"/>
      <c r="Y36" s="185"/>
      <c r="Z36" s="185"/>
      <c r="AA36" s="185"/>
      <c r="AB36" s="185"/>
      <c r="AC36" s="88">
        <f t="shared" ref="AC36" si="13">R36+S36+T36-W36-X36-Y36-Z36-AA36-AB36</f>
        <v>792</v>
      </c>
      <c r="AD36" s="106">
        <v>43558</v>
      </c>
      <c r="AE36" s="149" t="s">
        <v>43</v>
      </c>
      <c r="AF36" s="360" t="s">
        <v>102</v>
      </c>
    </row>
    <row r="37" spans="1:32" ht="13.5" thickBot="1" x14ac:dyDescent="0.25">
      <c r="A37" s="356" t="s">
        <v>0</v>
      </c>
      <c r="B37" s="484">
        <f>SUM(B25:C36)</f>
        <v>102.4</v>
      </c>
      <c r="C37" s="484"/>
      <c r="D37" s="486">
        <f>SUM(D25:D36)</f>
        <v>795746.31</v>
      </c>
      <c r="P37" s="100" t="s">
        <v>110</v>
      </c>
      <c r="Q37" s="101" t="s">
        <v>109</v>
      </c>
      <c r="R37" s="102">
        <v>800</v>
      </c>
      <c r="S37" s="102"/>
      <c r="T37" s="102"/>
      <c r="U37" s="102"/>
      <c r="V37" s="150">
        <f t="shared" si="11"/>
        <v>800</v>
      </c>
      <c r="W37" s="102">
        <v>8</v>
      </c>
      <c r="X37" s="102"/>
      <c r="Y37" s="102"/>
      <c r="Z37" s="102"/>
      <c r="AA37" s="102"/>
      <c r="AB37" s="102"/>
      <c r="AC37" s="150">
        <f t="shared" si="10"/>
        <v>792</v>
      </c>
      <c r="AD37" s="105">
        <v>43558</v>
      </c>
      <c r="AE37" s="151" t="s">
        <v>43</v>
      </c>
      <c r="AF37" s="360" t="s">
        <v>102</v>
      </c>
    </row>
    <row r="38" spans="1:32" x14ac:dyDescent="0.2">
      <c r="A38" s="356" t="s">
        <v>244</v>
      </c>
      <c r="B38" s="484">
        <f>B37/12</f>
        <v>8.5333333333333332</v>
      </c>
      <c r="C38" s="484"/>
      <c r="D38" s="486"/>
      <c r="P38" s="96" t="s">
        <v>25</v>
      </c>
      <c r="Q38" s="97" t="s">
        <v>68</v>
      </c>
      <c r="R38" s="88">
        <v>3119.2</v>
      </c>
      <c r="S38" s="88"/>
      <c r="T38" s="88">
        <v>490</v>
      </c>
      <c r="U38" s="88">
        <v>572.75</v>
      </c>
      <c r="V38" s="88">
        <f>R38+S38+U38+T38</f>
        <v>4181.95</v>
      </c>
      <c r="W38" s="88">
        <v>36.92</v>
      </c>
      <c r="X38" s="88">
        <v>288</v>
      </c>
      <c r="Y38" s="88">
        <v>-155</v>
      </c>
      <c r="Z38" s="88">
        <f>U38</f>
        <v>572.75</v>
      </c>
      <c r="AA38" s="88">
        <v>200.01</v>
      </c>
      <c r="AB38" s="88">
        <v>1125</v>
      </c>
      <c r="AC38" s="88">
        <f t="shared" si="10"/>
        <v>1541.5199999999995</v>
      </c>
      <c r="AD38" s="108">
        <v>43565</v>
      </c>
      <c r="AE38" s="126" t="s">
        <v>44</v>
      </c>
      <c r="AF38" s="360" t="s">
        <v>102</v>
      </c>
    </row>
    <row r="39" spans="1:32" x14ac:dyDescent="0.2">
      <c r="P39" s="99" t="s">
        <v>26</v>
      </c>
      <c r="Q39" s="82" t="s">
        <v>76</v>
      </c>
      <c r="R39" s="89">
        <v>818.8</v>
      </c>
      <c r="S39" s="89"/>
      <c r="T39" s="89">
        <v>50</v>
      </c>
      <c r="U39" s="89"/>
      <c r="V39" s="88">
        <f>R39+S39+U39+T39</f>
        <v>868.8</v>
      </c>
      <c r="W39" s="89">
        <v>8.19</v>
      </c>
      <c r="X39" s="89"/>
      <c r="Y39" s="89"/>
      <c r="Z39" s="89"/>
      <c r="AA39" s="89">
        <v>58.14</v>
      </c>
      <c r="AB39" s="89">
        <v>100</v>
      </c>
      <c r="AC39" s="88">
        <f t="shared" si="10"/>
        <v>702.46999999999991</v>
      </c>
      <c r="AD39" s="106">
        <v>43565</v>
      </c>
      <c r="AE39" s="127" t="s">
        <v>44</v>
      </c>
      <c r="AF39" s="360" t="s">
        <v>102</v>
      </c>
    </row>
    <row r="40" spans="1:32" x14ac:dyDescent="0.2">
      <c r="D40" s="90">
        <v>795746</v>
      </c>
      <c r="P40" s="99" t="s">
        <v>3</v>
      </c>
      <c r="Q40" s="82" t="s">
        <v>77</v>
      </c>
      <c r="R40" s="89">
        <v>1074.8</v>
      </c>
      <c r="S40" s="89"/>
      <c r="T40" s="89">
        <v>50</v>
      </c>
      <c r="U40" s="89"/>
      <c r="V40" s="88">
        <f>R40+S40+U40+T40</f>
        <v>1124.8</v>
      </c>
      <c r="W40" s="89">
        <v>10.75</v>
      </c>
      <c r="X40" s="89"/>
      <c r="Y40" s="89"/>
      <c r="Z40" s="89"/>
      <c r="AA40" s="89">
        <v>76.3</v>
      </c>
      <c r="AB40" s="89"/>
      <c r="AC40" s="88">
        <f t="shared" si="10"/>
        <v>1037.75</v>
      </c>
      <c r="AD40" s="106">
        <v>43565</v>
      </c>
      <c r="AE40" s="112" t="s">
        <v>44</v>
      </c>
      <c r="AF40" s="360" t="s">
        <v>102</v>
      </c>
    </row>
    <row r="41" spans="1:32" x14ac:dyDescent="0.2">
      <c r="P41" s="99" t="s">
        <v>32</v>
      </c>
      <c r="Q41" s="82" t="s">
        <v>78</v>
      </c>
      <c r="R41" s="89">
        <v>954.8</v>
      </c>
      <c r="S41" s="89"/>
      <c r="T41" s="89">
        <v>100</v>
      </c>
      <c r="U41" s="89"/>
      <c r="V41" s="88">
        <f>R41+S41+U41+T41</f>
        <v>1054.8</v>
      </c>
      <c r="W41" s="89">
        <v>9.5500000000000007</v>
      </c>
      <c r="X41" s="89"/>
      <c r="Y41" s="89"/>
      <c r="Z41" s="89"/>
      <c r="AA41" s="89">
        <v>67.78</v>
      </c>
      <c r="AB41" s="89"/>
      <c r="AC41" s="88">
        <f>R41+S41+T41-W41-X41-Y41-Z41-AA41-AB41</f>
        <v>977.47</v>
      </c>
      <c r="AD41" s="106">
        <v>43565</v>
      </c>
      <c r="AE41" s="127" t="s">
        <v>44</v>
      </c>
      <c r="AF41" s="360" t="s">
        <v>102</v>
      </c>
    </row>
    <row r="42" spans="1:32" x14ac:dyDescent="0.2">
      <c r="P42" s="99" t="s">
        <v>75</v>
      </c>
      <c r="Q42" s="82" t="s">
        <v>79</v>
      </c>
      <c r="R42" s="89">
        <v>800</v>
      </c>
      <c r="S42" s="89"/>
      <c r="T42" s="89"/>
      <c r="U42" s="89"/>
      <c r="V42" s="88">
        <f t="shared" si="11"/>
        <v>800</v>
      </c>
      <c r="W42" s="89">
        <v>8</v>
      </c>
      <c r="X42" s="89"/>
      <c r="Y42" s="89"/>
      <c r="Z42" s="89"/>
      <c r="AA42" s="89"/>
      <c r="AB42" s="89"/>
      <c r="AC42" s="88">
        <f t="shared" si="10"/>
        <v>792</v>
      </c>
      <c r="AD42" s="106">
        <v>43565</v>
      </c>
      <c r="AE42" s="112" t="s">
        <v>44</v>
      </c>
      <c r="AF42" s="360" t="s">
        <v>102</v>
      </c>
    </row>
    <row r="43" spans="1:32" ht="13.5" thickBot="1" x14ac:dyDescent="0.25">
      <c r="P43" s="100" t="s">
        <v>110</v>
      </c>
      <c r="Q43" s="101" t="s">
        <v>109</v>
      </c>
      <c r="R43" s="89">
        <v>800</v>
      </c>
      <c r="S43" s="89"/>
      <c r="T43" s="89"/>
      <c r="U43" s="89"/>
      <c r="V43" s="88">
        <f t="shared" si="11"/>
        <v>800</v>
      </c>
      <c r="W43" s="89">
        <v>8</v>
      </c>
      <c r="X43" s="89"/>
      <c r="Y43" s="89"/>
      <c r="Z43" s="89"/>
      <c r="AA43" s="89"/>
      <c r="AB43" s="89"/>
      <c r="AC43" s="102">
        <f t="shared" si="10"/>
        <v>792</v>
      </c>
      <c r="AD43" s="106">
        <v>43565</v>
      </c>
      <c r="AE43" s="128" t="s">
        <v>44</v>
      </c>
      <c r="AF43" s="360" t="s">
        <v>102</v>
      </c>
    </row>
    <row r="44" spans="1:32" x14ac:dyDescent="0.2">
      <c r="P44" s="357" t="s">
        <v>25</v>
      </c>
      <c r="Q44" s="84" t="s">
        <v>68</v>
      </c>
      <c r="R44" s="88">
        <v>3119.2</v>
      </c>
      <c r="S44" s="88"/>
      <c r="T44" s="88">
        <v>490</v>
      </c>
      <c r="U44" s="88">
        <v>572.75</v>
      </c>
      <c r="V44" s="88">
        <f>R44+S44+U44+T44</f>
        <v>4181.95</v>
      </c>
      <c r="W44" s="88">
        <v>36.92</v>
      </c>
      <c r="X44" s="88">
        <v>288</v>
      </c>
      <c r="Y44" s="88">
        <v>-155</v>
      </c>
      <c r="Z44" s="88">
        <f>U44</f>
        <v>572.75</v>
      </c>
      <c r="AA44" s="88">
        <v>200.01</v>
      </c>
      <c r="AB44" s="88">
        <v>1125</v>
      </c>
      <c r="AC44" s="88">
        <f t="shared" ref="AC44" si="14">R44+S44+T44-W44-X44-Y44-Z44-AA44-AB44</f>
        <v>1541.5199999999995</v>
      </c>
      <c r="AD44" s="105">
        <v>43572</v>
      </c>
      <c r="AE44" s="117" t="s">
        <v>45</v>
      </c>
      <c r="AF44" s="360" t="s">
        <v>102</v>
      </c>
    </row>
    <row r="45" spans="1:32" x14ac:dyDescent="0.2">
      <c r="P45" s="99" t="s">
        <v>26</v>
      </c>
      <c r="Q45" s="82" t="s">
        <v>76</v>
      </c>
      <c r="R45" s="89">
        <v>818.8</v>
      </c>
      <c r="S45" s="89">
        <v>0</v>
      </c>
      <c r="T45" s="89">
        <v>50</v>
      </c>
      <c r="U45" s="89">
        <v>0</v>
      </c>
      <c r="V45" s="88">
        <f>R45+S45+U45</f>
        <v>818.8</v>
      </c>
      <c r="W45" s="89">
        <v>8.19</v>
      </c>
      <c r="X45" s="89">
        <v>0</v>
      </c>
      <c r="Y45" s="89"/>
      <c r="Z45" s="89"/>
      <c r="AA45" s="89">
        <v>58.14</v>
      </c>
      <c r="AB45" s="89">
        <v>0</v>
      </c>
      <c r="AC45" s="88">
        <f t="shared" si="10"/>
        <v>802.46999999999991</v>
      </c>
      <c r="AD45" s="105">
        <v>43572</v>
      </c>
      <c r="AE45" s="117" t="s">
        <v>45</v>
      </c>
      <c r="AF45" s="360" t="s">
        <v>102</v>
      </c>
    </row>
    <row r="46" spans="1:32" x14ac:dyDescent="0.2">
      <c r="P46" s="99" t="s">
        <v>3</v>
      </c>
      <c r="Q46" s="82" t="s">
        <v>77</v>
      </c>
      <c r="R46" s="89">
        <v>1074.8</v>
      </c>
      <c r="S46" s="89"/>
      <c r="T46" s="89">
        <v>50</v>
      </c>
      <c r="U46" s="89"/>
      <c r="V46" s="88">
        <f>R46+S46+U46+T46</f>
        <v>1124.8</v>
      </c>
      <c r="W46" s="89">
        <v>10.75</v>
      </c>
      <c r="X46" s="89"/>
      <c r="Y46" s="89"/>
      <c r="Z46" s="89"/>
      <c r="AA46" s="89">
        <v>76.3</v>
      </c>
      <c r="AB46" s="89"/>
      <c r="AC46" s="88">
        <f t="shared" si="10"/>
        <v>1037.75</v>
      </c>
      <c r="AD46" s="105">
        <v>43572</v>
      </c>
      <c r="AE46" s="117" t="s">
        <v>45</v>
      </c>
      <c r="AF46" s="360" t="s">
        <v>102</v>
      </c>
    </row>
    <row r="47" spans="1:32" x14ac:dyDescent="0.2">
      <c r="P47" s="99" t="s">
        <v>32</v>
      </c>
      <c r="Q47" s="82" t="s">
        <v>78</v>
      </c>
      <c r="R47" s="89">
        <v>954.8</v>
      </c>
      <c r="S47" s="89"/>
      <c r="T47" s="89">
        <v>100</v>
      </c>
      <c r="U47" s="89"/>
      <c r="V47" s="88">
        <f>R47+S47+U47+T47</f>
        <v>1054.8</v>
      </c>
      <c r="W47" s="89">
        <v>9.5500000000000007</v>
      </c>
      <c r="X47" s="89"/>
      <c r="Y47" s="89"/>
      <c r="Z47" s="89"/>
      <c r="AA47" s="89">
        <v>67.78</v>
      </c>
      <c r="AB47" s="89"/>
      <c r="AC47" s="88">
        <f t="shared" si="10"/>
        <v>977.47</v>
      </c>
      <c r="AD47" s="105">
        <v>43572</v>
      </c>
      <c r="AE47" s="117" t="s">
        <v>45</v>
      </c>
      <c r="AF47" s="360" t="s">
        <v>102</v>
      </c>
    </row>
    <row r="48" spans="1:32" x14ac:dyDescent="0.2">
      <c r="P48" s="99" t="s">
        <v>75</v>
      </c>
      <c r="Q48" s="82" t="s">
        <v>79</v>
      </c>
      <c r="R48" s="89">
        <v>800</v>
      </c>
      <c r="S48" s="89"/>
      <c r="T48" s="89"/>
      <c r="U48" s="89"/>
      <c r="V48" s="88">
        <f t="shared" ref="V48:V49" si="15">R48+S48+U48</f>
        <v>800</v>
      </c>
      <c r="W48" s="89">
        <v>8</v>
      </c>
      <c r="X48" s="89"/>
      <c r="Y48" s="89"/>
      <c r="Z48" s="89"/>
      <c r="AA48" s="89"/>
      <c r="AB48" s="89"/>
      <c r="AC48" s="88">
        <f t="shared" si="10"/>
        <v>792</v>
      </c>
      <c r="AD48" s="105">
        <v>43572</v>
      </c>
      <c r="AE48" s="117" t="s">
        <v>45</v>
      </c>
      <c r="AF48" s="360" t="s">
        <v>102</v>
      </c>
    </row>
    <row r="49" spans="1:33" x14ac:dyDescent="0.2">
      <c r="P49" s="99" t="s">
        <v>110</v>
      </c>
      <c r="Q49" s="82" t="s">
        <v>109</v>
      </c>
      <c r="R49" s="89">
        <v>800</v>
      </c>
      <c r="S49" s="89"/>
      <c r="T49" s="89"/>
      <c r="U49" s="89"/>
      <c r="V49" s="88">
        <f t="shared" si="15"/>
        <v>800</v>
      </c>
      <c r="W49" s="89">
        <v>8</v>
      </c>
      <c r="X49" s="89"/>
      <c r="Y49" s="89"/>
      <c r="Z49" s="89"/>
      <c r="AA49" s="89"/>
      <c r="AB49" s="89"/>
      <c r="AC49" s="88">
        <f t="shared" si="10"/>
        <v>792</v>
      </c>
      <c r="AD49" s="105">
        <v>43572</v>
      </c>
      <c r="AE49" s="117" t="s">
        <v>45</v>
      </c>
      <c r="AF49" s="360" t="s">
        <v>102</v>
      </c>
    </row>
    <row r="50" spans="1:33" x14ac:dyDescent="0.2">
      <c r="P50" s="357" t="s">
        <v>25</v>
      </c>
      <c r="Q50" s="84" t="s">
        <v>68</v>
      </c>
      <c r="R50" s="88">
        <v>3119.2</v>
      </c>
      <c r="S50" s="88"/>
      <c r="T50" s="88">
        <v>490</v>
      </c>
      <c r="U50" s="88">
        <v>572.75</v>
      </c>
      <c r="V50" s="88">
        <f>R50+S50+U50+T50</f>
        <v>4181.95</v>
      </c>
      <c r="W50" s="88">
        <v>36.92</v>
      </c>
      <c r="X50" s="88">
        <v>288</v>
      </c>
      <c r="Y50" s="88">
        <v>-155</v>
      </c>
      <c r="Z50" s="88">
        <f>U50</f>
        <v>572.75</v>
      </c>
      <c r="AA50" s="88">
        <v>200.01</v>
      </c>
      <c r="AB50" s="88">
        <v>1125</v>
      </c>
      <c r="AC50" s="88">
        <f t="shared" ref="AC50" si="16">R50+S50+T50-W50-X50-Y50-Z50-AA50-AB50</f>
        <v>1541.5199999999995</v>
      </c>
      <c r="AD50" s="106">
        <v>43579</v>
      </c>
      <c r="AE50" s="131" t="s">
        <v>46</v>
      </c>
      <c r="AF50" s="360" t="s">
        <v>102</v>
      </c>
    </row>
    <row r="51" spans="1:33" x14ac:dyDescent="0.2">
      <c r="P51" s="99" t="s">
        <v>26</v>
      </c>
      <c r="Q51" s="82" t="s">
        <v>76</v>
      </c>
      <c r="R51" s="89">
        <v>818.8</v>
      </c>
      <c r="S51" s="89">
        <v>0</v>
      </c>
      <c r="T51" s="89">
        <v>50</v>
      </c>
      <c r="U51" s="89">
        <v>0</v>
      </c>
      <c r="V51" s="88">
        <f>R51+S51+U51</f>
        <v>818.8</v>
      </c>
      <c r="W51" s="89">
        <v>8.19</v>
      </c>
      <c r="X51" s="89">
        <v>0</v>
      </c>
      <c r="Y51" s="89"/>
      <c r="Z51" s="89"/>
      <c r="AA51" s="89">
        <v>58.14</v>
      </c>
      <c r="AB51" s="89">
        <v>140</v>
      </c>
      <c r="AC51" s="88">
        <f t="shared" si="10"/>
        <v>662.46999999999991</v>
      </c>
      <c r="AD51" s="106">
        <v>43579</v>
      </c>
      <c r="AE51" s="131" t="s">
        <v>46</v>
      </c>
      <c r="AF51" s="360" t="s">
        <v>102</v>
      </c>
    </row>
    <row r="52" spans="1:33" x14ac:dyDescent="0.2">
      <c r="P52" s="99" t="s">
        <v>3</v>
      </c>
      <c r="Q52" s="82" t="s">
        <v>77</v>
      </c>
      <c r="R52" s="89">
        <v>1074.8</v>
      </c>
      <c r="S52" s="89"/>
      <c r="T52" s="89">
        <v>50</v>
      </c>
      <c r="U52" s="89"/>
      <c r="V52" s="88">
        <f>R52+S52+U52+T52</f>
        <v>1124.8</v>
      </c>
      <c r="W52" s="89">
        <v>10.75</v>
      </c>
      <c r="X52" s="89"/>
      <c r="Y52" s="89"/>
      <c r="Z52" s="89"/>
      <c r="AA52" s="89">
        <v>76.3</v>
      </c>
      <c r="AB52" s="89"/>
      <c r="AC52" s="88">
        <f t="shared" si="10"/>
        <v>1037.75</v>
      </c>
      <c r="AD52" s="106">
        <v>43579</v>
      </c>
      <c r="AE52" s="131" t="s">
        <v>46</v>
      </c>
      <c r="AF52" s="360" t="s">
        <v>102</v>
      </c>
    </row>
    <row r="53" spans="1:33" x14ac:dyDescent="0.2">
      <c r="P53" s="99" t="s">
        <v>32</v>
      </c>
      <c r="Q53" s="82" t="s">
        <v>78</v>
      </c>
      <c r="R53" s="89">
        <v>954.8</v>
      </c>
      <c r="S53" s="89"/>
      <c r="T53" s="89">
        <v>100</v>
      </c>
      <c r="U53" s="89"/>
      <c r="V53" s="88">
        <f>R53+S53+U53+T53</f>
        <v>1054.8</v>
      </c>
      <c r="W53" s="89">
        <v>9.5500000000000007</v>
      </c>
      <c r="X53" s="89"/>
      <c r="Y53" s="89"/>
      <c r="Z53" s="89"/>
      <c r="AA53" s="89">
        <v>67.78</v>
      </c>
      <c r="AB53" s="89"/>
      <c r="AC53" s="88">
        <f t="shared" si="10"/>
        <v>977.47</v>
      </c>
      <c r="AD53" s="106">
        <v>43579</v>
      </c>
      <c r="AE53" s="131" t="s">
        <v>46</v>
      </c>
      <c r="AF53" s="360" t="s">
        <v>102</v>
      </c>
    </row>
    <row r="54" spans="1:33" x14ac:dyDescent="0.2">
      <c r="O54" s="180"/>
      <c r="P54" s="99" t="s">
        <v>75</v>
      </c>
      <c r="Q54" s="82" t="s">
        <v>79</v>
      </c>
      <c r="R54" s="89">
        <v>800</v>
      </c>
      <c r="S54" s="89"/>
      <c r="T54" s="89"/>
      <c r="U54" s="89"/>
      <c r="V54" s="88">
        <f t="shared" ref="V54:V55" si="17">R54+S54+U54</f>
        <v>800</v>
      </c>
      <c r="W54" s="89">
        <v>8</v>
      </c>
      <c r="X54" s="89"/>
      <c r="Y54" s="89"/>
      <c r="Z54" s="89"/>
      <c r="AA54" s="89"/>
      <c r="AB54" s="89"/>
      <c r="AC54" s="88">
        <f t="shared" si="10"/>
        <v>792</v>
      </c>
      <c r="AD54" s="106">
        <v>43579</v>
      </c>
      <c r="AE54" s="131" t="s">
        <v>46</v>
      </c>
      <c r="AF54" s="360" t="s">
        <v>102</v>
      </c>
    </row>
    <row r="55" spans="1:33" x14ac:dyDescent="0.2">
      <c r="O55" s="180"/>
      <c r="P55" s="99" t="s">
        <v>110</v>
      </c>
      <c r="Q55" s="82" t="s">
        <v>109</v>
      </c>
      <c r="R55" s="89">
        <v>800</v>
      </c>
      <c r="S55" s="89"/>
      <c r="T55" s="89"/>
      <c r="U55" s="89"/>
      <c r="V55" s="88">
        <f t="shared" si="17"/>
        <v>800</v>
      </c>
      <c r="W55" s="89">
        <v>8</v>
      </c>
      <c r="X55" s="89"/>
      <c r="Y55" s="89"/>
      <c r="Z55" s="89"/>
      <c r="AA55" s="89"/>
      <c r="AB55" s="89"/>
      <c r="AC55" s="88">
        <f t="shared" si="10"/>
        <v>792</v>
      </c>
      <c r="AD55" s="106">
        <v>43579</v>
      </c>
      <c r="AE55" s="131" t="s">
        <v>46</v>
      </c>
      <c r="AF55" s="360" t="s">
        <v>102</v>
      </c>
    </row>
    <row r="56" spans="1:33" s="180" customFormat="1" x14ac:dyDescent="0.2">
      <c r="A56" s="345"/>
      <c r="C56" s="321"/>
      <c r="D56" s="321"/>
      <c r="E56" s="321"/>
      <c r="F56" s="321"/>
      <c r="G56" s="321"/>
      <c r="H56" s="321"/>
      <c r="I56" s="321"/>
      <c r="J56" s="321"/>
      <c r="K56" s="321"/>
      <c r="L56" s="321"/>
      <c r="M56" s="321"/>
      <c r="N56" s="321"/>
      <c r="P56" s="361" t="s">
        <v>8</v>
      </c>
      <c r="Q56" s="183" t="s">
        <v>111</v>
      </c>
      <c r="R56" s="176">
        <v>13535</v>
      </c>
      <c r="S56" s="176"/>
      <c r="T56" s="176"/>
      <c r="U56" s="176">
        <v>5162</v>
      </c>
      <c r="V56" s="88">
        <f t="shared" si="11"/>
        <v>18697</v>
      </c>
      <c r="W56" s="176"/>
      <c r="X56" s="176">
        <v>2364</v>
      </c>
      <c r="Y56" s="176">
        <v>-829</v>
      </c>
      <c r="Z56" s="176"/>
      <c r="AA56" s="176"/>
      <c r="AB56" s="176"/>
      <c r="AC56" s="88">
        <f t="shared" si="10"/>
        <v>12000</v>
      </c>
      <c r="AD56" s="177"/>
      <c r="AE56" s="178"/>
      <c r="AF56" s="362"/>
      <c r="AG56" s="321"/>
    </row>
    <row r="57" spans="1:33" s="180" customFormat="1" x14ac:dyDescent="0.2">
      <c r="A57" s="345"/>
      <c r="C57" s="321"/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78"/>
      <c r="P57" s="361" t="s">
        <v>27</v>
      </c>
      <c r="Q57" s="183" t="s">
        <v>112</v>
      </c>
      <c r="R57" s="181">
        <v>12113</v>
      </c>
      <c r="S57" s="181"/>
      <c r="T57" s="181"/>
      <c r="U57" s="181">
        <v>2400</v>
      </c>
      <c r="V57" s="88">
        <f t="shared" si="11"/>
        <v>14513</v>
      </c>
      <c r="W57" s="181"/>
      <c r="X57" s="181">
        <v>1423</v>
      </c>
      <c r="Y57" s="181">
        <v>-310</v>
      </c>
      <c r="Z57" s="181"/>
      <c r="AA57" s="181"/>
      <c r="AB57" s="181"/>
      <c r="AC57" s="88">
        <f t="shared" si="10"/>
        <v>11000</v>
      </c>
      <c r="AD57" s="177"/>
      <c r="AE57" s="178"/>
      <c r="AF57" s="362"/>
      <c r="AG57" s="321"/>
    </row>
    <row r="58" spans="1:33" s="180" customFormat="1" ht="13.5" thickBot="1" x14ac:dyDescent="0.25">
      <c r="A58" s="345"/>
      <c r="C58" s="321"/>
      <c r="D58" s="321"/>
      <c r="E58" s="321"/>
      <c r="F58" s="321"/>
      <c r="G58" s="321"/>
      <c r="H58" s="321"/>
      <c r="I58" s="321"/>
      <c r="J58" s="321"/>
      <c r="K58" s="321"/>
      <c r="L58" s="321"/>
      <c r="M58" s="321"/>
      <c r="N58" s="321"/>
      <c r="O58" s="78"/>
      <c r="P58" s="421" t="s">
        <v>6</v>
      </c>
      <c r="Q58" s="402" t="s">
        <v>113</v>
      </c>
      <c r="R58" s="182">
        <v>11713.13</v>
      </c>
      <c r="S58" s="182"/>
      <c r="T58" s="182"/>
      <c r="U58" s="182">
        <v>2100</v>
      </c>
      <c r="V58" s="325">
        <f t="shared" si="11"/>
        <v>13813.13</v>
      </c>
      <c r="W58" s="182">
        <v>138.13</v>
      </c>
      <c r="X58" s="182">
        <v>1304</v>
      </c>
      <c r="Y58" s="182">
        <v>-829</v>
      </c>
      <c r="Z58" s="182">
        <v>2100</v>
      </c>
      <c r="AA58" s="182"/>
      <c r="AB58" s="182"/>
      <c r="AC58" s="325">
        <f t="shared" si="10"/>
        <v>9000</v>
      </c>
      <c r="AD58" s="403"/>
      <c r="AE58" s="178"/>
      <c r="AF58" s="362"/>
      <c r="AG58" s="321"/>
    </row>
    <row r="59" spans="1:33" x14ac:dyDescent="0.2">
      <c r="P59" s="367" t="s">
        <v>25</v>
      </c>
      <c r="Q59" s="368" t="s">
        <v>68</v>
      </c>
      <c r="R59" s="369">
        <v>3119.2</v>
      </c>
      <c r="S59" s="369">
        <v>994.25</v>
      </c>
      <c r="T59" s="369">
        <v>490</v>
      </c>
      <c r="U59" s="369">
        <v>572.75</v>
      </c>
      <c r="V59" s="369">
        <f t="shared" si="11"/>
        <v>4686.2</v>
      </c>
      <c r="W59" s="369">
        <v>29.74</v>
      </c>
      <c r="X59" s="369">
        <v>493</v>
      </c>
      <c r="Y59" s="369">
        <v>-155</v>
      </c>
      <c r="Z59" s="369">
        <v>572.75</v>
      </c>
      <c r="AA59" s="369">
        <v>200.01</v>
      </c>
      <c r="AB59" s="369">
        <v>1125</v>
      </c>
      <c r="AC59" s="369">
        <f t="shared" si="10"/>
        <v>2337.9499999999998</v>
      </c>
      <c r="AD59" s="370">
        <v>43586</v>
      </c>
      <c r="AE59" s="406" t="s">
        <v>49</v>
      </c>
      <c r="AF59" s="372" t="s">
        <v>103</v>
      </c>
    </row>
    <row r="60" spans="1:33" x14ac:dyDescent="0.2">
      <c r="P60" s="373" t="s">
        <v>26</v>
      </c>
      <c r="Q60" s="374" t="s">
        <v>76</v>
      </c>
      <c r="R60" s="375">
        <v>818.8</v>
      </c>
      <c r="S60" s="375">
        <v>0</v>
      </c>
      <c r="T60" s="375">
        <v>50</v>
      </c>
      <c r="U60" s="375">
        <v>0</v>
      </c>
      <c r="V60" s="376">
        <f>R60+S60+U60</f>
        <v>818.8</v>
      </c>
      <c r="W60" s="375">
        <v>8.19</v>
      </c>
      <c r="X60" s="375">
        <v>0</v>
      </c>
      <c r="Y60" s="375"/>
      <c r="Z60" s="375"/>
      <c r="AA60" s="375">
        <v>58.14</v>
      </c>
      <c r="AB60" s="375"/>
      <c r="AC60" s="376">
        <f t="shared" si="10"/>
        <v>802.46999999999991</v>
      </c>
      <c r="AD60" s="385">
        <v>43586</v>
      </c>
      <c r="AE60" s="407" t="s">
        <v>49</v>
      </c>
      <c r="AF60" s="379" t="s">
        <v>103</v>
      </c>
    </row>
    <row r="61" spans="1:33" x14ac:dyDescent="0.2">
      <c r="P61" s="373" t="s">
        <v>3</v>
      </c>
      <c r="Q61" s="374" t="s">
        <v>77</v>
      </c>
      <c r="R61" s="375">
        <v>1074.8</v>
      </c>
      <c r="S61" s="375"/>
      <c r="T61" s="375">
        <v>50</v>
      </c>
      <c r="U61" s="375"/>
      <c r="V61" s="376">
        <f>R61+S61+U61+T61</f>
        <v>1124.8</v>
      </c>
      <c r="W61" s="375">
        <v>10.75</v>
      </c>
      <c r="X61" s="375"/>
      <c r="Y61" s="375"/>
      <c r="Z61" s="375"/>
      <c r="AA61" s="375">
        <v>76.3</v>
      </c>
      <c r="AB61" s="375"/>
      <c r="AC61" s="376">
        <f t="shared" si="10"/>
        <v>1037.75</v>
      </c>
      <c r="AD61" s="385">
        <v>43586</v>
      </c>
      <c r="AE61" s="407" t="s">
        <v>49</v>
      </c>
      <c r="AF61" s="379" t="s">
        <v>103</v>
      </c>
    </row>
    <row r="62" spans="1:33" x14ac:dyDescent="0.2">
      <c r="P62" s="373" t="s">
        <v>32</v>
      </c>
      <c r="Q62" s="374" t="s">
        <v>78</v>
      </c>
      <c r="R62" s="375">
        <v>954.8</v>
      </c>
      <c r="S62" s="375"/>
      <c r="T62" s="375">
        <v>100</v>
      </c>
      <c r="U62" s="375"/>
      <c r="V62" s="376">
        <f>R62+S62+U62+T62</f>
        <v>1054.8</v>
      </c>
      <c r="W62" s="375">
        <v>9.5500000000000007</v>
      </c>
      <c r="X62" s="375"/>
      <c r="Y62" s="375"/>
      <c r="Z62" s="375"/>
      <c r="AA62" s="375">
        <v>67.78</v>
      </c>
      <c r="AB62" s="375"/>
      <c r="AC62" s="376">
        <f t="shared" si="10"/>
        <v>977.47</v>
      </c>
      <c r="AD62" s="385">
        <v>43586</v>
      </c>
      <c r="AE62" s="407" t="s">
        <v>49</v>
      </c>
      <c r="AF62" s="379" t="s">
        <v>103</v>
      </c>
    </row>
    <row r="63" spans="1:33" x14ac:dyDescent="0.2">
      <c r="P63" s="373" t="s">
        <v>75</v>
      </c>
      <c r="Q63" s="374" t="s">
        <v>79</v>
      </c>
      <c r="R63" s="375">
        <v>800</v>
      </c>
      <c r="S63" s="375"/>
      <c r="T63" s="375"/>
      <c r="U63" s="375"/>
      <c r="V63" s="376">
        <f t="shared" ref="V63:V64" si="18">R63+S63+U63</f>
        <v>800</v>
      </c>
      <c r="W63" s="375">
        <v>8</v>
      </c>
      <c r="X63" s="375"/>
      <c r="Y63" s="375"/>
      <c r="Z63" s="375"/>
      <c r="AA63" s="375"/>
      <c r="AB63" s="375"/>
      <c r="AC63" s="376">
        <f t="shared" si="10"/>
        <v>792</v>
      </c>
      <c r="AD63" s="385">
        <v>43586</v>
      </c>
      <c r="AE63" s="407" t="s">
        <v>49</v>
      </c>
      <c r="AF63" s="379" t="s">
        <v>103</v>
      </c>
    </row>
    <row r="64" spans="1:33" x14ac:dyDescent="0.2">
      <c r="P64" s="373" t="s">
        <v>110</v>
      </c>
      <c r="Q64" s="374" t="s">
        <v>109</v>
      </c>
      <c r="R64" s="375">
        <v>800</v>
      </c>
      <c r="S64" s="375"/>
      <c r="T64" s="375"/>
      <c r="U64" s="375"/>
      <c r="V64" s="376">
        <f t="shared" si="18"/>
        <v>800</v>
      </c>
      <c r="W64" s="375">
        <v>8</v>
      </c>
      <c r="X64" s="375"/>
      <c r="Y64" s="375"/>
      <c r="Z64" s="375"/>
      <c r="AA64" s="375"/>
      <c r="AB64" s="375"/>
      <c r="AC64" s="376">
        <f t="shared" si="10"/>
        <v>792</v>
      </c>
      <c r="AD64" s="385">
        <v>43586</v>
      </c>
      <c r="AE64" s="407" t="s">
        <v>49</v>
      </c>
      <c r="AF64" s="379" t="s">
        <v>103</v>
      </c>
    </row>
    <row r="65" spans="16:32" x14ac:dyDescent="0.2">
      <c r="P65" s="389" t="s">
        <v>25</v>
      </c>
      <c r="Q65" s="390" t="s">
        <v>68</v>
      </c>
      <c r="R65" s="375">
        <v>4132.9399999999996</v>
      </c>
      <c r="S65" s="375">
        <v>1345.16</v>
      </c>
      <c r="T65" s="375">
        <v>490</v>
      </c>
      <c r="U65" s="375">
        <v>572.75</v>
      </c>
      <c r="V65" s="376">
        <f t="shared" si="11"/>
        <v>6050.8499999999995</v>
      </c>
      <c r="W65" s="375">
        <v>29.74</v>
      </c>
      <c r="X65" s="375">
        <v>848</v>
      </c>
      <c r="Y65" s="375">
        <v>-155</v>
      </c>
      <c r="Z65" s="375">
        <v>572.75</v>
      </c>
      <c r="AA65" s="375">
        <v>200.01</v>
      </c>
      <c r="AB65" s="375">
        <v>1125</v>
      </c>
      <c r="AC65" s="376">
        <f t="shared" si="10"/>
        <v>3347.5999999999995</v>
      </c>
      <c r="AD65" s="385">
        <v>43593</v>
      </c>
      <c r="AE65" s="407" t="s">
        <v>50</v>
      </c>
      <c r="AF65" s="379" t="s">
        <v>103</v>
      </c>
    </row>
    <row r="66" spans="16:32" x14ac:dyDescent="0.2">
      <c r="P66" s="373" t="s">
        <v>26</v>
      </c>
      <c r="Q66" s="374" t="s">
        <v>76</v>
      </c>
      <c r="R66" s="375">
        <v>818.8</v>
      </c>
      <c r="S66" s="375">
        <v>0</v>
      </c>
      <c r="T66" s="375">
        <v>50</v>
      </c>
      <c r="U66" s="375">
        <v>0</v>
      </c>
      <c r="V66" s="376">
        <f>R66+S66+U66</f>
        <v>818.8</v>
      </c>
      <c r="W66" s="375">
        <v>8.19</v>
      </c>
      <c r="X66" s="375">
        <v>0</v>
      </c>
      <c r="Y66" s="375"/>
      <c r="Z66" s="375"/>
      <c r="AA66" s="375">
        <v>58.14</v>
      </c>
      <c r="AB66" s="375"/>
      <c r="AC66" s="376">
        <f t="shared" ref="AC66:AC117" si="19">R66+S66+T66-W66-X66-Y66-Z66-AA66-AB66</f>
        <v>802.46999999999991</v>
      </c>
      <c r="AD66" s="385">
        <v>43593</v>
      </c>
      <c r="AE66" s="407" t="s">
        <v>50</v>
      </c>
      <c r="AF66" s="379" t="s">
        <v>103</v>
      </c>
    </row>
    <row r="67" spans="16:32" x14ac:dyDescent="0.2">
      <c r="P67" s="373" t="s">
        <v>3</v>
      </c>
      <c r="Q67" s="374" t="s">
        <v>77</v>
      </c>
      <c r="R67" s="375">
        <v>1074.8</v>
      </c>
      <c r="S67" s="375"/>
      <c r="T67" s="375">
        <v>50</v>
      </c>
      <c r="U67" s="375"/>
      <c r="V67" s="376">
        <f>R67+S67+U67+T67</f>
        <v>1124.8</v>
      </c>
      <c r="W67" s="375">
        <v>10.75</v>
      </c>
      <c r="X67" s="375"/>
      <c r="Y67" s="375"/>
      <c r="Z67" s="375"/>
      <c r="AA67" s="375">
        <v>76.3</v>
      </c>
      <c r="AB67" s="375"/>
      <c r="AC67" s="376">
        <f t="shared" si="19"/>
        <v>1037.75</v>
      </c>
      <c r="AD67" s="385">
        <v>43593</v>
      </c>
      <c r="AE67" s="407" t="s">
        <v>50</v>
      </c>
      <c r="AF67" s="379" t="s">
        <v>103</v>
      </c>
    </row>
    <row r="68" spans="16:32" x14ac:dyDescent="0.2">
      <c r="P68" s="373" t="s">
        <v>32</v>
      </c>
      <c r="Q68" s="374" t="s">
        <v>78</v>
      </c>
      <c r="R68" s="375">
        <v>954.8</v>
      </c>
      <c r="S68" s="375"/>
      <c r="T68" s="375">
        <v>100</v>
      </c>
      <c r="U68" s="375"/>
      <c r="V68" s="376">
        <f>R68+S68+U68+T68</f>
        <v>1054.8</v>
      </c>
      <c r="W68" s="375">
        <v>9.5500000000000007</v>
      </c>
      <c r="X68" s="375"/>
      <c r="Y68" s="375"/>
      <c r="Z68" s="375"/>
      <c r="AA68" s="375">
        <v>67.78</v>
      </c>
      <c r="AB68" s="375"/>
      <c r="AC68" s="376">
        <f t="shared" si="19"/>
        <v>977.47</v>
      </c>
      <c r="AD68" s="385">
        <v>43593</v>
      </c>
      <c r="AE68" s="407" t="s">
        <v>50</v>
      </c>
      <c r="AF68" s="379" t="s">
        <v>103</v>
      </c>
    </row>
    <row r="69" spans="16:32" x14ac:dyDescent="0.2">
      <c r="P69" s="373" t="s">
        <v>75</v>
      </c>
      <c r="Q69" s="374" t="s">
        <v>79</v>
      </c>
      <c r="R69" s="375">
        <v>800</v>
      </c>
      <c r="S69" s="375"/>
      <c r="T69" s="375"/>
      <c r="U69" s="375"/>
      <c r="V69" s="376">
        <f t="shared" ref="V69:V70" si="20">R69+S69+U69</f>
        <v>800</v>
      </c>
      <c r="W69" s="375">
        <v>8</v>
      </c>
      <c r="X69" s="375"/>
      <c r="Y69" s="375"/>
      <c r="Z69" s="375"/>
      <c r="AA69" s="375"/>
      <c r="AB69" s="375"/>
      <c r="AC69" s="376">
        <f t="shared" si="19"/>
        <v>792</v>
      </c>
      <c r="AD69" s="385">
        <v>43593</v>
      </c>
      <c r="AE69" s="407" t="s">
        <v>50</v>
      </c>
      <c r="AF69" s="379" t="s">
        <v>103</v>
      </c>
    </row>
    <row r="70" spans="16:32" x14ac:dyDescent="0.2">
      <c r="P70" s="373" t="s">
        <v>110</v>
      </c>
      <c r="Q70" s="374" t="s">
        <v>109</v>
      </c>
      <c r="R70" s="375">
        <v>800</v>
      </c>
      <c r="S70" s="375"/>
      <c r="T70" s="375"/>
      <c r="U70" s="375"/>
      <c r="V70" s="376">
        <f t="shared" si="20"/>
        <v>800</v>
      </c>
      <c r="W70" s="375">
        <v>8</v>
      </c>
      <c r="X70" s="375"/>
      <c r="Y70" s="375"/>
      <c r="Z70" s="375"/>
      <c r="AA70" s="375"/>
      <c r="AB70" s="375"/>
      <c r="AC70" s="376">
        <f t="shared" si="19"/>
        <v>792</v>
      </c>
      <c r="AD70" s="385">
        <v>43593</v>
      </c>
      <c r="AE70" s="407" t="s">
        <v>50</v>
      </c>
      <c r="AF70" s="379" t="s">
        <v>103</v>
      </c>
    </row>
    <row r="71" spans="16:32" x14ac:dyDescent="0.2">
      <c r="P71" s="389" t="s">
        <v>25</v>
      </c>
      <c r="Q71" s="390" t="s">
        <v>68</v>
      </c>
      <c r="R71" s="375">
        <v>3119.2</v>
      </c>
      <c r="S71" s="375">
        <v>2982.74</v>
      </c>
      <c r="T71" s="375">
        <v>490</v>
      </c>
      <c r="U71" s="375">
        <v>572.75</v>
      </c>
      <c r="V71" s="376">
        <f t="shared" ref="V71" si="21">R71+S71+U71</f>
        <v>6674.69</v>
      </c>
      <c r="W71" s="375">
        <v>29.74</v>
      </c>
      <c r="X71" s="375">
        <v>1023</v>
      </c>
      <c r="Y71" s="375">
        <v>-155</v>
      </c>
      <c r="Z71" s="375">
        <v>572.75</v>
      </c>
      <c r="AA71" s="375">
        <v>200.01</v>
      </c>
      <c r="AB71" s="375">
        <v>1125</v>
      </c>
      <c r="AC71" s="376">
        <f t="shared" si="19"/>
        <v>3796.4399999999996</v>
      </c>
      <c r="AD71" s="385">
        <v>43600</v>
      </c>
      <c r="AE71" s="407" t="s">
        <v>51</v>
      </c>
      <c r="AF71" s="379" t="s">
        <v>103</v>
      </c>
    </row>
    <row r="72" spans="16:32" x14ac:dyDescent="0.2">
      <c r="P72" s="373" t="s">
        <v>26</v>
      </c>
      <c r="Q72" s="374" t="s">
        <v>76</v>
      </c>
      <c r="R72" s="375">
        <v>818.8</v>
      </c>
      <c r="S72" s="375">
        <v>0</v>
      </c>
      <c r="T72" s="375">
        <v>50</v>
      </c>
      <c r="U72" s="375">
        <v>0</v>
      </c>
      <c r="V72" s="376">
        <f>R72+S72+U72</f>
        <v>818.8</v>
      </c>
      <c r="W72" s="375">
        <v>8.19</v>
      </c>
      <c r="X72" s="375">
        <v>0</v>
      </c>
      <c r="Y72" s="375"/>
      <c r="Z72" s="375"/>
      <c r="AA72" s="375">
        <v>58.14</v>
      </c>
      <c r="AB72" s="375">
        <v>200</v>
      </c>
      <c r="AC72" s="376">
        <f t="shared" si="19"/>
        <v>602.46999999999991</v>
      </c>
      <c r="AD72" s="385">
        <v>43600</v>
      </c>
      <c r="AE72" s="407" t="s">
        <v>51</v>
      </c>
      <c r="AF72" s="379" t="s">
        <v>103</v>
      </c>
    </row>
    <row r="73" spans="16:32" x14ac:dyDescent="0.2">
      <c r="P73" s="373" t="s">
        <v>3</v>
      </c>
      <c r="Q73" s="374" t="s">
        <v>77</v>
      </c>
      <c r="R73" s="375">
        <v>1074.8</v>
      </c>
      <c r="S73" s="375"/>
      <c r="T73" s="375">
        <v>50</v>
      </c>
      <c r="U73" s="375"/>
      <c r="V73" s="376">
        <f>R73+S73+U73+T73</f>
        <v>1124.8</v>
      </c>
      <c r="W73" s="375">
        <v>10.75</v>
      </c>
      <c r="X73" s="375"/>
      <c r="Y73" s="375"/>
      <c r="Z73" s="375"/>
      <c r="AA73" s="375">
        <v>76.3</v>
      </c>
      <c r="AB73" s="375"/>
      <c r="AC73" s="376">
        <f t="shared" si="19"/>
        <v>1037.75</v>
      </c>
      <c r="AD73" s="385">
        <v>43600</v>
      </c>
      <c r="AE73" s="407" t="s">
        <v>51</v>
      </c>
      <c r="AF73" s="379" t="s">
        <v>103</v>
      </c>
    </row>
    <row r="74" spans="16:32" x14ac:dyDescent="0.2">
      <c r="P74" s="373" t="s">
        <v>32</v>
      </c>
      <c r="Q74" s="374" t="s">
        <v>78</v>
      </c>
      <c r="R74" s="375">
        <v>954.8</v>
      </c>
      <c r="S74" s="375"/>
      <c r="T74" s="375">
        <v>100</v>
      </c>
      <c r="U74" s="375"/>
      <c r="V74" s="376">
        <f>R74+S74+U74+T74</f>
        <v>1054.8</v>
      </c>
      <c r="W74" s="375">
        <v>9.5500000000000007</v>
      </c>
      <c r="X74" s="375"/>
      <c r="Y74" s="375"/>
      <c r="Z74" s="375"/>
      <c r="AA74" s="375">
        <v>67.78</v>
      </c>
      <c r="AB74" s="375"/>
      <c r="AC74" s="376">
        <f t="shared" si="19"/>
        <v>977.47</v>
      </c>
      <c r="AD74" s="385">
        <v>43600</v>
      </c>
      <c r="AE74" s="407" t="s">
        <v>51</v>
      </c>
      <c r="AF74" s="379" t="s">
        <v>103</v>
      </c>
    </row>
    <row r="75" spans="16:32" x14ac:dyDescent="0.2">
      <c r="P75" s="373" t="s">
        <v>75</v>
      </c>
      <c r="Q75" s="374" t="s">
        <v>79</v>
      </c>
      <c r="R75" s="375">
        <v>800</v>
      </c>
      <c r="S75" s="375"/>
      <c r="T75" s="375"/>
      <c r="U75" s="375"/>
      <c r="V75" s="376">
        <f t="shared" ref="V75:V76" si="22">R75+S75+U75</f>
        <v>800</v>
      </c>
      <c r="W75" s="375">
        <v>8</v>
      </c>
      <c r="X75" s="375"/>
      <c r="Y75" s="375"/>
      <c r="Z75" s="375"/>
      <c r="AA75" s="375"/>
      <c r="AB75" s="375"/>
      <c r="AC75" s="376">
        <f t="shared" si="19"/>
        <v>792</v>
      </c>
      <c r="AD75" s="385">
        <v>43600</v>
      </c>
      <c r="AE75" s="407" t="s">
        <v>51</v>
      </c>
      <c r="AF75" s="379" t="s">
        <v>103</v>
      </c>
    </row>
    <row r="76" spans="16:32" x14ac:dyDescent="0.2">
      <c r="P76" s="373" t="s">
        <v>110</v>
      </c>
      <c r="Q76" s="374" t="s">
        <v>109</v>
      </c>
      <c r="R76" s="375">
        <v>800</v>
      </c>
      <c r="S76" s="375"/>
      <c r="T76" s="375"/>
      <c r="U76" s="375"/>
      <c r="V76" s="376">
        <f t="shared" si="22"/>
        <v>800</v>
      </c>
      <c r="W76" s="375">
        <v>8</v>
      </c>
      <c r="X76" s="375"/>
      <c r="Y76" s="375"/>
      <c r="Z76" s="375"/>
      <c r="AA76" s="375"/>
      <c r="AB76" s="375"/>
      <c r="AC76" s="376">
        <f t="shared" si="19"/>
        <v>792</v>
      </c>
      <c r="AD76" s="385">
        <v>43600</v>
      </c>
      <c r="AE76" s="407" t="s">
        <v>51</v>
      </c>
      <c r="AF76" s="379" t="s">
        <v>103</v>
      </c>
    </row>
    <row r="77" spans="16:32" x14ac:dyDescent="0.2">
      <c r="P77" s="389" t="s">
        <v>25</v>
      </c>
      <c r="Q77" s="390" t="s">
        <v>68</v>
      </c>
      <c r="R77" s="375">
        <v>3415.2</v>
      </c>
      <c r="S77" s="375">
        <v>1152.6300000000001</v>
      </c>
      <c r="T77" s="375">
        <v>490</v>
      </c>
      <c r="U77" s="375">
        <v>572.75</v>
      </c>
      <c r="V77" s="376">
        <f t="shared" ref="V77" si="23">R77+S77+U77</f>
        <v>5140.58</v>
      </c>
      <c r="W77" s="375">
        <v>29.74</v>
      </c>
      <c r="X77" s="375">
        <v>614</v>
      </c>
      <c r="Y77" s="375">
        <v>-155</v>
      </c>
      <c r="Z77" s="375">
        <v>572.75</v>
      </c>
      <c r="AA77" s="375">
        <v>200.01</v>
      </c>
      <c r="AB77" s="375">
        <v>1125</v>
      </c>
      <c r="AC77" s="376">
        <f t="shared" si="19"/>
        <v>2671.33</v>
      </c>
      <c r="AD77" s="385">
        <v>43607</v>
      </c>
      <c r="AE77" s="407" t="s">
        <v>52</v>
      </c>
      <c r="AF77" s="379" t="s">
        <v>103</v>
      </c>
    </row>
    <row r="78" spans="16:32" x14ac:dyDescent="0.2">
      <c r="P78" s="373" t="s">
        <v>26</v>
      </c>
      <c r="Q78" s="374" t="s">
        <v>76</v>
      </c>
      <c r="R78" s="375">
        <v>818.8</v>
      </c>
      <c r="S78" s="375">
        <v>0</v>
      </c>
      <c r="T78" s="375">
        <v>50</v>
      </c>
      <c r="U78" s="375">
        <v>0</v>
      </c>
      <c r="V78" s="376">
        <f>R78+S78+U78</f>
        <v>818.8</v>
      </c>
      <c r="W78" s="375">
        <v>8.19</v>
      </c>
      <c r="X78" s="375">
        <v>0</v>
      </c>
      <c r="Y78" s="375"/>
      <c r="Z78" s="375"/>
      <c r="AA78" s="375">
        <v>58.14</v>
      </c>
      <c r="AB78" s="375">
        <v>200</v>
      </c>
      <c r="AC78" s="376">
        <f t="shared" si="19"/>
        <v>602.46999999999991</v>
      </c>
      <c r="AD78" s="385">
        <v>43607</v>
      </c>
      <c r="AE78" s="407" t="s">
        <v>52</v>
      </c>
      <c r="AF78" s="379" t="s">
        <v>103</v>
      </c>
    </row>
    <row r="79" spans="16:32" x14ac:dyDescent="0.2">
      <c r="P79" s="373" t="s">
        <v>3</v>
      </c>
      <c r="Q79" s="374" t="s">
        <v>77</v>
      </c>
      <c r="R79" s="375">
        <v>1074.8</v>
      </c>
      <c r="S79" s="375"/>
      <c r="T79" s="375">
        <v>50</v>
      </c>
      <c r="U79" s="375"/>
      <c r="V79" s="376">
        <f>R79+S79+U79+T79</f>
        <v>1124.8</v>
      </c>
      <c r="W79" s="375">
        <v>10.75</v>
      </c>
      <c r="X79" s="375"/>
      <c r="Y79" s="375"/>
      <c r="Z79" s="375"/>
      <c r="AA79" s="375">
        <v>76.3</v>
      </c>
      <c r="AB79" s="375"/>
      <c r="AC79" s="376">
        <f t="shared" si="19"/>
        <v>1037.75</v>
      </c>
      <c r="AD79" s="385">
        <v>43607</v>
      </c>
      <c r="AE79" s="407" t="s">
        <v>52</v>
      </c>
      <c r="AF79" s="379" t="s">
        <v>103</v>
      </c>
    </row>
    <row r="80" spans="16:32" x14ac:dyDescent="0.2">
      <c r="P80" s="373" t="s">
        <v>32</v>
      </c>
      <c r="Q80" s="374" t="s">
        <v>78</v>
      </c>
      <c r="R80" s="375">
        <v>954.8</v>
      </c>
      <c r="S80" s="375">
        <v>286.44</v>
      </c>
      <c r="T80" s="375">
        <v>100</v>
      </c>
      <c r="U80" s="375"/>
      <c r="V80" s="376">
        <f>R80+S80+U80+T80</f>
        <v>1341.24</v>
      </c>
      <c r="W80" s="375">
        <v>12.41</v>
      </c>
      <c r="X80" s="375"/>
      <c r="Y80" s="375"/>
      <c r="Z80" s="375"/>
      <c r="AA80" s="375">
        <v>67.78</v>
      </c>
      <c r="AB80" s="375"/>
      <c r="AC80" s="376">
        <f t="shared" si="19"/>
        <v>1261.05</v>
      </c>
      <c r="AD80" s="385">
        <v>43607</v>
      </c>
      <c r="AE80" s="407" t="s">
        <v>52</v>
      </c>
      <c r="AF80" s="379" t="s">
        <v>103</v>
      </c>
    </row>
    <row r="81" spans="1:33" x14ac:dyDescent="0.2">
      <c r="P81" s="373" t="s">
        <v>75</v>
      </c>
      <c r="Q81" s="374" t="s">
        <v>79</v>
      </c>
      <c r="R81" s="375">
        <v>800</v>
      </c>
      <c r="S81" s="375"/>
      <c r="T81" s="375"/>
      <c r="U81" s="375"/>
      <c r="V81" s="376">
        <f t="shared" ref="V81:V82" si="24">R81+S81+U81</f>
        <v>800</v>
      </c>
      <c r="W81" s="375">
        <v>8</v>
      </c>
      <c r="X81" s="375"/>
      <c r="Y81" s="375"/>
      <c r="Z81" s="375"/>
      <c r="AA81" s="375"/>
      <c r="AB81" s="375"/>
      <c r="AC81" s="376">
        <f t="shared" si="19"/>
        <v>792</v>
      </c>
      <c r="AD81" s="385">
        <v>43607</v>
      </c>
      <c r="AE81" s="407" t="s">
        <v>52</v>
      </c>
      <c r="AF81" s="379" t="s">
        <v>103</v>
      </c>
    </row>
    <row r="82" spans="1:33" x14ac:dyDescent="0.2">
      <c r="P82" s="373" t="s">
        <v>110</v>
      </c>
      <c r="Q82" s="374" t="s">
        <v>109</v>
      </c>
      <c r="R82" s="375">
        <v>800</v>
      </c>
      <c r="S82" s="375">
        <v>240</v>
      </c>
      <c r="T82" s="375"/>
      <c r="U82" s="375"/>
      <c r="V82" s="376">
        <f t="shared" si="24"/>
        <v>1040</v>
      </c>
      <c r="W82" s="375">
        <v>10.4</v>
      </c>
      <c r="X82" s="375"/>
      <c r="Y82" s="375"/>
      <c r="Z82" s="375"/>
      <c r="AA82" s="375"/>
      <c r="AB82" s="375"/>
      <c r="AC82" s="376">
        <f t="shared" si="19"/>
        <v>1029.5999999999999</v>
      </c>
      <c r="AD82" s="385">
        <v>43607</v>
      </c>
      <c r="AE82" s="407" t="s">
        <v>52</v>
      </c>
      <c r="AF82" s="379" t="s">
        <v>103</v>
      </c>
    </row>
    <row r="83" spans="1:33" x14ac:dyDescent="0.2">
      <c r="P83" s="389" t="s">
        <v>25</v>
      </c>
      <c r="Q83" s="390" t="s">
        <v>68</v>
      </c>
      <c r="R83" s="375">
        <v>3415.2</v>
      </c>
      <c r="S83" s="375">
        <v>2177.19</v>
      </c>
      <c r="T83" s="375">
        <v>0</v>
      </c>
      <c r="U83" s="375">
        <v>0</v>
      </c>
      <c r="V83" s="376">
        <f t="shared" ref="V83" si="25">R83+S83+U83</f>
        <v>5592.3899999999994</v>
      </c>
      <c r="W83" s="375">
        <v>29.74</v>
      </c>
      <c r="X83" s="375">
        <v>881</v>
      </c>
      <c r="Y83" s="375">
        <v>0</v>
      </c>
      <c r="Z83" s="375">
        <v>0</v>
      </c>
      <c r="AA83" s="375">
        <v>200.01</v>
      </c>
      <c r="AB83" s="375">
        <v>0</v>
      </c>
      <c r="AC83" s="376">
        <f t="shared" si="19"/>
        <v>4481.6399999999994</v>
      </c>
      <c r="AD83" s="385">
        <v>43614</v>
      </c>
      <c r="AE83" s="407" t="s">
        <v>53</v>
      </c>
      <c r="AF83" s="379" t="s">
        <v>103</v>
      </c>
    </row>
    <row r="84" spans="1:33" x14ac:dyDescent="0.2">
      <c r="P84" s="373" t="s">
        <v>26</v>
      </c>
      <c r="Q84" s="374" t="s">
        <v>76</v>
      </c>
      <c r="R84" s="375">
        <v>818.8</v>
      </c>
      <c r="S84" s="375">
        <v>0</v>
      </c>
      <c r="T84" s="375">
        <v>50</v>
      </c>
      <c r="U84" s="375">
        <v>0</v>
      </c>
      <c r="V84" s="376">
        <f>R84+S84+U84</f>
        <v>818.8</v>
      </c>
      <c r="W84" s="375">
        <v>8.19</v>
      </c>
      <c r="X84" s="375">
        <v>0</v>
      </c>
      <c r="Y84" s="375"/>
      <c r="Z84" s="375"/>
      <c r="AA84" s="375">
        <v>58.14</v>
      </c>
      <c r="AB84" s="375"/>
      <c r="AC84" s="376">
        <f t="shared" si="19"/>
        <v>802.46999999999991</v>
      </c>
      <c r="AD84" s="385">
        <v>43614</v>
      </c>
      <c r="AE84" s="407" t="s">
        <v>53</v>
      </c>
      <c r="AF84" s="379" t="s">
        <v>103</v>
      </c>
    </row>
    <row r="85" spans="1:33" x14ac:dyDescent="0.2">
      <c r="P85" s="373" t="s">
        <v>3</v>
      </c>
      <c r="Q85" s="374" t="s">
        <v>77</v>
      </c>
      <c r="R85" s="375">
        <v>1074.8</v>
      </c>
      <c r="S85" s="375"/>
      <c r="T85" s="375">
        <v>50</v>
      </c>
      <c r="U85" s="375"/>
      <c r="V85" s="376">
        <f>R85+S85+U85+T85</f>
        <v>1124.8</v>
      </c>
      <c r="W85" s="375">
        <v>10.75</v>
      </c>
      <c r="X85" s="375"/>
      <c r="Y85" s="375"/>
      <c r="Z85" s="375"/>
      <c r="AA85" s="375">
        <v>76.3</v>
      </c>
      <c r="AB85" s="375"/>
      <c r="AC85" s="376">
        <f t="shared" si="19"/>
        <v>1037.75</v>
      </c>
      <c r="AD85" s="385">
        <v>43614</v>
      </c>
      <c r="AE85" s="407" t="s">
        <v>53</v>
      </c>
      <c r="AF85" s="379" t="s">
        <v>103</v>
      </c>
    </row>
    <row r="86" spans="1:33" x14ac:dyDescent="0.2">
      <c r="P86" s="373" t="s">
        <v>32</v>
      </c>
      <c r="Q86" s="374" t="s">
        <v>78</v>
      </c>
      <c r="R86" s="375">
        <v>954.8</v>
      </c>
      <c r="S86" s="375"/>
      <c r="T86" s="375">
        <v>100</v>
      </c>
      <c r="U86" s="375"/>
      <c r="V86" s="376">
        <f>R86+S86+U86+T86</f>
        <v>1054.8</v>
      </c>
      <c r="W86" s="375">
        <v>9.5500000000000007</v>
      </c>
      <c r="X86" s="375"/>
      <c r="Y86" s="375"/>
      <c r="Z86" s="375"/>
      <c r="AA86" s="375">
        <v>67.78</v>
      </c>
      <c r="AB86" s="375"/>
      <c r="AC86" s="376">
        <f t="shared" si="19"/>
        <v>977.47</v>
      </c>
      <c r="AD86" s="385">
        <v>43614</v>
      </c>
      <c r="AE86" s="407" t="s">
        <v>53</v>
      </c>
      <c r="AF86" s="379" t="s">
        <v>103</v>
      </c>
    </row>
    <row r="87" spans="1:33" x14ac:dyDescent="0.2">
      <c r="O87" s="180"/>
      <c r="P87" s="373" t="s">
        <v>75</v>
      </c>
      <c r="Q87" s="374" t="s">
        <v>79</v>
      </c>
      <c r="R87" s="375">
        <v>800</v>
      </c>
      <c r="S87" s="375"/>
      <c r="T87" s="375"/>
      <c r="U87" s="375"/>
      <c r="V87" s="376">
        <f t="shared" ref="V87:V88" si="26">R87+S87+U87</f>
        <v>800</v>
      </c>
      <c r="W87" s="375">
        <v>8</v>
      </c>
      <c r="X87" s="375"/>
      <c r="Y87" s="375"/>
      <c r="Z87" s="375"/>
      <c r="AA87" s="375"/>
      <c r="AB87" s="375"/>
      <c r="AC87" s="376">
        <f t="shared" si="19"/>
        <v>792</v>
      </c>
      <c r="AD87" s="385">
        <v>43614</v>
      </c>
      <c r="AE87" s="407" t="s">
        <v>53</v>
      </c>
      <c r="AF87" s="379" t="s">
        <v>103</v>
      </c>
    </row>
    <row r="88" spans="1:33" x14ac:dyDescent="0.2">
      <c r="O88" s="180"/>
      <c r="P88" s="373" t="s">
        <v>110</v>
      </c>
      <c r="Q88" s="374" t="s">
        <v>109</v>
      </c>
      <c r="R88" s="375">
        <v>800</v>
      </c>
      <c r="S88" s="375"/>
      <c r="T88" s="375"/>
      <c r="U88" s="375"/>
      <c r="V88" s="376">
        <f t="shared" si="26"/>
        <v>800</v>
      </c>
      <c r="W88" s="375">
        <v>8</v>
      </c>
      <c r="X88" s="375"/>
      <c r="Y88" s="375"/>
      <c r="Z88" s="375"/>
      <c r="AA88" s="375"/>
      <c r="AB88" s="375"/>
      <c r="AC88" s="376">
        <f t="shared" si="19"/>
        <v>792</v>
      </c>
      <c r="AD88" s="385">
        <v>43614</v>
      </c>
      <c r="AE88" s="407" t="s">
        <v>53</v>
      </c>
      <c r="AF88" s="379" t="s">
        <v>103</v>
      </c>
    </row>
    <row r="89" spans="1:33" s="180" customFormat="1" x14ac:dyDescent="0.2">
      <c r="A89" s="345"/>
      <c r="C89" s="321"/>
      <c r="D89" s="321"/>
      <c r="E89" s="321"/>
      <c r="F89" s="321"/>
      <c r="G89" s="321"/>
      <c r="H89" s="321"/>
      <c r="I89" s="321"/>
      <c r="J89" s="321"/>
      <c r="K89" s="321"/>
      <c r="L89" s="321"/>
      <c r="M89" s="321"/>
      <c r="N89" s="321"/>
      <c r="P89" s="373" t="s">
        <v>8</v>
      </c>
      <c r="Q89" s="392" t="s">
        <v>111</v>
      </c>
      <c r="R89" s="376">
        <v>13535</v>
      </c>
      <c r="S89" s="376"/>
      <c r="T89" s="376"/>
      <c r="U89" s="376">
        <v>5162</v>
      </c>
      <c r="V89" s="376">
        <f t="shared" ref="V89:V91" si="27">R89+S89+U89</f>
        <v>18697</v>
      </c>
      <c r="W89" s="376">
        <v>0</v>
      </c>
      <c r="X89" s="376">
        <v>2364</v>
      </c>
      <c r="Y89" s="376">
        <v>-829</v>
      </c>
      <c r="Z89" s="376"/>
      <c r="AA89" s="376"/>
      <c r="AB89" s="376"/>
      <c r="AC89" s="408">
        <f t="shared" si="19"/>
        <v>12000</v>
      </c>
      <c r="AD89" s="409"/>
      <c r="AE89" s="394"/>
      <c r="AF89" s="395"/>
      <c r="AG89" s="321"/>
    </row>
    <row r="90" spans="1:33" s="180" customFormat="1" x14ac:dyDescent="0.2">
      <c r="A90" s="345"/>
      <c r="C90" s="321"/>
      <c r="D90" s="321"/>
      <c r="E90" s="321"/>
      <c r="F90" s="321"/>
      <c r="G90" s="321"/>
      <c r="H90" s="321"/>
      <c r="I90" s="321"/>
      <c r="J90" s="321"/>
      <c r="K90" s="321"/>
      <c r="L90" s="321"/>
      <c r="M90" s="321"/>
      <c r="N90" s="321"/>
      <c r="O90" s="78"/>
      <c r="P90" s="373" t="s">
        <v>27</v>
      </c>
      <c r="Q90" s="392" t="s">
        <v>112</v>
      </c>
      <c r="R90" s="375">
        <v>12113</v>
      </c>
      <c r="S90" s="375"/>
      <c r="T90" s="375"/>
      <c r="U90" s="375">
        <v>2400</v>
      </c>
      <c r="V90" s="376">
        <f t="shared" si="27"/>
        <v>14513</v>
      </c>
      <c r="W90" s="375">
        <v>0</v>
      </c>
      <c r="X90" s="375">
        <v>1423</v>
      </c>
      <c r="Y90" s="375">
        <v>-310</v>
      </c>
      <c r="Z90" s="375"/>
      <c r="AA90" s="375"/>
      <c r="AB90" s="375"/>
      <c r="AC90" s="408">
        <f t="shared" si="19"/>
        <v>11000</v>
      </c>
      <c r="AD90" s="409"/>
      <c r="AE90" s="394"/>
      <c r="AF90" s="395"/>
      <c r="AG90" s="321"/>
    </row>
    <row r="91" spans="1:33" s="180" customFormat="1" ht="13.5" thickBot="1" x14ac:dyDescent="0.25">
      <c r="A91" s="345"/>
      <c r="C91" s="321"/>
      <c r="D91" s="321"/>
      <c r="E91" s="321"/>
      <c r="F91" s="321"/>
      <c r="G91" s="321"/>
      <c r="H91" s="321"/>
      <c r="I91" s="321"/>
      <c r="J91" s="321"/>
      <c r="K91" s="321"/>
      <c r="L91" s="321"/>
      <c r="M91" s="321"/>
      <c r="N91" s="321"/>
      <c r="O91" s="78"/>
      <c r="P91" s="396" t="s">
        <v>6</v>
      </c>
      <c r="Q91" s="397" t="s">
        <v>113</v>
      </c>
      <c r="R91" s="380">
        <v>11713.13</v>
      </c>
      <c r="S91" s="380"/>
      <c r="T91" s="380"/>
      <c r="U91" s="380">
        <v>2100</v>
      </c>
      <c r="V91" s="398">
        <f t="shared" si="27"/>
        <v>13813.13</v>
      </c>
      <c r="W91" s="380">
        <v>138.13</v>
      </c>
      <c r="X91" s="380">
        <v>1304</v>
      </c>
      <c r="Y91" s="380">
        <v>-829</v>
      </c>
      <c r="Z91" s="380">
        <v>2100</v>
      </c>
      <c r="AA91" s="380"/>
      <c r="AB91" s="380"/>
      <c r="AC91" s="410">
        <f t="shared" si="19"/>
        <v>9000</v>
      </c>
      <c r="AD91" s="411"/>
      <c r="AE91" s="400"/>
      <c r="AF91" s="401"/>
      <c r="AG91" s="321"/>
    </row>
    <row r="92" spans="1:33" x14ac:dyDescent="0.2">
      <c r="P92" s="357" t="s">
        <v>25</v>
      </c>
      <c r="Q92" s="84" t="s">
        <v>68</v>
      </c>
      <c r="R92" s="88">
        <v>3415.2</v>
      </c>
      <c r="S92" s="88">
        <v>1024.56</v>
      </c>
      <c r="T92" s="88">
        <v>490</v>
      </c>
      <c r="U92" s="88">
        <v>572.75</v>
      </c>
      <c r="V92" s="88">
        <f t="shared" ref="V92" si="28">R92+S92+U92</f>
        <v>5012.51</v>
      </c>
      <c r="W92" s="88">
        <v>37.18</v>
      </c>
      <c r="X92" s="88">
        <v>581</v>
      </c>
      <c r="Y92" s="88">
        <v>-155</v>
      </c>
      <c r="Z92" s="88">
        <v>572.75</v>
      </c>
      <c r="AA92" s="88">
        <v>200.01</v>
      </c>
      <c r="AB92" s="88">
        <v>1125</v>
      </c>
      <c r="AC92" s="88">
        <f t="shared" si="19"/>
        <v>2568.8199999999997</v>
      </c>
      <c r="AD92" s="105">
        <v>43621</v>
      </c>
      <c r="AE92" s="404" t="s">
        <v>54</v>
      </c>
      <c r="AF92" s="360" t="s">
        <v>121</v>
      </c>
    </row>
    <row r="93" spans="1:33" x14ac:dyDescent="0.2">
      <c r="P93" s="99" t="s">
        <v>26</v>
      </c>
      <c r="Q93" s="82" t="s">
        <v>76</v>
      </c>
      <c r="R93" s="89">
        <v>818.8</v>
      </c>
      <c r="S93" s="89">
        <v>0</v>
      </c>
      <c r="T93" s="89">
        <v>50</v>
      </c>
      <c r="U93" s="89">
        <v>0</v>
      </c>
      <c r="V93" s="88">
        <f>R93+S93+U93</f>
        <v>818.8</v>
      </c>
      <c r="W93" s="89">
        <v>8.19</v>
      </c>
      <c r="X93" s="89">
        <v>0</v>
      </c>
      <c r="Y93" s="89"/>
      <c r="Z93" s="89"/>
      <c r="AA93" s="89">
        <v>58.14</v>
      </c>
      <c r="AB93" s="89"/>
      <c r="AC93" s="88">
        <f t="shared" si="19"/>
        <v>802.46999999999991</v>
      </c>
      <c r="AD93" s="106">
        <v>43621</v>
      </c>
      <c r="AE93" s="131" t="s">
        <v>54</v>
      </c>
      <c r="AF93" s="360" t="s">
        <v>121</v>
      </c>
    </row>
    <row r="94" spans="1:33" x14ac:dyDescent="0.2">
      <c r="P94" s="99" t="s">
        <v>3</v>
      </c>
      <c r="Q94" s="82" t="s">
        <v>77</v>
      </c>
      <c r="R94" s="89">
        <v>1074.8</v>
      </c>
      <c r="S94" s="89"/>
      <c r="T94" s="89">
        <v>50</v>
      </c>
      <c r="U94" s="89"/>
      <c r="V94" s="88">
        <f>R94+S94+U94+T94</f>
        <v>1124.8</v>
      </c>
      <c r="W94" s="89">
        <v>10.75</v>
      </c>
      <c r="X94" s="89"/>
      <c r="Y94" s="89"/>
      <c r="Z94" s="89"/>
      <c r="AA94" s="89">
        <v>76.3</v>
      </c>
      <c r="AB94" s="89"/>
      <c r="AC94" s="88">
        <f t="shared" si="19"/>
        <v>1037.75</v>
      </c>
      <c r="AD94" s="106">
        <v>43621</v>
      </c>
      <c r="AE94" s="131" t="s">
        <v>54</v>
      </c>
      <c r="AF94" s="360" t="s">
        <v>121</v>
      </c>
    </row>
    <row r="95" spans="1:33" x14ac:dyDescent="0.2">
      <c r="P95" s="99" t="s">
        <v>32</v>
      </c>
      <c r="Q95" s="82" t="s">
        <v>78</v>
      </c>
      <c r="R95" s="89">
        <v>954.8</v>
      </c>
      <c r="S95" s="89"/>
      <c r="T95" s="89">
        <v>100</v>
      </c>
      <c r="U95" s="89"/>
      <c r="V95" s="88">
        <f>R95+S95+U95+T95</f>
        <v>1054.8</v>
      </c>
      <c r="W95" s="89">
        <v>9.5500000000000007</v>
      </c>
      <c r="X95" s="89"/>
      <c r="Y95" s="89"/>
      <c r="Z95" s="89"/>
      <c r="AA95" s="89">
        <v>67.78</v>
      </c>
      <c r="AB95" s="89"/>
      <c r="AC95" s="88">
        <f t="shared" si="19"/>
        <v>977.47</v>
      </c>
      <c r="AD95" s="106">
        <v>43621</v>
      </c>
      <c r="AE95" s="131" t="s">
        <v>54</v>
      </c>
      <c r="AF95" s="360" t="s">
        <v>121</v>
      </c>
    </row>
    <row r="96" spans="1:33" x14ac:dyDescent="0.2">
      <c r="P96" s="99" t="s">
        <v>75</v>
      </c>
      <c r="Q96" s="82" t="s">
        <v>79</v>
      </c>
      <c r="R96" s="89">
        <v>800</v>
      </c>
      <c r="S96" s="89"/>
      <c r="T96" s="89"/>
      <c r="U96" s="89"/>
      <c r="V96" s="88">
        <f t="shared" ref="V96:V97" si="29">R96+S96+U96</f>
        <v>800</v>
      </c>
      <c r="W96" s="89">
        <v>8</v>
      </c>
      <c r="X96" s="89"/>
      <c r="Y96" s="89"/>
      <c r="Z96" s="89"/>
      <c r="AA96" s="89"/>
      <c r="AB96" s="89"/>
      <c r="AC96" s="88">
        <f t="shared" si="19"/>
        <v>792</v>
      </c>
      <c r="AD96" s="106">
        <v>43621</v>
      </c>
      <c r="AE96" s="131" t="s">
        <v>54</v>
      </c>
      <c r="AF96" s="360" t="s">
        <v>121</v>
      </c>
    </row>
    <row r="97" spans="16:32" x14ac:dyDescent="0.2">
      <c r="P97" s="99" t="s">
        <v>110</v>
      </c>
      <c r="Q97" s="82" t="s">
        <v>109</v>
      </c>
      <c r="R97" s="89">
        <v>800</v>
      </c>
      <c r="S97" s="89"/>
      <c r="T97" s="89"/>
      <c r="U97" s="89"/>
      <c r="V97" s="88">
        <f t="shared" si="29"/>
        <v>800</v>
      </c>
      <c r="W97" s="89">
        <v>8</v>
      </c>
      <c r="X97" s="89"/>
      <c r="Y97" s="89"/>
      <c r="Z97" s="89"/>
      <c r="AA97" s="89"/>
      <c r="AB97" s="89"/>
      <c r="AC97" s="88">
        <f t="shared" si="19"/>
        <v>792</v>
      </c>
      <c r="AD97" s="106">
        <v>43621</v>
      </c>
      <c r="AE97" s="131" t="s">
        <v>54</v>
      </c>
      <c r="AF97" s="360" t="s">
        <v>121</v>
      </c>
    </row>
    <row r="98" spans="16:32" x14ac:dyDescent="0.2">
      <c r="P98" s="357" t="s">
        <v>25</v>
      </c>
      <c r="Q98" s="84" t="s">
        <v>68</v>
      </c>
      <c r="R98" s="89">
        <v>3415.2</v>
      </c>
      <c r="S98" s="89">
        <v>1024.56</v>
      </c>
      <c r="T98" s="89">
        <v>490</v>
      </c>
      <c r="U98" s="89">
        <v>572.75</v>
      </c>
      <c r="V98" s="88">
        <f t="shared" ref="V98:V103" si="30">R98+S98+U98</f>
        <v>5012.51</v>
      </c>
      <c r="W98" s="89">
        <v>37.18</v>
      </c>
      <c r="X98" s="89">
        <v>581</v>
      </c>
      <c r="Y98" s="89">
        <v>-155</v>
      </c>
      <c r="Z98" s="89">
        <v>572.75</v>
      </c>
      <c r="AA98" s="89">
        <v>200.01</v>
      </c>
      <c r="AB98" s="89">
        <v>1125</v>
      </c>
      <c r="AC98" s="88">
        <f t="shared" si="19"/>
        <v>2568.8199999999997</v>
      </c>
      <c r="AD98" s="106">
        <v>43628</v>
      </c>
      <c r="AE98" s="132" t="s">
        <v>55</v>
      </c>
      <c r="AF98" s="360" t="s">
        <v>121</v>
      </c>
    </row>
    <row r="99" spans="16:32" x14ac:dyDescent="0.2">
      <c r="P99" s="99" t="s">
        <v>26</v>
      </c>
      <c r="Q99" s="82" t="s">
        <v>76</v>
      </c>
      <c r="R99" s="89">
        <v>818.8</v>
      </c>
      <c r="S99" s="89">
        <v>0</v>
      </c>
      <c r="T99" s="89">
        <v>50</v>
      </c>
      <c r="U99" s="89">
        <v>0</v>
      </c>
      <c r="V99" s="88">
        <f t="shared" si="30"/>
        <v>818.8</v>
      </c>
      <c r="W99" s="89">
        <v>8.19</v>
      </c>
      <c r="X99" s="89">
        <v>0</v>
      </c>
      <c r="Y99" s="89"/>
      <c r="Z99" s="89"/>
      <c r="AA99" s="89">
        <v>58.14</v>
      </c>
      <c r="AB99" s="89">
        <v>200</v>
      </c>
      <c r="AC99" s="88">
        <f t="shared" si="19"/>
        <v>602.46999999999991</v>
      </c>
      <c r="AD99" s="106">
        <v>43628</v>
      </c>
      <c r="AE99" s="132" t="s">
        <v>55</v>
      </c>
      <c r="AF99" s="360" t="s">
        <v>121</v>
      </c>
    </row>
    <row r="100" spans="16:32" x14ac:dyDescent="0.2">
      <c r="P100" s="99" t="s">
        <v>3</v>
      </c>
      <c r="Q100" s="82" t="s">
        <v>77</v>
      </c>
      <c r="R100" s="89">
        <v>1074.8</v>
      </c>
      <c r="S100" s="89"/>
      <c r="T100" s="89">
        <v>50</v>
      </c>
      <c r="U100" s="89"/>
      <c r="V100" s="88">
        <f t="shared" si="30"/>
        <v>1074.8</v>
      </c>
      <c r="W100" s="89">
        <v>10.75</v>
      </c>
      <c r="X100" s="89"/>
      <c r="Y100" s="89"/>
      <c r="Z100" s="89"/>
      <c r="AA100" s="89">
        <v>76.3</v>
      </c>
      <c r="AB100" s="89"/>
      <c r="AC100" s="88">
        <f t="shared" si="19"/>
        <v>1037.75</v>
      </c>
      <c r="AD100" s="106">
        <v>43628</v>
      </c>
      <c r="AE100" s="132" t="s">
        <v>55</v>
      </c>
      <c r="AF100" s="360" t="s">
        <v>121</v>
      </c>
    </row>
    <row r="101" spans="16:32" x14ac:dyDescent="0.2">
      <c r="P101" s="99" t="s">
        <v>32</v>
      </c>
      <c r="Q101" s="82" t="s">
        <v>78</v>
      </c>
      <c r="R101" s="89">
        <v>954.8</v>
      </c>
      <c r="S101" s="89"/>
      <c r="T101" s="89">
        <v>100</v>
      </c>
      <c r="U101" s="89"/>
      <c r="V101" s="88">
        <f t="shared" si="30"/>
        <v>954.8</v>
      </c>
      <c r="W101" s="89">
        <v>9.5500000000000007</v>
      </c>
      <c r="X101" s="89"/>
      <c r="Y101" s="89"/>
      <c r="Z101" s="89"/>
      <c r="AA101" s="89">
        <v>67.78</v>
      </c>
      <c r="AB101" s="89"/>
      <c r="AC101" s="88">
        <f t="shared" si="19"/>
        <v>977.47</v>
      </c>
      <c r="AD101" s="106">
        <v>43628</v>
      </c>
      <c r="AE101" s="132" t="s">
        <v>55</v>
      </c>
      <c r="AF101" s="360" t="s">
        <v>121</v>
      </c>
    </row>
    <row r="102" spans="16:32" x14ac:dyDescent="0.2">
      <c r="P102" s="99" t="s">
        <v>75</v>
      </c>
      <c r="Q102" s="82" t="s">
        <v>79</v>
      </c>
      <c r="R102" s="89">
        <v>800</v>
      </c>
      <c r="S102" s="89"/>
      <c r="T102" s="89"/>
      <c r="U102" s="89"/>
      <c r="V102" s="88">
        <f t="shared" si="30"/>
        <v>800</v>
      </c>
      <c r="W102" s="89">
        <v>8</v>
      </c>
      <c r="X102" s="89"/>
      <c r="Y102" s="89"/>
      <c r="Z102" s="89"/>
      <c r="AA102" s="89"/>
      <c r="AB102" s="89"/>
      <c r="AC102" s="88">
        <f t="shared" si="19"/>
        <v>792</v>
      </c>
      <c r="AD102" s="106">
        <v>43628</v>
      </c>
      <c r="AE102" s="132" t="s">
        <v>55</v>
      </c>
      <c r="AF102" s="360" t="s">
        <v>121</v>
      </c>
    </row>
    <row r="103" spans="16:32" x14ac:dyDescent="0.2">
      <c r="P103" s="99" t="s">
        <v>110</v>
      </c>
      <c r="Q103" s="82" t="s">
        <v>109</v>
      </c>
      <c r="R103" s="89">
        <v>800</v>
      </c>
      <c r="S103" s="89"/>
      <c r="T103" s="89"/>
      <c r="U103" s="89"/>
      <c r="V103" s="88">
        <f t="shared" si="30"/>
        <v>800</v>
      </c>
      <c r="W103" s="89">
        <v>8</v>
      </c>
      <c r="X103" s="89"/>
      <c r="Y103" s="89"/>
      <c r="Z103" s="89"/>
      <c r="AA103" s="89"/>
      <c r="AB103" s="89"/>
      <c r="AC103" s="88">
        <f t="shared" si="19"/>
        <v>792</v>
      </c>
      <c r="AD103" s="106">
        <v>43628</v>
      </c>
      <c r="AE103" s="132" t="s">
        <v>55</v>
      </c>
      <c r="AF103" s="360" t="s">
        <v>121</v>
      </c>
    </row>
    <row r="104" spans="16:32" x14ac:dyDescent="0.2">
      <c r="P104" s="357" t="s">
        <v>25</v>
      </c>
      <c r="Q104" s="84" t="s">
        <v>68</v>
      </c>
      <c r="R104" s="89">
        <v>3415.2</v>
      </c>
      <c r="S104" s="89">
        <v>1216.67</v>
      </c>
      <c r="T104" s="89">
        <v>490</v>
      </c>
      <c r="U104" s="89">
        <v>572.75</v>
      </c>
      <c r="V104" s="88">
        <f t="shared" ref="V104:V117" si="31">R104+S104+U104</f>
        <v>5204.62</v>
      </c>
      <c r="W104" s="89">
        <v>37.18</v>
      </c>
      <c r="X104" s="89">
        <v>630</v>
      </c>
      <c r="Y104" s="89">
        <v>-155</v>
      </c>
      <c r="Z104" s="89">
        <v>572.75</v>
      </c>
      <c r="AA104" s="89">
        <v>200.01</v>
      </c>
      <c r="AB104" s="89">
        <v>1125</v>
      </c>
      <c r="AC104" s="88">
        <f t="shared" si="19"/>
        <v>2711.9299999999994</v>
      </c>
      <c r="AD104" s="106">
        <v>43635</v>
      </c>
      <c r="AE104" s="134" t="s">
        <v>56</v>
      </c>
      <c r="AF104" s="360" t="s">
        <v>121</v>
      </c>
    </row>
    <row r="105" spans="16:32" x14ac:dyDescent="0.2">
      <c r="P105" s="99" t="s">
        <v>26</v>
      </c>
      <c r="Q105" s="82" t="s">
        <v>76</v>
      </c>
      <c r="R105" s="89">
        <v>818.8</v>
      </c>
      <c r="S105" s="89">
        <v>53.73</v>
      </c>
      <c r="T105" s="89">
        <v>50</v>
      </c>
      <c r="U105" s="89">
        <v>0</v>
      </c>
      <c r="V105" s="88">
        <f t="shared" si="31"/>
        <v>872.53</v>
      </c>
      <c r="W105" s="89">
        <v>8.73</v>
      </c>
      <c r="X105" s="89">
        <v>0</v>
      </c>
      <c r="Y105" s="89"/>
      <c r="Z105" s="89"/>
      <c r="AA105" s="89">
        <v>58.14</v>
      </c>
      <c r="AB105" s="89">
        <v>200</v>
      </c>
      <c r="AC105" s="88">
        <f t="shared" si="19"/>
        <v>655.66</v>
      </c>
      <c r="AD105" s="106">
        <v>43635</v>
      </c>
      <c r="AE105" s="134" t="s">
        <v>56</v>
      </c>
      <c r="AF105" s="360" t="s">
        <v>121</v>
      </c>
    </row>
    <row r="106" spans="16:32" x14ac:dyDescent="0.2">
      <c r="P106" s="99" t="s">
        <v>3</v>
      </c>
      <c r="Q106" s="82" t="s">
        <v>77</v>
      </c>
      <c r="R106" s="89">
        <v>1074.8</v>
      </c>
      <c r="S106" s="89"/>
      <c r="T106" s="89">
        <v>50</v>
      </c>
      <c r="U106" s="89"/>
      <c r="V106" s="88">
        <f t="shared" si="31"/>
        <v>1074.8</v>
      </c>
      <c r="W106" s="89">
        <v>10.75</v>
      </c>
      <c r="X106" s="89"/>
      <c r="Y106" s="89"/>
      <c r="Z106" s="89"/>
      <c r="AA106" s="89">
        <v>76.3</v>
      </c>
      <c r="AB106" s="89"/>
      <c r="AC106" s="88">
        <f t="shared" si="19"/>
        <v>1037.75</v>
      </c>
      <c r="AD106" s="106">
        <v>43635</v>
      </c>
      <c r="AE106" s="134" t="s">
        <v>56</v>
      </c>
      <c r="AF106" s="360" t="s">
        <v>121</v>
      </c>
    </row>
    <row r="107" spans="16:32" x14ac:dyDescent="0.2">
      <c r="P107" s="99" t="s">
        <v>32</v>
      </c>
      <c r="Q107" s="82" t="s">
        <v>78</v>
      </c>
      <c r="R107" s="89">
        <v>954.8</v>
      </c>
      <c r="S107" s="89"/>
      <c r="T107" s="89">
        <v>100</v>
      </c>
      <c r="U107" s="89"/>
      <c r="V107" s="88">
        <f t="shared" si="31"/>
        <v>954.8</v>
      </c>
      <c r="W107" s="89">
        <v>9.5500000000000007</v>
      </c>
      <c r="X107" s="89"/>
      <c r="Y107" s="89"/>
      <c r="Z107" s="89"/>
      <c r="AA107" s="89">
        <v>67.78</v>
      </c>
      <c r="AB107" s="89"/>
      <c r="AC107" s="88">
        <f t="shared" si="19"/>
        <v>977.47</v>
      </c>
      <c r="AD107" s="106">
        <v>43635</v>
      </c>
      <c r="AE107" s="134" t="s">
        <v>56</v>
      </c>
      <c r="AF107" s="360" t="s">
        <v>121</v>
      </c>
    </row>
    <row r="108" spans="16:32" x14ac:dyDescent="0.2">
      <c r="P108" s="99" t="s">
        <v>75</v>
      </c>
      <c r="Q108" s="82" t="s">
        <v>79</v>
      </c>
      <c r="R108" s="89">
        <v>800</v>
      </c>
      <c r="S108" s="89"/>
      <c r="T108" s="89"/>
      <c r="U108" s="89"/>
      <c r="V108" s="88">
        <f t="shared" si="31"/>
        <v>800</v>
      </c>
      <c r="W108" s="89">
        <v>8</v>
      </c>
      <c r="X108" s="89"/>
      <c r="Y108" s="89"/>
      <c r="Z108" s="89"/>
      <c r="AA108" s="89"/>
      <c r="AB108" s="89"/>
      <c r="AC108" s="88">
        <f t="shared" si="19"/>
        <v>792</v>
      </c>
      <c r="AD108" s="106">
        <v>43635</v>
      </c>
      <c r="AE108" s="134" t="s">
        <v>56</v>
      </c>
      <c r="AF108" s="360" t="s">
        <v>121</v>
      </c>
    </row>
    <row r="109" spans="16:32" x14ac:dyDescent="0.2">
      <c r="P109" s="99" t="s">
        <v>86</v>
      </c>
      <c r="Q109" s="82" t="s">
        <v>106</v>
      </c>
      <c r="R109" s="89">
        <v>400</v>
      </c>
      <c r="S109" s="89"/>
      <c r="T109" s="89"/>
      <c r="U109" s="89"/>
      <c r="V109" s="88">
        <f t="shared" si="31"/>
        <v>400</v>
      </c>
      <c r="W109" s="89">
        <v>4</v>
      </c>
      <c r="X109" s="89"/>
      <c r="Y109" s="89"/>
      <c r="Z109" s="89"/>
      <c r="AA109" s="89"/>
      <c r="AB109" s="89"/>
      <c r="AC109" s="88">
        <f t="shared" si="19"/>
        <v>396</v>
      </c>
      <c r="AD109" s="106">
        <v>43635</v>
      </c>
      <c r="AE109" s="134" t="s">
        <v>56</v>
      </c>
      <c r="AF109" s="360" t="s">
        <v>121</v>
      </c>
    </row>
    <row r="110" spans="16:32" x14ac:dyDescent="0.2">
      <c r="P110" s="99" t="s">
        <v>110</v>
      </c>
      <c r="Q110" s="82" t="s">
        <v>109</v>
      </c>
      <c r="R110" s="89">
        <v>800</v>
      </c>
      <c r="S110" s="89"/>
      <c r="T110" s="89"/>
      <c r="U110" s="89"/>
      <c r="V110" s="88">
        <f t="shared" si="31"/>
        <v>800</v>
      </c>
      <c r="W110" s="89">
        <v>8</v>
      </c>
      <c r="X110" s="89"/>
      <c r="Y110" s="89"/>
      <c r="Z110" s="89"/>
      <c r="AA110" s="89"/>
      <c r="AB110" s="89"/>
      <c r="AC110" s="88">
        <f t="shared" si="19"/>
        <v>792</v>
      </c>
      <c r="AD110" s="106">
        <v>43635</v>
      </c>
      <c r="AE110" s="134" t="s">
        <v>56</v>
      </c>
      <c r="AF110" s="360" t="s">
        <v>121</v>
      </c>
    </row>
    <row r="111" spans="16:32" x14ac:dyDescent="0.2">
      <c r="P111" s="357" t="s">
        <v>25</v>
      </c>
      <c r="Q111" s="84" t="s">
        <v>68</v>
      </c>
      <c r="R111" s="89">
        <v>3415.2</v>
      </c>
      <c r="S111" s="89">
        <v>1024.56</v>
      </c>
      <c r="T111" s="89">
        <v>490</v>
      </c>
      <c r="U111" s="89">
        <v>572.75</v>
      </c>
      <c r="V111" s="88">
        <f t="shared" si="31"/>
        <v>5012.51</v>
      </c>
      <c r="W111" s="89">
        <v>37.18</v>
      </c>
      <c r="X111" s="89">
        <v>581</v>
      </c>
      <c r="Y111" s="89">
        <v>-155</v>
      </c>
      <c r="Z111" s="89">
        <v>572.75</v>
      </c>
      <c r="AA111" s="89">
        <v>200.01</v>
      </c>
      <c r="AB111" s="89">
        <v>1125</v>
      </c>
      <c r="AC111" s="88">
        <f t="shared" si="19"/>
        <v>2568.8199999999997</v>
      </c>
      <c r="AD111" s="106">
        <v>43642</v>
      </c>
      <c r="AE111" s="136" t="s">
        <v>57</v>
      </c>
      <c r="AF111" s="360" t="s">
        <v>121</v>
      </c>
    </row>
    <row r="112" spans="16:32" x14ac:dyDescent="0.2">
      <c r="P112" s="99" t="s">
        <v>26</v>
      </c>
      <c r="Q112" s="82" t="s">
        <v>76</v>
      </c>
      <c r="R112" s="89">
        <v>818.8</v>
      </c>
      <c r="S112" s="89"/>
      <c r="T112" s="89">
        <v>50</v>
      </c>
      <c r="U112" s="89">
        <v>0</v>
      </c>
      <c r="V112" s="88">
        <f t="shared" si="31"/>
        <v>818.8</v>
      </c>
      <c r="W112" s="89">
        <v>8.19</v>
      </c>
      <c r="X112" s="89">
        <v>0</v>
      </c>
      <c r="Y112" s="89"/>
      <c r="Z112" s="89"/>
      <c r="AA112" s="89">
        <v>58.14</v>
      </c>
      <c r="AB112" s="89">
        <v>200</v>
      </c>
      <c r="AC112" s="88">
        <f t="shared" si="19"/>
        <v>602.46999999999991</v>
      </c>
      <c r="AD112" s="106">
        <v>43642</v>
      </c>
      <c r="AE112" s="136" t="s">
        <v>57</v>
      </c>
      <c r="AF112" s="360" t="s">
        <v>121</v>
      </c>
    </row>
    <row r="113" spans="1:33" x14ac:dyDescent="0.2">
      <c r="P113" s="99" t="s">
        <v>3</v>
      </c>
      <c r="Q113" s="82" t="s">
        <v>77</v>
      </c>
      <c r="R113" s="89">
        <v>1074.8</v>
      </c>
      <c r="S113" s="89"/>
      <c r="T113" s="89">
        <v>50</v>
      </c>
      <c r="U113" s="89"/>
      <c r="V113" s="88">
        <f t="shared" si="31"/>
        <v>1074.8</v>
      </c>
      <c r="W113" s="89">
        <v>10.75</v>
      </c>
      <c r="X113" s="89"/>
      <c r="Y113" s="89"/>
      <c r="Z113" s="89"/>
      <c r="AA113" s="89">
        <v>76.3</v>
      </c>
      <c r="AB113" s="89"/>
      <c r="AC113" s="88">
        <f t="shared" si="19"/>
        <v>1037.75</v>
      </c>
      <c r="AD113" s="106">
        <v>43642</v>
      </c>
      <c r="AE113" s="136" t="s">
        <v>57</v>
      </c>
      <c r="AF113" s="360" t="s">
        <v>121</v>
      </c>
    </row>
    <row r="114" spans="1:33" x14ac:dyDescent="0.2">
      <c r="P114" s="99" t="s">
        <v>32</v>
      </c>
      <c r="Q114" s="82" t="s">
        <v>78</v>
      </c>
      <c r="R114" s="89">
        <v>954.8</v>
      </c>
      <c r="S114" s="89"/>
      <c r="T114" s="89">
        <v>100</v>
      </c>
      <c r="U114" s="89"/>
      <c r="V114" s="88">
        <f t="shared" si="31"/>
        <v>954.8</v>
      </c>
      <c r="W114" s="89">
        <v>9.5500000000000007</v>
      </c>
      <c r="X114" s="89"/>
      <c r="Y114" s="89"/>
      <c r="Z114" s="89"/>
      <c r="AA114" s="89">
        <v>67.78</v>
      </c>
      <c r="AB114" s="89"/>
      <c r="AC114" s="88">
        <f t="shared" si="19"/>
        <v>977.47</v>
      </c>
      <c r="AD114" s="106">
        <v>43642</v>
      </c>
      <c r="AE114" s="136" t="s">
        <v>57</v>
      </c>
      <c r="AF114" s="360" t="s">
        <v>121</v>
      </c>
    </row>
    <row r="115" spans="1:33" x14ac:dyDescent="0.2">
      <c r="P115" s="99" t="s">
        <v>75</v>
      </c>
      <c r="Q115" s="82" t="s">
        <v>79</v>
      </c>
      <c r="R115" s="89">
        <v>800</v>
      </c>
      <c r="S115" s="89"/>
      <c r="T115" s="89"/>
      <c r="U115" s="89"/>
      <c r="V115" s="88">
        <f t="shared" si="31"/>
        <v>800</v>
      </c>
      <c r="W115" s="89">
        <v>8</v>
      </c>
      <c r="X115" s="89"/>
      <c r="Y115" s="89"/>
      <c r="Z115" s="89"/>
      <c r="AA115" s="89"/>
      <c r="AB115" s="89"/>
      <c r="AC115" s="88">
        <f t="shared" si="19"/>
        <v>792</v>
      </c>
      <c r="AD115" s="106">
        <v>43642</v>
      </c>
      <c r="AE115" s="136" t="s">
        <v>57</v>
      </c>
      <c r="AF115" s="360" t="s">
        <v>121</v>
      </c>
    </row>
    <row r="116" spans="1:33" x14ac:dyDescent="0.2">
      <c r="O116" s="180"/>
      <c r="P116" s="99" t="s">
        <v>86</v>
      </c>
      <c r="Q116" s="82" t="s">
        <v>106</v>
      </c>
      <c r="R116" s="89">
        <v>1000</v>
      </c>
      <c r="S116" s="89"/>
      <c r="T116" s="89"/>
      <c r="U116" s="89"/>
      <c r="V116" s="88">
        <f t="shared" si="31"/>
        <v>1000</v>
      </c>
      <c r="W116" s="89">
        <v>10</v>
      </c>
      <c r="X116" s="89"/>
      <c r="Y116" s="89"/>
      <c r="Z116" s="89"/>
      <c r="AA116" s="89"/>
      <c r="AB116" s="89"/>
      <c r="AC116" s="88">
        <f t="shared" si="19"/>
        <v>990</v>
      </c>
      <c r="AD116" s="106">
        <v>43642</v>
      </c>
      <c r="AE116" s="136" t="s">
        <v>57</v>
      </c>
      <c r="AF116" s="360" t="s">
        <v>121</v>
      </c>
    </row>
    <row r="117" spans="1:33" x14ac:dyDescent="0.2">
      <c r="O117" s="180"/>
      <c r="P117" s="99" t="s">
        <v>110</v>
      </c>
      <c r="Q117" s="82" t="s">
        <v>109</v>
      </c>
      <c r="R117" s="89">
        <v>640</v>
      </c>
      <c r="S117" s="89"/>
      <c r="T117" s="89"/>
      <c r="U117" s="89"/>
      <c r="V117" s="88">
        <f t="shared" si="31"/>
        <v>640</v>
      </c>
      <c r="W117" s="89">
        <v>6.4</v>
      </c>
      <c r="X117" s="89"/>
      <c r="Y117" s="89"/>
      <c r="Z117" s="89"/>
      <c r="AA117" s="89"/>
      <c r="AB117" s="89"/>
      <c r="AC117" s="88">
        <f t="shared" si="19"/>
        <v>633.6</v>
      </c>
      <c r="AD117" s="106">
        <v>43642</v>
      </c>
      <c r="AE117" s="136" t="s">
        <v>57</v>
      </c>
      <c r="AF117" s="360" t="s">
        <v>121</v>
      </c>
    </row>
    <row r="118" spans="1:33" s="180" customFormat="1" x14ac:dyDescent="0.2">
      <c r="A118" s="345"/>
      <c r="C118" s="321"/>
      <c r="D118" s="321"/>
      <c r="E118" s="321"/>
      <c r="F118" s="321"/>
      <c r="G118" s="321"/>
      <c r="H118" s="321"/>
      <c r="I118" s="321"/>
      <c r="J118" s="321"/>
      <c r="K118" s="321"/>
      <c r="L118" s="321"/>
      <c r="M118" s="321"/>
      <c r="N118" s="321"/>
      <c r="P118" s="361" t="s">
        <v>8</v>
      </c>
      <c r="Q118" s="183" t="s">
        <v>111</v>
      </c>
      <c r="R118" s="176">
        <v>13535</v>
      </c>
      <c r="S118" s="176"/>
      <c r="T118" s="176"/>
      <c r="U118" s="176">
        <v>5162</v>
      </c>
      <c r="V118" s="88">
        <f t="shared" ref="V118:V120" si="32">R118+S118+U118</f>
        <v>18697</v>
      </c>
      <c r="W118" s="176">
        <v>0</v>
      </c>
      <c r="X118" s="176">
        <v>2364</v>
      </c>
      <c r="Y118" s="176">
        <v>-829</v>
      </c>
      <c r="Z118" s="176"/>
      <c r="AA118" s="176"/>
      <c r="AB118" s="176"/>
      <c r="AC118" s="192">
        <f t="shared" ref="AC118:AC120" si="33">R118+S118+T118-W118-X118-Y118-Z118-AA118-AB118</f>
        <v>12000</v>
      </c>
      <c r="AD118" s="193"/>
      <c r="AE118" s="194"/>
      <c r="AF118" s="362"/>
      <c r="AG118" s="321"/>
    </row>
    <row r="119" spans="1:33" s="180" customFormat="1" x14ac:dyDescent="0.2">
      <c r="A119" s="345"/>
      <c r="C119" s="321"/>
      <c r="D119" s="321"/>
      <c r="E119" s="321"/>
      <c r="F119" s="321"/>
      <c r="G119" s="321"/>
      <c r="H119" s="321"/>
      <c r="I119" s="321"/>
      <c r="J119" s="321"/>
      <c r="K119" s="321"/>
      <c r="L119" s="321"/>
      <c r="M119" s="321"/>
      <c r="N119" s="321"/>
      <c r="O119" s="78"/>
      <c r="P119" s="361" t="s">
        <v>27</v>
      </c>
      <c r="Q119" s="183" t="s">
        <v>112</v>
      </c>
      <c r="R119" s="181">
        <v>12113</v>
      </c>
      <c r="S119" s="181"/>
      <c r="T119" s="181"/>
      <c r="U119" s="181">
        <v>2400</v>
      </c>
      <c r="V119" s="88">
        <f t="shared" si="32"/>
        <v>14513</v>
      </c>
      <c r="W119" s="181">
        <v>0</v>
      </c>
      <c r="X119" s="181">
        <v>1423</v>
      </c>
      <c r="Y119" s="181">
        <v>-310</v>
      </c>
      <c r="Z119" s="181"/>
      <c r="AA119" s="181"/>
      <c r="AB119" s="181"/>
      <c r="AC119" s="192">
        <f t="shared" si="33"/>
        <v>11000</v>
      </c>
      <c r="AD119" s="193"/>
      <c r="AE119" s="194"/>
      <c r="AF119" s="362"/>
      <c r="AG119" s="321"/>
    </row>
    <row r="120" spans="1:33" s="180" customFormat="1" ht="13.5" thickBot="1" x14ac:dyDescent="0.25">
      <c r="A120" s="345"/>
      <c r="C120" s="321"/>
      <c r="D120" s="321"/>
      <c r="E120" s="321"/>
      <c r="F120" s="321"/>
      <c r="G120" s="321"/>
      <c r="H120" s="321"/>
      <c r="I120" s="321"/>
      <c r="J120" s="321"/>
      <c r="K120" s="321"/>
      <c r="L120" s="321"/>
      <c r="M120" s="321"/>
      <c r="N120" s="321"/>
      <c r="O120" s="78"/>
      <c r="P120" s="421" t="s">
        <v>6</v>
      </c>
      <c r="Q120" s="402" t="s">
        <v>113</v>
      </c>
      <c r="R120" s="182">
        <v>11713.13</v>
      </c>
      <c r="S120" s="182"/>
      <c r="T120" s="182"/>
      <c r="U120" s="182">
        <v>2100</v>
      </c>
      <c r="V120" s="325">
        <f t="shared" si="32"/>
        <v>13813.13</v>
      </c>
      <c r="W120" s="182">
        <v>138.13</v>
      </c>
      <c r="X120" s="182">
        <v>1304</v>
      </c>
      <c r="Y120" s="182">
        <v>-829</v>
      </c>
      <c r="Z120" s="182">
        <v>2100</v>
      </c>
      <c r="AA120" s="182"/>
      <c r="AB120" s="182"/>
      <c r="AC120" s="324">
        <f t="shared" si="33"/>
        <v>9000</v>
      </c>
      <c r="AD120" s="193"/>
      <c r="AE120" s="194"/>
      <c r="AF120" s="362"/>
      <c r="AG120" s="321"/>
    </row>
    <row r="121" spans="1:33" x14ac:dyDescent="0.2">
      <c r="P121" s="367" t="s">
        <v>25</v>
      </c>
      <c r="Q121" s="368" t="s">
        <v>68</v>
      </c>
      <c r="R121" s="369">
        <v>3415.2</v>
      </c>
      <c r="S121" s="369">
        <v>0</v>
      </c>
      <c r="T121" s="369">
        <v>490</v>
      </c>
      <c r="U121" s="369">
        <v>572.75</v>
      </c>
      <c r="V121" s="369">
        <f t="shared" ref="V121:V127" si="34">R121+S121+U121</f>
        <v>3987.95</v>
      </c>
      <c r="W121" s="369">
        <v>29.74</v>
      </c>
      <c r="X121" s="369">
        <v>341</v>
      </c>
      <c r="Y121" s="369">
        <v>-155</v>
      </c>
      <c r="Z121" s="369">
        <v>572.75</v>
      </c>
      <c r="AA121" s="369">
        <v>200.01</v>
      </c>
      <c r="AB121" s="369">
        <v>1125</v>
      </c>
      <c r="AC121" s="369">
        <f t="shared" ref="AC121:AC127" si="35">R121+S121+T121-W121-X121-Y121-Z121-AA121-AB121</f>
        <v>1791.6999999999998</v>
      </c>
      <c r="AD121" s="370">
        <v>43649</v>
      </c>
      <c r="AE121" s="406" t="s">
        <v>58</v>
      </c>
      <c r="AF121" s="372" t="s">
        <v>120</v>
      </c>
    </row>
    <row r="122" spans="1:33" x14ac:dyDescent="0.2">
      <c r="P122" s="373" t="s">
        <v>26</v>
      </c>
      <c r="Q122" s="374" t="s">
        <v>76</v>
      </c>
      <c r="R122" s="375">
        <v>818.8</v>
      </c>
      <c r="S122" s="375"/>
      <c r="T122" s="375">
        <v>50</v>
      </c>
      <c r="U122" s="375">
        <v>0</v>
      </c>
      <c r="V122" s="376">
        <f t="shared" si="34"/>
        <v>818.8</v>
      </c>
      <c r="W122" s="375">
        <v>8.19</v>
      </c>
      <c r="X122" s="375">
        <v>0</v>
      </c>
      <c r="Y122" s="375"/>
      <c r="Z122" s="375"/>
      <c r="AA122" s="375">
        <v>58.14</v>
      </c>
      <c r="AB122" s="375"/>
      <c r="AC122" s="376">
        <f t="shared" si="35"/>
        <v>802.46999999999991</v>
      </c>
      <c r="AD122" s="385">
        <v>43649</v>
      </c>
      <c r="AE122" s="407" t="s">
        <v>58</v>
      </c>
      <c r="AF122" s="379" t="s">
        <v>120</v>
      </c>
    </row>
    <row r="123" spans="1:33" x14ac:dyDescent="0.2">
      <c r="P123" s="373" t="s">
        <v>3</v>
      </c>
      <c r="Q123" s="374" t="s">
        <v>77</v>
      </c>
      <c r="R123" s="375">
        <v>1074.8</v>
      </c>
      <c r="S123" s="375"/>
      <c r="T123" s="375">
        <v>50</v>
      </c>
      <c r="U123" s="375"/>
      <c r="V123" s="376">
        <f t="shared" si="34"/>
        <v>1074.8</v>
      </c>
      <c r="W123" s="375">
        <v>10.75</v>
      </c>
      <c r="X123" s="375"/>
      <c r="Y123" s="375"/>
      <c r="Z123" s="375"/>
      <c r="AA123" s="375">
        <v>76.3</v>
      </c>
      <c r="AB123" s="375"/>
      <c r="AC123" s="376">
        <f t="shared" si="35"/>
        <v>1037.75</v>
      </c>
      <c r="AD123" s="385">
        <v>43649</v>
      </c>
      <c r="AE123" s="407" t="s">
        <v>58</v>
      </c>
      <c r="AF123" s="379" t="s">
        <v>120</v>
      </c>
    </row>
    <row r="124" spans="1:33" x14ac:dyDescent="0.2">
      <c r="P124" s="373" t="s">
        <v>32</v>
      </c>
      <c r="Q124" s="374" t="s">
        <v>78</v>
      </c>
      <c r="R124" s="375">
        <v>954.8</v>
      </c>
      <c r="S124" s="375"/>
      <c r="T124" s="375">
        <v>100</v>
      </c>
      <c r="U124" s="375"/>
      <c r="V124" s="376">
        <f t="shared" si="34"/>
        <v>954.8</v>
      </c>
      <c r="W124" s="375">
        <v>9.5500000000000007</v>
      </c>
      <c r="X124" s="375"/>
      <c r="Y124" s="375"/>
      <c r="Z124" s="375"/>
      <c r="AA124" s="375">
        <v>67.78</v>
      </c>
      <c r="AB124" s="375"/>
      <c r="AC124" s="376">
        <f t="shared" si="35"/>
        <v>977.47</v>
      </c>
      <c r="AD124" s="385">
        <v>43649</v>
      </c>
      <c r="AE124" s="407" t="s">
        <v>58</v>
      </c>
      <c r="AF124" s="379" t="s">
        <v>120</v>
      </c>
    </row>
    <row r="125" spans="1:33" x14ac:dyDescent="0.2">
      <c r="P125" s="373" t="s">
        <v>75</v>
      </c>
      <c r="Q125" s="374" t="s">
        <v>79</v>
      </c>
      <c r="R125" s="375">
        <v>800</v>
      </c>
      <c r="S125" s="375"/>
      <c r="T125" s="375"/>
      <c r="U125" s="375"/>
      <c r="V125" s="376">
        <f t="shared" si="34"/>
        <v>800</v>
      </c>
      <c r="W125" s="375">
        <v>8</v>
      </c>
      <c r="X125" s="375"/>
      <c r="Y125" s="375"/>
      <c r="Z125" s="375"/>
      <c r="AA125" s="375"/>
      <c r="AB125" s="375"/>
      <c r="AC125" s="376">
        <f t="shared" si="35"/>
        <v>792</v>
      </c>
      <c r="AD125" s="385">
        <v>43649</v>
      </c>
      <c r="AE125" s="407" t="s">
        <v>58</v>
      </c>
      <c r="AF125" s="379" t="s">
        <v>120</v>
      </c>
    </row>
    <row r="126" spans="1:33" x14ac:dyDescent="0.2">
      <c r="P126" s="373" t="s">
        <v>86</v>
      </c>
      <c r="Q126" s="374" t="s">
        <v>106</v>
      </c>
      <c r="R126" s="375">
        <v>1000</v>
      </c>
      <c r="S126" s="375"/>
      <c r="T126" s="375"/>
      <c r="U126" s="375"/>
      <c r="V126" s="376">
        <f t="shared" si="34"/>
        <v>1000</v>
      </c>
      <c r="W126" s="375">
        <v>10</v>
      </c>
      <c r="X126" s="375"/>
      <c r="Y126" s="375"/>
      <c r="Z126" s="375"/>
      <c r="AA126" s="375"/>
      <c r="AB126" s="375"/>
      <c r="AC126" s="376">
        <f t="shared" si="35"/>
        <v>990</v>
      </c>
      <c r="AD126" s="385">
        <v>43649</v>
      </c>
      <c r="AE126" s="407" t="s">
        <v>58</v>
      </c>
      <c r="AF126" s="379" t="s">
        <v>120</v>
      </c>
    </row>
    <row r="127" spans="1:33" x14ac:dyDescent="0.2">
      <c r="P127" s="373" t="s">
        <v>110</v>
      </c>
      <c r="Q127" s="374" t="s">
        <v>109</v>
      </c>
      <c r="R127" s="375">
        <v>800</v>
      </c>
      <c r="S127" s="375"/>
      <c r="T127" s="375"/>
      <c r="U127" s="375"/>
      <c r="V127" s="376">
        <f t="shared" si="34"/>
        <v>800</v>
      </c>
      <c r="W127" s="375">
        <v>8</v>
      </c>
      <c r="X127" s="375"/>
      <c r="Y127" s="375"/>
      <c r="Z127" s="375"/>
      <c r="AA127" s="375"/>
      <c r="AB127" s="375"/>
      <c r="AC127" s="376">
        <f t="shared" si="35"/>
        <v>792</v>
      </c>
      <c r="AD127" s="385">
        <v>43649</v>
      </c>
      <c r="AE127" s="407" t="s">
        <v>58</v>
      </c>
      <c r="AF127" s="379" t="s">
        <v>120</v>
      </c>
    </row>
    <row r="128" spans="1:33" x14ac:dyDescent="0.2">
      <c r="P128" s="389" t="s">
        <v>25</v>
      </c>
      <c r="Q128" s="390" t="s">
        <v>68</v>
      </c>
      <c r="R128" s="375">
        <v>3415.2</v>
      </c>
      <c r="S128" s="375">
        <v>256.14</v>
      </c>
      <c r="T128" s="375">
        <v>490</v>
      </c>
      <c r="U128" s="375">
        <v>572.75</v>
      </c>
      <c r="V128" s="376">
        <f t="shared" ref="V128:V134" si="36">R128+S128+U128</f>
        <v>4244.09</v>
      </c>
      <c r="W128" s="375">
        <v>29.74</v>
      </c>
      <c r="X128" s="375">
        <v>388</v>
      </c>
      <c r="Y128" s="375">
        <v>-155</v>
      </c>
      <c r="Z128" s="375">
        <v>572.75</v>
      </c>
      <c r="AA128" s="375">
        <v>200.01</v>
      </c>
      <c r="AB128" s="375">
        <v>1125</v>
      </c>
      <c r="AC128" s="376">
        <f t="shared" ref="AC128:AC134" si="37">R128+S128+T128-W128-X128-Y128-Z128-AA128-AB128</f>
        <v>2000.8400000000001</v>
      </c>
      <c r="AD128" s="385">
        <v>43656</v>
      </c>
      <c r="AE128" s="407" t="s">
        <v>59</v>
      </c>
      <c r="AF128" s="379" t="s">
        <v>120</v>
      </c>
    </row>
    <row r="129" spans="16:32" x14ac:dyDescent="0.2">
      <c r="P129" s="373" t="s">
        <v>26</v>
      </c>
      <c r="Q129" s="374" t="s">
        <v>76</v>
      </c>
      <c r="R129" s="375">
        <v>818.8</v>
      </c>
      <c r="S129" s="375"/>
      <c r="T129" s="375">
        <v>50</v>
      </c>
      <c r="U129" s="375">
        <v>0</v>
      </c>
      <c r="V129" s="376">
        <f t="shared" si="36"/>
        <v>818.8</v>
      </c>
      <c r="W129" s="375">
        <v>8.19</v>
      </c>
      <c r="X129" s="375">
        <v>0</v>
      </c>
      <c r="Y129" s="375"/>
      <c r="Z129" s="375"/>
      <c r="AA129" s="375">
        <v>58.14</v>
      </c>
      <c r="AB129" s="375"/>
      <c r="AC129" s="376">
        <f t="shared" si="37"/>
        <v>802.46999999999991</v>
      </c>
      <c r="AD129" s="385">
        <v>43656</v>
      </c>
      <c r="AE129" s="407" t="s">
        <v>59</v>
      </c>
      <c r="AF129" s="379" t="s">
        <v>120</v>
      </c>
    </row>
    <row r="130" spans="16:32" x14ac:dyDescent="0.2">
      <c r="P130" s="373" t="s">
        <v>3</v>
      </c>
      <c r="Q130" s="374" t="s">
        <v>77</v>
      </c>
      <c r="R130" s="375">
        <v>1074.8</v>
      </c>
      <c r="S130" s="375"/>
      <c r="T130" s="375">
        <v>50</v>
      </c>
      <c r="U130" s="375"/>
      <c r="V130" s="376">
        <f t="shared" si="36"/>
        <v>1074.8</v>
      </c>
      <c r="W130" s="375">
        <v>10.75</v>
      </c>
      <c r="X130" s="375"/>
      <c r="Y130" s="375"/>
      <c r="Z130" s="375"/>
      <c r="AA130" s="375">
        <v>76.3</v>
      </c>
      <c r="AB130" s="375"/>
      <c r="AC130" s="376">
        <f t="shared" si="37"/>
        <v>1037.75</v>
      </c>
      <c r="AD130" s="385">
        <v>43656</v>
      </c>
      <c r="AE130" s="407" t="s">
        <v>59</v>
      </c>
      <c r="AF130" s="379" t="s">
        <v>120</v>
      </c>
    </row>
    <row r="131" spans="16:32" x14ac:dyDescent="0.2">
      <c r="P131" s="373" t="s">
        <v>32</v>
      </c>
      <c r="Q131" s="374" t="s">
        <v>78</v>
      </c>
      <c r="R131" s="375">
        <v>954.8</v>
      </c>
      <c r="S131" s="375"/>
      <c r="T131" s="375">
        <v>100</v>
      </c>
      <c r="U131" s="375"/>
      <c r="V131" s="376">
        <f t="shared" si="36"/>
        <v>954.8</v>
      </c>
      <c r="W131" s="375">
        <v>9.5500000000000007</v>
      </c>
      <c r="X131" s="375"/>
      <c r="Y131" s="375"/>
      <c r="Z131" s="375"/>
      <c r="AA131" s="375">
        <v>67.78</v>
      </c>
      <c r="AB131" s="375"/>
      <c r="AC131" s="376">
        <f t="shared" si="37"/>
        <v>977.47</v>
      </c>
      <c r="AD131" s="385">
        <v>43656</v>
      </c>
      <c r="AE131" s="407" t="s">
        <v>59</v>
      </c>
      <c r="AF131" s="379" t="s">
        <v>120</v>
      </c>
    </row>
    <row r="132" spans="16:32" x14ac:dyDescent="0.2">
      <c r="P132" s="373" t="s">
        <v>75</v>
      </c>
      <c r="Q132" s="374" t="s">
        <v>79</v>
      </c>
      <c r="R132" s="375">
        <v>800</v>
      </c>
      <c r="S132" s="375"/>
      <c r="T132" s="375"/>
      <c r="U132" s="375"/>
      <c r="V132" s="376">
        <f t="shared" si="36"/>
        <v>800</v>
      </c>
      <c r="W132" s="375">
        <v>8</v>
      </c>
      <c r="X132" s="375"/>
      <c r="Y132" s="375"/>
      <c r="Z132" s="375"/>
      <c r="AA132" s="375"/>
      <c r="AB132" s="375"/>
      <c r="AC132" s="376">
        <f t="shared" si="37"/>
        <v>792</v>
      </c>
      <c r="AD132" s="385">
        <v>43656</v>
      </c>
      <c r="AE132" s="407" t="s">
        <v>59</v>
      </c>
      <c r="AF132" s="379" t="s">
        <v>120</v>
      </c>
    </row>
    <row r="133" spans="16:32" x14ac:dyDescent="0.2">
      <c r="P133" s="373" t="s">
        <v>86</v>
      </c>
      <c r="Q133" s="374" t="s">
        <v>106</v>
      </c>
      <c r="R133" s="375">
        <v>1000</v>
      </c>
      <c r="S133" s="375">
        <v>75</v>
      </c>
      <c r="T133" s="375"/>
      <c r="U133" s="375"/>
      <c r="V133" s="376">
        <f t="shared" si="36"/>
        <v>1075</v>
      </c>
      <c r="W133" s="375">
        <v>10.75</v>
      </c>
      <c r="X133" s="375"/>
      <c r="Y133" s="375"/>
      <c r="Z133" s="375"/>
      <c r="AA133" s="375"/>
      <c r="AB133" s="375"/>
      <c r="AC133" s="376">
        <f t="shared" si="37"/>
        <v>1064.25</v>
      </c>
      <c r="AD133" s="385">
        <v>43656</v>
      </c>
      <c r="AE133" s="407" t="s">
        <v>59</v>
      </c>
      <c r="AF133" s="379" t="s">
        <v>120</v>
      </c>
    </row>
    <row r="134" spans="16:32" x14ac:dyDescent="0.2">
      <c r="P134" s="373" t="s">
        <v>110</v>
      </c>
      <c r="Q134" s="374" t="s">
        <v>109</v>
      </c>
      <c r="R134" s="375">
        <v>800</v>
      </c>
      <c r="S134" s="375"/>
      <c r="T134" s="375"/>
      <c r="U134" s="375"/>
      <c r="V134" s="376">
        <f t="shared" si="36"/>
        <v>800</v>
      </c>
      <c r="W134" s="375">
        <v>8</v>
      </c>
      <c r="X134" s="375"/>
      <c r="Y134" s="375"/>
      <c r="Z134" s="375"/>
      <c r="AA134" s="375"/>
      <c r="AB134" s="375">
        <v>200</v>
      </c>
      <c r="AC134" s="376">
        <f t="shared" si="37"/>
        <v>592</v>
      </c>
      <c r="AD134" s="385">
        <v>43656</v>
      </c>
      <c r="AE134" s="407" t="s">
        <v>59</v>
      </c>
      <c r="AF134" s="379" t="s">
        <v>120</v>
      </c>
    </row>
    <row r="135" spans="16:32" x14ac:dyDescent="0.2">
      <c r="P135" s="389" t="s">
        <v>25</v>
      </c>
      <c r="Q135" s="390" t="s">
        <v>68</v>
      </c>
      <c r="R135" s="375">
        <v>3415.2</v>
      </c>
      <c r="S135" s="375">
        <v>960.53</v>
      </c>
      <c r="T135" s="375">
        <v>490</v>
      </c>
      <c r="U135" s="375">
        <v>572.75</v>
      </c>
      <c r="V135" s="376">
        <f t="shared" ref="V135:V141" si="38">R135+S135+U135</f>
        <v>4948.4799999999996</v>
      </c>
      <c r="W135" s="375">
        <v>29.74</v>
      </c>
      <c r="X135" s="375">
        <v>564</v>
      </c>
      <c r="Y135" s="375">
        <v>-155</v>
      </c>
      <c r="Z135" s="375">
        <v>572.75</v>
      </c>
      <c r="AA135" s="375">
        <v>200.01</v>
      </c>
      <c r="AB135" s="375">
        <v>1125</v>
      </c>
      <c r="AC135" s="376">
        <f t="shared" ref="AC135:AC141" si="39">R135+S135+T135-W135-X135-Y135-Z135-AA135-AB135</f>
        <v>2529.2299999999996</v>
      </c>
      <c r="AD135" s="385">
        <v>43663</v>
      </c>
      <c r="AE135" s="407" t="s">
        <v>60</v>
      </c>
      <c r="AF135" s="379" t="s">
        <v>120</v>
      </c>
    </row>
    <row r="136" spans="16:32" x14ac:dyDescent="0.2">
      <c r="P136" s="373" t="s">
        <v>26</v>
      </c>
      <c r="Q136" s="374" t="s">
        <v>76</v>
      </c>
      <c r="R136" s="375">
        <v>818.8</v>
      </c>
      <c r="S136" s="375"/>
      <c r="T136" s="375">
        <v>50</v>
      </c>
      <c r="U136" s="375">
        <v>0</v>
      </c>
      <c r="V136" s="376">
        <f t="shared" si="38"/>
        <v>818.8</v>
      </c>
      <c r="W136" s="375">
        <v>8.19</v>
      </c>
      <c r="X136" s="375">
        <v>0</v>
      </c>
      <c r="Y136" s="375"/>
      <c r="Z136" s="375"/>
      <c r="AA136" s="375">
        <v>58.14</v>
      </c>
      <c r="AB136" s="375"/>
      <c r="AC136" s="376">
        <f t="shared" si="39"/>
        <v>802.46999999999991</v>
      </c>
      <c r="AD136" s="385">
        <v>43663</v>
      </c>
      <c r="AE136" s="407" t="s">
        <v>60</v>
      </c>
      <c r="AF136" s="379" t="s">
        <v>120</v>
      </c>
    </row>
    <row r="137" spans="16:32" x14ac:dyDescent="0.2">
      <c r="P137" s="373" t="s">
        <v>3</v>
      </c>
      <c r="Q137" s="374" t="s">
        <v>77</v>
      </c>
      <c r="R137" s="375">
        <v>1074.8</v>
      </c>
      <c r="S137" s="375"/>
      <c r="T137" s="375">
        <v>50</v>
      </c>
      <c r="U137" s="375"/>
      <c r="V137" s="376">
        <f t="shared" si="38"/>
        <v>1074.8</v>
      </c>
      <c r="W137" s="375">
        <v>10.75</v>
      </c>
      <c r="X137" s="375"/>
      <c r="Y137" s="375"/>
      <c r="Z137" s="375"/>
      <c r="AA137" s="375">
        <v>76.3</v>
      </c>
      <c r="AB137" s="375"/>
      <c r="AC137" s="376">
        <f t="shared" si="39"/>
        <v>1037.75</v>
      </c>
      <c r="AD137" s="385">
        <v>43663</v>
      </c>
      <c r="AE137" s="407" t="s">
        <v>60</v>
      </c>
      <c r="AF137" s="379" t="s">
        <v>120</v>
      </c>
    </row>
    <row r="138" spans="16:32" x14ac:dyDescent="0.2">
      <c r="P138" s="373" t="s">
        <v>32</v>
      </c>
      <c r="Q138" s="374" t="s">
        <v>78</v>
      </c>
      <c r="R138" s="375">
        <v>954.8</v>
      </c>
      <c r="S138" s="375"/>
      <c r="T138" s="375">
        <v>100</v>
      </c>
      <c r="U138" s="375"/>
      <c r="V138" s="376">
        <f t="shared" si="38"/>
        <v>954.8</v>
      </c>
      <c r="W138" s="375">
        <v>9.5500000000000007</v>
      </c>
      <c r="X138" s="375"/>
      <c r="Y138" s="375"/>
      <c r="Z138" s="375"/>
      <c r="AA138" s="375">
        <v>67.78</v>
      </c>
      <c r="AB138" s="375"/>
      <c r="AC138" s="376">
        <f t="shared" si="39"/>
        <v>977.47</v>
      </c>
      <c r="AD138" s="385">
        <v>43663</v>
      </c>
      <c r="AE138" s="407" t="s">
        <v>60</v>
      </c>
      <c r="AF138" s="379" t="s">
        <v>120</v>
      </c>
    </row>
    <row r="139" spans="16:32" x14ac:dyDescent="0.2">
      <c r="P139" s="373" t="s">
        <v>75</v>
      </c>
      <c r="Q139" s="374" t="s">
        <v>79</v>
      </c>
      <c r="R139" s="375">
        <v>800</v>
      </c>
      <c r="S139" s="375"/>
      <c r="T139" s="375"/>
      <c r="U139" s="375"/>
      <c r="V139" s="376">
        <f t="shared" si="38"/>
        <v>800</v>
      </c>
      <c r="W139" s="375">
        <v>8</v>
      </c>
      <c r="X139" s="375"/>
      <c r="Y139" s="375"/>
      <c r="Z139" s="375"/>
      <c r="AA139" s="375"/>
      <c r="AB139" s="375"/>
      <c r="AC139" s="376">
        <f t="shared" si="39"/>
        <v>792</v>
      </c>
      <c r="AD139" s="385">
        <v>43663</v>
      </c>
      <c r="AE139" s="407" t="s">
        <v>60</v>
      </c>
      <c r="AF139" s="379" t="s">
        <v>120</v>
      </c>
    </row>
    <row r="140" spans="16:32" x14ac:dyDescent="0.2">
      <c r="P140" s="373" t="s">
        <v>86</v>
      </c>
      <c r="Q140" s="374" t="s">
        <v>106</v>
      </c>
      <c r="R140" s="375">
        <v>1000</v>
      </c>
      <c r="S140" s="375">
        <v>281.25</v>
      </c>
      <c r="T140" s="375"/>
      <c r="U140" s="375"/>
      <c r="V140" s="376">
        <f t="shared" si="38"/>
        <v>1281.25</v>
      </c>
      <c r="W140" s="375">
        <v>12.81</v>
      </c>
      <c r="X140" s="375"/>
      <c r="Y140" s="375"/>
      <c r="Z140" s="375"/>
      <c r="AA140" s="375"/>
      <c r="AB140" s="375"/>
      <c r="AC140" s="376">
        <f t="shared" si="39"/>
        <v>1268.44</v>
      </c>
      <c r="AD140" s="385">
        <v>43663</v>
      </c>
      <c r="AE140" s="407" t="s">
        <v>60</v>
      </c>
      <c r="AF140" s="379" t="s">
        <v>120</v>
      </c>
    </row>
    <row r="141" spans="16:32" x14ac:dyDescent="0.2">
      <c r="P141" s="373" t="s">
        <v>110</v>
      </c>
      <c r="Q141" s="374" t="s">
        <v>109</v>
      </c>
      <c r="R141" s="375">
        <v>800</v>
      </c>
      <c r="S141" s="375"/>
      <c r="T141" s="375"/>
      <c r="U141" s="375"/>
      <c r="V141" s="376">
        <f t="shared" si="38"/>
        <v>800</v>
      </c>
      <c r="W141" s="375">
        <v>8</v>
      </c>
      <c r="X141" s="375"/>
      <c r="Y141" s="375"/>
      <c r="Z141" s="375"/>
      <c r="AA141" s="375"/>
      <c r="AB141" s="375">
        <v>200</v>
      </c>
      <c r="AC141" s="376">
        <f t="shared" si="39"/>
        <v>592</v>
      </c>
      <c r="AD141" s="385">
        <v>43663</v>
      </c>
      <c r="AE141" s="407" t="s">
        <v>60</v>
      </c>
      <c r="AF141" s="379" t="s">
        <v>120</v>
      </c>
    </row>
    <row r="142" spans="16:32" x14ac:dyDescent="0.2">
      <c r="P142" s="389" t="s">
        <v>25</v>
      </c>
      <c r="Q142" s="390" t="s">
        <v>68</v>
      </c>
      <c r="R142" s="375">
        <v>3415.2</v>
      </c>
      <c r="S142" s="375">
        <v>1216.67</v>
      </c>
      <c r="T142" s="375">
        <v>490</v>
      </c>
      <c r="U142" s="375">
        <v>572.75</v>
      </c>
      <c r="V142" s="376">
        <f t="shared" ref="V142:V148" si="40">R142+S142+U142</f>
        <v>5204.62</v>
      </c>
      <c r="W142" s="375">
        <v>29.74</v>
      </c>
      <c r="X142" s="375">
        <v>630</v>
      </c>
      <c r="Y142" s="375">
        <v>-155</v>
      </c>
      <c r="Z142" s="375">
        <v>572.75</v>
      </c>
      <c r="AA142" s="375">
        <v>200.01</v>
      </c>
      <c r="AB142" s="375">
        <v>1125</v>
      </c>
      <c r="AC142" s="376">
        <f t="shared" ref="AC142:AC148" si="41">R142+S142+T142-W142-X142-Y142-Z142-AA142-AB142</f>
        <v>2719.37</v>
      </c>
      <c r="AD142" s="385">
        <v>43670</v>
      </c>
      <c r="AE142" s="407" t="s">
        <v>82</v>
      </c>
      <c r="AF142" s="379" t="s">
        <v>120</v>
      </c>
    </row>
    <row r="143" spans="16:32" x14ac:dyDescent="0.2">
      <c r="P143" s="373" t="s">
        <v>26</v>
      </c>
      <c r="Q143" s="374" t="s">
        <v>76</v>
      </c>
      <c r="R143" s="375">
        <v>818.8</v>
      </c>
      <c r="S143" s="375"/>
      <c r="T143" s="375">
        <v>50</v>
      </c>
      <c r="U143" s="375">
        <v>0</v>
      </c>
      <c r="V143" s="376">
        <f t="shared" si="40"/>
        <v>818.8</v>
      </c>
      <c r="W143" s="375">
        <v>8.19</v>
      </c>
      <c r="X143" s="375">
        <v>0</v>
      </c>
      <c r="Y143" s="375"/>
      <c r="Z143" s="375"/>
      <c r="AA143" s="375">
        <v>58.14</v>
      </c>
      <c r="AB143" s="375"/>
      <c r="AC143" s="376">
        <f t="shared" si="41"/>
        <v>802.46999999999991</v>
      </c>
      <c r="AD143" s="385">
        <v>43670</v>
      </c>
      <c r="AE143" s="407" t="s">
        <v>82</v>
      </c>
      <c r="AF143" s="379" t="s">
        <v>120</v>
      </c>
    </row>
    <row r="144" spans="16:32" x14ac:dyDescent="0.2">
      <c r="P144" s="373" t="s">
        <v>3</v>
      </c>
      <c r="Q144" s="374" t="s">
        <v>77</v>
      </c>
      <c r="R144" s="375">
        <v>1074.8</v>
      </c>
      <c r="S144" s="375"/>
      <c r="T144" s="375">
        <v>50</v>
      </c>
      <c r="U144" s="375"/>
      <c r="V144" s="376">
        <f t="shared" si="40"/>
        <v>1074.8</v>
      </c>
      <c r="W144" s="375">
        <v>10.75</v>
      </c>
      <c r="X144" s="375"/>
      <c r="Y144" s="375"/>
      <c r="Z144" s="375"/>
      <c r="AA144" s="375">
        <v>76.3</v>
      </c>
      <c r="AB144" s="375"/>
      <c r="AC144" s="376">
        <f t="shared" si="41"/>
        <v>1037.75</v>
      </c>
      <c r="AD144" s="385">
        <v>43670</v>
      </c>
      <c r="AE144" s="407" t="s">
        <v>82</v>
      </c>
      <c r="AF144" s="379" t="s">
        <v>120</v>
      </c>
    </row>
    <row r="145" spans="1:33" x14ac:dyDescent="0.2">
      <c r="P145" s="373" t="s">
        <v>32</v>
      </c>
      <c r="Q145" s="374" t="s">
        <v>78</v>
      </c>
      <c r="R145" s="375">
        <v>954.8</v>
      </c>
      <c r="S145" s="375"/>
      <c r="T145" s="375">
        <v>100</v>
      </c>
      <c r="U145" s="375"/>
      <c r="V145" s="376">
        <f t="shared" si="40"/>
        <v>954.8</v>
      </c>
      <c r="W145" s="375">
        <v>9.5500000000000007</v>
      </c>
      <c r="X145" s="375"/>
      <c r="Y145" s="375"/>
      <c r="Z145" s="375"/>
      <c r="AA145" s="375">
        <v>67.78</v>
      </c>
      <c r="AB145" s="375"/>
      <c r="AC145" s="376">
        <f t="shared" si="41"/>
        <v>977.47</v>
      </c>
      <c r="AD145" s="385">
        <v>43670</v>
      </c>
      <c r="AE145" s="407" t="s">
        <v>82</v>
      </c>
      <c r="AF145" s="379" t="s">
        <v>120</v>
      </c>
    </row>
    <row r="146" spans="1:33" x14ac:dyDescent="0.2">
      <c r="P146" s="373" t="s">
        <v>75</v>
      </c>
      <c r="Q146" s="374" t="s">
        <v>79</v>
      </c>
      <c r="R146" s="375">
        <v>800</v>
      </c>
      <c r="S146" s="375"/>
      <c r="T146" s="375"/>
      <c r="U146" s="375"/>
      <c r="V146" s="376">
        <f t="shared" si="40"/>
        <v>800</v>
      </c>
      <c r="W146" s="375">
        <v>8</v>
      </c>
      <c r="X146" s="375"/>
      <c r="Y146" s="375"/>
      <c r="Z146" s="375"/>
      <c r="AA146" s="375"/>
      <c r="AB146" s="375"/>
      <c r="AC146" s="376">
        <f t="shared" si="41"/>
        <v>792</v>
      </c>
      <c r="AD146" s="385">
        <v>43670</v>
      </c>
      <c r="AE146" s="407" t="s">
        <v>82</v>
      </c>
      <c r="AF146" s="379" t="s">
        <v>120</v>
      </c>
    </row>
    <row r="147" spans="1:33" x14ac:dyDescent="0.2">
      <c r="P147" s="373" t="s">
        <v>86</v>
      </c>
      <c r="Q147" s="374" t="s">
        <v>106</v>
      </c>
      <c r="R147" s="375">
        <v>1000</v>
      </c>
      <c r="S147" s="375">
        <v>56.25</v>
      </c>
      <c r="T147" s="375"/>
      <c r="U147" s="375"/>
      <c r="V147" s="376">
        <f t="shared" si="40"/>
        <v>1056.25</v>
      </c>
      <c r="W147" s="375">
        <v>10.56</v>
      </c>
      <c r="X147" s="375"/>
      <c r="Y147" s="375"/>
      <c r="Z147" s="375"/>
      <c r="AA147" s="375"/>
      <c r="AB147" s="375"/>
      <c r="AC147" s="376">
        <f t="shared" si="41"/>
        <v>1045.69</v>
      </c>
      <c r="AD147" s="385">
        <v>43670</v>
      </c>
      <c r="AE147" s="407" t="s">
        <v>82</v>
      </c>
      <c r="AF147" s="379" t="s">
        <v>120</v>
      </c>
    </row>
    <row r="148" spans="1:33" x14ac:dyDescent="0.2">
      <c r="P148" s="373" t="s">
        <v>110</v>
      </c>
      <c r="Q148" s="374" t="s">
        <v>109</v>
      </c>
      <c r="R148" s="375">
        <v>800</v>
      </c>
      <c r="S148" s="375">
        <v>45</v>
      </c>
      <c r="T148" s="375"/>
      <c r="U148" s="375"/>
      <c r="V148" s="376">
        <f t="shared" si="40"/>
        <v>845</v>
      </c>
      <c r="W148" s="375">
        <v>8.4499999999999993</v>
      </c>
      <c r="X148" s="375"/>
      <c r="Y148" s="375"/>
      <c r="Z148" s="375"/>
      <c r="AA148" s="375"/>
      <c r="AB148" s="375"/>
      <c r="AC148" s="376">
        <f t="shared" si="41"/>
        <v>836.55</v>
      </c>
      <c r="AD148" s="385">
        <v>43670</v>
      </c>
      <c r="AE148" s="407" t="s">
        <v>82</v>
      </c>
      <c r="AF148" s="379" t="s">
        <v>120</v>
      </c>
    </row>
    <row r="149" spans="1:33" x14ac:dyDescent="0.2">
      <c r="P149" s="389" t="s">
        <v>25</v>
      </c>
      <c r="Q149" s="390" t="s">
        <v>68</v>
      </c>
      <c r="R149" s="375">
        <v>3415.2</v>
      </c>
      <c r="S149" s="375">
        <v>1280.7</v>
      </c>
      <c r="T149" s="375">
        <v>0</v>
      </c>
      <c r="U149" s="375">
        <v>0</v>
      </c>
      <c r="V149" s="376">
        <f t="shared" ref="V149:V155" si="42">R149+S149+U149</f>
        <v>4695.8999999999996</v>
      </c>
      <c r="W149" s="375">
        <v>29.74</v>
      </c>
      <c r="X149" s="375">
        <v>647</v>
      </c>
      <c r="Y149" s="375">
        <v>0</v>
      </c>
      <c r="Z149" s="375">
        <v>0</v>
      </c>
      <c r="AA149" s="375">
        <v>200.01</v>
      </c>
      <c r="AB149" s="375">
        <v>0</v>
      </c>
      <c r="AC149" s="376">
        <f t="shared" ref="AC149:AC155" si="43">R149+S149+T149-W149-X149-Y149-Z149-AA149-AB149</f>
        <v>3819.1499999999996</v>
      </c>
      <c r="AD149" s="385">
        <v>43677</v>
      </c>
      <c r="AE149" s="407" t="s">
        <v>83</v>
      </c>
      <c r="AF149" s="379" t="s">
        <v>120</v>
      </c>
    </row>
    <row r="150" spans="1:33" x14ac:dyDescent="0.2">
      <c r="P150" s="373" t="s">
        <v>26</v>
      </c>
      <c r="Q150" s="374" t="s">
        <v>76</v>
      </c>
      <c r="R150" s="375">
        <v>818.8</v>
      </c>
      <c r="S150" s="375"/>
      <c r="T150" s="375">
        <v>50</v>
      </c>
      <c r="U150" s="375">
        <v>0</v>
      </c>
      <c r="V150" s="376">
        <f t="shared" si="42"/>
        <v>818.8</v>
      </c>
      <c r="W150" s="375">
        <v>8.19</v>
      </c>
      <c r="X150" s="375">
        <v>0</v>
      </c>
      <c r="Y150" s="375"/>
      <c r="Z150" s="375"/>
      <c r="AA150" s="375">
        <v>58.14</v>
      </c>
      <c r="AB150" s="375"/>
      <c r="AC150" s="376">
        <f t="shared" si="43"/>
        <v>802.46999999999991</v>
      </c>
      <c r="AD150" s="385">
        <v>43677</v>
      </c>
      <c r="AE150" s="407" t="s">
        <v>83</v>
      </c>
      <c r="AF150" s="379" t="s">
        <v>120</v>
      </c>
    </row>
    <row r="151" spans="1:33" x14ac:dyDescent="0.2">
      <c r="P151" s="373" t="s">
        <v>3</v>
      </c>
      <c r="Q151" s="374" t="s">
        <v>77</v>
      </c>
      <c r="R151" s="375">
        <v>1074.8</v>
      </c>
      <c r="S151" s="375"/>
      <c r="T151" s="375">
        <v>50</v>
      </c>
      <c r="U151" s="375"/>
      <c r="V151" s="376">
        <f t="shared" si="42"/>
        <v>1074.8</v>
      </c>
      <c r="W151" s="375">
        <v>10.75</v>
      </c>
      <c r="X151" s="375"/>
      <c r="Y151" s="375"/>
      <c r="Z151" s="375"/>
      <c r="AA151" s="375">
        <v>76.3</v>
      </c>
      <c r="AB151" s="375"/>
      <c r="AC151" s="376">
        <f t="shared" si="43"/>
        <v>1037.75</v>
      </c>
      <c r="AD151" s="385">
        <v>43677</v>
      </c>
      <c r="AE151" s="407" t="s">
        <v>83</v>
      </c>
      <c r="AF151" s="379" t="s">
        <v>120</v>
      </c>
    </row>
    <row r="152" spans="1:33" x14ac:dyDescent="0.2">
      <c r="P152" s="373" t="s">
        <v>32</v>
      </c>
      <c r="Q152" s="374" t="s">
        <v>78</v>
      </c>
      <c r="R152" s="375">
        <v>954.8</v>
      </c>
      <c r="S152" s="375"/>
      <c r="T152" s="375">
        <v>100</v>
      </c>
      <c r="U152" s="375"/>
      <c r="V152" s="376">
        <f t="shared" si="42"/>
        <v>954.8</v>
      </c>
      <c r="W152" s="375">
        <v>9.5500000000000007</v>
      </c>
      <c r="X152" s="375"/>
      <c r="Y152" s="375"/>
      <c r="Z152" s="375"/>
      <c r="AA152" s="375">
        <v>67.78</v>
      </c>
      <c r="AB152" s="375"/>
      <c r="AC152" s="376">
        <f t="shared" si="43"/>
        <v>977.47</v>
      </c>
      <c r="AD152" s="385">
        <v>43677</v>
      </c>
      <c r="AE152" s="407" t="s">
        <v>83</v>
      </c>
      <c r="AF152" s="379" t="s">
        <v>120</v>
      </c>
    </row>
    <row r="153" spans="1:33" x14ac:dyDescent="0.2">
      <c r="P153" s="373" t="s">
        <v>75</v>
      </c>
      <c r="Q153" s="374" t="s">
        <v>79</v>
      </c>
      <c r="R153" s="375">
        <v>800</v>
      </c>
      <c r="S153" s="375"/>
      <c r="T153" s="375"/>
      <c r="U153" s="375"/>
      <c r="V153" s="376">
        <f t="shared" si="42"/>
        <v>800</v>
      </c>
      <c r="W153" s="375">
        <v>8</v>
      </c>
      <c r="X153" s="375"/>
      <c r="Y153" s="375"/>
      <c r="Z153" s="375"/>
      <c r="AA153" s="375"/>
      <c r="AB153" s="375"/>
      <c r="AC153" s="376">
        <f t="shared" si="43"/>
        <v>792</v>
      </c>
      <c r="AD153" s="385">
        <v>43677</v>
      </c>
      <c r="AE153" s="407" t="s">
        <v>83</v>
      </c>
      <c r="AF153" s="379" t="s">
        <v>120</v>
      </c>
    </row>
    <row r="154" spans="1:33" x14ac:dyDescent="0.2">
      <c r="O154" s="180"/>
      <c r="P154" s="373" t="s">
        <v>86</v>
      </c>
      <c r="Q154" s="374" t="s">
        <v>106</v>
      </c>
      <c r="R154" s="375">
        <v>1000</v>
      </c>
      <c r="S154" s="375">
        <v>93.75</v>
      </c>
      <c r="T154" s="375"/>
      <c r="U154" s="375"/>
      <c r="V154" s="376">
        <f t="shared" si="42"/>
        <v>1093.75</v>
      </c>
      <c r="W154" s="375">
        <v>10.94</v>
      </c>
      <c r="X154" s="375"/>
      <c r="Y154" s="375"/>
      <c r="Z154" s="375"/>
      <c r="AA154" s="375"/>
      <c r="AB154" s="375"/>
      <c r="AC154" s="376">
        <f t="shared" si="43"/>
        <v>1082.81</v>
      </c>
      <c r="AD154" s="385">
        <v>43677</v>
      </c>
      <c r="AE154" s="407" t="s">
        <v>83</v>
      </c>
      <c r="AF154" s="379" t="s">
        <v>120</v>
      </c>
    </row>
    <row r="155" spans="1:33" x14ac:dyDescent="0.2">
      <c r="O155" s="180"/>
      <c r="P155" s="373" t="s">
        <v>110</v>
      </c>
      <c r="Q155" s="374" t="s">
        <v>109</v>
      </c>
      <c r="R155" s="375">
        <v>800</v>
      </c>
      <c r="S155" s="375"/>
      <c r="T155" s="375"/>
      <c r="U155" s="375"/>
      <c r="V155" s="376">
        <f t="shared" si="42"/>
        <v>800</v>
      </c>
      <c r="W155" s="375">
        <v>8</v>
      </c>
      <c r="X155" s="375"/>
      <c r="Y155" s="375"/>
      <c r="Z155" s="375"/>
      <c r="AA155" s="375"/>
      <c r="AB155" s="375">
        <v>200</v>
      </c>
      <c r="AC155" s="376">
        <f t="shared" si="43"/>
        <v>592</v>
      </c>
      <c r="AD155" s="385">
        <v>43677</v>
      </c>
      <c r="AE155" s="407" t="s">
        <v>83</v>
      </c>
      <c r="AF155" s="379" t="s">
        <v>120</v>
      </c>
    </row>
    <row r="156" spans="1:33" s="180" customFormat="1" x14ac:dyDescent="0.2">
      <c r="A156" s="345"/>
      <c r="C156" s="321"/>
      <c r="D156" s="321"/>
      <c r="E156" s="321"/>
      <c r="F156" s="321"/>
      <c r="G156" s="321"/>
      <c r="H156" s="321"/>
      <c r="I156" s="321"/>
      <c r="J156" s="321"/>
      <c r="K156" s="321"/>
      <c r="L156" s="321"/>
      <c r="M156" s="321"/>
      <c r="N156" s="321"/>
      <c r="P156" s="373" t="s">
        <v>8</v>
      </c>
      <c r="Q156" s="392" t="s">
        <v>111</v>
      </c>
      <c r="R156" s="376">
        <v>13535</v>
      </c>
      <c r="S156" s="376"/>
      <c r="T156" s="376"/>
      <c r="U156" s="376">
        <v>5162</v>
      </c>
      <c r="V156" s="376">
        <f t="shared" ref="V156:V158" si="44">R156+S156+U156</f>
        <v>18697</v>
      </c>
      <c r="W156" s="376">
        <v>0</v>
      </c>
      <c r="X156" s="376">
        <v>2364</v>
      </c>
      <c r="Y156" s="376">
        <v>-829</v>
      </c>
      <c r="Z156" s="376"/>
      <c r="AA156" s="376"/>
      <c r="AB156" s="376"/>
      <c r="AC156" s="376">
        <f t="shared" ref="AC156:AC158" si="45">R156+S156+T156-W156-X156-Y156-Z156-AA156-AB156</f>
        <v>12000</v>
      </c>
      <c r="AD156" s="393" t="s">
        <v>141</v>
      </c>
      <c r="AE156" s="394"/>
      <c r="AF156" s="395"/>
      <c r="AG156" s="321"/>
    </row>
    <row r="157" spans="1:33" s="180" customFormat="1" x14ac:dyDescent="0.2">
      <c r="A157" s="345"/>
      <c r="C157" s="321"/>
      <c r="D157" s="321"/>
      <c r="E157" s="321"/>
      <c r="F157" s="321"/>
      <c r="G157" s="321"/>
      <c r="H157" s="321"/>
      <c r="I157" s="321"/>
      <c r="J157" s="321"/>
      <c r="K157" s="321"/>
      <c r="L157" s="321"/>
      <c r="M157" s="321"/>
      <c r="N157" s="321"/>
      <c r="O157" s="78"/>
      <c r="P157" s="373" t="s">
        <v>27</v>
      </c>
      <c r="Q157" s="392" t="s">
        <v>112</v>
      </c>
      <c r="R157" s="375">
        <v>13343</v>
      </c>
      <c r="S157" s="375"/>
      <c r="T157" s="375"/>
      <c r="U157" s="375">
        <v>2400</v>
      </c>
      <c r="V157" s="376">
        <f t="shared" si="44"/>
        <v>15743</v>
      </c>
      <c r="W157" s="375">
        <v>0</v>
      </c>
      <c r="X157" s="375">
        <v>1653</v>
      </c>
      <c r="Y157" s="375">
        <v>-310</v>
      </c>
      <c r="Z157" s="375"/>
      <c r="AA157" s="375"/>
      <c r="AB157" s="375"/>
      <c r="AC157" s="376">
        <f t="shared" si="45"/>
        <v>12000</v>
      </c>
      <c r="AD157" s="393" t="s">
        <v>141</v>
      </c>
      <c r="AE157" s="394"/>
      <c r="AF157" s="395"/>
      <c r="AG157" s="321"/>
    </row>
    <row r="158" spans="1:33" s="180" customFormat="1" ht="13.5" thickBot="1" x14ac:dyDescent="0.25">
      <c r="A158" s="345"/>
      <c r="C158" s="321"/>
      <c r="D158" s="321"/>
      <c r="E158" s="321"/>
      <c r="F158" s="321"/>
      <c r="G158" s="321"/>
      <c r="H158" s="321"/>
      <c r="I158" s="321"/>
      <c r="J158" s="321"/>
      <c r="K158" s="321"/>
      <c r="L158" s="321"/>
      <c r="M158" s="321"/>
      <c r="N158" s="321"/>
      <c r="O158" s="78"/>
      <c r="P158" s="396" t="s">
        <v>6</v>
      </c>
      <c r="Q158" s="397" t="s">
        <v>113</v>
      </c>
      <c r="R158" s="380">
        <v>11713.13</v>
      </c>
      <c r="S158" s="380"/>
      <c r="T158" s="380"/>
      <c r="U158" s="380">
        <v>2100</v>
      </c>
      <c r="V158" s="398">
        <f t="shared" si="44"/>
        <v>13813.13</v>
      </c>
      <c r="W158" s="380">
        <v>138.13</v>
      </c>
      <c r="X158" s="380">
        <v>1304</v>
      </c>
      <c r="Y158" s="380">
        <v>-829</v>
      </c>
      <c r="Z158" s="380">
        <v>2100</v>
      </c>
      <c r="AA158" s="380"/>
      <c r="AB158" s="380"/>
      <c r="AC158" s="398">
        <f t="shared" si="45"/>
        <v>9000</v>
      </c>
      <c r="AD158" s="399" t="s">
        <v>141</v>
      </c>
      <c r="AE158" s="400"/>
      <c r="AF158" s="401"/>
      <c r="AG158" s="321"/>
    </row>
    <row r="159" spans="1:33" x14ac:dyDescent="0.2">
      <c r="P159" s="357" t="s">
        <v>25</v>
      </c>
      <c r="Q159" s="84" t="s">
        <v>68</v>
      </c>
      <c r="R159" s="88">
        <v>3415.2</v>
      </c>
      <c r="S159" s="88">
        <v>1344.74</v>
      </c>
      <c r="T159" s="88">
        <v>490</v>
      </c>
      <c r="U159" s="88">
        <v>572.75</v>
      </c>
      <c r="V159" s="88">
        <f t="shared" ref="V159:V165" si="46">R159+S159+U159</f>
        <v>5332.69</v>
      </c>
      <c r="W159" s="88">
        <v>29.74</v>
      </c>
      <c r="X159" s="88">
        <v>664</v>
      </c>
      <c r="Y159" s="88">
        <v>-155</v>
      </c>
      <c r="Z159" s="88">
        <v>572.75</v>
      </c>
      <c r="AA159" s="88">
        <v>200.01</v>
      </c>
      <c r="AB159" s="88">
        <v>1125</v>
      </c>
      <c r="AC159" s="88">
        <f t="shared" ref="AC159:AC165" si="47">R159+S159+T159-W159-X159-Y159-Z159-AA159-AB159</f>
        <v>2813.4399999999996</v>
      </c>
      <c r="AD159" s="105">
        <v>43684</v>
      </c>
      <c r="AE159" s="404" t="s">
        <v>84</v>
      </c>
      <c r="AF159" s="360" t="s">
        <v>122</v>
      </c>
    </row>
    <row r="160" spans="1:33" x14ac:dyDescent="0.2">
      <c r="P160" s="99" t="s">
        <v>26</v>
      </c>
      <c r="Q160" s="82" t="s">
        <v>76</v>
      </c>
      <c r="R160" s="89">
        <v>818.8</v>
      </c>
      <c r="S160" s="89">
        <v>15.35</v>
      </c>
      <c r="T160" s="89">
        <v>50</v>
      </c>
      <c r="U160" s="89">
        <v>0</v>
      </c>
      <c r="V160" s="88">
        <f t="shared" si="46"/>
        <v>834.15</v>
      </c>
      <c r="W160" s="89">
        <v>8.34</v>
      </c>
      <c r="X160" s="89">
        <v>0</v>
      </c>
      <c r="Y160" s="89"/>
      <c r="Z160" s="89"/>
      <c r="AA160" s="89">
        <v>58.14</v>
      </c>
      <c r="AB160" s="89">
        <v>200</v>
      </c>
      <c r="AC160" s="88">
        <f t="shared" si="47"/>
        <v>617.66999999999996</v>
      </c>
      <c r="AD160" s="106">
        <v>43684</v>
      </c>
      <c r="AE160" s="131" t="s">
        <v>84</v>
      </c>
      <c r="AF160" s="360" t="s">
        <v>122</v>
      </c>
    </row>
    <row r="161" spans="16:32" x14ac:dyDescent="0.2">
      <c r="P161" s="99" t="s">
        <v>3</v>
      </c>
      <c r="Q161" s="82" t="s">
        <v>77</v>
      </c>
      <c r="R161" s="89">
        <v>1074.8</v>
      </c>
      <c r="S161" s="89"/>
      <c r="T161" s="89">
        <v>50</v>
      </c>
      <c r="U161" s="89"/>
      <c r="V161" s="88">
        <f t="shared" si="46"/>
        <v>1074.8</v>
      </c>
      <c r="W161" s="89">
        <v>10.75</v>
      </c>
      <c r="X161" s="89"/>
      <c r="Y161" s="89"/>
      <c r="Z161" s="89"/>
      <c r="AA161" s="89">
        <v>76.3</v>
      </c>
      <c r="AB161" s="89"/>
      <c r="AC161" s="88">
        <f t="shared" si="47"/>
        <v>1037.75</v>
      </c>
      <c r="AD161" s="106">
        <v>43684</v>
      </c>
      <c r="AE161" s="131" t="s">
        <v>84</v>
      </c>
      <c r="AF161" s="360" t="s">
        <v>122</v>
      </c>
    </row>
    <row r="162" spans="16:32" x14ac:dyDescent="0.2">
      <c r="P162" s="99" t="s">
        <v>32</v>
      </c>
      <c r="Q162" s="82" t="s">
        <v>78</v>
      </c>
      <c r="R162" s="89">
        <v>954.8</v>
      </c>
      <c r="S162" s="89"/>
      <c r="T162" s="89">
        <v>100</v>
      </c>
      <c r="U162" s="89"/>
      <c r="V162" s="88">
        <f t="shared" si="46"/>
        <v>954.8</v>
      </c>
      <c r="W162" s="89">
        <v>9.5500000000000007</v>
      </c>
      <c r="X162" s="89"/>
      <c r="Y162" s="89"/>
      <c r="Z162" s="89"/>
      <c r="AA162" s="89">
        <v>67.78</v>
      </c>
      <c r="AB162" s="89"/>
      <c r="AC162" s="88">
        <f t="shared" si="47"/>
        <v>977.47</v>
      </c>
      <c r="AD162" s="106">
        <v>43684</v>
      </c>
      <c r="AE162" s="131" t="s">
        <v>84</v>
      </c>
      <c r="AF162" s="360" t="s">
        <v>122</v>
      </c>
    </row>
    <row r="163" spans="16:32" x14ac:dyDescent="0.2">
      <c r="P163" s="99" t="s">
        <v>75</v>
      </c>
      <c r="Q163" s="82" t="s">
        <v>79</v>
      </c>
      <c r="R163" s="89">
        <v>800</v>
      </c>
      <c r="S163" s="89"/>
      <c r="T163" s="89"/>
      <c r="U163" s="89"/>
      <c r="V163" s="88">
        <f t="shared" si="46"/>
        <v>800</v>
      </c>
      <c r="W163" s="89">
        <v>8</v>
      </c>
      <c r="X163" s="89"/>
      <c r="Y163" s="89"/>
      <c r="Z163" s="89"/>
      <c r="AA163" s="89"/>
      <c r="AB163" s="89"/>
      <c r="AC163" s="88">
        <f t="shared" si="47"/>
        <v>792</v>
      </c>
      <c r="AD163" s="106">
        <v>43684</v>
      </c>
      <c r="AE163" s="131" t="s">
        <v>84</v>
      </c>
      <c r="AF163" s="360" t="s">
        <v>122</v>
      </c>
    </row>
    <row r="164" spans="16:32" x14ac:dyDescent="0.2">
      <c r="P164" s="99" t="s">
        <v>86</v>
      </c>
      <c r="Q164" s="82" t="s">
        <v>106</v>
      </c>
      <c r="R164" s="89">
        <v>1000</v>
      </c>
      <c r="S164" s="89"/>
      <c r="T164" s="89"/>
      <c r="U164" s="89"/>
      <c r="V164" s="88">
        <f t="shared" si="46"/>
        <v>1000</v>
      </c>
      <c r="W164" s="89">
        <v>10</v>
      </c>
      <c r="X164" s="89"/>
      <c r="Y164" s="89"/>
      <c r="Z164" s="89"/>
      <c r="AA164" s="89"/>
      <c r="AB164" s="89"/>
      <c r="AC164" s="88">
        <f t="shared" si="47"/>
        <v>990</v>
      </c>
      <c r="AD164" s="106">
        <v>43684</v>
      </c>
      <c r="AE164" s="131" t="s">
        <v>84</v>
      </c>
      <c r="AF164" s="360" t="s">
        <v>122</v>
      </c>
    </row>
    <row r="165" spans="16:32" x14ac:dyDescent="0.2">
      <c r="P165" s="99" t="s">
        <v>110</v>
      </c>
      <c r="Q165" s="82" t="s">
        <v>109</v>
      </c>
      <c r="R165" s="89">
        <v>800</v>
      </c>
      <c r="S165" s="89"/>
      <c r="T165" s="89"/>
      <c r="U165" s="89"/>
      <c r="V165" s="88">
        <f t="shared" si="46"/>
        <v>800</v>
      </c>
      <c r="W165" s="89">
        <v>8</v>
      </c>
      <c r="X165" s="89"/>
      <c r="Y165" s="89"/>
      <c r="Z165" s="89"/>
      <c r="AA165" s="89"/>
      <c r="AB165" s="89">
        <v>200</v>
      </c>
      <c r="AC165" s="88">
        <f t="shared" si="47"/>
        <v>592</v>
      </c>
      <c r="AD165" s="106">
        <v>43684</v>
      </c>
      <c r="AE165" s="131" t="s">
        <v>84</v>
      </c>
      <c r="AF165" s="360" t="s">
        <v>122</v>
      </c>
    </row>
    <row r="166" spans="16:32" x14ac:dyDescent="0.2">
      <c r="P166" s="357" t="s">
        <v>25</v>
      </c>
      <c r="Q166" s="84" t="s">
        <v>68</v>
      </c>
      <c r="R166" s="89">
        <v>4098.24</v>
      </c>
      <c r="S166" s="89">
        <v>1024.56</v>
      </c>
      <c r="T166" s="89">
        <v>490</v>
      </c>
      <c r="U166" s="89">
        <v>572.75</v>
      </c>
      <c r="V166" s="88">
        <f t="shared" ref="V166:V173" si="48">R166+S166+U166</f>
        <v>5695.5499999999993</v>
      </c>
      <c r="W166" s="89">
        <v>29.74</v>
      </c>
      <c r="X166" s="89">
        <v>756</v>
      </c>
      <c r="Y166" s="89">
        <v>-155</v>
      </c>
      <c r="Z166" s="89">
        <v>572.75</v>
      </c>
      <c r="AA166" s="89">
        <v>200.01</v>
      </c>
      <c r="AB166" s="89">
        <v>1125</v>
      </c>
      <c r="AC166" s="88">
        <f t="shared" ref="AC166:AC173" si="49">R166+S166+T166-W166-X166-Y166-Z166-AA166-AB166</f>
        <v>3084.2999999999993</v>
      </c>
      <c r="AD166" s="106">
        <v>43691</v>
      </c>
      <c r="AE166" s="167" t="s">
        <v>85</v>
      </c>
      <c r="AF166" s="360" t="s">
        <v>122</v>
      </c>
    </row>
    <row r="167" spans="16:32" x14ac:dyDescent="0.2">
      <c r="P167" s="99" t="s">
        <v>26</v>
      </c>
      <c r="Q167" s="82" t="s">
        <v>76</v>
      </c>
      <c r="R167" s="89">
        <v>818.8</v>
      </c>
      <c r="S167" s="89"/>
      <c r="T167" s="89">
        <v>50</v>
      </c>
      <c r="U167" s="89">
        <v>0</v>
      </c>
      <c r="V167" s="88">
        <f t="shared" si="48"/>
        <v>818.8</v>
      </c>
      <c r="W167" s="89">
        <v>8.19</v>
      </c>
      <c r="X167" s="89">
        <v>0</v>
      </c>
      <c r="Y167" s="89"/>
      <c r="Z167" s="89"/>
      <c r="AA167" s="89">
        <v>58.14</v>
      </c>
      <c r="AB167" s="89"/>
      <c r="AC167" s="88">
        <f t="shared" si="49"/>
        <v>802.46999999999991</v>
      </c>
      <c r="AD167" s="106">
        <v>43691</v>
      </c>
      <c r="AE167" s="167" t="s">
        <v>85</v>
      </c>
      <c r="AF167" s="360" t="s">
        <v>122</v>
      </c>
    </row>
    <row r="168" spans="16:32" x14ac:dyDescent="0.2">
      <c r="P168" s="99" t="s">
        <v>3</v>
      </c>
      <c r="Q168" s="82" t="s">
        <v>77</v>
      </c>
      <c r="R168" s="89">
        <v>1074.8</v>
      </c>
      <c r="S168" s="89"/>
      <c r="T168" s="89">
        <v>50</v>
      </c>
      <c r="U168" s="89"/>
      <c r="V168" s="88">
        <f t="shared" si="48"/>
        <v>1074.8</v>
      </c>
      <c r="W168" s="89">
        <v>10.75</v>
      </c>
      <c r="X168" s="89"/>
      <c r="Y168" s="89"/>
      <c r="Z168" s="89"/>
      <c r="AA168" s="89">
        <v>76.3</v>
      </c>
      <c r="AB168" s="89"/>
      <c r="AC168" s="88">
        <f t="shared" si="49"/>
        <v>1037.75</v>
      </c>
      <c r="AD168" s="106">
        <v>43691</v>
      </c>
      <c r="AE168" s="167" t="s">
        <v>85</v>
      </c>
      <c r="AF168" s="360" t="s">
        <v>122</v>
      </c>
    </row>
    <row r="169" spans="16:32" x14ac:dyDescent="0.2">
      <c r="P169" s="99" t="s">
        <v>32</v>
      </c>
      <c r="Q169" s="82" t="s">
        <v>78</v>
      </c>
      <c r="R169" s="89">
        <v>954.8</v>
      </c>
      <c r="S169" s="89"/>
      <c r="T169" s="89">
        <v>100</v>
      </c>
      <c r="U169" s="89"/>
      <c r="V169" s="88">
        <f t="shared" si="48"/>
        <v>954.8</v>
      </c>
      <c r="W169" s="89">
        <v>9.5500000000000007</v>
      </c>
      <c r="X169" s="89"/>
      <c r="Y169" s="89"/>
      <c r="Z169" s="89"/>
      <c r="AA169" s="89">
        <v>67.78</v>
      </c>
      <c r="AB169" s="89"/>
      <c r="AC169" s="88">
        <f t="shared" si="49"/>
        <v>977.47</v>
      </c>
      <c r="AD169" s="106">
        <v>43691</v>
      </c>
      <c r="AE169" s="167" t="s">
        <v>85</v>
      </c>
      <c r="AF169" s="360" t="s">
        <v>122</v>
      </c>
    </row>
    <row r="170" spans="16:32" x14ac:dyDescent="0.2">
      <c r="P170" s="99" t="s">
        <v>75</v>
      </c>
      <c r="Q170" s="82" t="s">
        <v>79</v>
      </c>
      <c r="R170" s="89">
        <v>800</v>
      </c>
      <c r="S170" s="89"/>
      <c r="T170" s="89"/>
      <c r="U170" s="89"/>
      <c r="V170" s="88">
        <f t="shared" si="48"/>
        <v>800</v>
      </c>
      <c r="W170" s="89">
        <v>8</v>
      </c>
      <c r="X170" s="89"/>
      <c r="Y170" s="89"/>
      <c r="Z170" s="89"/>
      <c r="AA170" s="89"/>
      <c r="AB170" s="89"/>
      <c r="AC170" s="88">
        <f t="shared" si="49"/>
        <v>792</v>
      </c>
      <c r="AD170" s="106">
        <v>43691</v>
      </c>
      <c r="AE170" s="167" t="s">
        <v>85</v>
      </c>
      <c r="AF170" s="360" t="s">
        <v>122</v>
      </c>
    </row>
    <row r="171" spans="16:32" x14ac:dyDescent="0.2">
      <c r="P171" s="99" t="s">
        <v>48</v>
      </c>
      <c r="Q171" s="82" t="s">
        <v>80</v>
      </c>
      <c r="R171" s="89">
        <v>1000</v>
      </c>
      <c r="S171" s="89"/>
      <c r="T171" s="89"/>
      <c r="U171" s="89"/>
      <c r="V171" s="88">
        <f t="shared" si="48"/>
        <v>1000</v>
      </c>
      <c r="W171" s="89">
        <v>10</v>
      </c>
      <c r="X171" s="89"/>
      <c r="Y171" s="89"/>
      <c r="Z171" s="89"/>
      <c r="AA171" s="89"/>
      <c r="AB171" s="89"/>
      <c r="AC171" s="88">
        <f t="shared" si="49"/>
        <v>990</v>
      </c>
      <c r="AD171" s="106">
        <v>43691</v>
      </c>
      <c r="AE171" s="167" t="s">
        <v>85</v>
      </c>
      <c r="AF171" s="360" t="s">
        <v>122</v>
      </c>
    </row>
    <row r="172" spans="16:32" x14ac:dyDescent="0.2">
      <c r="P172" s="99" t="s">
        <v>86</v>
      </c>
      <c r="Q172" s="82" t="s">
        <v>106</v>
      </c>
      <c r="R172" s="89">
        <v>1000</v>
      </c>
      <c r="S172" s="89"/>
      <c r="T172" s="89"/>
      <c r="U172" s="89"/>
      <c r="V172" s="88">
        <f t="shared" si="48"/>
        <v>1000</v>
      </c>
      <c r="W172" s="89">
        <v>10</v>
      </c>
      <c r="X172" s="89"/>
      <c r="Y172" s="89"/>
      <c r="Z172" s="89"/>
      <c r="AA172" s="89"/>
      <c r="AB172" s="89"/>
      <c r="AC172" s="88">
        <f t="shared" si="49"/>
        <v>990</v>
      </c>
      <c r="AD172" s="106">
        <v>43691</v>
      </c>
      <c r="AE172" s="167" t="s">
        <v>85</v>
      </c>
      <c r="AF172" s="360" t="s">
        <v>122</v>
      </c>
    </row>
    <row r="173" spans="16:32" x14ac:dyDescent="0.2">
      <c r="P173" s="99" t="s">
        <v>110</v>
      </c>
      <c r="Q173" s="82" t="s">
        <v>109</v>
      </c>
      <c r="R173" s="89">
        <v>800</v>
      </c>
      <c r="S173" s="89"/>
      <c r="T173" s="89"/>
      <c r="U173" s="89"/>
      <c r="V173" s="88">
        <f t="shared" si="48"/>
        <v>800</v>
      </c>
      <c r="W173" s="89">
        <v>8</v>
      </c>
      <c r="X173" s="89"/>
      <c r="Y173" s="89"/>
      <c r="Z173" s="89"/>
      <c r="AA173" s="89"/>
      <c r="AB173" s="89">
        <v>200</v>
      </c>
      <c r="AC173" s="88">
        <f t="shared" si="49"/>
        <v>592</v>
      </c>
      <c r="AD173" s="106">
        <v>43691</v>
      </c>
      <c r="AE173" s="167" t="s">
        <v>85</v>
      </c>
      <c r="AF173" s="360" t="s">
        <v>122</v>
      </c>
    </row>
    <row r="174" spans="16:32" x14ac:dyDescent="0.2">
      <c r="P174" s="357" t="s">
        <v>25</v>
      </c>
      <c r="Q174" s="84" t="s">
        <v>68</v>
      </c>
      <c r="R174" s="89">
        <v>3415.2</v>
      </c>
      <c r="S174" s="89">
        <v>1216.67</v>
      </c>
      <c r="T174" s="89">
        <v>490</v>
      </c>
      <c r="U174" s="89">
        <v>572.75</v>
      </c>
      <c r="V174" s="88">
        <f t="shared" ref="V174:V181" si="50">R174+S174+U174</f>
        <v>5204.62</v>
      </c>
      <c r="W174" s="89">
        <v>29.74</v>
      </c>
      <c r="X174" s="89">
        <v>630</v>
      </c>
      <c r="Y174" s="89">
        <v>-155</v>
      </c>
      <c r="Z174" s="89">
        <v>572.75</v>
      </c>
      <c r="AA174" s="89">
        <v>200.01</v>
      </c>
      <c r="AB174" s="89">
        <v>1125</v>
      </c>
      <c r="AC174" s="88">
        <f t="shared" ref="AC174:AC181" si="51">R174+S174+T174-W174-X174-Y174-Z174-AA174-AB174</f>
        <v>2719.37</v>
      </c>
      <c r="AD174" s="106">
        <v>43698</v>
      </c>
      <c r="AE174" s="134" t="s">
        <v>144</v>
      </c>
      <c r="AF174" s="360" t="s">
        <v>122</v>
      </c>
    </row>
    <row r="175" spans="16:32" x14ac:dyDescent="0.2">
      <c r="P175" s="99" t="s">
        <v>26</v>
      </c>
      <c r="Q175" s="82" t="s">
        <v>76</v>
      </c>
      <c r="R175" s="89">
        <v>818.8</v>
      </c>
      <c r="S175" s="89"/>
      <c r="T175" s="89">
        <v>50</v>
      </c>
      <c r="U175" s="89">
        <v>0</v>
      </c>
      <c r="V175" s="88">
        <f t="shared" si="50"/>
        <v>818.8</v>
      </c>
      <c r="W175" s="89">
        <v>8.19</v>
      </c>
      <c r="X175" s="89">
        <v>0</v>
      </c>
      <c r="Y175" s="89"/>
      <c r="Z175" s="89"/>
      <c r="AA175" s="89">
        <v>58.14</v>
      </c>
      <c r="AB175" s="89">
        <v>200</v>
      </c>
      <c r="AC175" s="88">
        <f t="shared" si="51"/>
        <v>602.46999999999991</v>
      </c>
      <c r="AD175" s="106">
        <v>43698</v>
      </c>
      <c r="AE175" s="134" t="s">
        <v>144</v>
      </c>
      <c r="AF175" s="360" t="s">
        <v>122</v>
      </c>
    </row>
    <row r="176" spans="16:32" x14ac:dyDescent="0.2">
      <c r="P176" s="99" t="s">
        <v>3</v>
      </c>
      <c r="Q176" s="82" t="s">
        <v>77</v>
      </c>
      <c r="R176" s="89">
        <v>1074.8</v>
      </c>
      <c r="S176" s="89"/>
      <c r="T176" s="89">
        <v>50</v>
      </c>
      <c r="U176" s="89"/>
      <c r="V176" s="88">
        <f t="shared" si="50"/>
        <v>1074.8</v>
      </c>
      <c r="W176" s="89">
        <v>10.75</v>
      </c>
      <c r="X176" s="89"/>
      <c r="Y176" s="89"/>
      <c r="Z176" s="89"/>
      <c r="AA176" s="89">
        <v>76.3</v>
      </c>
      <c r="AB176" s="89"/>
      <c r="AC176" s="88">
        <f t="shared" si="51"/>
        <v>1037.75</v>
      </c>
      <c r="AD176" s="106">
        <v>43698</v>
      </c>
      <c r="AE176" s="134" t="s">
        <v>144</v>
      </c>
      <c r="AF176" s="360" t="s">
        <v>122</v>
      </c>
    </row>
    <row r="177" spans="1:33" x14ac:dyDescent="0.2">
      <c r="P177" s="99" t="s">
        <v>32</v>
      </c>
      <c r="Q177" s="82" t="s">
        <v>78</v>
      </c>
      <c r="R177" s="89">
        <v>954.8</v>
      </c>
      <c r="S177" s="89"/>
      <c r="T177" s="89">
        <v>100</v>
      </c>
      <c r="U177" s="89"/>
      <c r="V177" s="88">
        <f t="shared" si="50"/>
        <v>954.8</v>
      </c>
      <c r="W177" s="89">
        <v>9.5500000000000007</v>
      </c>
      <c r="X177" s="89"/>
      <c r="Y177" s="89"/>
      <c r="Z177" s="89"/>
      <c r="AA177" s="89">
        <v>67.78</v>
      </c>
      <c r="AB177" s="89"/>
      <c r="AC177" s="88">
        <f t="shared" si="51"/>
        <v>977.47</v>
      </c>
      <c r="AD177" s="106">
        <v>43698</v>
      </c>
      <c r="AE177" s="134" t="s">
        <v>144</v>
      </c>
      <c r="AF177" s="360" t="s">
        <v>122</v>
      </c>
    </row>
    <row r="178" spans="1:33" x14ac:dyDescent="0.2">
      <c r="P178" s="99" t="s">
        <v>75</v>
      </c>
      <c r="Q178" s="82" t="s">
        <v>79</v>
      </c>
      <c r="R178" s="89">
        <v>800</v>
      </c>
      <c r="S178" s="89"/>
      <c r="T178" s="89"/>
      <c r="U178" s="89"/>
      <c r="V178" s="88">
        <f t="shared" si="50"/>
        <v>800</v>
      </c>
      <c r="W178" s="89">
        <v>8</v>
      </c>
      <c r="X178" s="89"/>
      <c r="Y178" s="89"/>
      <c r="Z178" s="89"/>
      <c r="AA178" s="89"/>
      <c r="AB178" s="89"/>
      <c r="AC178" s="88">
        <f t="shared" si="51"/>
        <v>792</v>
      </c>
      <c r="AD178" s="106">
        <v>43698</v>
      </c>
      <c r="AE178" s="134" t="s">
        <v>144</v>
      </c>
      <c r="AF178" s="360" t="s">
        <v>122</v>
      </c>
    </row>
    <row r="179" spans="1:33" x14ac:dyDescent="0.2">
      <c r="P179" s="99" t="s">
        <v>86</v>
      </c>
      <c r="Q179" s="82" t="s">
        <v>106</v>
      </c>
      <c r="R179" s="89">
        <v>1000</v>
      </c>
      <c r="S179" s="89">
        <v>356.25</v>
      </c>
      <c r="T179" s="89"/>
      <c r="U179" s="89"/>
      <c r="V179" s="88">
        <f t="shared" si="50"/>
        <v>1356.25</v>
      </c>
      <c r="W179" s="89">
        <v>13.56</v>
      </c>
      <c r="X179" s="89"/>
      <c r="Y179" s="89"/>
      <c r="Z179" s="89"/>
      <c r="AA179" s="89"/>
      <c r="AB179" s="89"/>
      <c r="AC179" s="88">
        <f t="shared" si="51"/>
        <v>1342.69</v>
      </c>
      <c r="AD179" s="106">
        <v>43698</v>
      </c>
      <c r="AE179" s="134" t="s">
        <v>144</v>
      </c>
      <c r="AF179" s="360" t="s">
        <v>122</v>
      </c>
    </row>
    <row r="180" spans="1:33" x14ac:dyDescent="0.2">
      <c r="P180" s="99" t="s">
        <v>107</v>
      </c>
      <c r="Q180" s="82" t="s">
        <v>108</v>
      </c>
      <c r="R180" s="89">
        <v>800</v>
      </c>
      <c r="S180" s="89">
        <v>37.5</v>
      </c>
      <c r="T180" s="89"/>
      <c r="U180" s="89"/>
      <c r="V180" s="88">
        <f t="shared" si="50"/>
        <v>837.5</v>
      </c>
      <c r="W180" s="89">
        <v>8.375</v>
      </c>
      <c r="X180" s="89"/>
      <c r="Y180" s="89"/>
      <c r="Z180" s="89"/>
      <c r="AA180" s="89"/>
      <c r="AB180" s="89"/>
      <c r="AC180" s="88">
        <f t="shared" si="51"/>
        <v>829.125</v>
      </c>
      <c r="AD180" s="106">
        <v>43691</v>
      </c>
      <c r="AE180" s="134" t="s">
        <v>144</v>
      </c>
      <c r="AF180" s="360" t="s">
        <v>122</v>
      </c>
    </row>
    <row r="181" spans="1:33" x14ac:dyDescent="0.2">
      <c r="P181" s="99" t="s">
        <v>110</v>
      </c>
      <c r="Q181" s="82" t="s">
        <v>109</v>
      </c>
      <c r="R181" s="89">
        <v>800</v>
      </c>
      <c r="S181" s="89"/>
      <c r="T181" s="89"/>
      <c r="U181" s="89"/>
      <c r="V181" s="88">
        <f t="shared" si="50"/>
        <v>800</v>
      </c>
      <c r="W181" s="89">
        <v>8</v>
      </c>
      <c r="X181" s="89"/>
      <c r="Y181" s="89"/>
      <c r="Z181" s="89"/>
      <c r="AA181" s="89"/>
      <c r="AB181" s="89">
        <v>200</v>
      </c>
      <c r="AC181" s="88">
        <f t="shared" si="51"/>
        <v>592</v>
      </c>
      <c r="AD181" s="106">
        <v>43698</v>
      </c>
      <c r="AE181" s="134" t="s">
        <v>144</v>
      </c>
      <c r="AF181" s="360" t="s">
        <v>122</v>
      </c>
    </row>
    <row r="182" spans="1:33" x14ac:dyDescent="0.2">
      <c r="P182" s="357" t="s">
        <v>25</v>
      </c>
      <c r="Q182" s="84" t="s">
        <v>68</v>
      </c>
      <c r="R182" s="89">
        <v>3415.2</v>
      </c>
      <c r="S182" s="89">
        <v>1024.56</v>
      </c>
      <c r="T182" s="89">
        <v>490</v>
      </c>
      <c r="U182" s="89">
        <v>572.75</v>
      </c>
      <c r="V182" s="88">
        <f t="shared" ref="V182:V189" si="52">R182+S182+U182</f>
        <v>5012.51</v>
      </c>
      <c r="W182" s="89">
        <v>29.74</v>
      </c>
      <c r="X182" s="89">
        <v>581</v>
      </c>
      <c r="Y182" s="89">
        <v>-155</v>
      </c>
      <c r="Z182" s="89">
        <v>572.75</v>
      </c>
      <c r="AA182" s="89">
        <v>200.01</v>
      </c>
      <c r="AB182" s="89">
        <f>1125+250</f>
        <v>1375</v>
      </c>
      <c r="AC182" s="88">
        <f t="shared" ref="AC182:AC189" si="53">R182+S182+T182-W182-X182-Y182-Z182-AA182-AB182</f>
        <v>2326.2600000000002</v>
      </c>
      <c r="AD182" s="106">
        <v>43705</v>
      </c>
      <c r="AE182" s="165" t="s">
        <v>89</v>
      </c>
      <c r="AF182" s="360" t="s">
        <v>122</v>
      </c>
    </row>
    <row r="183" spans="1:33" x14ac:dyDescent="0.2">
      <c r="P183" s="99" t="s">
        <v>26</v>
      </c>
      <c r="Q183" s="82" t="s">
        <v>76</v>
      </c>
      <c r="R183" s="89">
        <v>818.8</v>
      </c>
      <c r="S183" s="89"/>
      <c r="T183" s="89">
        <v>50</v>
      </c>
      <c r="U183" s="89">
        <v>0</v>
      </c>
      <c r="V183" s="88">
        <f t="shared" si="52"/>
        <v>818.8</v>
      </c>
      <c r="W183" s="89">
        <v>8.19</v>
      </c>
      <c r="X183" s="89">
        <v>0</v>
      </c>
      <c r="Y183" s="89"/>
      <c r="Z183" s="89"/>
      <c r="AA183" s="89">
        <v>58.14</v>
      </c>
      <c r="AB183" s="89">
        <v>200</v>
      </c>
      <c r="AC183" s="88">
        <f t="shared" si="53"/>
        <v>602.46999999999991</v>
      </c>
      <c r="AD183" s="106">
        <v>43705</v>
      </c>
      <c r="AE183" s="165" t="s">
        <v>89</v>
      </c>
      <c r="AF183" s="360" t="s">
        <v>122</v>
      </c>
    </row>
    <row r="184" spans="1:33" x14ac:dyDescent="0.2">
      <c r="P184" s="99" t="s">
        <v>3</v>
      </c>
      <c r="Q184" s="82" t="s">
        <v>77</v>
      </c>
      <c r="R184" s="89">
        <v>1074.8</v>
      </c>
      <c r="S184" s="89">
        <v>322.44</v>
      </c>
      <c r="T184" s="89">
        <v>50</v>
      </c>
      <c r="U184" s="89"/>
      <c r="V184" s="88">
        <f t="shared" si="52"/>
        <v>1397.24</v>
      </c>
      <c r="W184" s="89">
        <v>13.97</v>
      </c>
      <c r="X184" s="89"/>
      <c r="Y184" s="89"/>
      <c r="Z184" s="89"/>
      <c r="AA184" s="89">
        <v>76.3</v>
      </c>
      <c r="AB184" s="89"/>
      <c r="AC184" s="88">
        <f t="shared" si="53"/>
        <v>1356.97</v>
      </c>
      <c r="AD184" s="106">
        <v>43705</v>
      </c>
      <c r="AE184" s="165" t="s">
        <v>89</v>
      </c>
      <c r="AF184" s="360" t="s">
        <v>122</v>
      </c>
    </row>
    <row r="185" spans="1:33" x14ac:dyDescent="0.2">
      <c r="P185" s="99" t="s">
        <v>32</v>
      </c>
      <c r="Q185" s="82" t="s">
        <v>78</v>
      </c>
      <c r="R185" s="89">
        <v>954.8</v>
      </c>
      <c r="S185" s="89">
        <v>286.44</v>
      </c>
      <c r="T185" s="89">
        <v>100</v>
      </c>
      <c r="U185" s="89"/>
      <c r="V185" s="88">
        <f t="shared" si="52"/>
        <v>1241.24</v>
      </c>
      <c r="W185" s="89">
        <v>12.41</v>
      </c>
      <c r="X185" s="89"/>
      <c r="Y185" s="89"/>
      <c r="Z185" s="89"/>
      <c r="AA185" s="89">
        <v>67.78</v>
      </c>
      <c r="AB185" s="89"/>
      <c r="AC185" s="88">
        <f t="shared" si="53"/>
        <v>1261.05</v>
      </c>
      <c r="AD185" s="106">
        <v>43705</v>
      </c>
      <c r="AE185" s="165" t="s">
        <v>89</v>
      </c>
      <c r="AF185" s="360" t="s">
        <v>122</v>
      </c>
    </row>
    <row r="186" spans="1:33" x14ac:dyDescent="0.2">
      <c r="P186" s="99" t="s">
        <v>75</v>
      </c>
      <c r="Q186" s="82" t="s">
        <v>79</v>
      </c>
      <c r="R186" s="89">
        <v>800</v>
      </c>
      <c r="S186" s="89"/>
      <c r="T186" s="89"/>
      <c r="U186" s="89"/>
      <c r="V186" s="88">
        <f t="shared" si="52"/>
        <v>800</v>
      </c>
      <c r="W186" s="89">
        <v>8</v>
      </c>
      <c r="X186" s="89"/>
      <c r="Y186" s="89"/>
      <c r="Z186" s="89"/>
      <c r="AA186" s="89"/>
      <c r="AB186" s="89"/>
      <c r="AC186" s="88">
        <f t="shared" si="53"/>
        <v>792</v>
      </c>
      <c r="AD186" s="106">
        <v>43705</v>
      </c>
      <c r="AE186" s="165" t="s">
        <v>89</v>
      </c>
      <c r="AF186" s="360" t="s">
        <v>122</v>
      </c>
    </row>
    <row r="187" spans="1:33" x14ac:dyDescent="0.2">
      <c r="P187" s="99" t="s">
        <v>86</v>
      </c>
      <c r="Q187" s="82" t="s">
        <v>106</v>
      </c>
      <c r="R187" s="89">
        <v>1000</v>
      </c>
      <c r="S187" s="89">
        <v>300</v>
      </c>
      <c r="T187" s="89"/>
      <c r="U187" s="89"/>
      <c r="V187" s="88">
        <f t="shared" si="52"/>
        <v>1300</v>
      </c>
      <c r="W187" s="89">
        <v>13</v>
      </c>
      <c r="X187" s="89"/>
      <c r="Y187" s="89"/>
      <c r="Z187" s="89"/>
      <c r="AA187" s="89"/>
      <c r="AB187" s="89"/>
      <c r="AC187" s="88">
        <f t="shared" si="53"/>
        <v>1287</v>
      </c>
      <c r="AD187" s="106">
        <v>43705</v>
      </c>
      <c r="AE187" s="165" t="s">
        <v>89</v>
      </c>
      <c r="AF187" s="360" t="s">
        <v>122</v>
      </c>
    </row>
    <row r="188" spans="1:33" x14ac:dyDescent="0.2">
      <c r="O188" s="180"/>
      <c r="P188" s="99" t="s">
        <v>107</v>
      </c>
      <c r="Q188" s="82" t="s">
        <v>108</v>
      </c>
      <c r="R188" s="89">
        <v>1000</v>
      </c>
      <c r="S188" s="89">
        <v>300</v>
      </c>
      <c r="T188" s="89"/>
      <c r="U188" s="89"/>
      <c r="V188" s="88">
        <f t="shared" si="52"/>
        <v>1300</v>
      </c>
      <c r="W188" s="89">
        <v>13</v>
      </c>
      <c r="X188" s="89"/>
      <c r="Y188" s="89"/>
      <c r="Z188" s="89"/>
      <c r="AA188" s="89"/>
      <c r="AB188" s="89"/>
      <c r="AC188" s="88">
        <f t="shared" si="53"/>
        <v>1287</v>
      </c>
      <c r="AD188" s="106">
        <v>43705</v>
      </c>
      <c r="AE188" s="165" t="s">
        <v>89</v>
      </c>
      <c r="AF188" s="360" t="s">
        <v>122</v>
      </c>
    </row>
    <row r="189" spans="1:33" x14ac:dyDescent="0.2">
      <c r="O189" s="180"/>
      <c r="P189" s="99" t="s">
        <v>110</v>
      </c>
      <c r="Q189" s="82" t="s">
        <v>109</v>
      </c>
      <c r="R189" s="89">
        <v>800</v>
      </c>
      <c r="S189" s="89"/>
      <c r="T189" s="89"/>
      <c r="U189" s="89"/>
      <c r="V189" s="88">
        <f t="shared" si="52"/>
        <v>800</v>
      </c>
      <c r="W189" s="89">
        <v>8</v>
      </c>
      <c r="X189" s="89"/>
      <c r="Y189" s="89"/>
      <c r="Z189" s="89"/>
      <c r="AA189" s="89"/>
      <c r="AB189" s="89"/>
      <c r="AC189" s="88">
        <f t="shared" si="53"/>
        <v>792</v>
      </c>
      <c r="AD189" s="106">
        <v>43705</v>
      </c>
      <c r="AE189" s="165" t="s">
        <v>89</v>
      </c>
      <c r="AF189" s="360" t="s">
        <v>122</v>
      </c>
    </row>
    <row r="190" spans="1:33" s="180" customFormat="1" x14ac:dyDescent="0.2">
      <c r="A190" s="345"/>
      <c r="C190" s="321"/>
      <c r="D190" s="321"/>
      <c r="E190" s="321"/>
      <c r="F190" s="321"/>
      <c r="G190" s="321"/>
      <c r="H190" s="321"/>
      <c r="I190" s="321"/>
      <c r="J190" s="321"/>
      <c r="K190" s="321"/>
      <c r="L190" s="321"/>
      <c r="M190" s="321"/>
      <c r="N190" s="321"/>
      <c r="P190" s="361" t="s">
        <v>8</v>
      </c>
      <c r="Q190" s="183" t="s">
        <v>111</v>
      </c>
      <c r="R190" s="176">
        <v>13535</v>
      </c>
      <c r="S190" s="176"/>
      <c r="T190" s="176"/>
      <c r="U190" s="176">
        <v>5162</v>
      </c>
      <c r="V190" s="88">
        <f t="shared" ref="V190:V192" si="54">R190+S190+U190</f>
        <v>18697</v>
      </c>
      <c r="W190" s="176"/>
      <c r="X190" s="176">
        <v>2364</v>
      </c>
      <c r="Y190" s="176">
        <v>-829</v>
      </c>
      <c r="Z190" s="176"/>
      <c r="AA190" s="176"/>
      <c r="AB190" s="176"/>
      <c r="AC190" s="88">
        <f t="shared" ref="AC190:AC192" si="55">R190+S190+T190-W190-X190-Y190-Z190-AA190-AB190</f>
        <v>12000</v>
      </c>
      <c r="AD190" s="193"/>
      <c r="AE190" s="194"/>
      <c r="AF190" s="362"/>
      <c r="AG190" s="321"/>
    </row>
    <row r="191" spans="1:33" s="180" customFormat="1" x14ac:dyDescent="0.2">
      <c r="A191" s="345"/>
      <c r="C191" s="321"/>
      <c r="D191" s="321"/>
      <c r="E191" s="321"/>
      <c r="F191" s="321"/>
      <c r="G191" s="321"/>
      <c r="H191" s="321"/>
      <c r="I191" s="321"/>
      <c r="J191" s="321"/>
      <c r="K191" s="321"/>
      <c r="L191" s="321"/>
      <c r="M191" s="321"/>
      <c r="N191" s="321"/>
      <c r="O191" s="78"/>
      <c r="P191" s="361" t="s">
        <v>27</v>
      </c>
      <c r="Q191" s="183" t="s">
        <v>112</v>
      </c>
      <c r="R191" s="181">
        <v>13343</v>
      </c>
      <c r="S191" s="181"/>
      <c r="T191" s="181"/>
      <c r="U191" s="181">
        <v>2400</v>
      </c>
      <c r="V191" s="88">
        <f t="shared" si="54"/>
        <v>15743</v>
      </c>
      <c r="W191" s="181"/>
      <c r="X191" s="181">
        <v>1653</v>
      </c>
      <c r="Y191" s="181">
        <v>-310</v>
      </c>
      <c r="Z191" s="181"/>
      <c r="AA191" s="181"/>
      <c r="AB191" s="181"/>
      <c r="AC191" s="88">
        <f t="shared" si="55"/>
        <v>12000</v>
      </c>
      <c r="AD191" s="193"/>
      <c r="AE191" s="194"/>
      <c r="AF191" s="362"/>
      <c r="AG191" s="321"/>
    </row>
    <row r="192" spans="1:33" s="180" customFormat="1" ht="13.5" thickBot="1" x14ac:dyDescent="0.25">
      <c r="A192" s="345"/>
      <c r="C192" s="321"/>
      <c r="D192" s="321"/>
      <c r="E192" s="321"/>
      <c r="F192" s="321"/>
      <c r="G192" s="321"/>
      <c r="H192" s="321"/>
      <c r="I192" s="321"/>
      <c r="J192" s="321"/>
      <c r="K192" s="321"/>
      <c r="L192" s="321"/>
      <c r="M192" s="321"/>
      <c r="N192" s="321"/>
      <c r="O192" s="78"/>
      <c r="P192" s="421" t="s">
        <v>6</v>
      </c>
      <c r="Q192" s="402" t="s">
        <v>113</v>
      </c>
      <c r="R192" s="182">
        <v>11713.13</v>
      </c>
      <c r="S192" s="182"/>
      <c r="T192" s="182"/>
      <c r="U192" s="182">
        <v>2100</v>
      </c>
      <c r="V192" s="325">
        <f t="shared" si="54"/>
        <v>13813.13</v>
      </c>
      <c r="W192" s="182">
        <v>138.13</v>
      </c>
      <c r="X192" s="182">
        <v>1304</v>
      </c>
      <c r="Y192" s="182">
        <v>-829</v>
      </c>
      <c r="Z192" s="182">
        <f>U192</f>
        <v>2100</v>
      </c>
      <c r="AA192" s="182"/>
      <c r="AB192" s="182"/>
      <c r="AC192" s="325">
        <f t="shared" si="55"/>
        <v>9000</v>
      </c>
      <c r="AD192" s="193"/>
      <c r="AE192" s="194"/>
      <c r="AF192" s="362"/>
      <c r="AG192" s="321"/>
    </row>
    <row r="193" spans="16:32" x14ac:dyDescent="0.2">
      <c r="P193" s="367" t="s">
        <v>25</v>
      </c>
      <c r="Q193" s="368" t="s">
        <v>68</v>
      </c>
      <c r="R193" s="369">
        <v>3415.2</v>
      </c>
      <c r="S193" s="369">
        <v>1600.88</v>
      </c>
      <c r="T193" s="369">
        <v>490</v>
      </c>
      <c r="U193" s="369">
        <v>572.75</v>
      </c>
      <c r="V193" s="369">
        <f t="shared" ref="V193:V197" si="56">R193+S193+U193</f>
        <v>5588.83</v>
      </c>
      <c r="W193" s="369">
        <v>29.74</v>
      </c>
      <c r="X193" s="369">
        <v>730</v>
      </c>
      <c r="Y193" s="369">
        <v>-155</v>
      </c>
      <c r="Z193" s="369">
        <v>572.75</v>
      </c>
      <c r="AA193" s="369">
        <v>200.01</v>
      </c>
      <c r="AB193" s="369">
        <f>1125+250</f>
        <v>1375</v>
      </c>
      <c r="AC193" s="369">
        <f t="shared" ref="AC193:AC200" si="57">R193+S193+T193-W193-X193-Y193-Z193-AA193-AB193</f>
        <v>2753.58</v>
      </c>
      <c r="AD193" s="370">
        <v>43712</v>
      </c>
      <c r="AE193" s="406" t="s">
        <v>90</v>
      </c>
      <c r="AF193" s="372" t="s">
        <v>123</v>
      </c>
    </row>
    <row r="194" spans="16:32" x14ac:dyDescent="0.2">
      <c r="P194" s="373" t="s">
        <v>26</v>
      </c>
      <c r="Q194" s="374" t="s">
        <v>76</v>
      </c>
      <c r="R194" s="375">
        <v>818.8</v>
      </c>
      <c r="S194" s="375"/>
      <c r="T194" s="375">
        <v>50</v>
      </c>
      <c r="U194" s="375">
        <v>0</v>
      </c>
      <c r="V194" s="376">
        <f t="shared" si="56"/>
        <v>818.8</v>
      </c>
      <c r="W194" s="375">
        <v>8.19</v>
      </c>
      <c r="X194" s="375">
        <v>0</v>
      </c>
      <c r="Y194" s="375"/>
      <c r="Z194" s="375"/>
      <c r="AA194" s="375">
        <v>58.14</v>
      </c>
      <c r="AB194" s="375">
        <v>200</v>
      </c>
      <c r="AC194" s="376">
        <f t="shared" si="57"/>
        <v>602.46999999999991</v>
      </c>
      <c r="AD194" s="385">
        <v>43712</v>
      </c>
      <c r="AE194" s="407" t="s">
        <v>90</v>
      </c>
      <c r="AF194" s="379" t="s">
        <v>123</v>
      </c>
    </row>
    <row r="195" spans="16:32" x14ac:dyDescent="0.2">
      <c r="P195" s="373" t="s">
        <v>3</v>
      </c>
      <c r="Q195" s="374" t="s">
        <v>77</v>
      </c>
      <c r="R195" s="375">
        <v>1074.8</v>
      </c>
      <c r="S195" s="375">
        <v>322.44</v>
      </c>
      <c r="T195" s="375">
        <v>50</v>
      </c>
      <c r="U195" s="375"/>
      <c r="V195" s="376">
        <f t="shared" si="56"/>
        <v>1397.24</v>
      </c>
      <c r="W195" s="375">
        <v>13.97</v>
      </c>
      <c r="X195" s="375"/>
      <c r="Y195" s="375"/>
      <c r="Z195" s="375"/>
      <c r="AA195" s="375">
        <v>76.3</v>
      </c>
      <c r="AB195" s="375"/>
      <c r="AC195" s="376">
        <f t="shared" si="57"/>
        <v>1356.97</v>
      </c>
      <c r="AD195" s="385">
        <v>43712</v>
      </c>
      <c r="AE195" s="407" t="s">
        <v>90</v>
      </c>
      <c r="AF195" s="379" t="s">
        <v>123</v>
      </c>
    </row>
    <row r="196" spans="16:32" x14ac:dyDescent="0.2">
      <c r="P196" s="373" t="s">
        <v>32</v>
      </c>
      <c r="Q196" s="374" t="s">
        <v>78</v>
      </c>
      <c r="R196" s="375">
        <v>954.8</v>
      </c>
      <c r="S196" s="375">
        <v>286.44</v>
      </c>
      <c r="T196" s="375">
        <v>100</v>
      </c>
      <c r="U196" s="375"/>
      <c r="V196" s="376">
        <f t="shared" si="56"/>
        <v>1241.24</v>
      </c>
      <c r="W196" s="375">
        <v>12.41</v>
      </c>
      <c r="X196" s="375"/>
      <c r="Y196" s="375"/>
      <c r="Z196" s="375"/>
      <c r="AA196" s="375">
        <v>67.78</v>
      </c>
      <c r="AB196" s="375"/>
      <c r="AC196" s="376">
        <f t="shared" si="57"/>
        <v>1261.05</v>
      </c>
      <c r="AD196" s="385">
        <v>43712</v>
      </c>
      <c r="AE196" s="407" t="s">
        <v>90</v>
      </c>
      <c r="AF196" s="379" t="s">
        <v>123</v>
      </c>
    </row>
    <row r="197" spans="16:32" x14ac:dyDescent="0.2">
      <c r="P197" s="373" t="s">
        <v>75</v>
      </c>
      <c r="Q197" s="374" t="s">
        <v>79</v>
      </c>
      <c r="R197" s="375">
        <v>800</v>
      </c>
      <c r="S197" s="375">
        <v>240</v>
      </c>
      <c r="T197" s="375"/>
      <c r="U197" s="375"/>
      <c r="V197" s="376">
        <f t="shared" si="56"/>
        <v>1040</v>
      </c>
      <c r="W197" s="375">
        <v>10.4</v>
      </c>
      <c r="X197" s="375"/>
      <c r="Y197" s="375"/>
      <c r="Z197" s="375"/>
      <c r="AA197" s="375"/>
      <c r="AB197" s="375"/>
      <c r="AC197" s="376">
        <f t="shared" si="57"/>
        <v>1029.5999999999999</v>
      </c>
      <c r="AD197" s="385">
        <v>43712</v>
      </c>
      <c r="AE197" s="407" t="s">
        <v>90</v>
      </c>
      <c r="AF197" s="379" t="s">
        <v>123</v>
      </c>
    </row>
    <row r="198" spans="16:32" x14ac:dyDescent="0.2">
      <c r="P198" s="373" t="s">
        <v>86</v>
      </c>
      <c r="Q198" s="374" t="s">
        <v>106</v>
      </c>
      <c r="R198" s="375">
        <v>1000</v>
      </c>
      <c r="S198" s="375">
        <v>468.75</v>
      </c>
      <c r="T198" s="375"/>
      <c r="U198" s="375"/>
      <c r="V198" s="376">
        <f>R198+S198+U198</f>
        <v>1468.75</v>
      </c>
      <c r="W198" s="375">
        <v>14.69</v>
      </c>
      <c r="X198" s="375"/>
      <c r="Y198" s="375"/>
      <c r="Z198" s="375"/>
      <c r="AA198" s="375"/>
      <c r="AB198" s="375"/>
      <c r="AC198" s="376">
        <f t="shared" si="57"/>
        <v>1454.06</v>
      </c>
      <c r="AD198" s="385">
        <v>43712</v>
      </c>
      <c r="AE198" s="407" t="s">
        <v>90</v>
      </c>
      <c r="AF198" s="379" t="s">
        <v>123</v>
      </c>
    </row>
    <row r="199" spans="16:32" x14ac:dyDescent="0.2">
      <c r="P199" s="373" t="s">
        <v>107</v>
      </c>
      <c r="Q199" s="374" t="s">
        <v>108</v>
      </c>
      <c r="R199" s="375">
        <v>1000</v>
      </c>
      <c r="S199" s="375">
        <v>300</v>
      </c>
      <c r="T199" s="375"/>
      <c r="U199" s="375"/>
      <c r="V199" s="376">
        <f>R199+S199+U199</f>
        <v>1300</v>
      </c>
      <c r="W199" s="375">
        <v>13</v>
      </c>
      <c r="X199" s="375"/>
      <c r="Y199" s="375"/>
      <c r="Z199" s="375"/>
      <c r="AA199" s="375"/>
      <c r="AB199" s="375"/>
      <c r="AC199" s="376">
        <f t="shared" si="57"/>
        <v>1287</v>
      </c>
      <c r="AD199" s="385">
        <v>43712</v>
      </c>
      <c r="AE199" s="407" t="s">
        <v>90</v>
      </c>
      <c r="AF199" s="379" t="s">
        <v>123</v>
      </c>
    </row>
    <row r="200" spans="16:32" x14ac:dyDescent="0.2">
      <c r="P200" s="417" t="s">
        <v>110</v>
      </c>
      <c r="Q200" s="374" t="s">
        <v>109</v>
      </c>
      <c r="R200" s="375">
        <v>800</v>
      </c>
      <c r="S200" s="375"/>
      <c r="T200" s="375"/>
      <c r="U200" s="375"/>
      <c r="V200" s="376">
        <f>R200+S200+U200</f>
        <v>800</v>
      </c>
      <c r="W200" s="375">
        <v>8</v>
      </c>
      <c r="X200" s="375"/>
      <c r="Y200" s="375"/>
      <c r="Z200" s="375"/>
      <c r="AA200" s="375"/>
      <c r="AB200" s="375">
        <v>300</v>
      </c>
      <c r="AC200" s="376">
        <f t="shared" si="57"/>
        <v>492</v>
      </c>
      <c r="AD200" s="385">
        <v>43712</v>
      </c>
      <c r="AE200" s="407" t="s">
        <v>90</v>
      </c>
      <c r="AF200" s="379" t="s">
        <v>123</v>
      </c>
    </row>
    <row r="201" spans="16:32" x14ac:dyDescent="0.2">
      <c r="P201" s="389" t="s">
        <v>25</v>
      </c>
      <c r="Q201" s="390" t="s">
        <v>68</v>
      </c>
      <c r="R201" s="375">
        <v>3415.2</v>
      </c>
      <c r="S201" s="375">
        <v>1728.95</v>
      </c>
      <c r="T201" s="375">
        <v>490</v>
      </c>
      <c r="U201" s="375">
        <v>572.75</v>
      </c>
      <c r="V201" s="376">
        <f t="shared" ref="V201:V206" si="58">R201+S201+U201</f>
        <v>5716.9</v>
      </c>
      <c r="W201" s="375">
        <v>29.74</v>
      </c>
      <c r="X201" s="375">
        <v>761</v>
      </c>
      <c r="Y201" s="375">
        <v>-155</v>
      </c>
      <c r="Z201" s="375">
        <v>572.75</v>
      </c>
      <c r="AA201" s="375">
        <v>200.01</v>
      </c>
      <c r="AB201" s="375">
        <f>1125+250</f>
        <v>1375</v>
      </c>
      <c r="AC201" s="376">
        <f t="shared" ref="AC201:AC209" si="59">R201+S201+T201-W201-X201-Y201-Z201-AA201-AB201</f>
        <v>2850.6499999999996</v>
      </c>
      <c r="AD201" s="385">
        <v>43719</v>
      </c>
      <c r="AE201" s="407" t="s">
        <v>91</v>
      </c>
      <c r="AF201" s="379" t="s">
        <v>123</v>
      </c>
    </row>
    <row r="202" spans="16:32" x14ac:dyDescent="0.2">
      <c r="P202" s="373" t="s">
        <v>26</v>
      </c>
      <c r="Q202" s="374" t="s">
        <v>76</v>
      </c>
      <c r="R202" s="375">
        <v>818.8</v>
      </c>
      <c r="S202" s="375">
        <v>84.44</v>
      </c>
      <c r="T202" s="375">
        <v>50</v>
      </c>
      <c r="U202" s="375">
        <v>0</v>
      </c>
      <c r="V202" s="376">
        <f t="shared" si="58"/>
        <v>903.24</v>
      </c>
      <c r="W202" s="375">
        <v>9.0299999999999994</v>
      </c>
      <c r="X202" s="375">
        <v>0</v>
      </c>
      <c r="Y202" s="375"/>
      <c r="Z202" s="375"/>
      <c r="AA202" s="375">
        <v>58.14</v>
      </c>
      <c r="AB202" s="375">
        <v>200</v>
      </c>
      <c r="AC202" s="376">
        <f t="shared" si="59"/>
        <v>686.07</v>
      </c>
      <c r="AD202" s="385">
        <v>43719</v>
      </c>
      <c r="AE202" s="407" t="s">
        <v>91</v>
      </c>
      <c r="AF202" s="379" t="s">
        <v>123</v>
      </c>
    </row>
    <row r="203" spans="16:32" x14ac:dyDescent="0.2">
      <c r="P203" s="373" t="s">
        <v>3</v>
      </c>
      <c r="Q203" s="374" t="s">
        <v>77</v>
      </c>
      <c r="R203" s="375">
        <v>1074.8</v>
      </c>
      <c r="S203" s="375">
        <v>322.44</v>
      </c>
      <c r="T203" s="375">
        <v>50</v>
      </c>
      <c r="U203" s="375"/>
      <c r="V203" s="376">
        <f t="shared" si="58"/>
        <v>1397.24</v>
      </c>
      <c r="W203" s="375">
        <v>13.97</v>
      </c>
      <c r="X203" s="375"/>
      <c r="Y203" s="375"/>
      <c r="Z203" s="375"/>
      <c r="AA203" s="375">
        <v>76.3</v>
      </c>
      <c r="AB203" s="375"/>
      <c r="AC203" s="376">
        <f t="shared" si="59"/>
        <v>1356.97</v>
      </c>
      <c r="AD203" s="385">
        <v>43719</v>
      </c>
      <c r="AE203" s="407" t="s">
        <v>91</v>
      </c>
      <c r="AF203" s="379" t="s">
        <v>123</v>
      </c>
    </row>
    <row r="204" spans="16:32" x14ac:dyDescent="0.2">
      <c r="P204" s="373" t="s">
        <v>32</v>
      </c>
      <c r="Q204" s="374" t="s">
        <v>78</v>
      </c>
      <c r="R204" s="375">
        <v>954.8</v>
      </c>
      <c r="S204" s="375">
        <v>286.44</v>
      </c>
      <c r="T204" s="375">
        <v>100</v>
      </c>
      <c r="U204" s="375"/>
      <c r="V204" s="376">
        <f t="shared" si="58"/>
        <v>1241.24</v>
      </c>
      <c r="W204" s="375">
        <v>12.41</v>
      </c>
      <c r="X204" s="375"/>
      <c r="Y204" s="375"/>
      <c r="Z204" s="375"/>
      <c r="AA204" s="375">
        <v>67.78</v>
      </c>
      <c r="AB204" s="375"/>
      <c r="AC204" s="376">
        <f t="shared" si="59"/>
        <v>1261.05</v>
      </c>
      <c r="AD204" s="385">
        <v>43719</v>
      </c>
      <c r="AE204" s="407" t="s">
        <v>91</v>
      </c>
      <c r="AF204" s="379" t="s">
        <v>123</v>
      </c>
    </row>
    <row r="205" spans="16:32" x14ac:dyDescent="0.2">
      <c r="P205" s="373" t="s">
        <v>75</v>
      </c>
      <c r="Q205" s="374" t="s">
        <v>79</v>
      </c>
      <c r="R205" s="375">
        <v>800</v>
      </c>
      <c r="S205" s="375">
        <v>240</v>
      </c>
      <c r="T205" s="375"/>
      <c r="U205" s="375"/>
      <c r="V205" s="376">
        <f t="shared" si="58"/>
        <v>1040</v>
      </c>
      <c r="W205" s="375">
        <v>10.4</v>
      </c>
      <c r="X205" s="375"/>
      <c r="Y205" s="375"/>
      <c r="Z205" s="375"/>
      <c r="AA205" s="375"/>
      <c r="AB205" s="375"/>
      <c r="AC205" s="376">
        <f t="shared" si="59"/>
        <v>1029.5999999999999</v>
      </c>
      <c r="AD205" s="385">
        <v>43719</v>
      </c>
      <c r="AE205" s="407" t="s">
        <v>91</v>
      </c>
      <c r="AF205" s="379" t="s">
        <v>123</v>
      </c>
    </row>
    <row r="206" spans="16:32" x14ac:dyDescent="0.2">
      <c r="P206" s="373" t="s">
        <v>86</v>
      </c>
      <c r="Q206" s="374" t="s">
        <v>106</v>
      </c>
      <c r="R206" s="375">
        <v>1000</v>
      </c>
      <c r="S206" s="375">
        <v>506.25</v>
      </c>
      <c r="T206" s="375"/>
      <c r="U206" s="375"/>
      <c r="V206" s="376">
        <f t="shared" si="58"/>
        <v>1506.25</v>
      </c>
      <c r="W206" s="375">
        <v>15.06</v>
      </c>
      <c r="X206" s="375"/>
      <c r="Y206" s="375"/>
      <c r="Z206" s="375"/>
      <c r="AA206" s="375"/>
      <c r="AB206" s="375"/>
      <c r="AC206" s="376">
        <f t="shared" si="59"/>
        <v>1491.19</v>
      </c>
      <c r="AD206" s="385">
        <v>43719</v>
      </c>
      <c r="AE206" s="407" t="s">
        <v>91</v>
      </c>
      <c r="AF206" s="379" t="s">
        <v>123</v>
      </c>
    </row>
    <row r="207" spans="16:32" x14ac:dyDescent="0.2">
      <c r="P207" s="373" t="s">
        <v>107</v>
      </c>
      <c r="Q207" s="374" t="s">
        <v>108</v>
      </c>
      <c r="R207" s="375">
        <v>1000</v>
      </c>
      <c r="S207" s="375">
        <v>300</v>
      </c>
      <c r="T207" s="375"/>
      <c r="U207" s="375"/>
      <c r="V207" s="376">
        <f>R207+S207+U207</f>
        <v>1300</v>
      </c>
      <c r="W207" s="375">
        <v>13</v>
      </c>
      <c r="X207" s="375"/>
      <c r="Y207" s="375"/>
      <c r="Z207" s="375"/>
      <c r="AA207" s="375"/>
      <c r="AB207" s="375"/>
      <c r="AC207" s="376">
        <f t="shared" si="59"/>
        <v>1287</v>
      </c>
      <c r="AD207" s="385">
        <v>43719</v>
      </c>
      <c r="AE207" s="407" t="s">
        <v>91</v>
      </c>
      <c r="AF207" s="379" t="s">
        <v>123</v>
      </c>
    </row>
    <row r="208" spans="16:32" x14ac:dyDescent="0.2">
      <c r="P208" s="373" t="s">
        <v>110</v>
      </c>
      <c r="Q208" s="374" t="s">
        <v>109</v>
      </c>
      <c r="R208" s="375">
        <v>800</v>
      </c>
      <c r="S208" s="375"/>
      <c r="T208" s="375"/>
      <c r="U208" s="375"/>
      <c r="V208" s="376">
        <f>R208+S208+U208</f>
        <v>800</v>
      </c>
      <c r="W208" s="375">
        <v>8</v>
      </c>
      <c r="X208" s="375"/>
      <c r="Y208" s="375"/>
      <c r="Z208" s="375"/>
      <c r="AA208" s="375"/>
      <c r="AB208" s="375"/>
      <c r="AC208" s="376">
        <f t="shared" si="59"/>
        <v>792</v>
      </c>
      <c r="AD208" s="385">
        <v>43719</v>
      </c>
      <c r="AE208" s="407" t="s">
        <v>91</v>
      </c>
      <c r="AF208" s="379" t="s">
        <v>123</v>
      </c>
    </row>
    <row r="209" spans="16:32" x14ac:dyDescent="0.2">
      <c r="P209" s="417" t="s">
        <v>149</v>
      </c>
      <c r="Q209" s="374" t="s">
        <v>150</v>
      </c>
      <c r="R209" s="375">
        <v>480</v>
      </c>
      <c r="S209" s="375"/>
      <c r="T209" s="375"/>
      <c r="U209" s="375"/>
      <c r="V209" s="376">
        <f>R209+S209+U209</f>
        <v>480</v>
      </c>
      <c r="W209" s="375">
        <v>4.8</v>
      </c>
      <c r="X209" s="375"/>
      <c r="Y209" s="375"/>
      <c r="Z209" s="375"/>
      <c r="AA209" s="375"/>
      <c r="AB209" s="375"/>
      <c r="AC209" s="376">
        <f t="shared" si="59"/>
        <v>475.2</v>
      </c>
      <c r="AD209" s="385">
        <v>43719</v>
      </c>
      <c r="AE209" s="407" t="s">
        <v>91</v>
      </c>
      <c r="AF209" s="379" t="s">
        <v>123</v>
      </c>
    </row>
    <row r="210" spans="16:32" x14ac:dyDescent="0.2">
      <c r="P210" s="389" t="s">
        <v>25</v>
      </c>
      <c r="Q210" s="390" t="s">
        <v>68</v>
      </c>
      <c r="R210" s="375">
        <v>3415.2</v>
      </c>
      <c r="S210" s="375">
        <v>1152.6300000000001</v>
      </c>
      <c r="T210" s="375">
        <v>490</v>
      </c>
      <c r="U210" s="375">
        <v>572.75</v>
      </c>
      <c r="V210" s="376">
        <f t="shared" ref="V210:V215" si="60">R210+S210+U210</f>
        <v>5140.58</v>
      </c>
      <c r="W210" s="375">
        <v>29.74</v>
      </c>
      <c r="X210" s="375">
        <v>614</v>
      </c>
      <c r="Y210" s="375">
        <v>-155</v>
      </c>
      <c r="Z210" s="375">
        <v>572.75</v>
      </c>
      <c r="AA210" s="375">
        <v>200.01</v>
      </c>
      <c r="AB210" s="375">
        <f>1125+250</f>
        <v>1375</v>
      </c>
      <c r="AC210" s="376">
        <f t="shared" ref="AC210:AC218" si="61">R210+S210+T210-W210-X210-Y210-Z210-AA210-AB210</f>
        <v>2421.33</v>
      </c>
      <c r="AD210" s="385">
        <v>43726</v>
      </c>
      <c r="AE210" s="407" t="s">
        <v>92</v>
      </c>
      <c r="AF210" s="379" t="s">
        <v>123</v>
      </c>
    </row>
    <row r="211" spans="16:32" x14ac:dyDescent="0.2">
      <c r="P211" s="373" t="s">
        <v>26</v>
      </c>
      <c r="Q211" s="374" t="s">
        <v>76</v>
      </c>
      <c r="R211" s="375">
        <v>818.8</v>
      </c>
      <c r="S211" s="375"/>
      <c r="T211" s="375">
        <v>50</v>
      </c>
      <c r="U211" s="375">
        <v>0</v>
      </c>
      <c r="V211" s="376">
        <f t="shared" si="60"/>
        <v>818.8</v>
      </c>
      <c r="W211" s="375">
        <v>8.19</v>
      </c>
      <c r="X211" s="375">
        <v>0</v>
      </c>
      <c r="Y211" s="375"/>
      <c r="Z211" s="375"/>
      <c r="AA211" s="375">
        <v>58.14</v>
      </c>
      <c r="AB211" s="375">
        <v>200</v>
      </c>
      <c r="AC211" s="376">
        <f t="shared" si="61"/>
        <v>602.46999999999991</v>
      </c>
      <c r="AD211" s="385">
        <v>43726</v>
      </c>
      <c r="AE211" s="407" t="s">
        <v>92</v>
      </c>
      <c r="AF211" s="379" t="s">
        <v>123</v>
      </c>
    </row>
    <row r="212" spans="16:32" x14ac:dyDescent="0.2">
      <c r="P212" s="373" t="s">
        <v>3</v>
      </c>
      <c r="Q212" s="374" t="s">
        <v>77</v>
      </c>
      <c r="R212" s="375">
        <v>1074.8</v>
      </c>
      <c r="S212" s="375">
        <v>322.44</v>
      </c>
      <c r="T212" s="375">
        <v>50</v>
      </c>
      <c r="U212" s="375"/>
      <c r="V212" s="376">
        <f t="shared" si="60"/>
        <v>1397.24</v>
      </c>
      <c r="W212" s="375">
        <v>13.97</v>
      </c>
      <c r="X212" s="375"/>
      <c r="Y212" s="375"/>
      <c r="Z212" s="375"/>
      <c r="AA212" s="375">
        <v>76.3</v>
      </c>
      <c r="AB212" s="375"/>
      <c r="AC212" s="376">
        <f t="shared" si="61"/>
        <v>1356.97</v>
      </c>
      <c r="AD212" s="385">
        <v>43726</v>
      </c>
      <c r="AE212" s="407" t="s">
        <v>92</v>
      </c>
      <c r="AF212" s="379" t="s">
        <v>123</v>
      </c>
    </row>
    <row r="213" spans="16:32" x14ac:dyDescent="0.2">
      <c r="P213" s="373" t="s">
        <v>32</v>
      </c>
      <c r="Q213" s="374" t="s">
        <v>78</v>
      </c>
      <c r="R213" s="375">
        <v>954.8</v>
      </c>
      <c r="S213" s="375">
        <v>286.44</v>
      </c>
      <c r="T213" s="375">
        <v>100</v>
      </c>
      <c r="U213" s="375"/>
      <c r="V213" s="376">
        <f t="shared" si="60"/>
        <v>1241.24</v>
      </c>
      <c r="W213" s="375">
        <v>12.41</v>
      </c>
      <c r="X213" s="375"/>
      <c r="Y213" s="375"/>
      <c r="Z213" s="375"/>
      <c r="AA213" s="375">
        <v>67.78</v>
      </c>
      <c r="AB213" s="375"/>
      <c r="AC213" s="376">
        <f t="shared" si="61"/>
        <v>1261.05</v>
      </c>
      <c r="AD213" s="385">
        <v>43726</v>
      </c>
      <c r="AE213" s="407" t="s">
        <v>92</v>
      </c>
      <c r="AF213" s="379" t="s">
        <v>123</v>
      </c>
    </row>
    <row r="214" spans="16:32" x14ac:dyDescent="0.2">
      <c r="P214" s="373" t="s">
        <v>75</v>
      </c>
      <c r="Q214" s="374" t="s">
        <v>79</v>
      </c>
      <c r="R214" s="375">
        <v>800</v>
      </c>
      <c r="S214" s="375">
        <v>240</v>
      </c>
      <c r="T214" s="375"/>
      <c r="U214" s="375"/>
      <c r="V214" s="376">
        <f t="shared" si="60"/>
        <v>1040</v>
      </c>
      <c r="W214" s="375">
        <v>10.4</v>
      </c>
      <c r="X214" s="375"/>
      <c r="Y214" s="375"/>
      <c r="Z214" s="375"/>
      <c r="AA214" s="375"/>
      <c r="AB214" s="375"/>
      <c r="AC214" s="376">
        <f t="shared" si="61"/>
        <v>1029.5999999999999</v>
      </c>
      <c r="AD214" s="385">
        <v>43726</v>
      </c>
      <c r="AE214" s="407" t="s">
        <v>92</v>
      </c>
      <c r="AF214" s="379" t="s">
        <v>123</v>
      </c>
    </row>
    <row r="215" spans="16:32" x14ac:dyDescent="0.2">
      <c r="P215" s="373" t="s">
        <v>86</v>
      </c>
      <c r="Q215" s="374" t="s">
        <v>106</v>
      </c>
      <c r="R215" s="375">
        <v>1000</v>
      </c>
      <c r="S215" s="375">
        <v>300</v>
      </c>
      <c r="T215" s="375"/>
      <c r="U215" s="375"/>
      <c r="V215" s="376">
        <f t="shared" si="60"/>
        <v>1300</v>
      </c>
      <c r="W215" s="375">
        <v>13</v>
      </c>
      <c r="X215" s="375"/>
      <c r="Y215" s="375"/>
      <c r="Z215" s="375"/>
      <c r="AA215" s="375"/>
      <c r="AB215" s="375"/>
      <c r="AC215" s="376">
        <f t="shared" si="61"/>
        <v>1287</v>
      </c>
      <c r="AD215" s="385">
        <v>43726</v>
      </c>
      <c r="AE215" s="407" t="s">
        <v>92</v>
      </c>
      <c r="AF215" s="379" t="s">
        <v>123</v>
      </c>
    </row>
    <row r="216" spans="16:32" x14ac:dyDescent="0.2">
      <c r="P216" s="373" t="s">
        <v>107</v>
      </c>
      <c r="Q216" s="374" t="s">
        <v>108</v>
      </c>
      <c r="R216" s="375">
        <v>1000</v>
      </c>
      <c r="S216" s="375">
        <v>300</v>
      </c>
      <c r="T216" s="375"/>
      <c r="U216" s="375"/>
      <c r="V216" s="376">
        <f>R216+S216+U216</f>
        <v>1300</v>
      </c>
      <c r="W216" s="375">
        <v>13</v>
      </c>
      <c r="X216" s="375"/>
      <c r="Y216" s="375"/>
      <c r="Z216" s="375"/>
      <c r="AA216" s="375"/>
      <c r="AB216" s="375"/>
      <c r="AC216" s="376">
        <f t="shared" si="61"/>
        <v>1287</v>
      </c>
      <c r="AD216" s="385">
        <v>43726</v>
      </c>
      <c r="AE216" s="407" t="s">
        <v>92</v>
      </c>
      <c r="AF216" s="379" t="s">
        <v>123</v>
      </c>
    </row>
    <row r="217" spans="16:32" x14ac:dyDescent="0.2">
      <c r="P217" s="373" t="s">
        <v>110</v>
      </c>
      <c r="Q217" s="374" t="s">
        <v>109</v>
      </c>
      <c r="R217" s="375">
        <v>800</v>
      </c>
      <c r="S217" s="375">
        <v>270</v>
      </c>
      <c r="T217" s="375"/>
      <c r="U217" s="375"/>
      <c r="V217" s="376">
        <f>R217+S217+U217</f>
        <v>1070</v>
      </c>
      <c r="W217" s="375">
        <v>10.7</v>
      </c>
      <c r="X217" s="375"/>
      <c r="Y217" s="375"/>
      <c r="Z217" s="375"/>
      <c r="AA217" s="375"/>
      <c r="AB217" s="375"/>
      <c r="AC217" s="376">
        <f t="shared" si="61"/>
        <v>1059.3</v>
      </c>
      <c r="AD217" s="385">
        <v>43726</v>
      </c>
      <c r="AE217" s="407" t="s">
        <v>92</v>
      </c>
      <c r="AF217" s="379" t="s">
        <v>123</v>
      </c>
    </row>
    <row r="218" spans="16:32" x14ac:dyDescent="0.2">
      <c r="P218" s="417" t="s">
        <v>149</v>
      </c>
      <c r="Q218" s="374" t="s">
        <v>150</v>
      </c>
      <c r="R218" s="375">
        <v>800</v>
      </c>
      <c r="S218" s="375">
        <v>240</v>
      </c>
      <c r="T218" s="375"/>
      <c r="U218" s="375"/>
      <c r="V218" s="376">
        <f>R218+S218+U218</f>
        <v>1040</v>
      </c>
      <c r="W218" s="375">
        <v>10.4</v>
      </c>
      <c r="X218" s="375"/>
      <c r="Y218" s="375"/>
      <c r="Z218" s="375"/>
      <c r="AA218" s="375"/>
      <c r="AB218" s="375"/>
      <c r="AC218" s="376">
        <f t="shared" si="61"/>
        <v>1029.5999999999999</v>
      </c>
      <c r="AD218" s="385">
        <v>43726</v>
      </c>
      <c r="AE218" s="407" t="s">
        <v>92</v>
      </c>
      <c r="AF218" s="379" t="s">
        <v>123</v>
      </c>
    </row>
    <row r="219" spans="16:32" x14ac:dyDescent="0.2">
      <c r="P219" s="389" t="s">
        <v>25</v>
      </c>
      <c r="Q219" s="390" t="s">
        <v>68</v>
      </c>
      <c r="R219" s="375">
        <v>4098.24</v>
      </c>
      <c r="S219" s="375">
        <v>1921.05</v>
      </c>
      <c r="T219" s="375">
        <v>490</v>
      </c>
      <c r="U219" s="375">
        <v>572.75</v>
      </c>
      <c r="V219" s="376">
        <f t="shared" ref="V219:V224" si="62">R219+S219+U219</f>
        <v>6592.04</v>
      </c>
      <c r="W219" s="375">
        <v>29.74</v>
      </c>
      <c r="X219" s="375">
        <v>997</v>
      </c>
      <c r="Y219" s="375">
        <v>-155</v>
      </c>
      <c r="Z219" s="375">
        <v>572.75</v>
      </c>
      <c r="AA219" s="375">
        <v>200.01</v>
      </c>
      <c r="AB219" s="375">
        <f>1125+250</f>
        <v>1375</v>
      </c>
      <c r="AC219" s="376">
        <f t="shared" ref="AC219:AC225" si="63">R219+S219+T219-W219-X219-Y219-Z219-AA219-AB219</f>
        <v>3489.79</v>
      </c>
      <c r="AD219" s="385">
        <v>43733</v>
      </c>
      <c r="AE219" s="407" t="s">
        <v>93</v>
      </c>
      <c r="AF219" s="379" t="s">
        <v>123</v>
      </c>
    </row>
    <row r="220" spans="16:32" x14ac:dyDescent="0.2">
      <c r="P220" s="373" t="s">
        <v>26</v>
      </c>
      <c r="Q220" s="374" t="s">
        <v>76</v>
      </c>
      <c r="R220" s="375">
        <v>818.8</v>
      </c>
      <c r="S220" s="375"/>
      <c r="T220" s="375">
        <v>50</v>
      </c>
      <c r="U220" s="375">
        <v>0</v>
      </c>
      <c r="V220" s="376">
        <f t="shared" si="62"/>
        <v>818.8</v>
      </c>
      <c r="W220" s="375">
        <v>8.19</v>
      </c>
      <c r="X220" s="375">
        <v>0</v>
      </c>
      <c r="Y220" s="375"/>
      <c r="Z220" s="375"/>
      <c r="AA220" s="375">
        <v>58.14</v>
      </c>
      <c r="AB220" s="375"/>
      <c r="AC220" s="376">
        <f t="shared" si="63"/>
        <v>802.46999999999991</v>
      </c>
      <c r="AD220" s="385">
        <v>43733</v>
      </c>
      <c r="AE220" s="407" t="s">
        <v>93</v>
      </c>
      <c r="AF220" s="379" t="s">
        <v>123</v>
      </c>
    </row>
    <row r="221" spans="16:32" x14ac:dyDescent="0.2">
      <c r="P221" s="373" t="s">
        <v>3</v>
      </c>
      <c r="Q221" s="374" t="s">
        <v>77</v>
      </c>
      <c r="R221" s="375">
        <v>1074.8</v>
      </c>
      <c r="S221" s="375">
        <v>322.44</v>
      </c>
      <c r="T221" s="375">
        <v>50</v>
      </c>
      <c r="U221" s="375"/>
      <c r="V221" s="376">
        <f t="shared" si="62"/>
        <v>1397.24</v>
      </c>
      <c r="W221" s="375">
        <v>13.97</v>
      </c>
      <c r="X221" s="375"/>
      <c r="Y221" s="375"/>
      <c r="Z221" s="375"/>
      <c r="AA221" s="375">
        <v>76.3</v>
      </c>
      <c r="AB221" s="375"/>
      <c r="AC221" s="376">
        <f t="shared" si="63"/>
        <v>1356.97</v>
      </c>
      <c r="AD221" s="385">
        <v>43733</v>
      </c>
      <c r="AE221" s="407" t="s">
        <v>93</v>
      </c>
      <c r="AF221" s="379" t="s">
        <v>123</v>
      </c>
    </row>
    <row r="222" spans="16:32" x14ac:dyDescent="0.2">
      <c r="P222" s="373" t="s">
        <v>32</v>
      </c>
      <c r="Q222" s="374" t="s">
        <v>78</v>
      </c>
      <c r="R222" s="375">
        <v>954.8</v>
      </c>
      <c r="S222" s="375">
        <v>286.44</v>
      </c>
      <c r="T222" s="375">
        <v>100</v>
      </c>
      <c r="U222" s="375"/>
      <c r="V222" s="376">
        <f t="shared" si="62"/>
        <v>1241.24</v>
      </c>
      <c r="W222" s="375">
        <v>12.41</v>
      </c>
      <c r="X222" s="375"/>
      <c r="Y222" s="375"/>
      <c r="Z222" s="375"/>
      <c r="AA222" s="375">
        <v>67.78</v>
      </c>
      <c r="AB222" s="375"/>
      <c r="AC222" s="376">
        <f t="shared" si="63"/>
        <v>1261.05</v>
      </c>
      <c r="AD222" s="385">
        <v>43733</v>
      </c>
      <c r="AE222" s="407" t="s">
        <v>93</v>
      </c>
      <c r="AF222" s="379" t="s">
        <v>123</v>
      </c>
    </row>
    <row r="223" spans="16:32" x14ac:dyDescent="0.2">
      <c r="P223" s="373" t="s">
        <v>75</v>
      </c>
      <c r="Q223" s="374" t="s">
        <v>79</v>
      </c>
      <c r="R223" s="375">
        <v>800</v>
      </c>
      <c r="S223" s="375">
        <v>240</v>
      </c>
      <c r="T223" s="375"/>
      <c r="U223" s="375"/>
      <c r="V223" s="376">
        <f t="shared" si="62"/>
        <v>1040</v>
      </c>
      <c r="W223" s="375">
        <v>10.4</v>
      </c>
      <c r="X223" s="375"/>
      <c r="Y223" s="375"/>
      <c r="Z223" s="375"/>
      <c r="AA223" s="375"/>
      <c r="AB223" s="375"/>
      <c r="AC223" s="376">
        <f t="shared" si="63"/>
        <v>1029.5999999999999</v>
      </c>
      <c r="AD223" s="385">
        <v>43733</v>
      </c>
      <c r="AE223" s="407" t="s">
        <v>93</v>
      </c>
      <c r="AF223" s="379" t="s">
        <v>123</v>
      </c>
    </row>
    <row r="224" spans="16:32" x14ac:dyDescent="0.2">
      <c r="P224" s="373" t="s">
        <v>86</v>
      </c>
      <c r="Q224" s="374" t="s">
        <v>106</v>
      </c>
      <c r="R224" s="375">
        <v>1200</v>
      </c>
      <c r="S224" s="375">
        <v>562.5</v>
      </c>
      <c r="T224" s="375"/>
      <c r="U224" s="375"/>
      <c r="V224" s="376">
        <f t="shared" si="62"/>
        <v>1762.5</v>
      </c>
      <c r="W224" s="375">
        <v>17.63</v>
      </c>
      <c r="X224" s="375">
        <v>44</v>
      </c>
      <c r="Y224" s="375"/>
      <c r="Z224" s="375"/>
      <c r="AA224" s="375"/>
      <c r="AB224" s="375"/>
      <c r="AC224" s="376">
        <f t="shared" si="63"/>
        <v>1700.87</v>
      </c>
      <c r="AD224" s="385">
        <v>43733</v>
      </c>
      <c r="AE224" s="407" t="s">
        <v>93</v>
      </c>
      <c r="AF224" s="379" t="s">
        <v>123</v>
      </c>
    </row>
    <row r="225" spans="1:33" x14ac:dyDescent="0.2">
      <c r="P225" s="373" t="s">
        <v>107</v>
      </c>
      <c r="Q225" s="374" t="s">
        <v>108</v>
      </c>
      <c r="R225" s="375">
        <v>1000</v>
      </c>
      <c r="S225" s="375">
        <v>300</v>
      </c>
      <c r="T225" s="375"/>
      <c r="U225" s="375"/>
      <c r="V225" s="376">
        <f>R225+S225+U225</f>
        <v>1300</v>
      </c>
      <c r="W225" s="375">
        <v>13</v>
      </c>
      <c r="X225" s="375"/>
      <c r="Y225" s="375"/>
      <c r="Z225" s="375"/>
      <c r="AA225" s="375"/>
      <c r="AB225" s="375"/>
      <c r="AC225" s="376">
        <f t="shared" si="63"/>
        <v>1287</v>
      </c>
      <c r="AD225" s="385">
        <v>43733</v>
      </c>
      <c r="AE225" s="407" t="s">
        <v>93</v>
      </c>
      <c r="AF225" s="379" t="s">
        <v>123</v>
      </c>
    </row>
    <row r="226" spans="1:33" x14ac:dyDescent="0.2">
      <c r="O226" s="180"/>
      <c r="P226" s="373" t="s">
        <v>110</v>
      </c>
      <c r="Q226" s="374" t="s">
        <v>109</v>
      </c>
      <c r="R226" s="375">
        <v>800</v>
      </c>
      <c r="S226" s="375">
        <v>240</v>
      </c>
      <c r="T226" s="375"/>
      <c r="U226" s="375"/>
      <c r="V226" s="376">
        <f>R226+S226+U226</f>
        <v>1040</v>
      </c>
      <c r="W226" s="375">
        <v>10.4</v>
      </c>
      <c r="X226" s="375"/>
      <c r="Y226" s="375"/>
      <c r="Z226" s="375"/>
      <c r="AA226" s="375"/>
      <c r="AB226" s="375"/>
      <c r="AC226" s="376">
        <f>R226+S226+T226-W226-X226-Y226-Z226-AA226-AB226</f>
        <v>1029.5999999999999</v>
      </c>
      <c r="AD226" s="385">
        <v>43733</v>
      </c>
      <c r="AE226" s="407" t="s">
        <v>93</v>
      </c>
      <c r="AF226" s="379" t="s">
        <v>123</v>
      </c>
    </row>
    <row r="227" spans="1:33" x14ac:dyDescent="0.2">
      <c r="O227" s="180"/>
      <c r="P227" s="417" t="s">
        <v>149</v>
      </c>
      <c r="Q227" s="374" t="s">
        <v>150</v>
      </c>
      <c r="R227" s="375">
        <f>1000+320</f>
        <v>1320</v>
      </c>
      <c r="S227" s="375">
        <f>300+60</f>
        <v>360</v>
      </c>
      <c r="T227" s="375"/>
      <c r="U227" s="375"/>
      <c r="V227" s="376">
        <f>R227+S227+U227</f>
        <v>1680</v>
      </c>
      <c r="W227" s="375">
        <v>16.8</v>
      </c>
      <c r="X227" s="375"/>
      <c r="Y227" s="375"/>
      <c r="Z227" s="375"/>
      <c r="AA227" s="375"/>
      <c r="AB227" s="375"/>
      <c r="AC227" s="376">
        <f>R227+S227+T227-W227-X227-Y227-Z227-AA227-AB227</f>
        <v>1663.2</v>
      </c>
      <c r="AD227" s="385">
        <v>43733</v>
      </c>
      <c r="AE227" s="407" t="s">
        <v>93</v>
      </c>
      <c r="AF227" s="379" t="s">
        <v>123</v>
      </c>
    </row>
    <row r="228" spans="1:33" s="180" customFormat="1" x14ac:dyDescent="0.2">
      <c r="A228" s="345"/>
      <c r="C228" s="321"/>
      <c r="D228" s="321"/>
      <c r="E228" s="321"/>
      <c r="F228" s="321"/>
      <c r="G228" s="321"/>
      <c r="H228" s="321"/>
      <c r="I228" s="321"/>
      <c r="J228" s="321"/>
      <c r="K228" s="321"/>
      <c r="L228" s="321"/>
      <c r="M228" s="321"/>
      <c r="N228" s="321"/>
      <c r="P228" s="373" t="s">
        <v>8</v>
      </c>
      <c r="Q228" s="392" t="s">
        <v>111</v>
      </c>
      <c r="R228" s="376">
        <v>13535</v>
      </c>
      <c r="S228" s="376"/>
      <c r="T228" s="376"/>
      <c r="U228" s="376">
        <v>5162</v>
      </c>
      <c r="V228" s="376">
        <f t="shared" ref="V228:V230" si="64">R228+S228+U228</f>
        <v>18697</v>
      </c>
      <c r="W228" s="376"/>
      <c r="X228" s="376">
        <v>2364</v>
      </c>
      <c r="Y228" s="376">
        <v>-829</v>
      </c>
      <c r="Z228" s="376"/>
      <c r="AA228" s="376"/>
      <c r="AB228" s="376"/>
      <c r="AC228" s="376">
        <f t="shared" ref="AC228:AC230" si="65">R228+S228+T228-W228-X228-Y228-Z228-AA228-AB228</f>
        <v>12000</v>
      </c>
      <c r="AD228" s="409"/>
      <c r="AE228" s="414"/>
      <c r="AF228" s="395"/>
      <c r="AG228" s="321"/>
    </row>
    <row r="229" spans="1:33" s="180" customFormat="1" x14ac:dyDescent="0.2">
      <c r="A229" s="345"/>
      <c r="C229" s="321"/>
      <c r="D229" s="321"/>
      <c r="E229" s="321"/>
      <c r="F229" s="321"/>
      <c r="G229" s="321"/>
      <c r="H229" s="321"/>
      <c r="I229" s="321"/>
      <c r="J229" s="321"/>
      <c r="K229" s="321"/>
      <c r="L229" s="321"/>
      <c r="M229" s="321"/>
      <c r="N229" s="321"/>
      <c r="O229" s="78"/>
      <c r="P229" s="373" t="s">
        <v>27</v>
      </c>
      <c r="Q229" s="392" t="s">
        <v>112</v>
      </c>
      <c r="R229" s="375">
        <v>13343</v>
      </c>
      <c r="S229" s="375"/>
      <c r="T229" s="375"/>
      <c r="U229" s="375">
        <v>2400</v>
      </c>
      <c r="V229" s="376">
        <f t="shared" si="64"/>
        <v>15743</v>
      </c>
      <c r="W229" s="375"/>
      <c r="X229" s="375">
        <v>1653</v>
      </c>
      <c r="Y229" s="375">
        <v>-310</v>
      </c>
      <c r="Z229" s="375"/>
      <c r="AA229" s="375"/>
      <c r="AB229" s="375"/>
      <c r="AC229" s="376">
        <f t="shared" si="65"/>
        <v>12000</v>
      </c>
      <c r="AD229" s="409"/>
      <c r="AE229" s="414"/>
      <c r="AF229" s="395"/>
      <c r="AG229" s="321"/>
    </row>
    <row r="230" spans="1:33" s="180" customFormat="1" ht="13.5" thickBot="1" x14ac:dyDescent="0.25">
      <c r="A230" s="345"/>
      <c r="C230" s="321"/>
      <c r="D230" s="321"/>
      <c r="E230" s="321"/>
      <c r="F230" s="321"/>
      <c r="G230" s="321"/>
      <c r="H230" s="321"/>
      <c r="I230" s="321"/>
      <c r="J230" s="321"/>
      <c r="K230" s="321"/>
      <c r="L230" s="321"/>
      <c r="M230" s="321"/>
      <c r="N230" s="321"/>
      <c r="O230" s="78"/>
      <c r="P230" s="396" t="s">
        <v>6</v>
      </c>
      <c r="Q230" s="397" t="s">
        <v>113</v>
      </c>
      <c r="R230" s="380">
        <v>11713.13</v>
      </c>
      <c r="S230" s="380"/>
      <c r="T230" s="380"/>
      <c r="U230" s="380">
        <v>2100</v>
      </c>
      <c r="V230" s="398">
        <f t="shared" si="64"/>
        <v>13813.13</v>
      </c>
      <c r="W230" s="380">
        <v>138.13</v>
      </c>
      <c r="X230" s="380">
        <v>1304</v>
      </c>
      <c r="Y230" s="380">
        <v>-829</v>
      </c>
      <c r="Z230" s="380">
        <v>2100</v>
      </c>
      <c r="AA230" s="380"/>
      <c r="AB230" s="380"/>
      <c r="AC230" s="398">
        <f t="shared" si="65"/>
        <v>9000</v>
      </c>
      <c r="AD230" s="411"/>
      <c r="AE230" s="415"/>
      <c r="AF230" s="401"/>
      <c r="AG230" s="321"/>
    </row>
    <row r="231" spans="1:33" x14ac:dyDescent="0.2">
      <c r="P231" s="357" t="s">
        <v>25</v>
      </c>
      <c r="Q231" s="84" t="s">
        <v>68</v>
      </c>
      <c r="R231" s="88">
        <v>3415.2</v>
      </c>
      <c r="S231" s="88">
        <v>1408.77</v>
      </c>
      <c r="T231" s="88">
        <v>490</v>
      </c>
      <c r="U231" s="88">
        <v>572.75</v>
      </c>
      <c r="V231" s="88">
        <f t="shared" ref="V231:V237" si="66">R231+S231+U231</f>
        <v>5396.7199999999993</v>
      </c>
      <c r="W231" s="88">
        <v>29.74</v>
      </c>
      <c r="X231" s="88">
        <v>680</v>
      </c>
      <c r="Y231" s="88">
        <v>-155</v>
      </c>
      <c r="Z231" s="88">
        <v>572.75</v>
      </c>
      <c r="AA231" s="88">
        <v>200.01</v>
      </c>
      <c r="AB231" s="88">
        <f>1125+250</f>
        <v>1375</v>
      </c>
      <c r="AC231" s="88">
        <f t="shared" ref="AC231:AC237" si="67">R231+S231+T231-W231-X231-Y231-Z231-AA231-AB231</f>
        <v>2611.4699999999993</v>
      </c>
      <c r="AD231" s="105">
        <v>43740</v>
      </c>
      <c r="AE231" s="404" t="s">
        <v>94</v>
      </c>
      <c r="AF231" s="360" t="s">
        <v>124</v>
      </c>
    </row>
    <row r="232" spans="1:33" x14ac:dyDescent="0.2">
      <c r="P232" s="99" t="s">
        <v>26</v>
      </c>
      <c r="Q232" s="82" t="s">
        <v>76</v>
      </c>
      <c r="R232" s="89">
        <v>818.8</v>
      </c>
      <c r="S232" s="89"/>
      <c r="T232" s="89">
        <v>50</v>
      </c>
      <c r="U232" s="89">
        <v>0</v>
      </c>
      <c r="V232" s="88">
        <f t="shared" si="66"/>
        <v>818.8</v>
      </c>
      <c r="W232" s="89">
        <v>8.19</v>
      </c>
      <c r="X232" s="89">
        <v>0</v>
      </c>
      <c r="Y232" s="89"/>
      <c r="Z232" s="89"/>
      <c r="AA232" s="89">
        <v>58.14</v>
      </c>
      <c r="AB232" s="89">
        <v>200</v>
      </c>
      <c r="AC232" s="88">
        <f t="shared" si="67"/>
        <v>602.46999999999991</v>
      </c>
      <c r="AD232" s="106">
        <v>43740</v>
      </c>
      <c r="AE232" s="131" t="s">
        <v>94</v>
      </c>
      <c r="AF232" s="360" t="s">
        <v>124</v>
      </c>
    </row>
    <row r="233" spans="1:33" x14ac:dyDescent="0.2">
      <c r="P233" s="99" t="s">
        <v>3</v>
      </c>
      <c r="Q233" s="82" t="s">
        <v>77</v>
      </c>
      <c r="R233" s="89">
        <v>1074.8</v>
      </c>
      <c r="S233" s="89">
        <v>322.44</v>
      </c>
      <c r="T233" s="89">
        <v>50</v>
      </c>
      <c r="U233" s="89"/>
      <c r="V233" s="88">
        <f t="shared" si="66"/>
        <v>1397.24</v>
      </c>
      <c r="W233" s="89">
        <v>13.97</v>
      </c>
      <c r="X233" s="89"/>
      <c r="Y233" s="89"/>
      <c r="Z233" s="89"/>
      <c r="AA233" s="89">
        <v>76.3</v>
      </c>
      <c r="AB233" s="89"/>
      <c r="AC233" s="88">
        <f t="shared" si="67"/>
        <v>1356.97</v>
      </c>
      <c r="AD233" s="106">
        <v>43740</v>
      </c>
      <c r="AE233" s="131" t="s">
        <v>94</v>
      </c>
      <c r="AF233" s="360" t="s">
        <v>124</v>
      </c>
    </row>
    <row r="234" spans="1:33" x14ac:dyDescent="0.2">
      <c r="P234" s="99" t="s">
        <v>32</v>
      </c>
      <c r="Q234" s="82" t="s">
        <v>78</v>
      </c>
      <c r="R234" s="89">
        <v>954.8</v>
      </c>
      <c r="S234" s="89">
        <v>286.44</v>
      </c>
      <c r="T234" s="89">
        <v>100</v>
      </c>
      <c r="U234" s="89"/>
      <c r="V234" s="88">
        <f t="shared" si="66"/>
        <v>1241.24</v>
      </c>
      <c r="W234" s="89">
        <v>12.41</v>
      </c>
      <c r="X234" s="89"/>
      <c r="Y234" s="89"/>
      <c r="Z234" s="89"/>
      <c r="AA234" s="89">
        <v>67.78</v>
      </c>
      <c r="AB234" s="89"/>
      <c r="AC234" s="88">
        <f t="shared" si="67"/>
        <v>1261.05</v>
      </c>
      <c r="AD234" s="106">
        <v>43740</v>
      </c>
      <c r="AE234" s="131" t="s">
        <v>94</v>
      </c>
      <c r="AF234" s="360" t="s">
        <v>124</v>
      </c>
    </row>
    <row r="235" spans="1:33" x14ac:dyDescent="0.2">
      <c r="P235" s="99" t="s">
        <v>75</v>
      </c>
      <c r="Q235" s="82" t="s">
        <v>79</v>
      </c>
      <c r="R235" s="89">
        <v>800</v>
      </c>
      <c r="S235" s="89">
        <v>240</v>
      </c>
      <c r="T235" s="89"/>
      <c r="U235" s="89"/>
      <c r="V235" s="88">
        <f t="shared" si="66"/>
        <v>1040</v>
      </c>
      <c r="W235" s="89">
        <v>10.4</v>
      </c>
      <c r="X235" s="89"/>
      <c r="Y235" s="89"/>
      <c r="Z235" s="89"/>
      <c r="AA235" s="89"/>
      <c r="AB235" s="89"/>
      <c r="AC235" s="88">
        <f t="shared" si="67"/>
        <v>1029.5999999999999</v>
      </c>
      <c r="AD235" s="106">
        <v>43740</v>
      </c>
      <c r="AE235" s="131" t="s">
        <v>94</v>
      </c>
      <c r="AF235" s="360" t="s">
        <v>124</v>
      </c>
    </row>
    <row r="236" spans="1:33" x14ac:dyDescent="0.2">
      <c r="P236" s="99" t="s">
        <v>86</v>
      </c>
      <c r="Q236" s="82" t="s">
        <v>106</v>
      </c>
      <c r="R236" s="89">
        <v>1000</v>
      </c>
      <c r="S236" s="89">
        <v>412.5</v>
      </c>
      <c r="T236" s="89"/>
      <c r="U236" s="89"/>
      <c r="V236" s="88">
        <f t="shared" si="66"/>
        <v>1412.5</v>
      </c>
      <c r="W236" s="89">
        <v>14.125</v>
      </c>
      <c r="X236" s="89"/>
      <c r="Y236" s="89"/>
      <c r="Z236" s="89"/>
      <c r="AA236" s="89"/>
      <c r="AB236" s="89"/>
      <c r="AC236" s="88">
        <f t="shared" si="67"/>
        <v>1398.375</v>
      </c>
      <c r="AD236" s="106">
        <v>43740</v>
      </c>
      <c r="AE236" s="131" t="s">
        <v>94</v>
      </c>
      <c r="AF236" s="360" t="s">
        <v>124</v>
      </c>
    </row>
    <row r="237" spans="1:33" x14ac:dyDescent="0.2">
      <c r="P237" s="99" t="s">
        <v>107</v>
      </c>
      <c r="Q237" s="82" t="s">
        <v>108</v>
      </c>
      <c r="R237" s="89">
        <v>1000</v>
      </c>
      <c r="S237" s="89">
        <v>356.25</v>
      </c>
      <c r="T237" s="89"/>
      <c r="U237" s="89"/>
      <c r="V237" s="88">
        <f t="shared" si="66"/>
        <v>1356.25</v>
      </c>
      <c r="W237" s="89">
        <v>13.56</v>
      </c>
      <c r="X237" s="89"/>
      <c r="Y237" s="89"/>
      <c r="Z237" s="89"/>
      <c r="AA237" s="89"/>
      <c r="AB237" s="89"/>
      <c r="AC237" s="88">
        <f t="shared" si="67"/>
        <v>1342.69</v>
      </c>
      <c r="AD237" s="106">
        <v>43740</v>
      </c>
      <c r="AE237" s="131" t="s">
        <v>94</v>
      </c>
      <c r="AF237" s="360" t="s">
        <v>124</v>
      </c>
    </row>
    <row r="238" spans="1:33" x14ac:dyDescent="0.2">
      <c r="P238" s="99" t="s">
        <v>110</v>
      </c>
      <c r="Q238" s="82" t="s">
        <v>109</v>
      </c>
      <c r="R238" s="89">
        <v>800</v>
      </c>
      <c r="S238" s="89">
        <v>240</v>
      </c>
      <c r="T238" s="89"/>
      <c r="U238" s="89"/>
      <c r="V238" s="88">
        <f>R238+S238+U238</f>
        <v>1040</v>
      </c>
      <c r="W238" s="89">
        <v>10.4</v>
      </c>
      <c r="X238" s="89"/>
      <c r="Y238" s="89"/>
      <c r="Z238" s="89"/>
      <c r="AA238" s="89"/>
      <c r="AB238" s="89"/>
      <c r="AC238" s="88">
        <f>R238+S238+T238-W238-X238-Y238-Z238-AA238-AB238</f>
        <v>1029.5999999999999</v>
      </c>
      <c r="AD238" s="106">
        <v>43740</v>
      </c>
      <c r="AE238" s="131" t="s">
        <v>94</v>
      </c>
      <c r="AF238" s="360" t="s">
        <v>124</v>
      </c>
    </row>
    <row r="239" spans="1:33" x14ac:dyDescent="0.2">
      <c r="P239" s="416" t="s">
        <v>149</v>
      </c>
      <c r="Q239" s="82" t="s">
        <v>150</v>
      </c>
      <c r="R239" s="89">
        <v>1000</v>
      </c>
      <c r="S239" s="89">
        <v>356.25</v>
      </c>
      <c r="T239" s="89"/>
      <c r="U239" s="89"/>
      <c r="V239" s="88">
        <f>R239+S239+U239</f>
        <v>1356.25</v>
      </c>
      <c r="W239" s="89">
        <v>13.56</v>
      </c>
      <c r="X239" s="89"/>
      <c r="Y239" s="89"/>
      <c r="Z239" s="89"/>
      <c r="AA239" s="89"/>
      <c r="AB239" s="89"/>
      <c r="AC239" s="88">
        <f>R239+S239+T239-W239-X239-Y239-Z239-AA239-AB239</f>
        <v>1342.69</v>
      </c>
      <c r="AD239" s="106">
        <v>43740</v>
      </c>
      <c r="AE239" s="131" t="s">
        <v>94</v>
      </c>
      <c r="AF239" s="360" t="s">
        <v>124</v>
      </c>
    </row>
    <row r="240" spans="1:33" x14ac:dyDescent="0.2">
      <c r="P240" s="357" t="s">
        <v>25</v>
      </c>
      <c r="Q240" s="84" t="s">
        <v>68</v>
      </c>
      <c r="R240" s="89">
        <v>3415.2</v>
      </c>
      <c r="S240" s="89">
        <v>1664.91</v>
      </c>
      <c r="T240" s="89">
        <v>490</v>
      </c>
      <c r="U240" s="89">
        <v>572.75</v>
      </c>
      <c r="V240" s="88">
        <f t="shared" ref="V240:V246" si="68">R240+S240+U240</f>
        <v>5652.86</v>
      </c>
      <c r="W240" s="89">
        <v>29.74</v>
      </c>
      <c r="X240" s="89">
        <v>745</v>
      </c>
      <c r="Y240" s="89">
        <v>-155</v>
      </c>
      <c r="Z240" s="89">
        <v>572.75</v>
      </c>
      <c r="AA240" s="89">
        <v>200.01</v>
      </c>
      <c r="AB240" s="89">
        <f>1125+250</f>
        <v>1375</v>
      </c>
      <c r="AC240" s="88">
        <f t="shared" ref="AC240:AC246" si="69">R240+S240+T240-W240-X240-Y240-Z240-AA240-AB240</f>
        <v>2802.6099999999997</v>
      </c>
      <c r="AD240" s="106">
        <v>43747</v>
      </c>
      <c r="AE240" s="167" t="s">
        <v>95</v>
      </c>
      <c r="AF240" s="360" t="s">
        <v>124</v>
      </c>
    </row>
    <row r="241" spans="16:32" x14ac:dyDescent="0.2">
      <c r="P241" s="99" t="s">
        <v>26</v>
      </c>
      <c r="Q241" s="82" t="s">
        <v>76</v>
      </c>
      <c r="R241" s="89">
        <v>818.8</v>
      </c>
      <c r="S241" s="89"/>
      <c r="T241" s="89">
        <v>50</v>
      </c>
      <c r="U241" s="89">
        <v>0</v>
      </c>
      <c r="V241" s="88">
        <f t="shared" si="68"/>
        <v>818.8</v>
      </c>
      <c r="W241" s="89">
        <v>8.19</v>
      </c>
      <c r="X241" s="89">
        <v>0</v>
      </c>
      <c r="Y241" s="89"/>
      <c r="Z241" s="89"/>
      <c r="AA241" s="89">
        <v>58.14</v>
      </c>
      <c r="AB241" s="89"/>
      <c r="AC241" s="88">
        <f t="shared" si="69"/>
        <v>802.46999999999991</v>
      </c>
      <c r="AD241" s="106">
        <v>43747</v>
      </c>
      <c r="AE241" s="167" t="s">
        <v>95</v>
      </c>
      <c r="AF241" s="360" t="s">
        <v>124</v>
      </c>
    </row>
    <row r="242" spans="16:32" x14ac:dyDescent="0.2">
      <c r="P242" s="99" t="s">
        <v>3</v>
      </c>
      <c r="Q242" s="82" t="s">
        <v>77</v>
      </c>
      <c r="R242" s="89">
        <v>1074.8</v>
      </c>
      <c r="S242" s="89">
        <v>443.36</v>
      </c>
      <c r="T242" s="89">
        <v>50</v>
      </c>
      <c r="U242" s="89"/>
      <c r="V242" s="88">
        <f t="shared" si="68"/>
        <v>1518.1599999999999</v>
      </c>
      <c r="W242" s="89">
        <v>15.18</v>
      </c>
      <c r="X242" s="89"/>
      <c r="Y242" s="89"/>
      <c r="Z242" s="89"/>
      <c r="AA242" s="89">
        <v>76.3</v>
      </c>
      <c r="AB242" s="89"/>
      <c r="AC242" s="88">
        <f t="shared" si="69"/>
        <v>1476.6799999999998</v>
      </c>
      <c r="AD242" s="106">
        <v>43747</v>
      </c>
      <c r="AE242" s="167" t="s">
        <v>95</v>
      </c>
      <c r="AF242" s="360" t="s">
        <v>124</v>
      </c>
    </row>
    <row r="243" spans="16:32" x14ac:dyDescent="0.2">
      <c r="P243" s="99" t="s">
        <v>32</v>
      </c>
      <c r="Q243" s="82" t="s">
        <v>78</v>
      </c>
      <c r="R243" s="89">
        <v>954.8</v>
      </c>
      <c r="S243" s="89">
        <v>393.86</v>
      </c>
      <c r="T243" s="89">
        <v>100</v>
      </c>
      <c r="U243" s="89"/>
      <c r="V243" s="88">
        <f t="shared" si="68"/>
        <v>1348.6599999999999</v>
      </c>
      <c r="W243" s="89">
        <v>13.49</v>
      </c>
      <c r="X243" s="89"/>
      <c r="Y243" s="89"/>
      <c r="Z243" s="89"/>
      <c r="AA243" s="89">
        <v>67.78</v>
      </c>
      <c r="AB243" s="89"/>
      <c r="AC243" s="88">
        <f t="shared" si="69"/>
        <v>1367.3899999999999</v>
      </c>
      <c r="AD243" s="106">
        <v>43747</v>
      </c>
      <c r="AE243" s="167" t="s">
        <v>95</v>
      </c>
      <c r="AF243" s="360" t="s">
        <v>124</v>
      </c>
    </row>
    <row r="244" spans="16:32" x14ac:dyDescent="0.2">
      <c r="P244" s="99" t="s">
        <v>75</v>
      </c>
      <c r="Q244" s="82" t="s">
        <v>79</v>
      </c>
      <c r="R244" s="89">
        <v>800</v>
      </c>
      <c r="S244" s="89">
        <v>330</v>
      </c>
      <c r="T244" s="89"/>
      <c r="U244" s="89"/>
      <c r="V244" s="88">
        <f t="shared" si="68"/>
        <v>1130</v>
      </c>
      <c r="W244" s="89">
        <v>11.3</v>
      </c>
      <c r="X244" s="89"/>
      <c r="Y244" s="89"/>
      <c r="Z244" s="89"/>
      <c r="AA244" s="89"/>
      <c r="AB244" s="89"/>
      <c r="AC244" s="88">
        <f t="shared" si="69"/>
        <v>1118.7</v>
      </c>
      <c r="AD244" s="106">
        <v>43747</v>
      </c>
      <c r="AE244" s="167" t="s">
        <v>95</v>
      </c>
      <c r="AF244" s="360" t="s">
        <v>124</v>
      </c>
    </row>
    <row r="245" spans="16:32" x14ac:dyDescent="0.2">
      <c r="P245" s="99" t="s">
        <v>86</v>
      </c>
      <c r="Q245" s="82" t="s">
        <v>106</v>
      </c>
      <c r="R245" s="89">
        <v>1000</v>
      </c>
      <c r="S245" s="89">
        <v>487.5</v>
      </c>
      <c r="T245" s="89"/>
      <c r="U245" s="89"/>
      <c r="V245" s="88">
        <f t="shared" si="68"/>
        <v>1487.5</v>
      </c>
      <c r="W245" s="89">
        <v>14.88</v>
      </c>
      <c r="X245" s="89"/>
      <c r="Y245" s="89"/>
      <c r="Z245" s="89"/>
      <c r="AA245" s="89"/>
      <c r="AB245" s="89"/>
      <c r="AC245" s="88">
        <f t="shared" si="69"/>
        <v>1472.62</v>
      </c>
      <c r="AD245" s="106">
        <v>43747</v>
      </c>
      <c r="AE245" s="167" t="s">
        <v>95</v>
      </c>
      <c r="AF245" s="360" t="s">
        <v>124</v>
      </c>
    </row>
    <row r="246" spans="16:32" x14ac:dyDescent="0.2">
      <c r="P246" s="99" t="s">
        <v>107</v>
      </c>
      <c r="Q246" s="82" t="s">
        <v>108</v>
      </c>
      <c r="R246" s="89">
        <v>1000</v>
      </c>
      <c r="S246" s="89">
        <v>412.5</v>
      </c>
      <c r="T246" s="89"/>
      <c r="U246" s="89"/>
      <c r="V246" s="88">
        <f t="shared" si="68"/>
        <v>1412.5</v>
      </c>
      <c r="W246" s="89">
        <v>14.125</v>
      </c>
      <c r="X246" s="89"/>
      <c r="Y246" s="89"/>
      <c r="Z246" s="89"/>
      <c r="AA246" s="89"/>
      <c r="AB246" s="89"/>
      <c r="AC246" s="88">
        <f t="shared" si="69"/>
        <v>1398.375</v>
      </c>
      <c r="AD246" s="106">
        <v>43747</v>
      </c>
      <c r="AE246" s="167" t="s">
        <v>95</v>
      </c>
      <c r="AF246" s="360" t="s">
        <v>124</v>
      </c>
    </row>
    <row r="247" spans="16:32" x14ac:dyDescent="0.2">
      <c r="P247" s="99" t="s">
        <v>110</v>
      </c>
      <c r="Q247" s="82" t="s">
        <v>109</v>
      </c>
      <c r="R247" s="89">
        <v>800</v>
      </c>
      <c r="S247" s="89">
        <v>300</v>
      </c>
      <c r="T247" s="89"/>
      <c r="U247" s="89"/>
      <c r="V247" s="88">
        <f>R247+S247+U247</f>
        <v>1100</v>
      </c>
      <c r="W247" s="89">
        <v>11</v>
      </c>
      <c r="X247" s="89"/>
      <c r="Y247" s="89"/>
      <c r="Z247" s="89"/>
      <c r="AA247" s="89"/>
      <c r="AB247" s="89"/>
      <c r="AC247" s="88">
        <f>R247+S247+T247-W247-X247-Y247-Z247-AA247-AB247</f>
        <v>1089</v>
      </c>
      <c r="AD247" s="106">
        <v>43747</v>
      </c>
      <c r="AE247" s="167" t="s">
        <v>95</v>
      </c>
      <c r="AF247" s="360" t="s">
        <v>124</v>
      </c>
    </row>
    <row r="248" spans="16:32" x14ac:dyDescent="0.2">
      <c r="P248" s="416" t="s">
        <v>149</v>
      </c>
      <c r="Q248" s="82" t="s">
        <v>150</v>
      </c>
      <c r="R248" s="89">
        <v>1000</v>
      </c>
      <c r="S248" s="89">
        <v>412.5</v>
      </c>
      <c r="T248" s="89"/>
      <c r="U248" s="89"/>
      <c r="V248" s="88">
        <f>R248+S248+U248</f>
        <v>1412.5</v>
      </c>
      <c r="W248" s="89">
        <v>14.125</v>
      </c>
      <c r="X248" s="89"/>
      <c r="Y248" s="89"/>
      <c r="Z248" s="89"/>
      <c r="AA248" s="89"/>
      <c r="AB248" s="89"/>
      <c r="AC248" s="88">
        <f>R248+S248+T248-W248-X248-Y248-Z248-AA248-AB248</f>
        <v>1398.375</v>
      </c>
      <c r="AD248" s="106">
        <v>43747</v>
      </c>
      <c r="AE248" s="167" t="s">
        <v>95</v>
      </c>
      <c r="AF248" s="360" t="s">
        <v>124</v>
      </c>
    </row>
    <row r="249" spans="16:32" x14ac:dyDescent="0.2">
      <c r="P249" s="357" t="s">
        <v>25</v>
      </c>
      <c r="Q249" s="84" t="s">
        <v>68</v>
      </c>
      <c r="R249" s="89">
        <v>3415.2</v>
      </c>
      <c r="S249" s="89">
        <v>2049.12</v>
      </c>
      <c r="T249" s="89">
        <v>490</v>
      </c>
      <c r="U249" s="89">
        <v>572.75</v>
      </c>
      <c r="V249" s="88">
        <f t="shared" ref="V249:V256" si="70">R249+S249+U249</f>
        <v>6037.07</v>
      </c>
      <c r="W249" s="89">
        <v>29.74</v>
      </c>
      <c r="X249" s="89">
        <v>848</v>
      </c>
      <c r="Y249" s="89">
        <v>-155</v>
      </c>
      <c r="Z249" s="89">
        <v>572.75</v>
      </c>
      <c r="AA249" s="89">
        <v>200.01</v>
      </c>
      <c r="AB249" s="89">
        <f>1125+250</f>
        <v>1375</v>
      </c>
      <c r="AC249" s="88">
        <f t="shared" ref="AC249:AC257" si="71">R249+S249+T249-W249-X249-Y249-Z249-AA249-AB249</f>
        <v>3083.8199999999997</v>
      </c>
      <c r="AD249" s="106">
        <v>43754</v>
      </c>
      <c r="AE249" s="134" t="s">
        <v>96</v>
      </c>
      <c r="AF249" s="360" t="s">
        <v>124</v>
      </c>
    </row>
    <row r="250" spans="16:32" x14ac:dyDescent="0.2">
      <c r="P250" s="99" t="s">
        <v>26</v>
      </c>
      <c r="Q250" s="82" t="s">
        <v>76</v>
      </c>
      <c r="R250" s="89">
        <v>818.8</v>
      </c>
      <c r="S250" s="89"/>
      <c r="T250" s="89">
        <v>50</v>
      </c>
      <c r="U250" s="89">
        <v>0</v>
      </c>
      <c r="V250" s="88">
        <f t="shared" si="70"/>
        <v>818.8</v>
      </c>
      <c r="W250" s="89">
        <v>8.19</v>
      </c>
      <c r="X250" s="89">
        <v>0</v>
      </c>
      <c r="Y250" s="89"/>
      <c r="Z250" s="89"/>
      <c r="AA250" s="89">
        <v>58.14</v>
      </c>
      <c r="AB250" s="89">
        <v>200</v>
      </c>
      <c r="AC250" s="88">
        <f t="shared" si="71"/>
        <v>602.46999999999991</v>
      </c>
      <c r="AD250" s="106">
        <v>43754</v>
      </c>
      <c r="AE250" s="134" t="s">
        <v>96</v>
      </c>
      <c r="AF250" s="360" t="s">
        <v>124</v>
      </c>
    </row>
    <row r="251" spans="16:32" x14ac:dyDescent="0.2">
      <c r="P251" s="99" t="s">
        <v>3</v>
      </c>
      <c r="Q251" s="82" t="s">
        <v>77</v>
      </c>
      <c r="R251" s="89">
        <v>1074.8</v>
      </c>
      <c r="S251" s="89">
        <v>523.97</v>
      </c>
      <c r="T251" s="89">
        <v>50</v>
      </c>
      <c r="U251" s="89"/>
      <c r="V251" s="88">
        <f t="shared" si="70"/>
        <v>1598.77</v>
      </c>
      <c r="W251" s="89">
        <v>15.99</v>
      </c>
      <c r="X251" s="89">
        <v>14</v>
      </c>
      <c r="Y251" s="89"/>
      <c r="Z251" s="89"/>
      <c r="AA251" s="89">
        <v>76.3</v>
      </c>
      <c r="AB251" s="89"/>
      <c r="AC251" s="88">
        <f t="shared" si="71"/>
        <v>1542.48</v>
      </c>
      <c r="AD251" s="106">
        <v>43754</v>
      </c>
      <c r="AE251" s="134" t="s">
        <v>96</v>
      </c>
      <c r="AF251" s="360" t="s">
        <v>124</v>
      </c>
    </row>
    <row r="252" spans="16:32" x14ac:dyDescent="0.2">
      <c r="P252" s="99" t="s">
        <v>32</v>
      </c>
      <c r="Q252" s="82" t="s">
        <v>78</v>
      </c>
      <c r="R252" s="89">
        <v>954.8</v>
      </c>
      <c r="S252" s="89">
        <v>71.61</v>
      </c>
      <c r="T252" s="89">
        <v>100</v>
      </c>
      <c r="U252" s="89"/>
      <c r="V252" s="88">
        <f t="shared" si="70"/>
        <v>1026.4099999999999</v>
      </c>
      <c r="W252" s="89">
        <v>10.26</v>
      </c>
      <c r="X252" s="89"/>
      <c r="Y252" s="89"/>
      <c r="Z252" s="89"/>
      <c r="AA252" s="89">
        <v>67.78</v>
      </c>
      <c r="AB252" s="89"/>
      <c r="AC252" s="88">
        <f t="shared" si="71"/>
        <v>1048.3699999999999</v>
      </c>
      <c r="AD252" s="106">
        <v>43754</v>
      </c>
      <c r="AE252" s="134" t="s">
        <v>96</v>
      </c>
      <c r="AF252" s="360" t="s">
        <v>124</v>
      </c>
    </row>
    <row r="253" spans="16:32" x14ac:dyDescent="0.2">
      <c r="P253" s="99" t="s">
        <v>75</v>
      </c>
      <c r="Q253" s="82" t="s">
        <v>79</v>
      </c>
      <c r="R253" s="89">
        <v>800</v>
      </c>
      <c r="S253" s="89">
        <v>390</v>
      </c>
      <c r="T253" s="89"/>
      <c r="U253" s="89"/>
      <c r="V253" s="88">
        <f t="shared" si="70"/>
        <v>1190</v>
      </c>
      <c r="W253" s="89">
        <v>11.9</v>
      </c>
      <c r="X253" s="89"/>
      <c r="Y253" s="89"/>
      <c r="Z253" s="89"/>
      <c r="AA253" s="89"/>
      <c r="AB253" s="89"/>
      <c r="AC253" s="88">
        <f t="shared" si="71"/>
        <v>1178.0999999999999</v>
      </c>
      <c r="AD253" s="106">
        <v>43754</v>
      </c>
      <c r="AE253" s="134" t="s">
        <v>96</v>
      </c>
      <c r="AF253" s="360" t="s">
        <v>124</v>
      </c>
    </row>
    <row r="254" spans="16:32" x14ac:dyDescent="0.2">
      <c r="P254" s="99" t="s">
        <v>86</v>
      </c>
      <c r="Q254" s="82" t="s">
        <v>106</v>
      </c>
      <c r="R254" s="89">
        <v>1000</v>
      </c>
      <c r="S254" s="89">
        <v>487.5</v>
      </c>
      <c r="T254" s="89"/>
      <c r="U254" s="89"/>
      <c r="V254" s="88">
        <f t="shared" si="70"/>
        <v>1487.5</v>
      </c>
      <c r="W254" s="89">
        <v>14.88</v>
      </c>
      <c r="X254" s="89"/>
      <c r="Y254" s="89"/>
      <c r="Z254" s="89"/>
      <c r="AA254" s="89"/>
      <c r="AB254" s="89"/>
      <c r="AC254" s="88">
        <f t="shared" si="71"/>
        <v>1472.62</v>
      </c>
      <c r="AD254" s="106">
        <v>43754</v>
      </c>
      <c r="AE254" s="134" t="s">
        <v>96</v>
      </c>
      <c r="AF254" s="360" t="s">
        <v>124</v>
      </c>
    </row>
    <row r="255" spans="16:32" x14ac:dyDescent="0.2">
      <c r="P255" s="99" t="s">
        <v>107</v>
      </c>
      <c r="Q255" s="82" t="s">
        <v>108</v>
      </c>
      <c r="R255" s="89">
        <v>1000</v>
      </c>
      <c r="S255" s="89">
        <v>487.5</v>
      </c>
      <c r="T255" s="89"/>
      <c r="U255" s="89"/>
      <c r="V255" s="88">
        <f t="shared" si="70"/>
        <v>1487.5</v>
      </c>
      <c r="W255" s="89">
        <v>14.875</v>
      </c>
      <c r="X255" s="89"/>
      <c r="Y255" s="89"/>
      <c r="Z255" s="89"/>
      <c r="AA255" s="89"/>
      <c r="AB255" s="89"/>
      <c r="AC255" s="88">
        <f t="shared" si="71"/>
        <v>1472.625</v>
      </c>
      <c r="AD255" s="106">
        <v>43754</v>
      </c>
      <c r="AE255" s="134" t="s">
        <v>96</v>
      </c>
      <c r="AF255" s="360" t="s">
        <v>124</v>
      </c>
    </row>
    <row r="256" spans="16:32" x14ac:dyDescent="0.2">
      <c r="P256" s="99" t="s">
        <v>110</v>
      </c>
      <c r="Q256" s="82" t="s">
        <v>109</v>
      </c>
      <c r="R256" s="89">
        <v>800</v>
      </c>
      <c r="S256" s="89">
        <v>390</v>
      </c>
      <c r="T256" s="89"/>
      <c r="U256" s="89"/>
      <c r="V256" s="88">
        <f t="shared" si="70"/>
        <v>1190</v>
      </c>
      <c r="W256" s="89">
        <v>11.9</v>
      </c>
      <c r="X256" s="89"/>
      <c r="Y256" s="89"/>
      <c r="Z256" s="89"/>
      <c r="AA256" s="89"/>
      <c r="AB256" s="89"/>
      <c r="AC256" s="88">
        <f t="shared" si="71"/>
        <v>1178.0999999999999</v>
      </c>
      <c r="AD256" s="106">
        <v>43754</v>
      </c>
      <c r="AE256" s="134" t="s">
        <v>96</v>
      </c>
      <c r="AF256" s="360" t="s">
        <v>124</v>
      </c>
    </row>
    <row r="257" spans="16:32" x14ac:dyDescent="0.2">
      <c r="P257" s="416" t="s">
        <v>149</v>
      </c>
      <c r="Q257" s="82" t="s">
        <v>150</v>
      </c>
      <c r="R257" s="89">
        <v>1000</v>
      </c>
      <c r="S257" s="89">
        <v>487.5</v>
      </c>
      <c r="T257" s="89"/>
      <c r="U257" s="89"/>
      <c r="V257" s="88">
        <f>R257+S257+U257</f>
        <v>1487.5</v>
      </c>
      <c r="W257" s="89">
        <v>14.875</v>
      </c>
      <c r="X257" s="89"/>
      <c r="Y257" s="89"/>
      <c r="Z257" s="89"/>
      <c r="AA257" s="89"/>
      <c r="AB257" s="89"/>
      <c r="AC257" s="88">
        <f t="shared" si="71"/>
        <v>1472.625</v>
      </c>
      <c r="AD257" s="106">
        <v>43754</v>
      </c>
      <c r="AE257" s="134" t="s">
        <v>96</v>
      </c>
      <c r="AF257" s="360" t="s">
        <v>124</v>
      </c>
    </row>
    <row r="258" spans="16:32" x14ac:dyDescent="0.2">
      <c r="P258" s="357" t="s">
        <v>25</v>
      </c>
      <c r="Q258" s="84" t="s">
        <v>68</v>
      </c>
      <c r="R258" s="89">
        <v>3415.2</v>
      </c>
      <c r="S258" s="89">
        <v>2177.19</v>
      </c>
      <c r="T258" s="89">
        <v>490</v>
      </c>
      <c r="U258" s="89">
        <v>572.75</v>
      </c>
      <c r="V258" s="88">
        <f t="shared" ref="V258:V264" si="72">R258+S258+U258</f>
        <v>6165.1399999999994</v>
      </c>
      <c r="W258" s="89">
        <v>29.74</v>
      </c>
      <c r="X258" s="89">
        <v>881</v>
      </c>
      <c r="Y258" s="89">
        <v>-155</v>
      </c>
      <c r="Z258" s="89">
        <v>572.75</v>
      </c>
      <c r="AA258" s="89">
        <v>200.01</v>
      </c>
      <c r="AB258" s="89">
        <f>1125</f>
        <v>1125</v>
      </c>
      <c r="AC258" s="88">
        <f t="shared" ref="AC258:AC267" si="73">R258+S258+T258-W258-X258-Y258-Z258-AA258-AB258</f>
        <v>3428.8899999999994</v>
      </c>
      <c r="AD258" s="106">
        <v>43761</v>
      </c>
      <c r="AE258" s="165" t="s">
        <v>152</v>
      </c>
      <c r="AF258" s="360" t="s">
        <v>124</v>
      </c>
    </row>
    <row r="259" spans="16:32" x14ac:dyDescent="0.2">
      <c r="P259" s="99" t="s">
        <v>26</v>
      </c>
      <c r="Q259" s="82" t="s">
        <v>76</v>
      </c>
      <c r="R259" s="89">
        <v>818.8</v>
      </c>
      <c r="S259" s="89"/>
      <c r="T259" s="89">
        <v>50</v>
      </c>
      <c r="U259" s="89">
        <v>0</v>
      </c>
      <c r="V259" s="88">
        <f t="shared" si="72"/>
        <v>818.8</v>
      </c>
      <c r="W259" s="89">
        <v>8.19</v>
      </c>
      <c r="X259" s="89">
        <v>0</v>
      </c>
      <c r="Y259" s="89"/>
      <c r="Z259" s="89"/>
      <c r="AA259" s="89">
        <v>58.14</v>
      </c>
      <c r="AB259" s="89"/>
      <c r="AC259" s="88">
        <f t="shared" si="73"/>
        <v>802.46999999999991</v>
      </c>
      <c r="AD259" s="106">
        <v>43761</v>
      </c>
      <c r="AE259" s="165" t="s">
        <v>152</v>
      </c>
      <c r="AF259" s="360" t="s">
        <v>124</v>
      </c>
    </row>
    <row r="260" spans="16:32" x14ac:dyDescent="0.2">
      <c r="P260" s="99" t="s">
        <v>3</v>
      </c>
      <c r="Q260" s="82" t="s">
        <v>77</v>
      </c>
      <c r="R260" s="89">
        <v>1074.8</v>
      </c>
      <c r="S260" s="89">
        <v>685.19</v>
      </c>
      <c r="T260" s="89">
        <v>50</v>
      </c>
      <c r="U260" s="89"/>
      <c r="V260" s="88">
        <f t="shared" si="72"/>
        <v>1759.99</v>
      </c>
      <c r="W260" s="89">
        <v>17.600000000000001</v>
      </c>
      <c r="X260" s="89">
        <v>43</v>
      </c>
      <c r="Y260" s="89"/>
      <c r="Z260" s="89"/>
      <c r="AA260" s="89">
        <v>76.3</v>
      </c>
      <c r="AB260" s="89"/>
      <c r="AC260" s="88">
        <f t="shared" si="73"/>
        <v>1673.0900000000001</v>
      </c>
      <c r="AD260" s="106">
        <v>43761</v>
      </c>
      <c r="AE260" s="165" t="s">
        <v>152</v>
      </c>
      <c r="AF260" s="360" t="s">
        <v>124</v>
      </c>
    </row>
    <row r="261" spans="16:32" x14ac:dyDescent="0.2">
      <c r="P261" s="99" t="s">
        <v>32</v>
      </c>
      <c r="Q261" s="82" t="s">
        <v>78</v>
      </c>
      <c r="R261" s="89">
        <v>954.8</v>
      </c>
      <c r="S261" s="89">
        <v>608.69000000000005</v>
      </c>
      <c r="T261" s="89">
        <v>100</v>
      </c>
      <c r="U261" s="89"/>
      <c r="V261" s="88">
        <f t="shared" si="72"/>
        <v>1563.49</v>
      </c>
      <c r="W261" s="89">
        <v>15.63</v>
      </c>
      <c r="X261" s="89">
        <v>7</v>
      </c>
      <c r="Y261" s="89"/>
      <c r="Z261" s="89"/>
      <c r="AA261" s="89">
        <v>67.78</v>
      </c>
      <c r="AB261" s="89"/>
      <c r="AC261" s="88">
        <f t="shared" si="73"/>
        <v>1573.08</v>
      </c>
      <c r="AD261" s="106">
        <v>43761</v>
      </c>
      <c r="AE261" s="165" t="s">
        <v>152</v>
      </c>
      <c r="AF261" s="360" t="s">
        <v>124</v>
      </c>
    </row>
    <row r="262" spans="16:32" x14ac:dyDescent="0.2">
      <c r="P262" s="99" t="s">
        <v>75</v>
      </c>
      <c r="Q262" s="82" t="s">
        <v>79</v>
      </c>
      <c r="R262" s="89">
        <v>800</v>
      </c>
      <c r="S262" s="89">
        <v>510</v>
      </c>
      <c r="T262" s="89"/>
      <c r="U262" s="89"/>
      <c r="V262" s="88">
        <f t="shared" si="72"/>
        <v>1310</v>
      </c>
      <c r="W262" s="89">
        <v>13.1</v>
      </c>
      <c r="X262" s="89"/>
      <c r="Y262" s="89"/>
      <c r="Z262" s="89"/>
      <c r="AA262" s="89"/>
      <c r="AB262" s="89"/>
      <c r="AC262" s="88">
        <f t="shared" si="73"/>
        <v>1296.9000000000001</v>
      </c>
      <c r="AD262" s="106">
        <v>43761</v>
      </c>
      <c r="AE262" s="165" t="s">
        <v>152</v>
      </c>
      <c r="AF262" s="360" t="s">
        <v>124</v>
      </c>
    </row>
    <row r="263" spans="16:32" x14ac:dyDescent="0.2">
      <c r="P263" s="99" t="s">
        <v>86</v>
      </c>
      <c r="Q263" s="82" t="s">
        <v>106</v>
      </c>
      <c r="R263" s="89">
        <v>1000</v>
      </c>
      <c r="S263" s="89">
        <v>637.5</v>
      </c>
      <c r="T263" s="89"/>
      <c r="U263" s="89"/>
      <c r="V263" s="88">
        <f t="shared" si="72"/>
        <v>1637.5</v>
      </c>
      <c r="W263" s="89">
        <v>16.375</v>
      </c>
      <c r="X263" s="89">
        <v>21</v>
      </c>
      <c r="Y263" s="89"/>
      <c r="Z263" s="89"/>
      <c r="AA263" s="89"/>
      <c r="AB263" s="89"/>
      <c r="AC263" s="88">
        <f t="shared" si="73"/>
        <v>1600.125</v>
      </c>
      <c r="AD263" s="106">
        <v>43761</v>
      </c>
      <c r="AE263" s="165" t="s">
        <v>152</v>
      </c>
      <c r="AF263" s="360" t="s">
        <v>124</v>
      </c>
    </row>
    <row r="264" spans="16:32" x14ac:dyDescent="0.2">
      <c r="P264" s="99" t="s">
        <v>107</v>
      </c>
      <c r="Q264" s="82" t="s">
        <v>108</v>
      </c>
      <c r="R264" s="89">
        <v>1000</v>
      </c>
      <c r="S264" s="89">
        <v>637.5</v>
      </c>
      <c r="T264" s="89"/>
      <c r="U264" s="89"/>
      <c r="V264" s="88">
        <f t="shared" si="72"/>
        <v>1637.5</v>
      </c>
      <c r="W264" s="89">
        <v>16.375</v>
      </c>
      <c r="X264" s="89">
        <v>21</v>
      </c>
      <c r="Y264" s="89"/>
      <c r="Z264" s="89"/>
      <c r="AA264" s="89"/>
      <c r="AB264" s="89"/>
      <c r="AC264" s="88">
        <f t="shared" si="73"/>
        <v>1600.125</v>
      </c>
      <c r="AD264" s="106">
        <v>43761</v>
      </c>
      <c r="AE264" s="165" t="s">
        <v>152</v>
      </c>
      <c r="AF264" s="360" t="s">
        <v>124</v>
      </c>
    </row>
    <row r="265" spans="16:32" x14ac:dyDescent="0.2">
      <c r="P265" s="99" t="s">
        <v>110</v>
      </c>
      <c r="Q265" s="82" t="s">
        <v>109</v>
      </c>
      <c r="R265" s="89">
        <v>800</v>
      </c>
      <c r="S265" s="89">
        <v>510</v>
      </c>
      <c r="T265" s="89"/>
      <c r="U265" s="89"/>
      <c r="V265" s="88">
        <f>R265+S265+U265</f>
        <v>1310</v>
      </c>
      <c r="W265" s="89">
        <v>13.1</v>
      </c>
      <c r="X265" s="89"/>
      <c r="Y265" s="89"/>
      <c r="Z265" s="89"/>
      <c r="AA265" s="89"/>
      <c r="AB265" s="89"/>
      <c r="AC265" s="88">
        <f t="shared" si="73"/>
        <v>1296.9000000000001</v>
      </c>
      <c r="AD265" s="106">
        <v>43761</v>
      </c>
      <c r="AE265" s="165" t="s">
        <v>152</v>
      </c>
      <c r="AF265" s="360" t="s">
        <v>124</v>
      </c>
    </row>
    <row r="266" spans="16:32" x14ac:dyDescent="0.2">
      <c r="P266" s="418" t="s">
        <v>149</v>
      </c>
      <c r="Q266" s="82" t="s">
        <v>150</v>
      </c>
      <c r="R266" s="89">
        <v>1000</v>
      </c>
      <c r="S266" s="89">
        <v>637.5</v>
      </c>
      <c r="T266" s="89"/>
      <c r="U266" s="89"/>
      <c r="V266" s="88">
        <f>R266+S266+U266</f>
        <v>1637.5</v>
      </c>
      <c r="W266" s="89">
        <v>16.375</v>
      </c>
      <c r="X266" s="89">
        <v>21</v>
      </c>
      <c r="Y266" s="89"/>
      <c r="Z266" s="89"/>
      <c r="AA266" s="89"/>
      <c r="AB266" s="89"/>
      <c r="AC266" s="88">
        <f t="shared" si="73"/>
        <v>1600.125</v>
      </c>
      <c r="AD266" s="106">
        <v>43761</v>
      </c>
      <c r="AE266" s="165" t="s">
        <v>152</v>
      </c>
      <c r="AF266" s="422" t="s">
        <v>124</v>
      </c>
    </row>
    <row r="267" spans="16:32" x14ac:dyDescent="0.2">
      <c r="P267" s="416" t="s">
        <v>156</v>
      </c>
      <c r="Q267" s="84" t="s">
        <v>159</v>
      </c>
      <c r="R267" s="88">
        <v>400</v>
      </c>
      <c r="S267" s="88">
        <v>225</v>
      </c>
      <c r="T267" s="88"/>
      <c r="U267" s="88"/>
      <c r="V267" s="88">
        <f>R267+S267+U267</f>
        <v>625</v>
      </c>
      <c r="W267" s="88">
        <v>6.25</v>
      </c>
      <c r="X267" s="88"/>
      <c r="Y267" s="88"/>
      <c r="Z267" s="88"/>
      <c r="AA267" s="88"/>
      <c r="AB267" s="88"/>
      <c r="AC267" s="88">
        <f t="shared" si="73"/>
        <v>618.75</v>
      </c>
      <c r="AD267" s="105">
        <v>43761</v>
      </c>
      <c r="AE267" s="215" t="s">
        <v>152</v>
      </c>
      <c r="AF267" s="360" t="s">
        <v>124</v>
      </c>
    </row>
    <row r="268" spans="16:32" x14ac:dyDescent="0.2">
      <c r="P268" s="357" t="s">
        <v>25</v>
      </c>
      <c r="Q268" s="84" t="s">
        <v>68</v>
      </c>
      <c r="R268" s="89">
        <v>3415.2</v>
      </c>
      <c r="S268" s="89">
        <v>2241.23</v>
      </c>
      <c r="T268" s="89">
        <v>0</v>
      </c>
      <c r="U268" s="89">
        <v>0</v>
      </c>
      <c r="V268" s="88">
        <f t="shared" ref="V268:V274" si="74">R268+S268+U268</f>
        <v>5656.43</v>
      </c>
      <c r="W268" s="89">
        <v>29.74</v>
      </c>
      <c r="X268" s="89">
        <v>898</v>
      </c>
      <c r="Y268" s="89">
        <v>0</v>
      </c>
      <c r="Z268" s="89">
        <v>0</v>
      </c>
      <c r="AA268" s="89">
        <v>200.01</v>
      </c>
      <c r="AB268" s="89">
        <v>0</v>
      </c>
      <c r="AC268" s="88">
        <f t="shared" ref="AC268:AC277" si="75">R268+S268+T268-W268-X268-Y268-Z268-AA268-AB268</f>
        <v>4528.68</v>
      </c>
      <c r="AD268" s="106">
        <v>43768</v>
      </c>
      <c r="AE268" s="165" t="s">
        <v>153</v>
      </c>
      <c r="AF268" s="360" t="s">
        <v>124</v>
      </c>
    </row>
    <row r="269" spans="16:32" x14ac:dyDescent="0.2">
      <c r="P269" s="99" t="s">
        <v>26</v>
      </c>
      <c r="Q269" s="82" t="s">
        <v>76</v>
      </c>
      <c r="R269" s="89">
        <v>818.8</v>
      </c>
      <c r="S269" s="89">
        <v>61.4</v>
      </c>
      <c r="T269" s="89">
        <v>50</v>
      </c>
      <c r="U269" s="89"/>
      <c r="V269" s="88">
        <f t="shared" si="74"/>
        <v>880.19999999999993</v>
      </c>
      <c r="W269" s="89">
        <v>8.8000000000000007</v>
      </c>
      <c r="X269" s="89">
        <v>0</v>
      </c>
      <c r="Y269" s="89"/>
      <c r="Z269" s="89"/>
      <c r="AA269" s="89">
        <v>58.14</v>
      </c>
      <c r="AB269" s="89">
        <v>200</v>
      </c>
      <c r="AC269" s="88">
        <f t="shared" si="75"/>
        <v>663.26</v>
      </c>
      <c r="AD269" s="106">
        <v>43768</v>
      </c>
      <c r="AE269" s="165" t="s">
        <v>153</v>
      </c>
      <c r="AF269" s="360" t="s">
        <v>124</v>
      </c>
    </row>
    <row r="270" spans="16:32" x14ac:dyDescent="0.2">
      <c r="P270" s="99" t="s">
        <v>3</v>
      </c>
      <c r="Q270" s="82" t="s">
        <v>77</v>
      </c>
      <c r="R270" s="89">
        <v>1074.8</v>
      </c>
      <c r="S270" s="89">
        <v>685.19</v>
      </c>
      <c r="T270" s="89">
        <v>50</v>
      </c>
      <c r="U270" s="89"/>
      <c r="V270" s="88">
        <f t="shared" si="74"/>
        <v>1759.99</v>
      </c>
      <c r="W270" s="89">
        <v>17.600000000000001</v>
      </c>
      <c r="X270" s="89">
        <v>43</v>
      </c>
      <c r="Y270" s="89"/>
      <c r="Z270" s="89"/>
      <c r="AA270" s="89">
        <v>76.3</v>
      </c>
      <c r="AB270" s="89"/>
      <c r="AC270" s="88">
        <f t="shared" si="75"/>
        <v>1673.0900000000001</v>
      </c>
      <c r="AD270" s="106">
        <v>43768</v>
      </c>
      <c r="AE270" s="165" t="s">
        <v>153</v>
      </c>
      <c r="AF270" s="360" t="s">
        <v>124</v>
      </c>
    </row>
    <row r="271" spans="16:32" x14ac:dyDescent="0.2">
      <c r="P271" s="99" t="s">
        <v>32</v>
      </c>
      <c r="Q271" s="82" t="s">
        <v>78</v>
      </c>
      <c r="R271" s="89">
        <v>954.8</v>
      </c>
      <c r="S271" s="89">
        <v>572.88</v>
      </c>
      <c r="T271" s="89">
        <v>100</v>
      </c>
      <c r="U271" s="89"/>
      <c r="V271" s="88">
        <f t="shared" si="74"/>
        <v>1527.6799999999998</v>
      </c>
      <c r="W271" s="89">
        <v>15.28</v>
      </c>
      <c r="X271" s="89">
        <v>1</v>
      </c>
      <c r="Y271" s="89"/>
      <c r="Z271" s="89"/>
      <c r="AA271" s="89">
        <v>67.78</v>
      </c>
      <c r="AB271" s="89"/>
      <c r="AC271" s="88">
        <f t="shared" si="75"/>
        <v>1543.62</v>
      </c>
      <c r="AD271" s="106">
        <v>43768</v>
      </c>
      <c r="AE271" s="165" t="s">
        <v>153</v>
      </c>
      <c r="AF271" s="360" t="s">
        <v>124</v>
      </c>
    </row>
    <row r="272" spans="16:32" x14ac:dyDescent="0.2">
      <c r="P272" s="99" t="s">
        <v>75</v>
      </c>
      <c r="Q272" s="82" t="s">
        <v>79</v>
      </c>
      <c r="R272" s="89">
        <v>800</v>
      </c>
      <c r="S272" s="89">
        <v>480</v>
      </c>
      <c r="T272" s="89"/>
      <c r="U272" s="89"/>
      <c r="V272" s="88">
        <f t="shared" si="74"/>
        <v>1280</v>
      </c>
      <c r="W272" s="89">
        <v>12.8</v>
      </c>
      <c r="X272" s="89"/>
      <c r="Y272" s="89"/>
      <c r="Z272" s="89"/>
      <c r="AA272" s="89"/>
      <c r="AB272" s="89"/>
      <c r="AC272" s="88">
        <f t="shared" si="75"/>
        <v>1267.2</v>
      </c>
      <c r="AD272" s="106">
        <v>43768</v>
      </c>
      <c r="AE272" s="165" t="s">
        <v>153</v>
      </c>
      <c r="AF272" s="360" t="s">
        <v>124</v>
      </c>
    </row>
    <row r="273" spans="1:33" x14ac:dyDescent="0.2">
      <c r="P273" s="99" t="s">
        <v>86</v>
      </c>
      <c r="Q273" s="82" t="s">
        <v>106</v>
      </c>
      <c r="R273" s="89">
        <v>1000</v>
      </c>
      <c r="S273" s="89">
        <v>637.5</v>
      </c>
      <c r="T273" s="89"/>
      <c r="U273" s="89"/>
      <c r="V273" s="88">
        <f t="shared" si="74"/>
        <v>1637.5</v>
      </c>
      <c r="W273" s="89">
        <v>16.375</v>
      </c>
      <c r="X273" s="89">
        <v>21</v>
      </c>
      <c r="Y273" s="89"/>
      <c r="Z273" s="89"/>
      <c r="AA273" s="89"/>
      <c r="AB273" s="89"/>
      <c r="AC273" s="88">
        <f t="shared" si="75"/>
        <v>1600.125</v>
      </c>
      <c r="AD273" s="106">
        <v>43768</v>
      </c>
      <c r="AE273" s="165" t="s">
        <v>153</v>
      </c>
      <c r="AF273" s="360" t="s">
        <v>124</v>
      </c>
    </row>
    <row r="274" spans="1:33" x14ac:dyDescent="0.2">
      <c r="P274" s="99" t="s">
        <v>107</v>
      </c>
      <c r="Q274" s="82" t="s">
        <v>108</v>
      </c>
      <c r="R274" s="89">
        <v>1000</v>
      </c>
      <c r="S274" s="89">
        <v>600</v>
      </c>
      <c r="T274" s="89"/>
      <c r="U274" s="89"/>
      <c r="V274" s="88">
        <f t="shared" si="74"/>
        <v>1600</v>
      </c>
      <c r="W274" s="89">
        <v>16</v>
      </c>
      <c r="X274" s="89">
        <v>15</v>
      </c>
      <c r="Y274" s="89"/>
      <c r="Z274" s="89"/>
      <c r="AA274" s="89"/>
      <c r="AB274" s="89"/>
      <c r="AC274" s="88">
        <f t="shared" si="75"/>
        <v>1569</v>
      </c>
      <c r="AD274" s="106">
        <v>43768</v>
      </c>
      <c r="AE274" s="165" t="s">
        <v>153</v>
      </c>
      <c r="AF274" s="360" t="s">
        <v>124</v>
      </c>
    </row>
    <row r="275" spans="1:33" x14ac:dyDescent="0.2">
      <c r="P275" s="99" t="s">
        <v>110</v>
      </c>
      <c r="Q275" s="82" t="s">
        <v>109</v>
      </c>
      <c r="R275" s="89">
        <v>800</v>
      </c>
      <c r="S275" s="89">
        <v>480</v>
      </c>
      <c r="T275" s="89"/>
      <c r="U275" s="89"/>
      <c r="V275" s="88">
        <f>R275+S275+U275</f>
        <v>1280</v>
      </c>
      <c r="W275" s="89">
        <v>12.8</v>
      </c>
      <c r="X275" s="89"/>
      <c r="Y275" s="89"/>
      <c r="Z275" s="89"/>
      <c r="AA275" s="89"/>
      <c r="AB275" s="89"/>
      <c r="AC275" s="88">
        <f t="shared" si="75"/>
        <v>1267.2</v>
      </c>
      <c r="AD275" s="106">
        <v>43768</v>
      </c>
      <c r="AE275" s="165" t="s">
        <v>153</v>
      </c>
      <c r="AF275" s="360" t="s">
        <v>124</v>
      </c>
    </row>
    <row r="276" spans="1:33" x14ac:dyDescent="0.2">
      <c r="O276" s="180"/>
      <c r="P276" s="418" t="s">
        <v>149</v>
      </c>
      <c r="Q276" s="82" t="s">
        <v>150</v>
      </c>
      <c r="R276" s="89">
        <v>1000</v>
      </c>
      <c r="S276" s="89">
        <v>637.5</v>
      </c>
      <c r="T276" s="89"/>
      <c r="U276" s="89"/>
      <c r="V276" s="88">
        <f>R276+S276+U276</f>
        <v>1637.5</v>
      </c>
      <c r="W276" s="89">
        <v>16.375</v>
      </c>
      <c r="X276" s="89">
        <v>21</v>
      </c>
      <c r="Y276" s="89"/>
      <c r="Z276" s="89"/>
      <c r="AA276" s="89"/>
      <c r="AB276" s="89"/>
      <c r="AC276" s="88">
        <f t="shared" si="75"/>
        <v>1600.125</v>
      </c>
      <c r="AD276" s="106">
        <v>43768</v>
      </c>
      <c r="AE276" s="165" t="s">
        <v>153</v>
      </c>
      <c r="AF276" s="360" t="s">
        <v>124</v>
      </c>
    </row>
    <row r="277" spans="1:33" x14ac:dyDescent="0.2">
      <c r="O277" s="180"/>
      <c r="P277" s="416" t="s">
        <v>156</v>
      </c>
      <c r="Q277" s="84" t="s">
        <v>159</v>
      </c>
      <c r="R277" s="88">
        <v>1000</v>
      </c>
      <c r="S277" s="88">
        <v>600</v>
      </c>
      <c r="T277" s="88"/>
      <c r="U277" s="88"/>
      <c r="V277" s="88">
        <f>R277+S277+U277</f>
        <v>1600</v>
      </c>
      <c r="W277" s="88">
        <v>16</v>
      </c>
      <c r="X277" s="88">
        <v>15</v>
      </c>
      <c r="Y277" s="88"/>
      <c r="Z277" s="88"/>
      <c r="AA277" s="88"/>
      <c r="AB277" s="88"/>
      <c r="AC277" s="88">
        <f t="shared" si="75"/>
        <v>1569</v>
      </c>
      <c r="AD277" s="106">
        <v>43768</v>
      </c>
      <c r="AE277" s="165" t="s">
        <v>153</v>
      </c>
      <c r="AF277" s="360" t="s">
        <v>124</v>
      </c>
    </row>
    <row r="278" spans="1:33" s="180" customFormat="1" x14ac:dyDescent="0.2">
      <c r="A278" s="345"/>
      <c r="C278" s="321"/>
      <c r="D278" s="321"/>
      <c r="E278" s="321"/>
      <c r="F278" s="321"/>
      <c r="G278" s="321"/>
      <c r="H278" s="321"/>
      <c r="I278" s="321"/>
      <c r="J278" s="321"/>
      <c r="K278" s="321"/>
      <c r="L278" s="321"/>
      <c r="M278" s="321"/>
      <c r="N278" s="321"/>
      <c r="P278" s="361" t="s">
        <v>8</v>
      </c>
      <c r="Q278" s="183" t="s">
        <v>111</v>
      </c>
      <c r="R278" s="176">
        <v>13535</v>
      </c>
      <c r="S278" s="176"/>
      <c r="T278" s="176"/>
      <c r="U278" s="176">
        <v>5162</v>
      </c>
      <c r="V278" s="88">
        <f t="shared" ref="V278:V280" si="76">R278+S278+U278</f>
        <v>18697</v>
      </c>
      <c r="W278" s="176"/>
      <c r="X278" s="176">
        <v>2364</v>
      </c>
      <c r="Y278" s="176">
        <v>-829</v>
      </c>
      <c r="Z278" s="176"/>
      <c r="AA278" s="176"/>
      <c r="AB278" s="176"/>
      <c r="AC278" s="88">
        <f t="shared" ref="AC278:AC280" si="77">R278+S278+T278-W278-X278-Y278-Z278-AA278-AB278</f>
        <v>12000</v>
      </c>
      <c r="AD278" s="193"/>
      <c r="AE278" s="194"/>
      <c r="AF278" s="362"/>
      <c r="AG278" s="321"/>
    </row>
    <row r="279" spans="1:33" s="180" customFormat="1" x14ac:dyDescent="0.2">
      <c r="A279" s="345"/>
      <c r="C279" s="321"/>
      <c r="D279" s="321"/>
      <c r="E279" s="321"/>
      <c r="F279" s="321"/>
      <c r="G279" s="321"/>
      <c r="H279" s="321"/>
      <c r="I279" s="321"/>
      <c r="J279" s="321"/>
      <c r="K279" s="321"/>
      <c r="L279" s="321"/>
      <c r="M279" s="321"/>
      <c r="N279" s="321"/>
      <c r="O279" s="78"/>
      <c r="P279" s="361" t="s">
        <v>27</v>
      </c>
      <c r="Q279" s="183" t="s">
        <v>112</v>
      </c>
      <c r="R279" s="181">
        <v>13343</v>
      </c>
      <c r="S279" s="181"/>
      <c r="T279" s="181"/>
      <c r="U279" s="181">
        <v>2400</v>
      </c>
      <c r="V279" s="88">
        <f t="shared" si="76"/>
        <v>15743</v>
      </c>
      <c r="W279" s="181"/>
      <c r="X279" s="181">
        <v>1653</v>
      </c>
      <c r="Y279" s="181">
        <v>-310</v>
      </c>
      <c r="Z279" s="181"/>
      <c r="AA279" s="181"/>
      <c r="AB279" s="181"/>
      <c r="AC279" s="88">
        <f t="shared" si="77"/>
        <v>12000</v>
      </c>
      <c r="AD279" s="193"/>
      <c r="AE279" s="194"/>
      <c r="AF279" s="362"/>
      <c r="AG279" s="321"/>
    </row>
    <row r="280" spans="1:33" s="180" customFormat="1" ht="13.5" thickBot="1" x14ac:dyDescent="0.25">
      <c r="A280" s="345"/>
      <c r="C280" s="321"/>
      <c r="D280" s="321"/>
      <c r="E280" s="321"/>
      <c r="F280" s="321"/>
      <c r="G280" s="321"/>
      <c r="H280" s="321"/>
      <c r="I280" s="321"/>
      <c r="J280" s="321"/>
      <c r="K280" s="321"/>
      <c r="L280" s="321"/>
      <c r="M280" s="321"/>
      <c r="N280" s="321"/>
      <c r="O280" s="78"/>
      <c r="P280" s="421" t="s">
        <v>6</v>
      </c>
      <c r="Q280" s="402" t="s">
        <v>113</v>
      </c>
      <c r="R280" s="182">
        <v>11713.13</v>
      </c>
      <c r="S280" s="182"/>
      <c r="T280" s="182"/>
      <c r="U280" s="182">
        <v>2100</v>
      </c>
      <c r="V280" s="325">
        <f t="shared" si="76"/>
        <v>13813.13</v>
      </c>
      <c r="W280" s="182">
        <v>138.13</v>
      </c>
      <c r="X280" s="182">
        <v>1304</v>
      </c>
      <c r="Y280" s="182">
        <v>-829</v>
      </c>
      <c r="Z280" s="182">
        <v>2100</v>
      </c>
      <c r="AA280" s="182"/>
      <c r="AB280" s="182"/>
      <c r="AC280" s="325">
        <f t="shared" si="77"/>
        <v>9000</v>
      </c>
      <c r="AD280" s="193"/>
      <c r="AE280" s="194"/>
      <c r="AF280" s="362"/>
      <c r="AG280" s="321"/>
    </row>
    <row r="281" spans="1:33" x14ac:dyDescent="0.2">
      <c r="P281" s="367" t="s">
        <v>25</v>
      </c>
      <c r="Q281" s="368" t="s">
        <v>68</v>
      </c>
      <c r="R281" s="369">
        <v>3415.2</v>
      </c>
      <c r="S281" s="369">
        <v>1408.77</v>
      </c>
      <c r="T281" s="369">
        <v>490</v>
      </c>
      <c r="U281" s="369">
        <v>572.75</v>
      </c>
      <c r="V281" s="369">
        <f t="shared" ref="V281:V290" si="78">R281+S281+U281</f>
        <v>5396.7199999999993</v>
      </c>
      <c r="W281" s="369">
        <v>29.74</v>
      </c>
      <c r="X281" s="369">
        <v>680</v>
      </c>
      <c r="Y281" s="369">
        <v>-155</v>
      </c>
      <c r="Z281" s="369">
        <v>572.75</v>
      </c>
      <c r="AA281" s="369">
        <v>200.01</v>
      </c>
      <c r="AB281" s="369">
        <f>1125+250</f>
        <v>1375</v>
      </c>
      <c r="AC281" s="369">
        <f t="shared" ref="AC281:AC290" si="79">R281+S281+T281-W281-X281-Y281-Z281-AA281-AB281</f>
        <v>2611.4699999999993</v>
      </c>
      <c r="AD281" s="370">
        <v>43775</v>
      </c>
      <c r="AE281" s="406" t="s">
        <v>161</v>
      </c>
      <c r="AF281" s="372" t="s">
        <v>104</v>
      </c>
    </row>
    <row r="282" spans="1:33" x14ac:dyDescent="0.2">
      <c r="P282" s="373" t="s">
        <v>26</v>
      </c>
      <c r="Q282" s="374" t="s">
        <v>76</v>
      </c>
      <c r="R282" s="375">
        <v>818.8</v>
      </c>
      <c r="S282" s="375">
        <v>0</v>
      </c>
      <c r="T282" s="375">
        <v>50</v>
      </c>
      <c r="U282" s="375"/>
      <c r="V282" s="376">
        <f t="shared" si="78"/>
        <v>818.8</v>
      </c>
      <c r="W282" s="375">
        <v>8.19</v>
      </c>
      <c r="X282" s="375">
        <v>0</v>
      </c>
      <c r="Y282" s="375"/>
      <c r="Z282" s="375"/>
      <c r="AA282" s="375">
        <v>58.14</v>
      </c>
      <c r="AB282" s="375">
        <v>0</v>
      </c>
      <c r="AC282" s="376">
        <f t="shared" si="79"/>
        <v>802.46999999999991</v>
      </c>
      <c r="AD282" s="385">
        <v>43775</v>
      </c>
      <c r="AE282" s="407" t="s">
        <v>161</v>
      </c>
      <c r="AF282" s="379" t="s">
        <v>104</v>
      </c>
    </row>
    <row r="283" spans="1:33" x14ac:dyDescent="0.2">
      <c r="P283" s="373" t="s">
        <v>3</v>
      </c>
      <c r="Q283" s="374" t="s">
        <v>77</v>
      </c>
      <c r="R283" s="375">
        <v>1074.8</v>
      </c>
      <c r="S283" s="375">
        <v>443.36</v>
      </c>
      <c r="T283" s="375">
        <v>50</v>
      </c>
      <c r="U283" s="375"/>
      <c r="V283" s="376">
        <f t="shared" si="78"/>
        <v>1518.1599999999999</v>
      </c>
      <c r="W283" s="375">
        <v>15.18</v>
      </c>
      <c r="X283" s="375">
        <v>0</v>
      </c>
      <c r="Y283" s="375"/>
      <c r="Z283" s="375"/>
      <c r="AA283" s="375">
        <v>76.3</v>
      </c>
      <c r="AB283" s="375"/>
      <c r="AC283" s="376">
        <f t="shared" si="79"/>
        <v>1476.6799999999998</v>
      </c>
      <c r="AD283" s="385">
        <v>43775</v>
      </c>
      <c r="AE283" s="407" t="s">
        <v>161</v>
      </c>
      <c r="AF283" s="379" t="s">
        <v>104</v>
      </c>
    </row>
    <row r="284" spans="1:33" x14ac:dyDescent="0.2">
      <c r="P284" s="373" t="s">
        <v>32</v>
      </c>
      <c r="Q284" s="374" t="s">
        <v>78</v>
      </c>
      <c r="R284" s="375">
        <v>954.8</v>
      </c>
      <c r="S284" s="375">
        <v>393.86</v>
      </c>
      <c r="T284" s="375">
        <v>100</v>
      </c>
      <c r="U284" s="375"/>
      <c r="V284" s="376">
        <f t="shared" si="78"/>
        <v>1348.6599999999999</v>
      </c>
      <c r="W284" s="375">
        <v>13.49</v>
      </c>
      <c r="X284" s="375">
        <v>0</v>
      </c>
      <c r="Y284" s="375"/>
      <c r="Z284" s="375"/>
      <c r="AA284" s="375">
        <v>67.78</v>
      </c>
      <c r="AB284" s="375"/>
      <c r="AC284" s="376">
        <f t="shared" si="79"/>
        <v>1367.3899999999999</v>
      </c>
      <c r="AD284" s="385">
        <v>43775</v>
      </c>
      <c r="AE284" s="407" t="s">
        <v>161</v>
      </c>
      <c r="AF284" s="379" t="s">
        <v>104</v>
      </c>
    </row>
    <row r="285" spans="1:33" x14ac:dyDescent="0.2">
      <c r="P285" s="373" t="s">
        <v>75</v>
      </c>
      <c r="Q285" s="374" t="s">
        <v>79</v>
      </c>
      <c r="R285" s="375">
        <v>800</v>
      </c>
      <c r="S285" s="375">
        <v>330</v>
      </c>
      <c r="T285" s="375"/>
      <c r="U285" s="375"/>
      <c r="V285" s="376">
        <f t="shared" si="78"/>
        <v>1130</v>
      </c>
      <c r="W285" s="375">
        <v>11.3</v>
      </c>
      <c r="X285" s="375"/>
      <c r="Y285" s="375"/>
      <c r="Z285" s="375"/>
      <c r="AA285" s="375"/>
      <c r="AB285" s="375"/>
      <c r="AC285" s="376">
        <f t="shared" si="79"/>
        <v>1118.7</v>
      </c>
      <c r="AD285" s="385">
        <v>43775</v>
      </c>
      <c r="AE285" s="407" t="s">
        <v>161</v>
      </c>
      <c r="AF285" s="379" t="s">
        <v>104</v>
      </c>
    </row>
    <row r="286" spans="1:33" x14ac:dyDescent="0.2">
      <c r="P286" s="373" t="s">
        <v>86</v>
      </c>
      <c r="Q286" s="374" t="s">
        <v>106</v>
      </c>
      <c r="R286" s="375">
        <v>1000</v>
      </c>
      <c r="S286" s="375">
        <v>412.5</v>
      </c>
      <c r="T286" s="375"/>
      <c r="U286" s="375"/>
      <c r="V286" s="376">
        <f t="shared" si="78"/>
        <v>1412.5</v>
      </c>
      <c r="W286" s="375">
        <v>14.125</v>
      </c>
      <c r="X286" s="375">
        <v>0</v>
      </c>
      <c r="Y286" s="375"/>
      <c r="Z286" s="375"/>
      <c r="AA286" s="375"/>
      <c r="AB286" s="375"/>
      <c r="AC286" s="376">
        <f t="shared" si="79"/>
        <v>1398.375</v>
      </c>
      <c r="AD286" s="385">
        <v>43775</v>
      </c>
      <c r="AE286" s="407" t="s">
        <v>161</v>
      </c>
      <c r="AF286" s="379" t="s">
        <v>104</v>
      </c>
    </row>
    <row r="287" spans="1:33" x14ac:dyDescent="0.2">
      <c r="P287" s="373" t="s">
        <v>107</v>
      </c>
      <c r="Q287" s="374" t="s">
        <v>108</v>
      </c>
      <c r="R287" s="375">
        <v>1000</v>
      </c>
      <c r="S287" s="375">
        <v>412.5</v>
      </c>
      <c r="T287" s="375"/>
      <c r="U287" s="375"/>
      <c r="V287" s="376">
        <f t="shared" si="78"/>
        <v>1412.5</v>
      </c>
      <c r="W287" s="375">
        <v>14.125</v>
      </c>
      <c r="X287" s="375">
        <v>0</v>
      </c>
      <c r="Y287" s="375"/>
      <c r="Z287" s="375"/>
      <c r="AA287" s="375"/>
      <c r="AB287" s="375"/>
      <c r="AC287" s="376">
        <f t="shared" si="79"/>
        <v>1398.375</v>
      </c>
      <c r="AD287" s="385">
        <v>43775</v>
      </c>
      <c r="AE287" s="407" t="s">
        <v>161</v>
      </c>
      <c r="AF287" s="379" t="s">
        <v>104</v>
      </c>
    </row>
    <row r="288" spans="1:33" x14ac:dyDescent="0.2">
      <c r="P288" s="373" t="s">
        <v>110</v>
      </c>
      <c r="Q288" s="374" t="s">
        <v>109</v>
      </c>
      <c r="R288" s="375">
        <v>800</v>
      </c>
      <c r="S288" s="375">
        <v>0</v>
      </c>
      <c r="T288" s="375"/>
      <c r="U288" s="375"/>
      <c r="V288" s="376">
        <f t="shared" si="78"/>
        <v>800</v>
      </c>
      <c r="W288" s="375">
        <v>8</v>
      </c>
      <c r="X288" s="375"/>
      <c r="Y288" s="375"/>
      <c r="Z288" s="375"/>
      <c r="AA288" s="375"/>
      <c r="AB288" s="375">
        <v>150</v>
      </c>
      <c r="AC288" s="376">
        <f t="shared" si="79"/>
        <v>642</v>
      </c>
      <c r="AD288" s="385">
        <v>43775</v>
      </c>
      <c r="AE288" s="407" t="s">
        <v>161</v>
      </c>
      <c r="AF288" s="379" t="s">
        <v>104</v>
      </c>
    </row>
    <row r="289" spans="16:32" x14ac:dyDescent="0.2">
      <c r="P289" s="419" t="s">
        <v>149</v>
      </c>
      <c r="Q289" s="374" t="s">
        <v>150</v>
      </c>
      <c r="R289" s="375">
        <v>1000</v>
      </c>
      <c r="S289" s="375">
        <v>450</v>
      </c>
      <c r="T289" s="375"/>
      <c r="U289" s="375"/>
      <c r="V289" s="376">
        <f t="shared" si="78"/>
        <v>1450</v>
      </c>
      <c r="W289" s="375">
        <v>14.5</v>
      </c>
      <c r="X289" s="375">
        <v>0</v>
      </c>
      <c r="Y289" s="375"/>
      <c r="Z289" s="375"/>
      <c r="AA289" s="375"/>
      <c r="AB289" s="375"/>
      <c r="AC289" s="376">
        <f t="shared" si="79"/>
        <v>1435.5</v>
      </c>
      <c r="AD289" s="385">
        <v>43775</v>
      </c>
      <c r="AE289" s="407" t="s">
        <v>161</v>
      </c>
      <c r="AF289" s="379" t="s">
        <v>104</v>
      </c>
    </row>
    <row r="290" spans="16:32" x14ac:dyDescent="0.2">
      <c r="P290" s="417" t="s">
        <v>156</v>
      </c>
      <c r="Q290" s="390" t="s">
        <v>159</v>
      </c>
      <c r="R290" s="376">
        <v>1000</v>
      </c>
      <c r="S290" s="376">
        <v>412.5</v>
      </c>
      <c r="T290" s="376"/>
      <c r="U290" s="376"/>
      <c r="V290" s="376">
        <f t="shared" si="78"/>
        <v>1412.5</v>
      </c>
      <c r="W290" s="376">
        <v>14.125</v>
      </c>
      <c r="X290" s="376">
        <v>0</v>
      </c>
      <c r="Y290" s="376"/>
      <c r="Z290" s="376"/>
      <c r="AA290" s="376"/>
      <c r="AB290" s="376">
        <v>300</v>
      </c>
      <c r="AC290" s="376">
        <f t="shared" si="79"/>
        <v>1098.375</v>
      </c>
      <c r="AD290" s="385">
        <v>43775</v>
      </c>
      <c r="AE290" s="407" t="s">
        <v>161</v>
      </c>
      <c r="AF290" s="379" t="s">
        <v>104</v>
      </c>
    </row>
    <row r="291" spans="16:32" x14ac:dyDescent="0.2">
      <c r="P291" s="389" t="s">
        <v>25</v>
      </c>
      <c r="Q291" s="390" t="s">
        <v>68</v>
      </c>
      <c r="R291" s="375">
        <v>3415.2</v>
      </c>
      <c r="S291" s="375">
        <v>2305.2600000000002</v>
      </c>
      <c r="T291" s="375">
        <v>490</v>
      </c>
      <c r="U291" s="375">
        <v>572.75</v>
      </c>
      <c r="V291" s="376">
        <f t="shared" ref="V291:V300" si="80">R291+S291+U291</f>
        <v>6293.21</v>
      </c>
      <c r="W291" s="375">
        <v>29.74</v>
      </c>
      <c r="X291" s="375">
        <v>914</v>
      </c>
      <c r="Y291" s="375">
        <v>-155</v>
      </c>
      <c r="Z291" s="375">
        <v>572.75</v>
      </c>
      <c r="AA291" s="375">
        <v>200.01</v>
      </c>
      <c r="AB291" s="375">
        <f>1125+250</f>
        <v>1375</v>
      </c>
      <c r="AC291" s="376">
        <f t="shared" ref="AC291:AC300" si="81">R291+S291+T291-W291-X291-Y291-Z291-AA291-AB291</f>
        <v>3273.96</v>
      </c>
      <c r="AD291" s="385">
        <v>43782</v>
      </c>
      <c r="AE291" s="407" t="s">
        <v>162</v>
      </c>
      <c r="AF291" s="379" t="s">
        <v>104</v>
      </c>
    </row>
    <row r="292" spans="16:32" x14ac:dyDescent="0.2">
      <c r="P292" s="373" t="s">
        <v>26</v>
      </c>
      <c r="Q292" s="374" t="s">
        <v>76</v>
      </c>
      <c r="R292" s="375">
        <v>818.8</v>
      </c>
      <c r="S292" s="375">
        <v>276.35000000000002</v>
      </c>
      <c r="T292" s="375">
        <v>50</v>
      </c>
      <c r="U292" s="375"/>
      <c r="V292" s="376">
        <f t="shared" si="80"/>
        <v>1095.1500000000001</v>
      </c>
      <c r="W292" s="375">
        <v>10.951499999999999</v>
      </c>
      <c r="X292" s="375">
        <v>0</v>
      </c>
      <c r="Y292" s="375"/>
      <c r="Z292" s="375"/>
      <c r="AA292" s="375">
        <v>58.14</v>
      </c>
      <c r="AB292" s="375">
        <v>400</v>
      </c>
      <c r="AC292" s="376">
        <f t="shared" si="81"/>
        <v>676.05850000000009</v>
      </c>
      <c r="AD292" s="385">
        <v>43782</v>
      </c>
      <c r="AE292" s="407" t="s">
        <v>162</v>
      </c>
      <c r="AF292" s="379" t="s">
        <v>104</v>
      </c>
    </row>
    <row r="293" spans="16:32" x14ac:dyDescent="0.2">
      <c r="P293" s="373" t="s">
        <v>3</v>
      </c>
      <c r="Q293" s="374" t="s">
        <v>77</v>
      </c>
      <c r="R293" s="375">
        <v>1074.8</v>
      </c>
      <c r="S293" s="375">
        <v>322.44</v>
      </c>
      <c r="T293" s="375">
        <v>50</v>
      </c>
      <c r="U293" s="375"/>
      <c r="V293" s="376">
        <f t="shared" si="80"/>
        <v>1397.24</v>
      </c>
      <c r="W293" s="375">
        <v>13.9724</v>
      </c>
      <c r="X293" s="375">
        <v>0</v>
      </c>
      <c r="Y293" s="375"/>
      <c r="Z293" s="375"/>
      <c r="AA293" s="375">
        <v>76.3</v>
      </c>
      <c r="AB293" s="375"/>
      <c r="AC293" s="376">
        <f t="shared" si="81"/>
        <v>1356.9675999999999</v>
      </c>
      <c r="AD293" s="385">
        <v>43782</v>
      </c>
      <c r="AE293" s="407" t="s">
        <v>162</v>
      </c>
      <c r="AF293" s="379" t="s">
        <v>104</v>
      </c>
    </row>
    <row r="294" spans="16:32" x14ac:dyDescent="0.2">
      <c r="P294" s="373" t="s">
        <v>32</v>
      </c>
      <c r="Q294" s="374" t="s">
        <v>78</v>
      </c>
      <c r="R294" s="375">
        <v>954.8</v>
      </c>
      <c r="S294" s="375">
        <v>286.44</v>
      </c>
      <c r="T294" s="375">
        <v>100</v>
      </c>
      <c r="U294" s="375"/>
      <c r="V294" s="376">
        <f t="shared" si="80"/>
        <v>1241.24</v>
      </c>
      <c r="W294" s="375">
        <v>12.4124</v>
      </c>
      <c r="X294" s="375">
        <v>0</v>
      </c>
      <c r="Y294" s="375"/>
      <c r="Z294" s="375"/>
      <c r="AA294" s="375">
        <v>67.78</v>
      </c>
      <c r="AB294" s="375"/>
      <c r="AC294" s="376">
        <f t="shared" si="81"/>
        <v>1261.0476000000001</v>
      </c>
      <c r="AD294" s="385">
        <v>43782</v>
      </c>
      <c r="AE294" s="407" t="s">
        <v>162</v>
      </c>
      <c r="AF294" s="379" t="s">
        <v>104</v>
      </c>
    </row>
    <row r="295" spans="16:32" x14ac:dyDescent="0.2">
      <c r="P295" s="373" t="s">
        <v>75</v>
      </c>
      <c r="Q295" s="374" t="s">
        <v>79</v>
      </c>
      <c r="R295" s="375">
        <v>800</v>
      </c>
      <c r="S295" s="375">
        <v>0</v>
      </c>
      <c r="T295" s="375"/>
      <c r="U295" s="375"/>
      <c r="V295" s="376">
        <f t="shared" si="80"/>
        <v>800</v>
      </c>
      <c r="W295" s="375">
        <v>8</v>
      </c>
      <c r="X295" s="375"/>
      <c r="Y295" s="375"/>
      <c r="Z295" s="375"/>
      <c r="AA295" s="375"/>
      <c r="AB295" s="375"/>
      <c r="AC295" s="376">
        <f t="shared" si="81"/>
        <v>792</v>
      </c>
      <c r="AD295" s="385">
        <v>43782</v>
      </c>
      <c r="AE295" s="407" t="s">
        <v>162</v>
      </c>
      <c r="AF295" s="379" t="s">
        <v>104</v>
      </c>
    </row>
    <row r="296" spans="16:32" x14ac:dyDescent="0.2">
      <c r="P296" s="373" t="s">
        <v>86</v>
      </c>
      <c r="Q296" s="374" t="s">
        <v>106</v>
      </c>
      <c r="R296" s="375">
        <v>1000</v>
      </c>
      <c r="S296" s="375">
        <v>412.5</v>
      </c>
      <c r="T296" s="375"/>
      <c r="U296" s="375"/>
      <c r="V296" s="376">
        <f t="shared" si="80"/>
        <v>1412.5</v>
      </c>
      <c r="W296" s="375">
        <v>14.125</v>
      </c>
      <c r="X296" s="375">
        <v>0</v>
      </c>
      <c r="Y296" s="375"/>
      <c r="Z296" s="375"/>
      <c r="AA296" s="375"/>
      <c r="AB296" s="375"/>
      <c r="AC296" s="376">
        <f t="shared" si="81"/>
        <v>1398.375</v>
      </c>
      <c r="AD296" s="385">
        <v>43782</v>
      </c>
      <c r="AE296" s="407" t="s">
        <v>162</v>
      </c>
      <c r="AF296" s="379" t="s">
        <v>104</v>
      </c>
    </row>
    <row r="297" spans="16:32" x14ac:dyDescent="0.2">
      <c r="P297" s="373" t="s">
        <v>107</v>
      </c>
      <c r="Q297" s="374" t="s">
        <v>108</v>
      </c>
      <c r="R297" s="375">
        <v>1000</v>
      </c>
      <c r="S297" s="375">
        <v>412.5</v>
      </c>
      <c r="T297" s="375"/>
      <c r="U297" s="375"/>
      <c r="V297" s="376">
        <f t="shared" si="80"/>
        <v>1412.5</v>
      </c>
      <c r="W297" s="375">
        <v>14.125</v>
      </c>
      <c r="X297" s="375">
        <v>0</v>
      </c>
      <c r="Y297" s="375"/>
      <c r="Z297" s="375"/>
      <c r="AA297" s="375"/>
      <c r="AB297" s="375"/>
      <c r="AC297" s="376">
        <f t="shared" si="81"/>
        <v>1398.375</v>
      </c>
      <c r="AD297" s="385">
        <v>43782</v>
      </c>
      <c r="AE297" s="407" t="s">
        <v>162</v>
      </c>
      <c r="AF297" s="379" t="s">
        <v>104</v>
      </c>
    </row>
    <row r="298" spans="16:32" x14ac:dyDescent="0.2">
      <c r="P298" s="373" t="s">
        <v>110</v>
      </c>
      <c r="Q298" s="374" t="s">
        <v>109</v>
      </c>
      <c r="R298" s="375">
        <v>800</v>
      </c>
      <c r="S298" s="375">
        <v>240</v>
      </c>
      <c r="T298" s="375"/>
      <c r="U298" s="375"/>
      <c r="V298" s="376">
        <f t="shared" si="80"/>
        <v>1040</v>
      </c>
      <c r="W298" s="375">
        <v>10.4</v>
      </c>
      <c r="X298" s="375"/>
      <c r="Y298" s="375"/>
      <c r="Z298" s="375"/>
      <c r="AA298" s="375"/>
      <c r="AB298" s="375">
        <v>150</v>
      </c>
      <c r="AC298" s="376">
        <f t="shared" si="81"/>
        <v>879.59999999999991</v>
      </c>
      <c r="AD298" s="385">
        <v>43782</v>
      </c>
      <c r="AE298" s="407" t="s">
        <v>162</v>
      </c>
      <c r="AF298" s="379" t="s">
        <v>104</v>
      </c>
    </row>
    <row r="299" spans="16:32" x14ac:dyDescent="0.2">
      <c r="P299" s="419" t="s">
        <v>149</v>
      </c>
      <c r="Q299" s="374" t="s">
        <v>150</v>
      </c>
      <c r="R299" s="375">
        <v>1000</v>
      </c>
      <c r="S299" s="375">
        <v>300</v>
      </c>
      <c r="T299" s="375"/>
      <c r="U299" s="375"/>
      <c r="V299" s="376">
        <f t="shared" si="80"/>
        <v>1300</v>
      </c>
      <c r="W299" s="375">
        <v>13</v>
      </c>
      <c r="X299" s="375">
        <v>0</v>
      </c>
      <c r="Y299" s="375"/>
      <c r="Z299" s="375"/>
      <c r="AA299" s="375"/>
      <c r="AB299" s="375"/>
      <c r="AC299" s="376">
        <f t="shared" si="81"/>
        <v>1287</v>
      </c>
      <c r="AD299" s="385">
        <v>43782</v>
      </c>
      <c r="AE299" s="407" t="s">
        <v>162</v>
      </c>
      <c r="AF299" s="379" t="s">
        <v>104</v>
      </c>
    </row>
    <row r="300" spans="16:32" x14ac:dyDescent="0.2">
      <c r="P300" s="417" t="s">
        <v>156</v>
      </c>
      <c r="Q300" s="390" t="s">
        <v>159</v>
      </c>
      <c r="R300" s="376">
        <v>1000</v>
      </c>
      <c r="S300" s="376">
        <v>300</v>
      </c>
      <c r="T300" s="376"/>
      <c r="U300" s="376"/>
      <c r="V300" s="376">
        <f t="shared" si="80"/>
        <v>1300</v>
      </c>
      <c r="W300" s="376">
        <v>13</v>
      </c>
      <c r="X300" s="376">
        <v>0</v>
      </c>
      <c r="Y300" s="376"/>
      <c r="Z300" s="376"/>
      <c r="AA300" s="376"/>
      <c r="AB300" s="376">
        <v>300</v>
      </c>
      <c r="AC300" s="376">
        <f t="shared" si="81"/>
        <v>987</v>
      </c>
      <c r="AD300" s="385">
        <v>43782</v>
      </c>
      <c r="AE300" s="407" t="s">
        <v>162</v>
      </c>
      <c r="AF300" s="379" t="s">
        <v>104</v>
      </c>
    </row>
    <row r="301" spans="16:32" x14ac:dyDescent="0.2">
      <c r="P301" s="389" t="s">
        <v>25</v>
      </c>
      <c r="Q301" s="390" t="s">
        <v>68</v>
      </c>
      <c r="R301" s="375">
        <v>3415.2</v>
      </c>
      <c r="S301" s="375">
        <v>3073.68</v>
      </c>
      <c r="T301" s="375">
        <v>490</v>
      </c>
      <c r="U301" s="375">
        <v>572.75</v>
      </c>
      <c r="V301" s="376">
        <f t="shared" ref="V301:V310" si="82">R301+S301+U301</f>
        <v>7061.6299999999992</v>
      </c>
      <c r="W301" s="375">
        <v>29.74</v>
      </c>
      <c r="X301" s="375">
        <v>1141</v>
      </c>
      <c r="Y301" s="375">
        <v>-155</v>
      </c>
      <c r="Z301" s="375">
        <v>572.75</v>
      </c>
      <c r="AA301" s="375">
        <v>200.01</v>
      </c>
      <c r="AB301" s="375">
        <f>1125+250</f>
        <v>1375</v>
      </c>
      <c r="AC301" s="376">
        <f t="shared" ref="AC301:AC310" si="83">R301+S301+T301-W301-X301-Y301-Z301-AA301-AB301</f>
        <v>3815.3799999999992</v>
      </c>
      <c r="AD301" s="385">
        <v>43789</v>
      </c>
      <c r="AE301" s="407" t="s">
        <v>163</v>
      </c>
      <c r="AF301" s="379" t="s">
        <v>104</v>
      </c>
    </row>
    <row r="302" spans="16:32" x14ac:dyDescent="0.2">
      <c r="P302" s="373" t="s">
        <v>26</v>
      </c>
      <c r="Q302" s="374" t="s">
        <v>76</v>
      </c>
      <c r="R302" s="375">
        <v>818.8</v>
      </c>
      <c r="S302" s="375">
        <v>0</v>
      </c>
      <c r="T302" s="375">
        <v>50</v>
      </c>
      <c r="U302" s="375"/>
      <c r="V302" s="376">
        <f t="shared" si="82"/>
        <v>818.8</v>
      </c>
      <c r="W302" s="375">
        <v>8.1880000000000006</v>
      </c>
      <c r="X302" s="375">
        <v>0</v>
      </c>
      <c r="Y302" s="375"/>
      <c r="Z302" s="375"/>
      <c r="AA302" s="375">
        <v>58.14</v>
      </c>
      <c r="AB302" s="375">
        <v>200</v>
      </c>
      <c r="AC302" s="376">
        <f t="shared" si="83"/>
        <v>602.47199999999998</v>
      </c>
      <c r="AD302" s="385">
        <v>43789</v>
      </c>
      <c r="AE302" s="407" t="s">
        <v>163</v>
      </c>
      <c r="AF302" s="379" t="s">
        <v>104</v>
      </c>
    </row>
    <row r="303" spans="16:32" x14ac:dyDescent="0.2">
      <c r="P303" s="373" t="s">
        <v>3</v>
      </c>
      <c r="Q303" s="374" t="s">
        <v>77</v>
      </c>
      <c r="R303" s="375">
        <v>1074.8</v>
      </c>
      <c r="S303" s="375">
        <v>120.92</v>
      </c>
      <c r="T303" s="375">
        <v>50</v>
      </c>
      <c r="U303" s="375"/>
      <c r="V303" s="376">
        <f t="shared" si="82"/>
        <v>1195.72</v>
      </c>
      <c r="W303" s="375">
        <v>11.96</v>
      </c>
      <c r="X303" s="375">
        <v>0</v>
      </c>
      <c r="Y303" s="375"/>
      <c r="Z303" s="375"/>
      <c r="AA303" s="375">
        <v>76.3</v>
      </c>
      <c r="AB303" s="375"/>
      <c r="AC303" s="376">
        <f t="shared" si="83"/>
        <v>1157.46</v>
      </c>
      <c r="AD303" s="385">
        <v>43789</v>
      </c>
      <c r="AE303" s="407" t="s">
        <v>163</v>
      </c>
      <c r="AF303" s="379" t="s">
        <v>104</v>
      </c>
    </row>
    <row r="304" spans="16:32" x14ac:dyDescent="0.2">
      <c r="P304" s="373" t="s">
        <v>32</v>
      </c>
      <c r="Q304" s="374" t="s">
        <v>78</v>
      </c>
      <c r="R304" s="375">
        <v>954.8</v>
      </c>
      <c r="S304" s="375">
        <v>107.42</v>
      </c>
      <c r="T304" s="375">
        <v>100</v>
      </c>
      <c r="U304" s="375"/>
      <c r="V304" s="376">
        <f t="shared" si="82"/>
        <v>1062.22</v>
      </c>
      <c r="W304" s="375">
        <v>10.62</v>
      </c>
      <c r="X304" s="375">
        <v>0</v>
      </c>
      <c r="Y304" s="375"/>
      <c r="Z304" s="375"/>
      <c r="AA304" s="375">
        <v>67.78</v>
      </c>
      <c r="AB304" s="375"/>
      <c r="AC304" s="376">
        <f t="shared" si="83"/>
        <v>1083.8200000000002</v>
      </c>
      <c r="AD304" s="385">
        <v>43789</v>
      </c>
      <c r="AE304" s="407" t="s">
        <v>163</v>
      </c>
      <c r="AF304" s="379" t="s">
        <v>104</v>
      </c>
    </row>
    <row r="305" spans="1:33" x14ac:dyDescent="0.2">
      <c r="P305" s="373" t="s">
        <v>75</v>
      </c>
      <c r="Q305" s="374" t="s">
        <v>79</v>
      </c>
      <c r="R305" s="375">
        <v>800</v>
      </c>
      <c r="S305" s="375">
        <v>90</v>
      </c>
      <c r="T305" s="375"/>
      <c r="U305" s="375"/>
      <c r="V305" s="376">
        <f t="shared" si="82"/>
        <v>890</v>
      </c>
      <c r="W305" s="375">
        <v>8.9</v>
      </c>
      <c r="X305" s="375"/>
      <c r="Y305" s="375"/>
      <c r="Z305" s="375"/>
      <c r="AA305" s="375"/>
      <c r="AB305" s="375"/>
      <c r="AC305" s="376">
        <f t="shared" si="83"/>
        <v>881.1</v>
      </c>
      <c r="AD305" s="385">
        <v>43789</v>
      </c>
      <c r="AE305" s="407" t="s">
        <v>163</v>
      </c>
      <c r="AF305" s="379" t="s">
        <v>104</v>
      </c>
    </row>
    <row r="306" spans="1:33" x14ac:dyDescent="0.2">
      <c r="P306" s="373" t="s">
        <v>86</v>
      </c>
      <c r="Q306" s="374" t="s">
        <v>106</v>
      </c>
      <c r="R306" s="375">
        <v>1000</v>
      </c>
      <c r="S306" s="375">
        <v>543.75</v>
      </c>
      <c r="T306" s="375"/>
      <c r="U306" s="375"/>
      <c r="V306" s="376">
        <f t="shared" si="82"/>
        <v>1543.75</v>
      </c>
      <c r="W306" s="375">
        <v>15.4375</v>
      </c>
      <c r="X306" s="375">
        <v>4</v>
      </c>
      <c r="Y306" s="375"/>
      <c r="Z306" s="375"/>
      <c r="AA306" s="375"/>
      <c r="AB306" s="375"/>
      <c r="AC306" s="376">
        <f t="shared" si="83"/>
        <v>1524.3125</v>
      </c>
      <c r="AD306" s="385">
        <v>43789</v>
      </c>
      <c r="AE306" s="407" t="s">
        <v>163</v>
      </c>
      <c r="AF306" s="379" t="s">
        <v>104</v>
      </c>
    </row>
    <row r="307" spans="1:33" x14ac:dyDescent="0.2">
      <c r="P307" s="373" t="s">
        <v>107</v>
      </c>
      <c r="Q307" s="374" t="s">
        <v>108</v>
      </c>
      <c r="R307" s="375">
        <v>1000</v>
      </c>
      <c r="S307" s="375">
        <v>543.75</v>
      </c>
      <c r="T307" s="375"/>
      <c r="U307" s="375"/>
      <c r="V307" s="376">
        <f t="shared" si="82"/>
        <v>1543.75</v>
      </c>
      <c r="W307" s="375">
        <v>15.4375</v>
      </c>
      <c r="X307" s="375">
        <v>4</v>
      </c>
      <c r="Y307" s="375"/>
      <c r="Z307" s="375"/>
      <c r="AA307" s="375"/>
      <c r="AB307" s="375"/>
      <c r="AC307" s="376">
        <f t="shared" si="83"/>
        <v>1524.3125</v>
      </c>
      <c r="AD307" s="385">
        <v>43789</v>
      </c>
      <c r="AE307" s="407" t="s">
        <v>163</v>
      </c>
      <c r="AF307" s="379" t="s">
        <v>104</v>
      </c>
    </row>
    <row r="308" spans="1:33" x14ac:dyDescent="0.2">
      <c r="P308" s="373" t="s">
        <v>110</v>
      </c>
      <c r="Q308" s="374" t="s">
        <v>109</v>
      </c>
      <c r="R308" s="375">
        <v>800</v>
      </c>
      <c r="S308" s="375">
        <v>0</v>
      </c>
      <c r="T308" s="375"/>
      <c r="U308" s="375"/>
      <c r="V308" s="376">
        <f t="shared" si="82"/>
        <v>800</v>
      </c>
      <c r="W308" s="375">
        <v>8</v>
      </c>
      <c r="X308" s="375"/>
      <c r="Y308" s="375"/>
      <c r="Z308" s="375"/>
      <c r="AA308" s="375"/>
      <c r="AB308" s="375">
        <v>0</v>
      </c>
      <c r="AC308" s="376">
        <f t="shared" si="83"/>
        <v>792</v>
      </c>
      <c r="AD308" s="385">
        <v>43789</v>
      </c>
      <c r="AE308" s="407" t="s">
        <v>163</v>
      </c>
      <c r="AF308" s="379" t="s">
        <v>104</v>
      </c>
    </row>
    <row r="309" spans="1:33" x14ac:dyDescent="0.2">
      <c r="P309" s="419" t="s">
        <v>149</v>
      </c>
      <c r="Q309" s="374" t="s">
        <v>150</v>
      </c>
      <c r="R309" s="375">
        <v>1000</v>
      </c>
      <c r="S309" s="375">
        <v>693.75</v>
      </c>
      <c r="T309" s="375"/>
      <c r="U309" s="375"/>
      <c r="V309" s="376">
        <f t="shared" si="82"/>
        <v>1693.75</v>
      </c>
      <c r="W309" s="375">
        <v>16.9375</v>
      </c>
      <c r="X309" s="375">
        <v>31</v>
      </c>
      <c r="Y309" s="375"/>
      <c r="Z309" s="375"/>
      <c r="AA309" s="375"/>
      <c r="AB309" s="375"/>
      <c r="AC309" s="376">
        <f t="shared" si="83"/>
        <v>1645.8125</v>
      </c>
      <c r="AD309" s="385">
        <v>43789</v>
      </c>
      <c r="AE309" s="407" t="s">
        <v>163</v>
      </c>
      <c r="AF309" s="379" t="s">
        <v>104</v>
      </c>
    </row>
    <row r="310" spans="1:33" x14ac:dyDescent="0.2">
      <c r="P310" s="417" t="s">
        <v>156</v>
      </c>
      <c r="Q310" s="390" t="s">
        <v>159</v>
      </c>
      <c r="R310" s="376">
        <v>800</v>
      </c>
      <c r="S310" s="376">
        <v>0</v>
      </c>
      <c r="T310" s="376"/>
      <c r="U310" s="376"/>
      <c r="V310" s="376">
        <f t="shared" si="82"/>
        <v>800</v>
      </c>
      <c r="W310" s="376">
        <v>8</v>
      </c>
      <c r="X310" s="376">
        <v>0</v>
      </c>
      <c r="Y310" s="376"/>
      <c r="Z310" s="376"/>
      <c r="AA310" s="376"/>
      <c r="AB310" s="376">
        <v>400</v>
      </c>
      <c r="AC310" s="376">
        <f t="shared" si="83"/>
        <v>392</v>
      </c>
      <c r="AD310" s="385">
        <v>43789</v>
      </c>
      <c r="AE310" s="407" t="s">
        <v>163</v>
      </c>
      <c r="AF310" s="379" t="s">
        <v>104</v>
      </c>
    </row>
    <row r="311" spans="1:33" x14ac:dyDescent="0.2">
      <c r="P311" s="389" t="s">
        <v>25</v>
      </c>
      <c r="Q311" s="390" t="s">
        <v>68</v>
      </c>
      <c r="R311" s="375">
        <v>3415.2</v>
      </c>
      <c r="S311" s="375">
        <v>2433.33</v>
      </c>
      <c r="T311" s="375">
        <v>490</v>
      </c>
      <c r="U311" s="375">
        <v>572.75</v>
      </c>
      <c r="V311" s="376">
        <f t="shared" ref="V311:V319" si="84">R311+S311+U311</f>
        <v>6421.28</v>
      </c>
      <c r="W311" s="375">
        <v>29.74</v>
      </c>
      <c r="X311" s="375">
        <v>947</v>
      </c>
      <c r="Y311" s="375">
        <v>-155</v>
      </c>
      <c r="Z311" s="375">
        <v>572.75</v>
      </c>
      <c r="AA311" s="375">
        <v>200.01</v>
      </c>
      <c r="AB311" s="375">
        <f>1125+250</f>
        <v>1375</v>
      </c>
      <c r="AC311" s="376">
        <f t="shared" ref="AC311:AC319" si="85">R311+S311+T311-W311-X311-Y311-Z311-AA311-AB311</f>
        <v>3369.0299999999997</v>
      </c>
      <c r="AD311" s="385">
        <v>43796</v>
      </c>
      <c r="AE311" s="407" t="s">
        <v>164</v>
      </c>
      <c r="AF311" s="379" t="s">
        <v>104</v>
      </c>
    </row>
    <row r="312" spans="1:33" x14ac:dyDescent="0.2">
      <c r="P312" s="373" t="s">
        <v>26</v>
      </c>
      <c r="Q312" s="374" t="s">
        <v>76</v>
      </c>
      <c r="R312" s="375">
        <v>818.8</v>
      </c>
      <c r="S312" s="375">
        <v>0</v>
      </c>
      <c r="T312" s="375">
        <v>50</v>
      </c>
      <c r="U312" s="375"/>
      <c r="V312" s="376">
        <f t="shared" si="84"/>
        <v>818.8</v>
      </c>
      <c r="W312" s="375">
        <v>8.1880000000000006</v>
      </c>
      <c r="X312" s="375">
        <v>0</v>
      </c>
      <c r="Y312" s="375"/>
      <c r="Z312" s="375"/>
      <c r="AA312" s="375">
        <v>58.14</v>
      </c>
      <c r="AB312" s="375">
        <v>0</v>
      </c>
      <c r="AC312" s="376">
        <f t="shared" si="85"/>
        <v>802.47199999999998</v>
      </c>
      <c r="AD312" s="385">
        <v>43796</v>
      </c>
      <c r="AE312" s="407" t="s">
        <v>164</v>
      </c>
      <c r="AF312" s="379" t="s">
        <v>104</v>
      </c>
    </row>
    <row r="313" spans="1:33" x14ac:dyDescent="0.2">
      <c r="P313" s="373" t="s">
        <v>3</v>
      </c>
      <c r="Q313" s="374" t="s">
        <v>77</v>
      </c>
      <c r="R313" s="375">
        <v>1074.8</v>
      </c>
      <c r="S313" s="375">
        <v>0</v>
      </c>
      <c r="T313" s="375">
        <v>50</v>
      </c>
      <c r="U313" s="375"/>
      <c r="V313" s="376">
        <f t="shared" si="84"/>
        <v>1074.8</v>
      </c>
      <c r="W313" s="375">
        <v>10.747999999999999</v>
      </c>
      <c r="X313" s="375">
        <v>0</v>
      </c>
      <c r="Y313" s="375"/>
      <c r="Z313" s="375"/>
      <c r="AA313" s="375">
        <v>76.3</v>
      </c>
      <c r="AB313" s="375"/>
      <c r="AC313" s="376">
        <f t="shared" si="85"/>
        <v>1037.752</v>
      </c>
      <c r="AD313" s="385">
        <v>43796</v>
      </c>
      <c r="AE313" s="407" t="s">
        <v>164</v>
      </c>
      <c r="AF313" s="379" t="s">
        <v>104</v>
      </c>
    </row>
    <row r="314" spans="1:33" x14ac:dyDescent="0.2">
      <c r="P314" s="373" t="s">
        <v>32</v>
      </c>
      <c r="Q314" s="374" t="s">
        <v>78</v>
      </c>
      <c r="R314" s="375">
        <v>954.8</v>
      </c>
      <c r="S314" s="375">
        <v>0</v>
      </c>
      <c r="T314" s="375">
        <v>100</v>
      </c>
      <c r="U314" s="375"/>
      <c r="V314" s="376">
        <f t="shared" si="84"/>
        <v>954.8</v>
      </c>
      <c r="W314" s="375">
        <v>9.548</v>
      </c>
      <c r="X314" s="375">
        <v>0</v>
      </c>
      <c r="Y314" s="375"/>
      <c r="Z314" s="375"/>
      <c r="AA314" s="375">
        <v>67.78</v>
      </c>
      <c r="AB314" s="375"/>
      <c r="AC314" s="376">
        <f t="shared" si="85"/>
        <v>977.47199999999998</v>
      </c>
      <c r="AD314" s="385">
        <v>43796</v>
      </c>
      <c r="AE314" s="407" t="s">
        <v>164</v>
      </c>
      <c r="AF314" s="379" t="s">
        <v>104</v>
      </c>
    </row>
    <row r="315" spans="1:33" x14ac:dyDescent="0.2">
      <c r="P315" s="373" t="s">
        <v>75</v>
      </c>
      <c r="Q315" s="374" t="s">
        <v>79</v>
      </c>
      <c r="R315" s="375">
        <v>800</v>
      </c>
      <c r="S315" s="375">
        <v>0</v>
      </c>
      <c r="T315" s="375"/>
      <c r="U315" s="375"/>
      <c r="V315" s="376">
        <f t="shared" si="84"/>
        <v>800</v>
      </c>
      <c r="W315" s="375">
        <v>8</v>
      </c>
      <c r="X315" s="375"/>
      <c r="Y315" s="375"/>
      <c r="Z315" s="375"/>
      <c r="AA315" s="375"/>
      <c r="AB315" s="375"/>
      <c r="AC315" s="376">
        <f t="shared" si="85"/>
        <v>792</v>
      </c>
      <c r="AD315" s="385">
        <v>43796</v>
      </c>
      <c r="AE315" s="407" t="s">
        <v>164</v>
      </c>
      <c r="AF315" s="379" t="s">
        <v>104</v>
      </c>
    </row>
    <row r="316" spans="1:33" x14ac:dyDescent="0.2">
      <c r="P316" s="373" t="s">
        <v>86</v>
      </c>
      <c r="Q316" s="374" t="s">
        <v>106</v>
      </c>
      <c r="R316" s="375">
        <v>1000</v>
      </c>
      <c r="S316" s="375">
        <v>262.5</v>
      </c>
      <c r="T316" s="375"/>
      <c r="U316" s="375"/>
      <c r="V316" s="376">
        <f t="shared" si="84"/>
        <v>1262.5</v>
      </c>
      <c r="W316" s="375">
        <v>12.625</v>
      </c>
      <c r="X316" s="375"/>
      <c r="Y316" s="375"/>
      <c r="Z316" s="375"/>
      <c r="AA316" s="375"/>
      <c r="AB316" s="375"/>
      <c r="AC316" s="376">
        <f t="shared" si="85"/>
        <v>1249.875</v>
      </c>
      <c r="AD316" s="385">
        <v>43796</v>
      </c>
      <c r="AE316" s="407" t="s">
        <v>164</v>
      </c>
      <c r="AF316" s="379" t="s">
        <v>104</v>
      </c>
    </row>
    <row r="317" spans="1:33" x14ac:dyDescent="0.2">
      <c r="P317" s="373" t="s">
        <v>107</v>
      </c>
      <c r="Q317" s="374" t="s">
        <v>108</v>
      </c>
      <c r="R317" s="375">
        <v>1000</v>
      </c>
      <c r="S317" s="375">
        <v>0</v>
      </c>
      <c r="T317" s="375"/>
      <c r="U317" s="375"/>
      <c r="V317" s="376">
        <f t="shared" si="84"/>
        <v>1000</v>
      </c>
      <c r="W317" s="375">
        <v>10</v>
      </c>
      <c r="X317" s="375"/>
      <c r="Y317" s="375"/>
      <c r="Z317" s="375"/>
      <c r="AA317" s="375"/>
      <c r="AB317" s="375"/>
      <c r="AC317" s="376">
        <f t="shared" si="85"/>
        <v>990</v>
      </c>
      <c r="AD317" s="385">
        <v>43796</v>
      </c>
      <c r="AE317" s="407" t="s">
        <v>164</v>
      </c>
      <c r="AF317" s="379" t="s">
        <v>104</v>
      </c>
    </row>
    <row r="318" spans="1:33" x14ac:dyDescent="0.2">
      <c r="O318" s="180"/>
      <c r="P318" s="373" t="s">
        <v>110</v>
      </c>
      <c r="Q318" s="374" t="s">
        <v>109</v>
      </c>
      <c r="R318" s="375">
        <v>740</v>
      </c>
      <c r="S318" s="375">
        <v>0</v>
      </c>
      <c r="T318" s="375"/>
      <c r="U318" s="375"/>
      <c r="V318" s="376">
        <f t="shared" si="84"/>
        <v>740</v>
      </c>
      <c r="W318" s="375">
        <v>7.4</v>
      </c>
      <c r="X318" s="375"/>
      <c r="Y318" s="375"/>
      <c r="Z318" s="375"/>
      <c r="AA318" s="375"/>
      <c r="AB318" s="375">
        <v>0</v>
      </c>
      <c r="AC318" s="376">
        <f t="shared" si="85"/>
        <v>732.6</v>
      </c>
      <c r="AD318" s="385">
        <v>43796</v>
      </c>
      <c r="AE318" s="407" t="s">
        <v>164</v>
      </c>
      <c r="AF318" s="379" t="s">
        <v>104</v>
      </c>
    </row>
    <row r="319" spans="1:33" x14ac:dyDescent="0.2">
      <c r="O319" s="180"/>
      <c r="P319" s="419" t="s">
        <v>149</v>
      </c>
      <c r="Q319" s="374" t="s">
        <v>150</v>
      </c>
      <c r="R319" s="375">
        <v>1000</v>
      </c>
      <c r="S319" s="375">
        <v>412.5</v>
      </c>
      <c r="T319" s="375"/>
      <c r="U319" s="375"/>
      <c r="V319" s="376">
        <f t="shared" si="84"/>
        <v>1412.5</v>
      </c>
      <c r="W319" s="375">
        <v>14.125</v>
      </c>
      <c r="X319" s="375">
        <v>0</v>
      </c>
      <c r="Y319" s="375"/>
      <c r="Z319" s="375"/>
      <c r="AA319" s="375"/>
      <c r="AB319" s="375"/>
      <c r="AC319" s="376">
        <f t="shared" si="85"/>
        <v>1398.375</v>
      </c>
      <c r="AD319" s="385">
        <v>43796</v>
      </c>
      <c r="AE319" s="407" t="s">
        <v>164</v>
      </c>
      <c r="AF319" s="379" t="s">
        <v>104</v>
      </c>
    </row>
    <row r="320" spans="1:33" s="180" customFormat="1" x14ac:dyDescent="0.2">
      <c r="A320" s="345"/>
      <c r="C320" s="321"/>
      <c r="D320" s="321"/>
      <c r="E320" s="321"/>
      <c r="F320" s="321"/>
      <c r="G320" s="321"/>
      <c r="H320" s="321"/>
      <c r="I320" s="321"/>
      <c r="J320" s="321"/>
      <c r="K320" s="321"/>
      <c r="L320" s="321"/>
      <c r="M320" s="321"/>
      <c r="N320" s="321"/>
      <c r="P320" s="373" t="s">
        <v>8</v>
      </c>
      <c r="Q320" s="392" t="s">
        <v>111</v>
      </c>
      <c r="R320" s="376">
        <v>13535</v>
      </c>
      <c r="S320" s="376"/>
      <c r="T320" s="376"/>
      <c r="U320" s="376">
        <v>5162</v>
      </c>
      <c r="V320" s="376">
        <f t="shared" ref="V320:V322" si="86">R320+S320+U320</f>
        <v>18697</v>
      </c>
      <c r="W320" s="376"/>
      <c r="X320" s="376">
        <v>2364</v>
      </c>
      <c r="Y320" s="376">
        <v>-829</v>
      </c>
      <c r="Z320" s="376"/>
      <c r="AA320" s="376"/>
      <c r="AB320" s="376"/>
      <c r="AC320" s="376">
        <f t="shared" ref="AC320:AC322" si="87">R320+S320+T320-W320-X320-Y320-Z320-AA320-AB320</f>
        <v>12000</v>
      </c>
      <c r="AD320" s="409"/>
      <c r="AE320" s="414"/>
      <c r="AF320" s="395"/>
      <c r="AG320" s="321"/>
    </row>
    <row r="321" spans="1:33" s="180" customFormat="1" x14ac:dyDescent="0.2">
      <c r="A321" s="345"/>
      <c r="C321" s="321"/>
      <c r="D321" s="321"/>
      <c r="E321" s="321"/>
      <c r="F321" s="321"/>
      <c r="G321" s="321"/>
      <c r="H321" s="321"/>
      <c r="I321" s="321"/>
      <c r="J321" s="321"/>
      <c r="K321" s="321"/>
      <c r="L321" s="321"/>
      <c r="M321" s="321"/>
      <c r="N321" s="321"/>
      <c r="O321" s="78"/>
      <c r="P321" s="373" t="s">
        <v>27</v>
      </c>
      <c r="Q321" s="392" t="s">
        <v>112</v>
      </c>
      <c r="R321" s="375">
        <v>13343</v>
      </c>
      <c r="S321" s="375"/>
      <c r="T321" s="375"/>
      <c r="U321" s="375">
        <v>2400</v>
      </c>
      <c r="V321" s="376">
        <f t="shared" si="86"/>
        <v>15743</v>
      </c>
      <c r="W321" s="375"/>
      <c r="X321" s="375">
        <v>1653</v>
      </c>
      <c r="Y321" s="375">
        <v>-310</v>
      </c>
      <c r="Z321" s="375"/>
      <c r="AA321" s="375"/>
      <c r="AB321" s="375"/>
      <c r="AC321" s="376">
        <f t="shared" si="87"/>
        <v>12000</v>
      </c>
      <c r="AD321" s="409"/>
      <c r="AE321" s="414"/>
      <c r="AF321" s="395"/>
      <c r="AG321" s="321"/>
    </row>
    <row r="322" spans="1:33" s="180" customFormat="1" ht="13.5" thickBot="1" x14ac:dyDescent="0.25">
      <c r="A322" s="345"/>
      <c r="C322" s="321"/>
      <c r="D322" s="321"/>
      <c r="E322" s="321"/>
      <c r="F322" s="321"/>
      <c r="G322" s="321"/>
      <c r="H322" s="321"/>
      <c r="I322" s="321"/>
      <c r="J322" s="321"/>
      <c r="K322" s="321"/>
      <c r="L322" s="321"/>
      <c r="M322" s="321"/>
      <c r="N322" s="321"/>
      <c r="O322" s="78"/>
      <c r="P322" s="396" t="s">
        <v>6</v>
      </c>
      <c r="Q322" s="397" t="s">
        <v>113</v>
      </c>
      <c r="R322" s="380">
        <v>11713.13</v>
      </c>
      <c r="S322" s="380"/>
      <c r="T322" s="380"/>
      <c r="U322" s="380">
        <v>2100</v>
      </c>
      <c r="V322" s="398">
        <f t="shared" si="86"/>
        <v>13813.13</v>
      </c>
      <c r="W322" s="380">
        <v>138.13</v>
      </c>
      <c r="X322" s="380">
        <v>1304</v>
      </c>
      <c r="Y322" s="380">
        <v>-829</v>
      </c>
      <c r="Z322" s="380">
        <v>2100</v>
      </c>
      <c r="AA322" s="380"/>
      <c r="AB322" s="380"/>
      <c r="AC322" s="398">
        <f t="shared" si="87"/>
        <v>9000</v>
      </c>
      <c r="AD322" s="411"/>
      <c r="AE322" s="415"/>
      <c r="AF322" s="401"/>
      <c r="AG322" s="321"/>
    </row>
    <row r="323" spans="1:33" x14ac:dyDescent="0.2">
      <c r="P323" s="357" t="s">
        <v>25</v>
      </c>
      <c r="Q323" s="84" t="s">
        <v>68</v>
      </c>
      <c r="R323" s="88">
        <v>3415.2</v>
      </c>
      <c r="S323" s="88">
        <v>1216.67</v>
      </c>
      <c r="T323" s="88">
        <v>490</v>
      </c>
      <c r="U323" s="88">
        <v>572.75</v>
      </c>
      <c r="V323" s="88">
        <f t="shared" ref="V323:V331" si="88">R323+S323+U323</f>
        <v>5204.62</v>
      </c>
      <c r="W323" s="88">
        <v>37.18</v>
      </c>
      <c r="X323" s="88">
        <v>630</v>
      </c>
      <c r="Y323" s="88">
        <v>-155</v>
      </c>
      <c r="Z323" s="88">
        <v>572.75</v>
      </c>
      <c r="AA323" s="88">
        <v>200.01</v>
      </c>
      <c r="AB323" s="88">
        <v>1125</v>
      </c>
      <c r="AC323" s="88">
        <f t="shared" ref="AC323:AC327" si="89">R323+S323+T323-W323-X323-Y323-Z323-AA323-AB323</f>
        <v>2711.9299999999994</v>
      </c>
      <c r="AD323" s="105">
        <v>43803</v>
      </c>
      <c r="AE323" s="404" t="s">
        <v>174</v>
      </c>
      <c r="AF323" s="360" t="s">
        <v>105</v>
      </c>
    </row>
    <row r="324" spans="1:33" x14ac:dyDescent="0.2">
      <c r="P324" s="99" t="s">
        <v>26</v>
      </c>
      <c r="Q324" s="82" t="s">
        <v>76</v>
      </c>
      <c r="R324" s="89">
        <v>818.8</v>
      </c>
      <c r="S324" s="89">
        <v>0</v>
      </c>
      <c r="T324" s="89">
        <v>50</v>
      </c>
      <c r="U324" s="89"/>
      <c r="V324" s="88">
        <f t="shared" si="88"/>
        <v>818.8</v>
      </c>
      <c r="W324" s="89">
        <v>8.1880000000000006</v>
      </c>
      <c r="X324" s="89"/>
      <c r="Y324" s="89"/>
      <c r="Z324" s="89"/>
      <c r="AA324" s="89">
        <v>58.14</v>
      </c>
      <c r="AB324" s="89">
        <v>200</v>
      </c>
      <c r="AC324" s="88">
        <f t="shared" si="89"/>
        <v>602.47199999999998</v>
      </c>
      <c r="AD324" s="106">
        <v>43803</v>
      </c>
      <c r="AE324" s="131" t="s">
        <v>174</v>
      </c>
      <c r="AF324" s="360" t="s">
        <v>105</v>
      </c>
    </row>
    <row r="325" spans="1:33" x14ac:dyDescent="0.2">
      <c r="P325" s="99" t="s">
        <v>3</v>
      </c>
      <c r="Q325" s="82" t="s">
        <v>77</v>
      </c>
      <c r="R325" s="89">
        <v>1074.8</v>
      </c>
      <c r="S325" s="89">
        <v>0</v>
      </c>
      <c r="T325" s="89">
        <v>50</v>
      </c>
      <c r="U325" s="89"/>
      <c r="V325" s="88">
        <f t="shared" si="88"/>
        <v>1074.8</v>
      </c>
      <c r="W325" s="89">
        <v>10.747999999999999</v>
      </c>
      <c r="X325" s="89">
        <v>0</v>
      </c>
      <c r="Y325" s="89"/>
      <c r="Z325" s="89"/>
      <c r="AA325" s="89">
        <v>76.3</v>
      </c>
      <c r="AB325" s="89"/>
      <c r="AC325" s="88">
        <f t="shared" si="89"/>
        <v>1037.752</v>
      </c>
      <c r="AD325" s="106">
        <v>43803</v>
      </c>
      <c r="AE325" s="131" t="s">
        <v>174</v>
      </c>
      <c r="AF325" s="360" t="s">
        <v>105</v>
      </c>
    </row>
    <row r="326" spans="1:33" x14ac:dyDescent="0.2">
      <c r="P326" s="99" t="s">
        <v>32</v>
      </c>
      <c r="Q326" s="82" t="s">
        <v>78</v>
      </c>
      <c r="R326" s="89">
        <v>954.8</v>
      </c>
      <c r="S326" s="89">
        <v>286.44</v>
      </c>
      <c r="T326" s="89">
        <v>100</v>
      </c>
      <c r="U326" s="89"/>
      <c r="V326" s="88">
        <f t="shared" si="88"/>
        <v>1241.24</v>
      </c>
      <c r="W326" s="89">
        <v>12.41</v>
      </c>
      <c r="X326" s="89">
        <v>0</v>
      </c>
      <c r="Y326" s="89"/>
      <c r="Z326" s="89"/>
      <c r="AA326" s="89">
        <v>67.78</v>
      </c>
      <c r="AB326" s="89"/>
      <c r="AC326" s="88">
        <f t="shared" si="89"/>
        <v>1261.05</v>
      </c>
      <c r="AD326" s="106">
        <v>43803</v>
      </c>
      <c r="AE326" s="131" t="s">
        <v>174</v>
      </c>
      <c r="AF326" s="360" t="s">
        <v>105</v>
      </c>
    </row>
    <row r="327" spans="1:33" x14ac:dyDescent="0.2">
      <c r="P327" s="99" t="s">
        <v>75</v>
      </c>
      <c r="Q327" s="82" t="s">
        <v>79</v>
      </c>
      <c r="R327" s="89">
        <v>800</v>
      </c>
      <c r="S327" s="89">
        <v>0</v>
      </c>
      <c r="T327" s="89"/>
      <c r="U327" s="89"/>
      <c r="V327" s="88">
        <f t="shared" si="88"/>
        <v>800</v>
      </c>
      <c r="W327" s="89">
        <v>8</v>
      </c>
      <c r="X327" s="89"/>
      <c r="Y327" s="89"/>
      <c r="Z327" s="89"/>
      <c r="AA327" s="89"/>
      <c r="AB327" s="89"/>
      <c r="AC327" s="88">
        <f t="shared" si="89"/>
        <v>792</v>
      </c>
      <c r="AD327" s="106">
        <v>43803</v>
      </c>
      <c r="AE327" s="131" t="s">
        <v>174</v>
      </c>
      <c r="AF327" s="360" t="s">
        <v>105</v>
      </c>
    </row>
    <row r="328" spans="1:33" x14ac:dyDescent="0.2">
      <c r="P328" s="99" t="s">
        <v>86</v>
      </c>
      <c r="Q328" s="82" t="s">
        <v>106</v>
      </c>
      <c r="R328" s="89">
        <v>1000</v>
      </c>
      <c r="S328" s="89">
        <v>300</v>
      </c>
      <c r="T328" s="89"/>
      <c r="U328" s="89"/>
      <c r="V328" s="88">
        <f t="shared" si="88"/>
        <v>1300</v>
      </c>
      <c r="W328" s="89">
        <v>13</v>
      </c>
      <c r="X328" s="89"/>
      <c r="Y328" s="89"/>
      <c r="Z328" s="89"/>
      <c r="AA328" s="89"/>
      <c r="AB328" s="89"/>
      <c r="AC328" s="88">
        <f>R328+S328+T328-W328-X328-Y328-Z328-AA328-AB328</f>
        <v>1287</v>
      </c>
      <c r="AD328" s="106">
        <v>43803</v>
      </c>
      <c r="AE328" s="131" t="s">
        <v>174</v>
      </c>
      <c r="AF328" s="360" t="s">
        <v>105</v>
      </c>
    </row>
    <row r="329" spans="1:33" x14ac:dyDescent="0.2">
      <c r="P329" s="99" t="s">
        <v>107</v>
      </c>
      <c r="Q329" s="82" t="s">
        <v>108</v>
      </c>
      <c r="R329" s="89">
        <v>1000</v>
      </c>
      <c r="S329" s="89">
        <v>300</v>
      </c>
      <c r="T329" s="89"/>
      <c r="U329" s="89"/>
      <c r="V329" s="88">
        <f t="shared" si="88"/>
        <v>1300</v>
      </c>
      <c r="W329" s="89">
        <v>13</v>
      </c>
      <c r="X329" s="89"/>
      <c r="Y329" s="89"/>
      <c r="Z329" s="89"/>
      <c r="AA329" s="89"/>
      <c r="AB329" s="89"/>
      <c r="AC329" s="88">
        <f>R329+S329+T329-W329-X329-Y329-Z329-AA329-AB329</f>
        <v>1287</v>
      </c>
      <c r="AD329" s="106">
        <v>43803</v>
      </c>
      <c r="AE329" s="131" t="s">
        <v>174</v>
      </c>
      <c r="AF329" s="360" t="s">
        <v>105</v>
      </c>
    </row>
    <row r="330" spans="1:33" x14ac:dyDescent="0.2">
      <c r="P330" s="99" t="s">
        <v>110</v>
      </c>
      <c r="Q330" s="82" t="s">
        <v>109</v>
      </c>
      <c r="R330" s="89">
        <v>800</v>
      </c>
      <c r="S330" s="89">
        <v>240</v>
      </c>
      <c r="T330" s="89"/>
      <c r="U330" s="89"/>
      <c r="V330" s="88">
        <f t="shared" si="88"/>
        <v>1040</v>
      </c>
      <c r="W330" s="89">
        <v>10.4</v>
      </c>
      <c r="X330" s="89"/>
      <c r="Y330" s="89"/>
      <c r="Z330" s="89"/>
      <c r="AA330" s="89"/>
      <c r="AB330" s="89">
        <v>200</v>
      </c>
      <c r="AC330" s="88">
        <f>R330+S330+T330-W330-X330-Y330-Z330-AA330-AB330</f>
        <v>829.59999999999991</v>
      </c>
      <c r="AD330" s="106">
        <v>43803</v>
      </c>
      <c r="AE330" s="131" t="s">
        <v>174</v>
      </c>
      <c r="AF330" s="360" t="s">
        <v>105</v>
      </c>
    </row>
    <row r="331" spans="1:33" x14ac:dyDescent="0.2">
      <c r="P331" s="99" t="s">
        <v>149</v>
      </c>
      <c r="Q331" s="82" t="s">
        <v>150</v>
      </c>
      <c r="R331" s="89">
        <v>1000</v>
      </c>
      <c r="S331" s="89">
        <v>300</v>
      </c>
      <c r="T331" s="89"/>
      <c r="U331" s="89"/>
      <c r="V331" s="88">
        <f t="shared" si="88"/>
        <v>1300</v>
      </c>
      <c r="W331" s="89">
        <v>13</v>
      </c>
      <c r="X331" s="89">
        <v>0</v>
      </c>
      <c r="Y331" s="89"/>
      <c r="Z331" s="89"/>
      <c r="AA331" s="89"/>
      <c r="AB331" s="89"/>
      <c r="AC331" s="88">
        <f>R331+S331+T331-W331-X331-Y331-Z331-AA331-AB331</f>
        <v>1287</v>
      </c>
      <c r="AD331" s="106">
        <v>43803</v>
      </c>
      <c r="AE331" s="131" t="s">
        <v>174</v>
      </c>
      <c r="AF331" s="360" t="s">
        <v>105</v>
      </c>
    </row>
    <row r="332" spans="1:33" x14ac:dyDescent="0.2">
      <c r="P332" s="357" t="s">
        <v>25</v>
      </c>
      <c r="Q332" s="84" t="s">
        <v>68</v>
      </c>
      <c r="R332" s="89">
        <f>3415.2+11715.6+14793.28</f>
        <v>29924.080000000002</v>
      </c>
      <c r="S332" s="89">
        <v>1664.91</v>
      </c>
      <c r="T332" s="89">
        <v>490</v>
      </c>
      <c r="U332" s="89">
        <v>2342.25</v>
      </c>
      <c r="V332" s="88">
        <f t="shared" ref="V332:V340" si="90">R332+S332+U332</f>
        <v>33931.240000000005</v>
      </c>
      <c r="W332" s="89">
        <v>148.72</v>
      </c>
      <c r="X332" s="89">
        <v>1768</v>
      </c>
      <c r="Y332" s="89">
        <v>-620</v>
      </c>
      <c r="Z332" s="89">
        <v>2342.25</v>
      </c>
      <c r="AA332" s="89">
        <v>800.04</v>
      </c>
      <c r="AB332" s="89">
        <f>4500</f>
        <v>4500</v>
      </c>
      <c r="AC332" s="88">
        <f t="shared" ref="AC332:AC337" si="91">R332+S332+T332-W332-X332-Y332-Z332-AA332-AB332</f>
        <v>23139.98</v>
      </c>
      <c r="AD332" s="106">
        <v>43810</v>
      </c>
      <c r="AE332" s="167" t="s">
        <v>175</v>
      </c>
      <c r="AF332" s="360" t="s">
        <v>105</v>
      </c>
    </row>
    <row r="333" spans="1:33" x14ac:dyDescent="0.2">
      <c r="P333" s="99" t="s">
        <v>26</v>
      </c>
      <c r="Q333" s="82" t="s">
        <v>76</v>
      </c>
      <c r="R333" s="89">
        <f>818.8+2606.4+3546.71</f>
        <v>6971.91</v>
      </c>
      <c r="S333" s="89">
        <v>0</v>
      </c>
      <c r="T333" s="89">
        <v>50</v>
      </c>
      <c r="U333" s="89"/>
      <c r="V333" s="88">
        <f t="shared" si="90"/>
        <v>6971.91</v>
      </c>
      <c r="W333" s="89">
        <v>32.75</v>
      </c>
      <c r="X333" s="89"/>
      <c r="Y333" s="89"/>
      <c r="Z333" s="89"/>
      <c r="AA333" s="89">
        <v>58.14</v>
      </c>
      <c r="AB333" s="89">
        <f>400</f>
        <v>400</v>
      </c>
      <c r="AC333" s="88">
        <f t="shared" si="91"/>
        <v>6531.0199999999995</v>
      </c>
      <c r="AD333" s="106">
        <v>43810</v>
      </c>
      <c r="AE333" s="167" t="s">
        <v>175</v>
      </c>
      <c r="AF333" s="360" t="s">
        <v>105</v>
      </c>
    </row>
    <row r="334" spans="1:33" x14ac:dyDescent="0.2">
      <c r="P334" s="99" t="s">
        <v>3</v>
      </c>
      <c r="Q334" s="82" t="s">
        <v>77</v>
      </c>
      <c r="R334" s="89">
        <f>1074.8+3374.4+4655.6</f>
        <v>9104.7999999999993</v>
      </c>
      <c r="S334" s="89">
        <v>0</v>
      </c>
      <c r="T334" s="89">
        <v>50</v>
      </c>
      <c r="U334" s="89"/>
      <c r="V334" s="88">
        <f t="shared" si="90"/>
        <v>9104.7999999999993</v>
      </c>
      <c r="W334" s="89">
        <v>42.99</v>
      </c>
      <c r="X334" s="89">
        <v>0</v>
      </c>
      <c r="Y334" s="89"/>
      <c r="Z334" s="89"/>
      <c r="AA334" s="89">
        <v>76.3</v>
      </c>
      <c r="AB334" s="89"/>
      <c r="AC334" s="88">
        <f t="shared" si="91"/>
        <v>9035.51</v>
      </c>
      <c r="AD334" s="106">
        <v>43810</v>
      </c>
      <c r="AE334" s="167" t="s">
        <v>175</v>
      </c>
      <c r="AF334" s="360" t="s">
        <v>105</v>
      </c>
    </row>
    <row r="335" spans="1:33" x14ac:dyDescent="0.2">
      <c r="P335" s="99" t="s">
        <v>32</v>
      </c>
      <c r="Q335" s="82" t="s">
        <v>78</v>
      </c>
      <c r="R335" s="89">
        <f>954.8+3014.4+4106.36</f>
        <v>8075.5599999999995</v>
      </c>
      <c r="S335" s="89">
        <v>0</v>
      </c>
      <c r="T335" s="89">
        <v>100</v>
      </c>
      <c r="U335" s="89"/>
      <c r="V335" s="88">
        <f t="shared" si="90"/>
        <v>8075.5599999999995</v>
      </c>
      <c r="W335" s="89">
        <v>38.19</v>
      </c>
      <c r="X335" s="89">
        <v>0</v>
      </c>
      <c r="Y335" s="89"/>
      <c r="Z335" s="89"/>
      <c r="AA335" s="89">
        <v>67.78</v>
      </c>
      <c r="AB335" s="89"/>
      <c r="AC335" s="88">
        <f t="shared" si="91"/>
        <v>8069.59</v>
      </c>
      <c r="AD335" s="106">
        <v>43810</v>
      </c>
      <c r="AE335" s="167" t="s">
        <v>175</v>
      </c>
      <c r="AF335" s="360" t="s">
        <v>105</v>
      </c>
    </row>
    <row r="336" spans="1:33" x14ac:dyDescent="0.2">
      <c r="P336" s="99" t="s">
        <v>75</v>
      </c>
      <c r="Q336" s="82" t="s">
        <v>79</v>
      </c>
      <c r="R336" s="89">
        <f>800+2400+3465.28</f>
        <v>6665.2800000000007</v>
      </c>
      <c r="S336" s="89">
        <v>0</v>
      </c>
      <c r="T336" s="89"/>
      <c r="U336" s="89"/>
      <c r="V336" s="88">
        <f t="shared" si="90"/>
        <v>6665.2800000000007</v>
      </c>
      <c r="W336" s="89">
        <v>32</v>
      </c>
      <c r="X336" s="89"/>
      <c r="Y336" s="89"/>
      <c r="Z336" s="89"/>
      <c r="AA336" s="89"/>
      <c r="AB336" s="89"/>
      <c r="AC336" s="88">
        <f t="shared" si="91"/>
        <v>6633.2800000000007</v>
      </c>
      <c r="AD336" s="106">
        <v>43810</v>
      </c>
      <c r="AE336" s="167" t="s">
        <v>175</v>
      </c>
      <c r="AF336" s="360" t="s">
        <v>105</v>
      </c>
    </row>
    <row r="337" spans="1:33" x14ac:dyDescent="0.2">
      <c r="P337" s="99" t="s">
        <v>86</v>
      </c>
      <c r="Q337" s="82" t="s">
        <v>106</v>
      </c>
      <c r="R337" s="89">
        <f>2141.03+3091.36+1000</f>
        <v>6232.39</v>
      </c>
      <c r="S337" s="89">
        <v>187.5</v>
      </c>
      <c r="T337" s="89"/>
      <c r="U337" s="89"/>
      <c r="V337" s="88">
        <f t="shared" si="90"/>
        <v>6419.89</v>
      </c>
      <c r="W337" s="89">
        <f>33.29</f>
        <v>33.29</v>
      </c>
      <c r="X337" s="89"/>
      <c r="Y337" s="89"/>
      <c r="Z337" s="89"/>
      <c r="AA337" s="89"/>
      <c r="AB337" s="89"/>
      <c r="AC337" s="88">
        <f t="shared" si="91"/>
        <v>6386.6</v>
      </c>
      <c r="AD337" s="106">
        <v>43810</v>
      </c>
      <c r="AE337" s="167" t="s">
        <v>175</v>
      </c>
      <c r="AF337" s="360" t="s">
        <v>105</v>
      </c>
    </row>
    <row r="338" spans="1:33" x14ac:dyDescent="0.2">
      <c r="P338" s="99" t="s">
        <v>107</v>
      </c>
      <c r="Q338" s="82" t="s">
        <v>108</v>
      </c>
      <c r="R338" s="89">
        <f>961.54+1388.33+1000</f>
        <v>3349.87</v>
      </c>
      <c r="S338" s="89">
        <v>0</v>
      </c>
      <c r="T338" s="89"/>
      <c r="U338" s="89"/>
      <c r="V338" s="88">
        <f t="shared" si="90"/>
        <v>3349.87</v>
      </c>
      <c r="W338" s="89">
        <v>19.62</v>
      </c>
      <c r="X338" s="89"/>
      <c r="Y338" s="89"/>
      <c r="Z338" s="89"/>
      <c r="AA338" s="89"/>
      <c r="AB338" s="89"/>
      <c r="AC338" s="88">
        <f>R338+S338+T338-W338-X338-Y338-Z338-AA338-AB338</f>
        <v>3330.25</v>
      </c>
      <c r="AD338" s="106">
        <v>43810</v>
      </c>
      <c r="AE338" s="167" t="s">
        <v>175</v>
      </c>
      <c r="AF338" s="360" t="s">
        <v>105</v>
      </c>
    </row>
    <row r="339" spans="1:33" x14ac:dyDescent="0.2">
      <c r="O339" s="180"/>
      <c r="P339" s="99" t="s">
        <v>110</v>
      </c>
      <c r="Q339" s="82" t="s">
        <v>109</v>
      </c>
      <c r="R339" s="89">
        <f>1815.38+2621.17+800</f>
        <v>5236.55</v>
      </c>
      <c r="S339" s="89">
        <v>0</v>
      </c>
      <c r="T339" s="89"/>
      <c r="U339" s="89"/>
      <c r="V339" s="89">
        <f t="shared" si="90"/>
        <v>5236.55</v>
      </c>
      <c r="W339" s="89">
        <v>26.15</v>
      </c>
      <c r="X339" s="89"/>
      <c r="Y339" s="89"/>
      <c r="Z339" s="89"/>
      <c r="AA339" s="89"/>
      <c r="AB339" s="89"/>
      <c r="AC339" s="89">
        <f>R339+S339+T339-W339-X339-Y339-Z339-AA339-AB339</f>
        <v>5210.4000000000005</v>
      </c>
      <c r="AD339" s="106">
        <v>43810</v>
      </c>
      <c r="AE339" s="167" t="s">
        <v>175</v>
      </c>
      <c r="AF339" s="360" t="s">
        <v>105</v>
      </c>
    </row>
    <row r="340" spans="1:33" ht="13.5" thickBot="1" x14ac:dyDescent="0.25">
      <c r="O340" s="180"/>
      <c r="P340" s="100" t="s">
        <v>149</v>
      </c>
      <c r="Q340" s="101" t="s">
        <v>150</v>
      </c>
      <c r="R340" s="102">
        <f>730.77+1055.13+1000</f>
        <v>2785.9</v>
      </c>
      <c r="S340" s="102">
        <v>356.25</v>
      </c>
      <c r="T340" s="102"/>
      <c r="U340" s="102"/>
      <c r="V340" s="150">
        <f t="shared" si="90"/>
        <v>3142.15</v>
      </c>
      <c r="W340" s="102">
        <v>20.87</v>
      </c>
      <c r="X340" s="102">
        <v>0</v>
      </c>
      <c r="Y340" s="102"/>
      <c r="Z340" s="102"/>
      <c r="AA340" s="102"/>
      <c r="AB340" s="102"/>
      <c r="AC340" s="150">
        <f>R340+S340+T340-W340-X340-Y340-Z340-AA340-AB340</f>
        <v>3121.28</v>
      </c>
      <c r="AD340" s="106">
        <v>43810</v>
      </c>
      <c r="AE340" s="167" t="s">
        <v>175</v>
      </c>
      <c r="AF340" s="360" t="s">
        <v>105</v>
      </c>
    </row>
    <row r="341" spans="1:33" s="180" customFormat="1" x14ac:dyDescent="0.2">
      <c r="A341" s="345"/>
      <c r="C341" s="321"/>
      <c r="D341" s="321"/>
      <c r="E341" s="321"/>
      <c r="F341" s="321"/>
      <c r="G341" s="321"/>
      <c r="H341" s="321"/>
      <c r="I341" s="321"/>
      <c r="J341" s="321"/>
      <c r="K341" s="321"/>
      <c r="L341" s="321"/>
      <c r="M341" s="321"/>
      <c r="N341" s="321"/>
      <c r="P341" s="423" t="s">
        <v>8</v>
      </c>
      <c r="Q341" s="342" t="s">
        <v>111</v>
      </c>
      <c r="R341" s="176">
        <v>13535</v>
      </c>
      <c r="S341" s="176"/>
      <c r="T341" s="176"/>
      <c r="U341" s="176">
        <v>5162</v>
      </c>
      <c r="V341" s="88">
        <f t="shared" ref="V341:V343" si="92">R341+S341+U341</f>
        <v>18697</v>
      </c>
      <c r="W341" s="176">
        <v>0</v>
      </c>
      <c r="X341" s="176">
        <v>2364</v>
      </c>
      <c r="Y341" s="176">
        <v>-829</v>
      </c>
      <c r="Z341" s="176"/>
      <c r="AA341" s="176"/>
      <c r="AB341" s="176"/>
      <c r="AC341" s="88">
        <f t="shared" ref="AC341:AC343" si="93">R341+S341+T341-W341-X341-Y341-Z341-AA341-AB341</f>
        <v>12000</v>
      </c>
      <c r="AD341" s="193"/>
      <c r="AE341" s="194"/>
      <c r="AF341" s="362"/>
      <c r="AG341" s="321"/>
    </row>
    <row r="342" spans="1:33" s="180" customFormat="1" x14ac:dyDescent="0.2">
      <c r="A342" s="345"/>
      <c r="C342" s="321"/>
      <c r="D342" s="321"/>
      <c r="E342" s="321"/>
      <c r="F342" s="321"/>
      <c r="G342" s="321"/>
      <c r="H342" s="321"/>
      <c r="I342" s="321"/>
      <c r="J342" s="321"/>
      <c r="K342" s="321"/>
      <c r="L342" s="321"/>
      <c r="M342" s="321"/>
      <c r="N342" s="321"/>
      <c r="O342" s="78"/>
      <c r="P342" s="361" t="s">
        <v>27</v>
      </c>
      <c r="Q342" s="183" t="s">
        <v>112</v>
      </c>
      <c r="R342" s="181">
        <v>13343</v>
      </c>
      <c r="S342" s="181"/>
      <c r="T342" s="181"/>
      <c r="U342" s="181">
        <v>2400</v>
      </c>
      <c r="V342" s="88">
        <f t="shared" si="92"/>
        <v>15743</v>
      </c>
      <c r="W342" s="181">
        <v>0</v>
      </c>
      <c r="X342" s="181">
        <v>1653</v>
      </c>
      <c r="Y342" s="181">
        <v>-310</v>
      </c>
      <c r="Z342" s="181"/>
      <c r="AA342" s="181"/>
      <c r="AB342" s="181"/>
      <c r="AC342" s="88">
        <f t="shared" si="93"/>
        <v>12000</v>
      </c>
      <c r="AD342" s="193"/>
      <c r="AE342" s="194"/>
      <c r="AF342" s="362"/>
      <c r="AG342" s="321"/>
    </row>
    <row r="343" spans="1:33" s="180" customFormat="1" ht="13.5" thickBot="1" x14ac:dyDescent="0.25">
      <c r="A343" s="345"/>
      <c r="C343" s="321"/>
      <c r="D343" s="321"/>
      <c r="E343" s="321"/>
      <c r="F343" s="321"/>
      <c r="G343" s="321"/>
      <c r="H343" s="321"/>
      <c r="I343" s="321"/>
      <c r="J343" s="321"/>
      <c r="K343" s="321"/>
      <c r="L343" s="321"/>
      <c r="M343" s="321"/>
      <c r="N343" s="321"/>
      <c r="O343" s="78"/>
      <c r="P343" s="421" t="s">
        <v>6</v>
      </c>
      <c r="Q343" s="402" t="s">
        <v>113</v>
      </c>
      <c r="R343" s="182">
        <v>12415.72</v>
      </c>
      <c r="S343" s="182"/>
      <c r="T343" s="182"/>
      <c r="U343" s="182">
        <v>5162</v>
      </c>
      <c r="V343" s="325">
        <f t="shared" si="92"/>
        <v>17577.72</v>
      </c>
      <c r="W343" s="182">
        <v>148.72</v>
      </c>
      <c r="X343" s="182">
        <v>1515</v>
      </c>
      <c r="Y343" s="182">
        <v>-829</v>
      </c>
      <c r="Z343" s="182">
        <v>2581</v>
      </c>
      <c r="AA343" s="182"/>
      <c r="AB343" s="182"/>
      <c r="AC343" s="325">
        <f t="shared" si="93"/>
        <v>9000</v>
      </c>
      <c r="AD343" s="193"/>
      <c r="AE343" s="194"/>
      <c r="AF343" s="362"/>
      <c r="AG343" s="321"/>
    </row>
    <row r="344" spans="1:33" x14ac:dyDescent="0.2">
      <c r="P344" s="367" t="s">
        <v>25</v>
      </c>
      <c r="Q344" s="368" t="s">
        <v>68</v>
      </c>
      <c r="R344" s="369">
        <v>3475.2</v>
      </c>
      <c r="S344" s="369">
        <v>2671.56</v>
      </c>
      <c r="T344" s="369">
        <v>490</v>
      </c>
      <c r="U344" s="369">
        <v>624</v>
      </c>
      <c r="V344" s="369">
        <f t="shared" ref="V344:V350" si="94">R344+S344+U344</f>
        <v>6770.76</v>
      </c>
      <c r="W344" s="369">
        <v>29.74</v>
      </c>
      <c r="X344" s="369">
        <v>1036</v>
      </c>
      <c r="Y344" s="369">
        <v>-155</v>
      </c>
      <c r="Z344" s="369">
        <v>624</v>
      </c>
      <c r="AA344" s="369">
        <v>200.01</v>
      </c>
      <c r="AB344" s="369">
        <v>1125</v>
      </c>
      <c r="AC344" s="369">
        <f t="shared" ref="AC344:AC348" si="95">R344+S344+T344-W344-X344-Y344-Z344-AA344-AB344</f>
        <v>3777.01</v>
      </c>
      <c r="AD344" s="370">
        <v>43838</v>
      </c>
      <c r="AE344" s="406" t="s">
        <v>203</v>
      </c>
      <c r="AF344" s="372" t="s">
        <v>127</v>
      </c>
    </row>
    <row r="345" spans="1:33" x14ac:dyDescent="0.2">
      <c r="P345" s="373" t="s">
        <v>26</v>
      </c>
      <c r="Q345" s="374" t="s">
        <v>76</v>
      </c>
      <c r="R345" s="375">
        <v>818.8</v>
      </c>
      <c r="S345" s="375">
        <v>0</v>
      </c>
      <c r="T345" s="375">
        <v>50</v>
      </c>
      <c r="U345" s="375"/>
      <c r="V345" s="376">
        <f t="shared" si="94"/>
        <v>818.8</v>
      </c>
      <c r="W345" s="375">
        <v>8.1880000000000006</v>
      </c>
      <c r="X345" s="375"/>
      <c r="Y345" s="375"/>
      <c r="Z345" s="375"/>
      <c r="AA345" s="375">
        <v>58.14</v>
      </c>
      <c r="AB345" s="375">
        <v>0</v>
      </c>
      <c r="AC345" s="376">
        <f t="shared" si="95"/>
        <v>802.47199999999998</v>
      </c>
      <c r="AD345" s="385">
        <v>43838</v>
      </c>
      <c r="AE345" s="407" t="s">
        <v>203</v>
      </c>
      <c r="AF345" s="379" t="s">
        <v>127</v>
      </c>
    </row>
    <row r="346" spans="1:33" x14ac:dyDescent="0.2">
      <c r="P346" s="373" t="s">
        <v>3</v>
      </c>
      <c r="Q346" s="374" t="s">
        <v>77</v>
      </c>
      <c r="R346" s="375">
        <v>1074.8</v>
      </c>
      <c r="S346" s="375">
        <v>0</v>
      </c>
      <c r="T346" s="375">
        <v>50</v>
      </c>
      <c r="U346" s="375"/>
      <c r="V346" s="376">
        <f t="shared" si="94"/>
        <v>1074.8</v>
      </c>
      <c r="W346" s="375">
        <v>10.747999999999999</v>
      </c>
      <c r="X346" s="375">
        <v>0</v>
      </c>
      <c r="Y346" s="375"/>
      <c r="Z346" s="375"/>
      <c r="AA346" s="375">
        <v>76.3</v>
      </c>
      <c r="AB346" s="375"/>
      <c r="AC346" s="376">
        <f t="shared" si="95"/>
        <v>1037.752</v>
      </c>
      <c r="AD346" s="385">
        <v>43838</v>
      </c>
      <c r="AE346" s="407" t="s">
        <v>203</v>
      </c>
      <c r="AF346" s="379" t="s">
        <v>127</v>
      </c>
    </row>
    <row r="347" spans="1:33" x14ac:dyDescent="0.2">
      <c r="P347" s="373" t="s">
        <v>32</v>
      </c>
      <c r="Q347" s="374" t="s">
        <v>78</v>
      </c>
      <c r="R347" s="375">
        <v>954.8</v>
      </c>
      <c r="S347" s="375">
        <v>0</v>
      </c>
      <c r="T347" s="375">
        <v>100</v>
      </c>
      <c r="U347" s="375"/>
      <c r="V347" s="376">
        <f t="shared" si="94"/>
        <v>954.8</v>
      </c>
      <c r="W347" s="375">
        <v>9.548</v>
      </c>
      <c r="X347" s="375">
        <v>0</v>
      </c>
      <c r="Y347" s="375"/>
      <c r="Z347" s="375"/>
      <c r="AA347" s="375">
        <v>67.78</v>
      </c>
      <c r="AB347" s="375"/>
      <c r="AC347" s="376">
        <f t="shared" si="95"/>
        <v>977.47199999999998</v>
      </c>
      <c r="AD347" s="385">
        <v>43838</v>
      </c>
      <c r="AE347" s="407" t="s">
        <v>203</v>
      </c>
      <c r="AF347" s="379" t="s">
        <v>127</v>
      </c>
    </row>
    <row r="348" spans="1:33" x14ac:dyDescent="0.2">
      <c r="P348" s="373" t="s">
        <v>75</v>
      </c>
      <c r="Q348" s="374" t="s">
        <v>79</v>
      </c>
      <c r="R348" s="375">
        <v>800</v>
      </c>
      <c r="S348" s="375">
        <v>0</v>
      </c>
      <c r="T348" s="375"/>
      <c r="U348" s="375"/>
      <c r="V348" s="376">
        <f t="shared" si="94"/>
        <v>800</v>
      </c>
      <c r="W348" s="375">
        <v>8</v>
      </c>
      <c r="X348" s="375"/>
      <c r="Y348" s="375"/>
      <c r="Z348" s="375"/>
      <c r="AA348" s="375"/>
      <c r="AB348" s="375"/>
      <c r="AC348" s="376">
        <f t="shared" si="95"/>
        <v>792</v>
      </c>
      <c r="AD348" s="385">
        <v>43838</v>
      </c>
      <c r="AE348" s="407" t="s">
        <v>203</v>
      </c>
      <c r="AF348" s="379" t="s">
        <v>127</v>
      </c>
    </row>
    <row r="349" spans="1:33" x14ac:dyDescent="0.2">
      <c r="P349" s="373" t="s">
        <v>86</v>
      </c>
      <c r="Q349" s="374" t="s">
        <v>106</v>
      </c>
      <c r="R349" s="375">
        <v>1000</v>
      </c>
      <c r="S349" s="375">
        <v>0</v>
      </c>
      <c r="T349" s="375"/>
      <c r="U349" s="375"/>
      <c r="V349" s="376">
        <f t="shared" si="94"/>
        <v>1000</v>
      </c>
      <c r="W349" s="375">
        <v>10</v>
      </c>
      <c r="X349" s="375"/>
      <c r="Y349" s="375"/>
      <c r="Z349" s="375"/>
      <c r="AA349" s="375"/>
      <c r="AB349" s="375">
        <v>100</v>
      </c>
      <c r="AC349" s="376">
        <f>R349+S349+T349-W349-X349-Y349-Z349-AA349-AB349</f>
        <v>890</v>
      </c>
      <c r="AD349" s="385">
        <v>43838</v>
      </c>
      <c r="AE349" s="407" t="s">
        <v>203</v>
      </c>
      <c r="AF349" s="379" t="s">
        <v>127</v>
      </c>
    </row>
    <row r="350" spans="1:33" x14ac:dyDescent="0.2">
      <c r="P350" s="373" t="s">
        <v>149</v>
      </c>
      <c r="Q350" s="374" t="s">
        <v>150</v>
      </c>
      <c r="R350" s="375">
        <v>400</v>
      </c>
      <c r="S350" s="375">
        <v>0</v>
      </c>
      <c r="T350" s="375"/>
      <c r="U350" s="375"/>
      <c r="V350" s="376">
        <f t="shared" si="94"/>
        <v>400</v>
      </c>
      <c r="W350" s="375">
        <v>4</v>
      </c>
      <c r="X350" s="375">
        <v>0</v>
      </c>
      <c r="Y350" s="375"/>
      <c r="Z350" s="375"/>
      <c r="AA350" s="375"/>
      <c r="AB350" s="375"/>
      <c r="AC350" s="376">
        <f>R350+S350+T350-W350-X350-Y350-Z350-AA350-AB350</f>
        <v>396</v>
      </c>
      <c r="AD350" s="385">
        <v>43838</v>
      </c>
      <c r="AE350" s="407" t="s">
        <v>203</v>
      </c>
      <c r="AF350" s="379" t="s">
        <v>127</v>
      </c>
    </row>
    <row r="351" spans="1:33" x14ac:dyDescent="0.2">
      <c r="P351" s="389" t="s">
        <v>25</v>
      </c>
      <c r="Q351" s="390" t="s">
        <v>68</v>
      </c>
      <c r="R351" s="375">
        <v>3475.2</v>
      </c>
      <c r="S351" s="375">
        <v>0</v>
      </c>
      <c r="T351" s="375">
        <v>490</v>
      </c>
      <c r="U351" s="375">
        <v>624</v>
      </c>
      <c r="V351" s="376">
        <f t="shared" ref="V351:V357" si="96">R351+S351+U351</f>
        <v>4099.2</v>
      </c>
      <c r="W351" s="375">
        <v>29.74</v>
      </c>
      <c r="X351" s="375">
        <v>351</v>
      </c>
      <c r="Y351" s="375">
        <v>-155</v>
      </c>
      <c r="Z351" s="375">
        <v>624</v>
      </c>
      <c r="AA351" s="375">
        <v>200.01</v>
      </c>
      <c r="AB351" s="375">
        <v>1125</v>
      </c>
      <c r="AC351" s="376">
        <f t="shared" ref="AC351:AC355" si="97">R351+S351+T351-W351-X351-Y351-Z351-AA351-AB351</f>
        <v>1790.4499999999998</v>
      </c>
      <c r="AD351" s="385">
        <v>43845</v>
      </c>
      <c r="AE351" s="407" t="s">
        <v>201</v>
      </c>
      <c r="AF351" s="379" t="s">
        <v>127</v>
      </c>
    </row>
    <row r="352" spans="1:33" x14ac:dyDescent="0.2">
      <c r="P352" s="373" t="s">
        <v>26</v>
      </c>
      <c r="Q352" s="374" t="s">
        <v>76</v>
      </c>
      <c r="R352" s="375">
        <v>818.8</v>
      </c>
      <c r="S352" s="375">
        <v>0</v>
      </c>
      <c r="T352" s="375">
        <v>50</v>
      </c>
      <c r="U352" s="375"/>
      <c r="V352" s="376">
        <f t="shared" si="96"/>
        <v>818.8</v>
      </c>
      <c r="W352" s="375">
        <v>8.1880000000000006</v>
      </c>
      <c r="X352" s="375"/>
      <c r="Y352" s="375"/>
      <c r="Z352" s="375"/>
      <c r="AA352" s="375">
        <v>58.14</v>
      </c>
      <c r="AB352" s="375">
        <v>100</v>
      </c>
      <c r="AC352" s="376">
        <f t="shared" si="97"/>
        <v>702.47199999999998</v>
      </c>
      <c r="AD352" s="385">
        <v>43845</v>
      </c>
      <c r="AE352" s="407" t="s">
        <v>201</v>
      </c>
      <c r="AF352" s="379" t="s">
        <v>127</v>
      </c>
    </row>
    <row r="353" spans="16:32" x14ac:dyDescent="0.2">
      <c r="P353" s="373" t="s">
        <v>3</v>
      </c>
      <c r="Q353" s="374" t="s">
        <v>77</v>
      </c>
      <c r="R353" s="375">
        <v>1074.8</v>
      </c>
      <c r="S353" s="375">
        <v>0</v>
      </c>
      <c r="T353" s="375">
        <v>50</v>
      </c>
      <c r="U353" s="375"/>
      <c r="V353" s="376">
        <f t="shared" si="96"/>
        <v>1074.8</v>
      </c>
      <c r="W353" s="375">
        <v>10.747999999999999</v>
      </c>
      <c r="X353" s="375">
        <v>0</v>
      </c>
      <c r="Y353" s="375"/>
      <c r="Z353" s="375"/>
      <c r="AA353" s="375">
        <v>76.3</v>
      </c>
      <c r="AB353" s="375"/>
      <c r="AC353" s="376">
        <f t="shared" si="97"/>
        <v>1037.752</v>
      </c>
      <c r="AD353" s="385">
        <v>43845</v>
      </c>
      <c r="AE353" s="407" t="s">
        <v>201</v>
      </c>
      <c r="AF353" s="379" t="s">
        <v>127</v>
      </c>
    </row>
    <row r="354" spans="16:32" x14ac:dyDescent="0.2">
      <c r="P354" s="373" t="s">
        <v>32</v>
      </c>
      <c r="Q354" s="374" t="s">
        <v>78</v>
      </c>
      <c r="R354" s="375">
        <v>954.8</v>
      </c>
      <c r="S354" s="375">
        <v>0</v>
      </c>
      <c r="T354" s="375">
        <v>100</v>
      </c>
      <c r="U354" s="375"/>
      <c r="V354" s="376">
        <f t="shared" si="96"/>
        <v>954.8</v>
      </c>
      <c r="W354" s="375">
        <v>9.548</v>
      </c>
      <c r="X354" s="375">
        <v>0</v>
      </c>
      <c r="Y354" s="375"/>
      <c r="Z354" s="375"/>
      <c r="AA354" s="375">
        <v>67.78</v>
      </c>
      <c r="AB354" s="375"/>
      <c r="AC354" s="376">
        <f t="shared" si="97"/>
        <v>977.47199999999998</v>
      </c>
      <c r="AD354" s="385">
        <v>43845</v>
      </c>
      <c r="AE354" s="407" t="s">
        <v>201</v>
      </c>
      <c r="AF354" s="379" t="s">
        <v>127</v>
      </c>
    </row>
    <row r="355" spans="16:32" x14ac:dyDescent="0.2">
      <c r="P355" s="373" t="s">
        <v>75</v>
      </c>
      <c r="Q355" s="374" t="s">
        <v>79</v>
      </c>
      <c r="R355" s="375">
        <v>800</v>
      </c>
      <c r="S355" s="375">
        <v>0</v>
      </c>
      <c r="T355" s="375"/>
      <c r="U355" s="375"/>
      <c r="V355" s="376">
        <f t="shared" si="96"/>
        <v>800</v>
      </c>
      <c r="W355" s="375">
        <v>8</v>
      </c>
      <c r="X355" s="375"/>
      <c r="Y355" s="375"/>
      <c r="Z355" s="375"/>
      <c r="AA355" s="375"/>
      <c r="AB355" s="375"/>
      <c r="AC355" s="376">
        <f t="shared" si="97"/>
        <v>792</v>
      </c>
      <c r="AD355" s="385">
        <v>43845</v>
      </c>
      <c r="AE355" s="407" t="s">
        <v>201</v>
      </c>
      <c r="AF355" s="379" t="s">
        <v>127</v>
      </c>
    </row>
    <row r="356" spans="16:32" x14ac:dyDescent="0.2">
      <c r="P356" s="373" t="s">
        <v>86</v>
      </c>
      <c r="Q356" s="374" t="s">
        <v>106</v>
      </c>
      <c r="R356" s="375">
        <v>1000</v>
      </c>
      <c r="S356" s="375">
        <v>0</v>
      </c>
      <c r="T356" s="375"/>
      <c r="U356" s="375"/>
      <c r="V356" s="376">
        <f t="shared" si="96"/>
        <v>1000</v>
      </c>
      <c r="W356" s="375">
        <v>10</v>
      </c>
      <c r="X356" s="375"/>
      <c r="Y356" s="375"/>
      <c r="Z356" s="375"/>
      <c r="AA356" s="375"/>
      <c r="AB356" s="375">
        <v>100</v>
      </c>
      <c r="AC356" s="376">
        <f>R356+S356+T356-W356-X356-Y356-Z356-AA356-AB356</f>
        <v>890</v>
      </c>
      <c r="AD356" s="385">
        <v>43845</v>
      </c>
      <c r="AE356" s="407" t="s">
        <v>201</v>
      </c>
      <c r="AF356" s="379" t="s">
        <v>127</v>
      </c>
    </row>
    <row r="357" spans="16:32" x14ac:dyDescent="0.2">
      <c r="P357" s="373" t="s">
        <v>149</v>
      </c>
      <c r="Q357" s="374" t="s">
        <v>150</v>
      </c>
      <c r="R357" s="375">
        <v>1000</v>
      </c>
      <c r="S357" s="375">
        <v>0</v>
      </c>
      <c r="T357" s="375"/>
      <c r="U357" s="375"/>
      <c r="V357" s="376">
        <f t="shared" si="96"/>
        <v>1000</v>
      </c>
      <c r="W357" s="375">
        <v>10</v>
      </c>
      <c r="X357" s="375">
        <v>0</v>
      </c>
      <c r="Y357" s="375"/>
      <c r="Z357" s="375"/>
      <c r="AA357" s="375"/>
      <c r="AB357" s="375"/>
      <c r="AC357" s="376">
        <f>R357+S357+T357-W357-X357-Y357-Z357-AA357-AB357</f>
        <v>990</v>
      </c>
      <c r="AD357" s="385">
        <v>43845</v>
      </c>
      <c r="AE357" s="407" t="s">
        <v>201</v>
      </c>
      <c r="AF357" s="379" t="s">
        <v>127</v>
      </c>
    </row>
    <row r="358" spans="16:32" x14ac:dyDescent="0.2">
      <c r="P358" s="389" t="s">
        <v>25</v>
      </c>
      <c r="Q358" s="390" t="s">
        <v>68</v>
      </c>
      <c r="R358" s="375">
        <v>3475.2</v>
      </c>
      <c r="S358" s="375">
        <v>1042.56</v>
      </c>
      <c r="T358" s="375">
        <v>490</v>
      </c>
      <c r="U358" s="375">
        <v>624</v>
      </c>
      <c r="V358" s="376">
        <f t="shared" ref="V358:V364" si="98">R358+S358+U358</f>
        <v>5141.76</v>
      </c>
      <c r="W358" s="375">
        <v>29.74</v>
      </c>
      <c r="X358" s="375">
        <v>601</v>
      </c>
      <c r="Y358" s="375">
        <v>-155</v>
      </c>
      <c r="Z358" s="375">
        <v>624</v>
      </c>
      <c r="AA358" s="375">
        <v>200.01</v>
      </c>
      <c r="AB358" s="375">
        <v>1125</v>
      </c>
      <c r="AC358" s="376">
        <f t="shared" ref="AC358:AC362" si="99">R358+S358+T358-W358-X358-Y358-Z358-AA358-AB358</f>
        <v>2583.0100000000002</v>
      </c>
      <c r="AD358" s="385">
        <v>43852</v>
      </c>
      <c r="AE358" s="407" t="s">
        <v>202</v>
      </c>
      <c r="AF358" s="379" t="s">
        <v>127</v>
      </c>
    </row>
    <row r="359" spans="16:32" x14ac:dyDescent="0.2">
      <c r="P359" s="373" t="s">
        <v>26</v>
      </c>
      <c r="Q359" s="374" t="s">
        <v>76</v>
      </c>
      <c r="R359" s="375">
        <v>818.8</v>
      </c>
      <c r="S359" s="375">
        <v>0</v>
      </c>
      <c r="T359" s="375">
        <v>50</v>
      </c>
      <c r="U359" s="375"/>
      <c r="V359" s="376">
        <f t="shared" si="98"/>
        <v>818.8</v>
      </c>
      <c r="W359" s="375">
        <v>8.1880000000000006</v>
      </c>
      <c r="X359" s="375"/>
      <c r="Y359" s="375"/>
      <c r="Z359" s="375"/>
      <c r="AA359" s="375">
        <v>58.14</v>
      </c>
      <c r="AB359" s="375">
        <v>0</v>
      </c>
      <c r="AC359" s="376">
        <f t="shared" si="99"/>
        <v>802.47199999999998</v>
      </c>
      <c r="AD359" s="385">
        <v>43852</v>
      </c>
      <c r="AE359" s="407" t="s">
        <v>202</v>
      </c>
      <c r="AF359" s="379" t="s">
        <v>127</v>
      </c>
    </row>
    <row r="360" spans="16:32" x14ac:dyDescent="0.2">
      <c r="P360" s="373" t="s">
        <v>3</v>
      </c>
      <c r="Q360" s="374" t="s">
        <v>77</v>
      </c>
      <c r="R360" s="375">
        <v>1074.8</v>
      </c>
      <c r="S360" s="375">
        <v>0</v>
      </c>
      <c r="T360" s="375">
        <v>50</v>
      </c>
      <c r="U360" s="375"/>
      <c r="V360" s="376">
        <f t="shared" si="98"/>
        <v>1074.8</v>
      </c>
      <c r="W360" s="375">
        <v>10.747999999999999</v>
      </c>
      <c r="X360" s="375">
        <v>0</v>
      </c>
      <c r="Y360" s="375"/>
      <c r="Z360" s="375"/>
      <c r="AA360" s="375">
        <v>76.3</v>
      </c>
      <c r="AB360" s="375"/>
      <c r="AC360" s="376">
        <f t="shared" si="99"/>
        <v>1037.752</v>
      </c>
      <c r="AD360" s="385">
        <v>43852</v>
      </c>
      <c r="AE360" s="407" t="s">
        <v>202</v>
      </c>
      <c r="AF360" s="379" t="s">
        <v>127</v>
      </c>
    </row>
    <row r="361" spans="16:32" x14ac:dyDescent="0.2">
      <c r="P361" s="373" t="s">
        <v>32</v>
      </c>
      <c r="Q361" s="374" t="s">
        <v>78</v>
      </c>
      <c r="R361" s="375">
        <v>954.8</v>
      </c>
      <c r="S361" s="375">
        <v>0</v>
      </c>
      <c r="T361" s="375">
        <v>100</v>
      </c>
      <c r="U361" s="375"/>
      <c r="V361" s="376">
        <f t="shared" si="98"/>
        <v>954.8</v>
      </c>
      <c r="W361" s="375">
        <v>9.548</v>
      </c>
      <c r="X361" s="375">
        <v>0</v>
      </c>
      <c r="Y361" s="375"/>
      <c r="Z361" s="375"/>
      <c r="AA361" s="375">
        <v>67.78</v>
      </c>
      <c r="AB361" s="375"/>
      <c r="AC361" s="376">
        <f t="shared" si="99"/>
        <v>977.47199999999998</v>
      </c>
      <c r="AD361" s="385">
        <v>43852</v>
      </c>
      <c r="AE361" s="407" t="s">
        <v>202</v>
      </c>
      <c r="AF361" s="379" t="s">
        <v>127</v>
      </c>
    </row>
    <row r="362" spans="16:32" x14ac:dyDescent="0.2">
      <c r="P362" s="373" t="s">
        <v>75</v>
      </c>
      <c r="Q362" s="374" t="s">
        <v>79</v>
      </c>
      <c r="R362" s="375">
        <v>800</v>
      </c>
      <c r="S362" s="375">
        <v>0</v>
      </c>
      <c r="T362" s="375"/>
      <c r="U362" s="375"/>
      <c r="V362" s="376">
        <f t="shared" si="98"/>
        <v>800</v>
      </c>
      <c r="W362" s="375">
        <v>8</v>
      </c>
      <c r="X362" s="375"/>
      <c r="Y362" s="375"/>
      <c r="Z362" s="375"/>
      <c r="AA362" s="375"/>
      <c r="AB362" s="375"/>
      <c r="AC362" s="376">
        <f t="shared" si="99"/>
        <v>792</v>
      </c>
      <c r="AD362" s="385">
        <v>43852</v>
      </c>
      <c r="AE362" s="407" t="s">
        <v>202</v>
      </c>
      <c r="AF362" s="379" t="s">
        <v>127</v>
      </c>
    </row>
    <row r="363" spans="16:32" x14ac:dyDescent="0.2">
      <c r="P363" s="373" t="s">
        <v>86</v>
      </c>
      <c r="Q363" s="374" t="s">
        <v>106</v>
      </c>
      <c r="R363" s="375">
        <v>1000</v>
      </c>
      <c r="S363" s="375">
        <v>300</v>
      </c>
      <c r="T363" s="375"/>
      <c r="U363" s="375"/>
      <c r="V363" s="376">
        <f t="shared" si="98"/>
        <v>1300</v>
      </c>
      <c r="W363" s="375">
        <v>13</v>
      </c>
      <c r="X363" s="375"/>
      <c r="Y363" s="375"/>
      <c r="Z363" s="375"/>
      <c r="AA363" s="375"/>
      <c r="AB363" s="375">
        <v>100</v>
      </c>
      <c r="AC363" s="376">
        <f>R363+S363+T363-W363-X363-Y363-Z363-AA363-AB363</f>
        <v>1187</v>
      </c>
      <c r="AD363" s="385">
        <v>43852</v>
      </c>
      <c r="AE363" s="407" t="s">
        <v>202</v>
      </c>
      <c r="AF363" s="379" t="s">
        <v>127</v>
      </c>
    </row>
    <row r="364" spans="16:32" x14ac:dyDescent="0.2">
      <c r="P364" s="373" t="s">
        <v>149</v>
      </c>
      <c r="Q364" s="374" t="s">
        <v>150</v>
      </c>
      <c r="R364" s="375">
        <v>1000</v>
      </c>
      <c r="S364" s="375">
        <v>0</v>
      </c>
      <c r="T364" s="375"/>
      <c r="U364" s="375"/>
      <c r="V364" s="376">
        <f t="shared" si="98"/>
        <v>1000</v>
      </c>
      <c r="W364" s="375">
        <v>10</v>
      </c>
      <c r="X364" s="375">
        <v>0</v>
      </c>
      <c r="Y364" s="375"/>
      <c r="Z364" s="375"/>
      <c r="AA364" s="375"/>
      <c r="AB364" s="375"/>
      <c r="AC364" s="376">
        <f>R364+S364+T364-W364-X364-Y364-Z364-AA364-AB364</f>
        <v>990</v>
      </c>
      <c r="AD364" s="385">
        <v>43852</v>
      </c>
      <c r="AE364" s="407" t="s">
        <v>202</v>
      </c>
      <c r="AF364" s="379" t="s">
        <v>127</v>
      </c>
    </row>
    <row r="365" spans="16:32" x14ac:dyDescent="0.2">
      <c r="P365" s="389" t="s">
        <v>25</v>
      </c>
      <c r="Q365" s="390" t="s">
        <v>68</v>
      </c>
      <c r="R365" s="375">
        <v>3475.2</v>
      </c>
      <c r="S365" s="375">
        <v>0</v>
      </c>
      <c r="T365" s="375">
        <v>0</v>
      </c>
      <c r="U365" s="375">
        <v>0</v>
      </c>
      <c r="V365" s="376">
        <f t="shared" ref="V365:V371" si="100">R365+S365+U365</f>
        <v>3475.2</v>
      </c>
      <c r="W365" s="375">
        <v>37.18</v>
      </c>
      <c r="X365" s="375">
        <v>351</v>
      </c>
      <c r="Y365" s="375">
        <v>0</v>
      </c>
      <c r="Z365" s="375">
        <v>0</v>
      </c>
      <c r="AA365" s="375">
        <v>200.01</v>
      </c>
      <c r="AB365" s="375">
        <v>0</v>
      </c>
      <c r="AC365" s="376">
        <f t="shared" ref="AC365:AC371" si="101">R365+S365+T365-W365-X365-Y365-Z365-AA365-AB365</f>
        <v>2887.01</v>
      </c>
      <c r="AD365" s="385">
        <v>43859</v>
      </c>
      <c r="AE365" s="407" t="s">
        <v>204</v>
      </c>
      <c r="AF365" s="379" t="s">
        <v>127</v>
      </c>
    </row>
    <row r="366" spans="16:32" x14ac:dyDescent="0.2">
      <c r="P366" s="373" t="s">
        <v>26</v>
      </c>
      <c r="Q366" s="374" t="s">
        <v>76</v>
      </c>
      <c r="R366" s="375">
        <v>818.8</v>
      </c>
      <c r="S366" s="375">
        <v>0</v>
      </c>
      <c r="T366" s="375">
        <v>50</v>
      </c>
      <c r="U366" s="375"/>
      <c r="V366" s="376">
        <f t="shared" si="100"/>
        <v>818.8</v>
      </c>
      <c r="W366" s="375">
        <v>8.1880000000000006</v>
      </c>
      <c r="X366" s="375"/>
      <c r="Y366" s="375"/>
      <c r="Z366" s="375"/>
      <c r="AA366" s="375">
        <v>58.14</v>
      </c>
      <c r="AB366" s="375">
        <v>100</v>
      </c>
      <c r="AC366" s="376">
        <f t="shared" si="101"/>
        <v>702.47199999999998</v>
      </c>
      <c r="AD366" s="385">
        <v>43859</v>
      </c>
      <c r="AE366" s="407" t="s">
        <v>204</v>
      </c>
      <c r="AF366" s="379" t="s">
        <v>127</v>
      </c>
    </row>
    <row r="367" spans="16:32" x14ac:dyDescent="0.2">
      <c r="P367" s="373" t="s">
        <v>3</v>
      </c>
      <c r="Q367" s="374" t="s">
        <v>77</v>
      </c>
      <c r="R367" s="375">
        <v>1074.8</v>
      </c>
      <c r="S367" s="375">
        <v>0</v>
      </c>
      <c r="T367" s="375">
        <v>50</v>
      </c>
      <c r="U367" s="375"/>
      <c r="V367" s="376">
        <f t="shared" si="100"/>
        <v>1074.8</v>
      </c>
      <c r="W367" s="375">
        <v>10.747999999999999</v>
      </c>
      <c r="X367" s="375">
        <v>0</v>
      </c>
      <c r="Y367" s="375"/>
      <c r="Z367" s="375"/>
      <c r="AA367" s="375">
        <v>76.3</v>
      </c>
      <c r="AB367" s="375"/>
      <c r="AC367" s="376">
        <f t="shared" si="101"/>
        <v>1037.752</v>
      </c>
      <c r="AD367" s="385">
        <v>43859</v>
      </c>
      <c r="AE367" s="407" t="s">
        <v>204</v>
      </c>
      <c r="AF367" s="379" t="s">
        <v>127</v>
      </c>
    </row>
    <row r="368" spans="16:32" x14ac:dyDescent="0.2">
      <c r="P368" s="373" t="s">
        <v>32</v>
      </c>
      <c r="Q368" s="374" t="s">
        <v>78</v>
      </c>
      <c r="R368" s="375">
        <v>954.8</v>
      </c>
      <c r="S368" s="375">
        <v>0</v>
      </c>
      <c r="T368" s="375">
        <v>100</v>
      </c>
      <c r="U368" s="375"/>
      <c r="V368" s="376">
        <f t="shared" si="100"/>
        <v>954.8</v>
      </c>
      <c r="W368" s="375">
        <v>9.548</v>
      </c>
      <c r="X368" s="375">
        <v>0</v>
      </c>
      <c r="Y368" s="375"/>
      <c r="Z368" s="375"/>
      <c r="AA368" s="375">
        <v>67.78</v>
      </c>
      <c r="AB368" s="375"/>
      <c r="AC368" s="376">
        <f t="shared" si="101"/>
        <v>977.47199999999998</v>
      </c>
      <c r="AD368" s="385">
        <v>43859</v>
      </c>
      <c r="AE368" s="407" t="s">
        <v>204</v>
      </c>
      <c r="AF368" s="379" t="s">
        <v>127</v>
      </c>
    </row>
    <row r="369" spans="1:33" x14ac:dyDescent="0.2">
      <c r="P369" s="373" t="s">
        <v>75</v>
      </c>
      <c r="Q369" s="374" t="s">
        <v>79</v>
      </c>
      <c r="R369" s="375">
        <v>800</v>
      </c>
      <c r="S369" s="375">
        <v>0</v>
      </c>
      <c r="T369" s="375"/>
      <c r="U369" s="375"/>
      <c r="V369" s="376">
        <f t="shared" si="100"/>
        <v>800</v>
      </c>
      <c r="W369" s="375">
        <v>8</v>
      </c>
      <c r="X369" s="375"/>
      <c r="Y369" s="375"/>
      <c r="Z369" s="375"/>
      <c r="AA369" s="375"/>
      <c r="AB369" s="375"/>
      <c r="AC369" s="376">
        <f t="shared" si="101"/>
        <v>792</v>
      </c>
      <c r="AD369" s="385">
        <v>43859</v>
      </c>
      <c r="AE369" s="407" t="s">
        <v>204</v>
      </c>
      <c r="AF369" s="379" t="s">
        <v>127</v>
      </c>
    </row>
    <row r="370" spans="1:33" x14ac:dyDescent="0.2">
      <c r="O370" s="180"/>
      <c r="P370" s="373" t="s">
        <v>86</v>
      </c>
      <c r="Q370" s="374" t="s">
        <v>106</v>
      </c>
      <c r="R370" s="375">
        <v>1000</v>
      </c>
      <c r="S370" s="375">
        <v>0</v>
      </c>
      <c r="T370" s="375"/>
      <c r="U370" s="375"/>
      <c r="V370" s="376">
        <f t="shared" si="100"/>
        <v>1000</v>
      </c>
      <c r="W370" s="375">
        <v>10</v>
      </c>
      <c r="X370" s="375"/>
      <c r="Y370" s="375"/>
      <c r="Z370" s="375"/>
      <c r="AA370" s="375"/>
      <c r="AB370" s="375">
        <v>100</v>
      </c>
      <c r="AC370" s="376">
        <f t="shared" si="101"/>
        <v>890</v>
      </c>
      <c r="AD370" s="385">
        <v>43859</v>
      </c>
      <c r="AE370" s="407" t="s">
        <v>204</v>
      </c>
      <c r="AF370" s="379" t="s">
        <v>127</v>
      </c>
    </row>
    <row r="371" spans="1:33" x14ac:dyDescent="0.2">
      <c r="O371" s="180"/>
      <c r="P371" s="373" t="s">
        <v>149</v>
      </c>
      <c r="Q371" s="374" t="s">
        <v>150</v>
      </c>
      <c r="R371" s="375">
        <v>1000</v>
      </c>
      <c r="S371" s="375">
        <v>0</v>
      </c>
      <c r="T371" s="375"/>
      <c r="U371" s="375"/>
      <c r="V371" s="376">
        <f t="shared" si="100"/>
        <v>1000</v>
      </c>
      <c r="W371" s="375">
        <v>10</v>
      </c>
      <c r="X371" s="375">
        <v>0</v>
      </c>
      <c r="Y371" s="375"/>
      <c r="Z371" s="375"/>
      <c r="AA371" s="375"/>
      <c r="AB371" s="375"/>
      <c r="AC371" s="376">
        <f t="shared" si="101"/>
        <v>990</v>
      </c>
      <c r="AD371" s="385">
        <v>43859</v>
      </c>
      <c r="AE371" s="407" t="s">
        <v>204</v>
      </c>
      <c r="AF371" s="379" t="s">
        <v>127</v>
      </c>
    </row>
    <row r="372" spans="1:33" s="180" customFormat="1" x14ac:dyDescent="0.2">
      <c r="A372" s="345"/>
      <c r="C372" s="321"/>
      <c r="D372" s="321"/>
      <c r="E372" s="321"/>
      <c r="F372" s="321"/>
      <c r="G372" s="321"/>
      <c r="H372" s="321"/>
      <c r="I372" s="321"/>
      <c r="J372" s="321"/>
      <c r="K372" s="321"/>
      <c r="L372" s="321"/>
      <c r="M372" s="321"/>
      <c r="N372" s="321"/>
      <c r="P372" s="373" t="s">
        <v>8</v>
      </c>
      <c r="Q372" s="392" t="s">
        <v>111</v>
      </c>
      <c r="R372" s="376">
        <v>13708</v>
      </c>
      <c r="S372" s="376"/>
      <c r="T372" s="376"/>
      <c r="U372" s="376">
        <v>5624</v>
      </c>
      <c r="V372" s="376">
        <f t="shared" ref="V372:V374" si="102">R372+S372+U372</f>
        <v>19332</v>
      </c>
      <c r="W372" s="376">
        <v>0</v>
      </c>
      <c r="X372" s="376">
        <v>2537</v>
      </c>
      <c r="Y372" s="376">
        <v>-829</v>
      </c>
      <c r="Z372" s="376"/>
      <c r="AA372" s="376"/>
      <c r="AB372" s="376"/>
      <c r="AC372" s="376">
        <f t="shared" ref="AC372:AC374" si="103">R372+S372+T372-W372-X372-Y372-Z372-AA372-AB372</f>
        <v>12000</v>
      </c>
      <c r="AD372" s="409"/>
      <c r="AE372" s="414"/>
      <c r="AF372" s="395"/>
      <c r="AG372" s="321"/>
    </row>
    <row r="373" spans="1:33" s="180" customFormat="1" x14ac:dyDescent="0.2">
      <c r="A373" s="345"/>
      <c r="C373" s="321"/>
      <c r="D373" s="321"/>
      <c r="E373" s="321"/>
      <c r="F373" s="321"/>
      <c r="G373" s="321"/>
      <c r="H373" s="321"/>
      <c r="I373" s="321"/>
      <c r="J373" s="321"/>
      <c r="K373" s="321"/>
      <c r="L373" s="321"/>
      <c r="M373" s="321"/>
      <c r="N373" s="321"/>
      <c r="O373" s="78"/>
      <c r="P373" s="373" t="s">
        <v>27</v>
      </c>
      <c r="Q373" s="392" t="s">
        <v>112</v>
      </c>
      <c r="R373" s="375">
        <v>13380</v>
      </c>
      <c r="S373" s="375"/>
      <c r="T373" s="375"/>
      <c r="U373" s="375">
        <v>2615</v>
      </c>
      <c r="V373" s="376">
        <f t="shared" si="102"/>
        <v>15995</v>
      </c>
      <c r="W373" s="375">
        <v>0</v>
      </c>
      <c r="X373" s="375">
        <v>1690</v>
      </c>
      <c r="Y373" s="375">
        <v>-310</v>
      </c>
      <c r="Z373" s="375"/>
      <c r="AA373" s="375"/>
      <c r="AB373" s="375"/>
      <c r="AC373" s="376">
        <f t="shared" si="103"/>
        <v>12000</v>
      </c>
      <c r="AD373" s="409"/>
      <c r="AE373" s="414"/>
      <c r="AF373" s="395"/>
      <c r="AG373" s="321"/>
    </row>
    <row r="374" spans="1:33" s="180" customFormat="1" ht="13.5" thickBot="1" x14ac:dyDescent="0.25">
      <c r="A374" s="345"/>
      <c r="C374" s="321"/>
      <c r="D374" s="321"/>
      <c r="E374" s="321"/>
      <c r="F374" s="321"/>
      <c r="G374" s="321"/>
      <c r="H374" s="321"/>
      <c r="I374" s="321"/>
      <c r="J374" s="321"/>
      <c r="K374" s="321"/>
      <c r="L374" s="321"/>
      <c r="M374" s="321"/>
      <c r="N374" s="321"/>
      <c r="O374" s="78"/>
      <c r="P374" s="396" t="s">
        <v>6</v>
      </c>
      <c r="Q374" s="397" t="s">
        <v>113</v>
      </c>
      <c r="R374" s="380">
        <v>12747.72</v>
      </c>
      <c r="S374" s="380"/>
      <c r="T374" s="380"/>
      <c r="U374" s="380">
        <v>2812</v>
      </c>
      <c r="V374" s="398">
        <f t="shared" si="102"/>
        <v>15559.72</v>
      </c>
      <c r="W374" s="380">
        <v>148.72</v>
      </c>
      <c r="X374" s="380">
        <v>1616</v>
      </c>
      <c r="Y374" s="380">
        <v>-829</v>
      </c>
      <c r="Z374" s="380">
        <v>2812</v>
      </c>
      <c r="AA374" s="380"/>
      <c r="AB374" s="380"/>
      <c r="AC374" s="398">
        <f t="shared" si="103"/>
        <v>9000</v>
      </c>
      <c r="AD374" s="411"/>
      <c r="AE374" s="415"/>
      <c r="AF374" s="401"/>
      <c r="AG374" s="321"/>
    </row>
    <row r="375" spans="1:33" x14ac:dyDescent="0.2">
      <c r="P375" s="96" t="s">
        <v>25</v>
      </c>
      <c r="Q375" s="97" t="s">
        <v>68</v>
      </c>
      <c r="R375" s="98">
        <v>3675.2</v>
      </c>
      <c r="S375" s="98">
        <v>0</v>
      </c>
      <c r="T375" s="98">
        <v>490</v>
      </c>
      <c r="U375" s="98">
        <v>624</v>
      </c>
      <c r="V375" s="98">
        <f t="shared" ref="V375:V381" si="104">R375+S375+U375</f>
        <v>4299.2</v>
      </c>
      <c r="W375" s="98">
        <v>37.18</v>
      </c>
      <c r="X375" s="98">
        <v>543</v>
      </c>
      <c r="Y375" s="98">
        <v>-155</v>
      </c>
      <c r="Z375" s="98">
        <v>624</v>
      </c>
      <c r="AA375" s="98">
        <v>200.01</v>
      </c>
      <c r="AB375" s="98">
        <v>1125</v>
      </c>
      <c r="AC375" s="98">
        <f t="shared" ref="AC375:AC381" si="105">R375+S375+T375-W375-X375-Y375-Z375-AA375-AB375</f>
        <v>1791.0099999999993</v>
      </c>
      <c r="AD375" s="358">
        <v>43866</v>
      </c>
      <c r="AE375" s="412" t="s">
        <v>206</v>
      </c>
      <c r="AF375" s="359" t="s">
        <v>128</v>
      </c>
    </row>
    <row r="376" spans="1:33" x14ac:dyDescent="0.2">
      <c r="P376" s="99" t="s">
        <v>26</v>
      </c>
      <c r="Q376" s="82" t="s">
        <v>76</v>
      </c>
      <c r="R376" s="89">
        <v>818.8</v>
      </c>
      <c r="S376" s="89">
        <v>0</v>
      </c>
      <c r="T376" s="89">
        <v>50</v>
      </c>
      <c r="U376" s="89"/>
      <c r="V376" s="88">
        <f t="shared" si="104"/>
        <v>818.8</v>
      </c>
      <c r="W376" s="89">
        <v>8.1880000000000006</v>
      </c>
      <c r="X376" s="89"/>
      <c r="Y376" s="89"/>
      <c r="Z376" s="89"/>
      <c r="AA376" s="89">
        <v>58.14</v>
      </c>
      <c r="AB376" s="89">
        <v>100</v>
      </c>
      <c r="AC376" s="88">
        <f t="shared" si="105"/>
        <v>702.47199999999998</v>
      </c>
      <c r="AD376" s="106">
        <v>43866</v>
      </c>
      <c r="AE376" s="131" t="s">
        <v>206</v>
      </c>
      <c r="AF376" s="360" t="s">
        <v>128</v>
      </c>
    </row>
    <row r="377" spans="1:33" x14ac:dyDescent="0.2">
      <c r="P377" s="99" t="s">
        <v>3</v>
      </c>
      <c r="Q377" s="82" t="s">
        <v>77</v>
      </c>
      <c r="R377" s="89">
        <v>1074.8</v>
      </c>
      <c r="S377" s="89">
        <v>0</v>
      </c>
      <c r="T377" s="89">
        <v>50</v>
      </c>
      <c r="U377" s="89"/>
      <c r="V377" s="88">
        <f t="shared" si="104"/>
        <v>1074.8</v>
      </c>
      <c r="W377" s="89">
        <v>10.747999999999999</v>
      </c>
      <c r="X377" s="89">
        <v>0</v>
      </c>
      <c r="Y377" s="89"/>
      <c r="Z377" s="89"/>
      <c r="AA377" s="89">
        <v>76.3</v>
      </c>
      <c r="AB377" s="89"/>
      <c r="AC377" s="88">
        <f t="shared" si="105"/>
        <v>1037.752</v>
      </c>
      <c r="AD377" s="106">
        <v>43866</v>
      </c>
      <c r="AE377" s="131" t="s">
        <v>206</v>
      </c>
      <c r="AF377" s="360" t="s">
        <v>128</v>
      </c>
    </row>
    <row r="378" spans="1:33" x14ac:dyDescent="0.2">
      <c r="P378" s="99" t="s">
        <v>32</v>
      </c>
      <c r="Q378" s="82" t="s">
        <v>78</v>
      </c>
      <c r="R378" s="89">
        <v>954.8</v>
      </c>
      <c r="S378" s="89">
        <v>0</v>
      </c>
      <c r="T378" s="89">
        <v>100</v>
      </c>
      <c r="U378" s="89"/>
      <c r="V378" s="88">
        <f t="shared" si="104"/>
        <v>954.8</v>
      </c>
      <c r="W378" s="89">
        <v>9.548</v>
      </c>
      <c r="X378" s="89">
        <v>0</v>
      </c>
      <c r="Y378" s="89"/>
      <c r="Z378" s="89"/>
      <c r="AA378" s="89">
        <v>67.78</v>
      </c>
      <c r="AB378" s="89"/>
      <c r="AC378" s="88">
        <f t="shared" si="105"/>
        <v>977.47199999999998</v>
      </c>
      <c r="AD378" s="106">
        <v>43866</v>
      </c>
      <c r="AE378" s="131" t="s">
        <v>206</v>
      </c>
      <c r="AF378" s="360" t="s">
        <v>128</v>
      </c>
    </row>
    <row r="379" spans="1:33" x14ac:dyDescent="0.2">
      <c r="P379" s="99" t="s">
        <v>75</v>
      </c>
      <c r="Q379" s="82" t="s">
        <v>79</v>
      </c>
      <c r="R379" s="89">
        <v>800</v>
      </c>
      <c r="S379" s="89">
        <v>0</v>
      </c>
      <c r="T379" s="89"/>
      <c r="U379" s="89"/>
      <c r="V379" s="88">
        <f t="shared" si="104"/>
        <v>800</v>
      </c>
      <c r="W379" s="89">
        <v>8</v>
      </c>
      <c r="X379" s="89"/>
      <c r="Y379" s="89"/>
      <c r="Z379" s="89"/>
      <c r="AA379" s="89"/>
      <c r="AB379" s="89"/>
      <c r="AC379" s="88">
        <f t="shared" si="105"/>
        <v>792</v>
      </c>
      <c r="AD379" s="106">
        <v>43866</v>
      </c>
      <c r="AE379" s="131" t="s">
        <v>206</v>
      </c>
      <c r="AF379" s="360" t="s">
        <v>128</v>
      </c>
    </row>
    <row r="380" spans="1:33" x14ac:dyDescent="0.2">
      <c r="P380" s="99" t="s">
        <v>86</v>
      </c>
      <c r="Q380" s="82" t="s">
        <v>106</v>
      </c>
      <c r="R380" s="89">
        <v>1000</v>
      </c>
      <c r="S380" s="89">
        <v>0</v>
      </c>
      <c r="T380" s="89"/>
      <c r="U380" s="89"/>
      <c r="V380" s="88">
        <f t="shared" si="104"/>
        <v>1000</v>
      </c>
      <c r="W380" s="89">
        <v>10</v>
      </c>
      <c r="X380" s="89"/>
      <c r="Y380" s="89"/>
      <c r="Z380" s="89"/>
      <c r="AA380" s="89"/>
      <c r="AB380" s="89">
        <v>100</v>
      </c>
      <c r="AC380" s="88">
        <f t="shared" si="105"/>
        <v>890</v>
      </c>
      <c r="AD380" s="106">
        <v>43866</v>
      </c>
      <c r="AE380" s="131" t="s">
        <v>206</v>
      </c>
      <c r="AF380" s="360" t="s">
        <v>128</v>
      </c>
    </row>
    <row r="381" spans="1:33" x14ac:dyDescent="0.2">
      <c r="P381" s="99" t="s">
        <v>149</v>
      </c>
      <c r="Q381" s="82" t="s">
        <v>150</v>
      </c>
      <c r="R381" s="89">
        <v>1000</v>
      </c>
      <c r="S381" s="89">
        <v>18.75</v>
      </c>
      <c r="T381" s="89"/>
      <c r="U381" s="89"/>
      <c r="V381" s="88">
        <f t="shared" si="104"/>
        <v>1018.75</v>
      </c>
      <c r="W381" s="89">
        <v>10.1875</v>
      </c>
      <c r="X381" s="89">
        <v>0</v>
      </c>
      <c r="Y381" s="89"/>
      <c r="Z381" s="89"/>
      <c r="AA381" s="89"/>
      <c r="AB381" s="89"/>
      <c r="AC381" s="88">
        <f t="shared" si="105"/>
        <v>1008.5625</v>
      </c>
      <c r="AD381" s="106">
        <v>43866</v>
      </c>
      <c r="AE381" s="131" t="s">
        <v>206</v>
      </c>
      <c r="AF381" s="360" t="s">
        <v>128</v>
      </c>
    </row>
    <row r="382" spans="1:33" x14ac:dyDescent="0.2">
      <c r="P382" s="357" t="s">
        <v>25</v>
      </c>
      <c r="Q382" s="84" t="s">
        <v>68</v>
      </c>
      <c r="R382" s="89">
        <v>3675.2</v>
      </c>
      <c r="S382" s="89">
        <v>0</v>
      </c>
      <c r="T382" s="89">
        <v>490</v>
      </c>
      <c r="U382" s="89">
        <v>624</v>
      </c>
      <c r="V382" s="88">
        <f t="shared" ref="V382:V388" si="106">R382+S382+U382</f>
        <v>4299.2</v>
      </c>
      <c r="W382" s="89">
        <v>37.18</v>
      </c>
      <c r="X382" s="89">
        <v>543</v>
      </c>
      <c r="Y382" s="89">
        <v>-155</v>
      </c>
      <c r="Z382" s="89">
        <v>624</v>
      </c>
      <c r="AA382" s="89">
        <v>200.01</v>
      </c>
      <c r="AB382" s="89">
        <v>1125</v>
      </c>
      <c r="AC382" s="88">
        <f t="shared" ref="AC382:AC388" si="107">R382+S382+T382-W382-X382-Y382-Z382-AA382-AB382</f>
        <v>1791.0099999999993</v>
      </c>
      <c r="AD382" s="106">
        <v>43873</v>
      </c>
      <c r="AE382" s="167" t="s">
        <v>207</v>
      </c>
      <c r="AF382" s="360" t="s">
        <v>128</v>
      </c>
    </row>
    <row r="383" spans="1:33" x14ac:dyDescent="0.2">
      <c r="P383" s="99" t="s">
        <v>26</v>
      </c>
      <c r="Q383" s="82" t="s">
        <v>76</v>
      </c>
      <c r="R383" s="89">
        <v>818.8</v>
      </c>
      <c r="S383" s="89">
        <v>0</v>
      </c>
      <c r="T383" s="89">
        <v>50</v>
      </c>
      <c r="U383" s="89"/>
      <c r="V383" s="88">
        <f t="shared" si="106"/>
        <v>818.8</v>
      </c>
      <c r="W383" s="89">
        <v>8.1880000000000006</v>
      </c>
      <c r="X383" s="89"/>
      <c r="Y383" s="89"/>
      <c r="Z383" s="89"/>
      <c r="AA383" s="89">
        <v>58.14</v>
      </c>
      <c r="AB383" s="89">
        <v>100</v>
      </c>
      <c r="AC383" s="88">
        <f t="shared" si="107"/>
        <v>702.47199999999998</v>
      </c>
      <c r="AD383" s="106">
        <v>43873</v>
      </c>
      <c r="AE383" s="167" t="s">
        <v>207</v>
      </c>
      <c r="AF383" s="360" t="s">
        <v>128</v>
      </c>
    </row>
    <row r="384" spans="1:33" x14ac:dyDescent="0.2">
      <c r="P384" s="99" t="s">
        <v>3</v>
      </c>
      <c r="Q384" s="82" t="s">
        <v>77</v>
      </c>
      <c r="R384" s="89">
        <v>1074.8</v>
      </c>
      <c r="S384" s="89">
        <v>0</v>
      </c>
      <c r="T384" s="89">
        <v>50</v>
      </c>
      <c r="U384" s="89"/>
      <c r="V384" s="88">
        <f t="shared" si="106"/>
        <v>1074.8</v>
      </c>
      <c r="W384" s="89">
        <v>10.747999999999999</v>
      </c>
      <c r="X384" s="89">
        <v>0</v>
      </c>
      <c r="Y384" s="89"/>
      <c r="Z384" s="89"/>
      <c r="AA384" s="89">
        <v>76.3</v>
      </c>
      <c r="AB384" s="89"/>
      <c r="AC384" s="88">
        <f t="shared" si="107"/>
        <v>1037.752</v>
      </c>
      <c r="AD384" s="106">
        <v>43873</v>
      </c>
      <c r="AE384" s="167" t="s">
        <v>207</v>
      </c>
      <c r="AF384" s="360" t="s">
        <v>128</v>
      </c>
    </row>
    <row r="385" spans="16:33" x14ac:dyDescent="0.2">
      <c r="P385" s="99" t="s">
        <v>32</v>
      </c>
      <c r="Q385" s="82" t="s">
        <v>78</v>
      </c>
      <c r="R385" s="89">
        <v>954.8</v>
      </c>
      <c r="S385" s="89">
        <v>0</v>
      </c>
      <c r="T385" s="89">
        <v>100</v>
      </c>
      <c r="U385" s="89"/>
      <c r="V385" s="88">
        <f t="shared" si="106"/>
        <v>954.8</v>
      </c>
      <c r="W385" s="89">
        <v>9.548</v>
      </c>
      <c r="X385" s="89">
        <v>0</v>
      </c>
      <c r="Y385" s="89"/>
      <c r="Z385" s="89"/>
      <c r="AA385" s="89">
        <v>67.78</v>
      </c>
      <c r="AB385" s="89"/>
      <c r="AC385" s="88">
        <f t="shared" si="107"/>
        <v>977.47199999999998</v>
      </c>
      <c r="AD385" s="106">
        <v>43873</v>
      </c>
      <c r="AE385" s="167" t="s">
        <v>207</v>
      </c>
      <c r="AF385" s="360" t="s">
        <v>128</v>
      </c>
    </row>
    <row r="386" spans="16:33" x14ac:dyDescent="0.2">
      <c r="P386" s="99" t="s">
        <v>75</v>
      </c>
      <c r="Q386" s="82" t="s">
        <v>79</v>
      </c>
      <c r="R386" s="89">
        <v>800</v>
      </c>
      <c r="S386" s="89">
        <v>0</v>
      </c>
      <c r="T386" s="89"/>
      <c r="U386" s="89"/>
      <c r="V386" s="88">
        <f t="shared" si="106"/>
        <v>800</v>
      </c>
      <c r="W386" s="89">
        <v>8</v>
      </c>
      <c r="X386" s="89"/>
      <c r="Y386" s="89"/>
      <c r="Z386" s="89"/>
      <c r="AA386" s="89"/>
      <c r="AB386" s="89"/>
      <c r="AC386" s="88">
        <f t="shared" si="107"/>
        <v>792</v>
      </c>
      <c r="AD386" s="106">
        <v>43873</v>
      </c>
      <c r="AE386" s="167" t="s">
        <v>207</v>
      </c>
      <c r="AF386" s="360" t="s">
        <v>128</v>
      </c>
    </row>
    <row r="387" spans="16:33" x14ac:dyDescent="0.2">
      <c r="P387" s="99" t="s">
        <v>86</v>
      </c>
      <c r="Q387" s="82" t="s">
        <v>106</v>
      </c>
      <c r="R387" s="89">
        <v>1000</v>
      </c>
      <c r="S387" s="89">
        <v>0</v>
      </c>
      <c r="T387" s="89"/>
      <c r="U387" s="89"/>
      <c r="V387" s="88">
        <f t="shared" si="106"/>
        <v>1000</v>
      </c>
      <c r="W387" s="89">
        <v>10</v>
      </c>
      <c r="X387" s="89"/>
      <c r="Y387" s="89"/>
      <c r="Z387" s="89"/>
      <c r="AA387" s="89"/>
      <c r="AB387" s="89">
        <v>100</v>
      </c>
      <c r="AC387" s="88">
        <f t="shared" si="107"/>
        <v>890</v>
      </c>
      <c r="AD387" s="106">
        <v>43873</v>
      </c>
      <c r="AE387" s="167" t="s">
        <v>207</v>
      </c>
      <c r="AF387" s="360" t="s">
        <v>128</v>
      </c>
    </row>
    <row r="388" spans="16:33" x14ac:dyDescent="0.2">
      <c r="P388" s="99" t="s">
        <v>149</v>
      </c>
      <c r="Q388" s="82" t="s">
        <v>150</v>
      </c>
      <c r="R388" s="89">
        <v>1000</v>
      </c>
      <c r="S388" s="89">
        <v>37.5</v>
      </c>
      <c r="T388" s="89"/>
      <c r="U388" s="89"/>
      <c r="V388" s="88">
        <f t="shared" si="106"/>
        <v>1037.5</v>
      </c>
      <c r="W388" s="89">
        <v>10.375</v>
      </c>
      <c r="X388" s="89">
        <v>0</v>
      </c>
      <c r="Y388" s="89"/>
      <c r="Z388" s="89"/>
      <c r="AA388" s="89"/>
      <c r="AB388" s="89"/>
      <c r="AC388" s="88">
        <f t="shared" si="107"/>
        <v>1027.125</v>
      </c>
      <c r="AD388" s="106">
        <v>43873</v>
      </c>
      <c r="AE388" s="167" t="s">
        <v>207</v>
      </c>
      <c r="AF388" s="360" t="s">
        <v>128</v>
      </c>
    </row>
    <row r="389" spans="16:33" x14ac:dyDescent="0.2">
      <c r="P389" s="357" t="s">
        <v>25</v>
      </c>
      <c r="Q389" s="84" t="s">
        <v>68</v>
      </c>
      <c r="R389" s="89">
        <v>3675.2</v>
      </c>
      <c r="S389" s="89">
        <v>0</v>
      </c>
      <c r="T389" s="89">
        <v>490</v>
      </c>
      <c r="U389" s="89">
        <v>624</v>
      </c>
      <c r="V389" s="88">
        <f t="shared" ref="V389:V395" si="108">R389+S389+U389</f>
        <v>4299.2</v>
      </c>
      <c r="W389" s="89">
        <v>37.18</v>
      </c>
      <c r="X389" s="89">
        <v>543</v>
      </c>
      <c r="Y389" s="89">
        <v>-155</v>
      </c>
      <c r="Z389" s="89">
        <v>624</v>
      </c>
      <c r="AA389" s="89">
        <v>200.01</v>
      </c>
      <c r="AB389" s="89">
        <v>1125</v>
      </c>
      <c r="AC389" s="88">
        <f t="shared" ref="AC389:AC395" si="109">R389+S389+T389-W389-X389-Y389-Z389-AA389-AB389</f>
        <v>1791.0099999999993</v>
      </c>
      <c r="AD389" s="106">
        <v>43880</v>
      </c>
      <c r="AE389" s="134" t="s">
        <v>208</v>
      </c>
      <c r="AF389" s="360" t="s">
        <v>128</v>
      </c>
    </row>
    <row r="390" spans="16:33" x14ac:dyDescent="0.2">
      <c r="P390" s="99" t="s">
        <v>26</v>
      </c>
      <c r="Q390" s="82" t="s">
        <v>76</v>
      </c>
      <c r="R390" s="89">
        <v>818.8</v>
      </c>
      <c r="S390" s="89">
        <v>0</v>
      </c>
      <c r="T390" s="89">
        <v>50</v>
      </c>
      <c r="U390" s="89"/>
      <c r="V390" s="88">
        <f t="shared" si="108"/>
        <v>818.8</v>
      </c>
      <c r="W390" s="89">
        <v>8.1880000000000006</v>
      </c>
      <c r="X390" s="89"/>
      <c r="Y390" s="89"/>
      <c r="Z390" s="89"/>
      <c r="AA390" s="89">
        <v>58.14</v>
      </c>
      <c r="AB390" s="89">
        <v>100</v>
      </c>
      <c r="AC390" s="88">
        <f t="shared" si="109"/>
        <v>702.47199999999998</v>
      </c>
      <c r="AD390" s="106">
        <v>43880</v>
      </c>
      <c r="AE390" s="134" t="s">
        <v>208</v>
      </c>
      <c r="AF390" s="360" t="s">
        <v>128</v>
      </c>
    </row>
    <row r="391" spans="16:33" x14ac:dyDescent="0.2">
      <c r="P391" s="99" t="s">
        <v>3</v>
      </c>
      <c r="Q391" s="82" t="s">
        <v>77</v>
      </c>
      <c r="R391" s="89">
        <v>1074.8</v>
      </c>
      <c r="S391" s="89">
        <v>0</v>
      </c>
      <c r="T391" s="89">
        <v>50</v>
      </c>
      <c r="U391" s="89"/>
      <c r="V391" s="88">
        <f t="shared" si="108"/>
        <v>1074.8</v>
      </c>
      <c r="W391" s="89">
        <v>10.747999999999999</v>
      </c>
      <c r="X391" s="89">
        <v>0</v>
      </c>
      <c r="Y391" s="89"/>
      <c r="Z391" s="89"/>
      <c r="AA391" s="89">
        <v>76.3</v>
      </c>
      <c r="AB391" s="89"/>
      <c r="AC391" s="88">
        <f t="shared" si="109"/>
        <v>1037.752</v>
      </c>
      <c r="AD391" s="106">
        <v>43880</v>
      </c>
      <c r="AE391" s="134" t="s">
        <v>208</v>
      </c>
      <c r="AF391" s="360" t="s">
        <v>128</v>
      </c>
    </row>
    <row r="392" spans="16:33" x14ac:dyDescent="0.2">
      <c r="P392" s="99" t="s">
        <v>32</v>
      </c>
      <c r="Q392" s="82" t="s">
        <v>78</v>
      </c>
      <c r="R392" s="89">
        <v>954.8</v>
      </c>
      <c r="S392" s="89">
        <v>0</v>
      </c>
      <c r="T392" s="89">
        <v>100</v>
      </c>
      <c r="U392" s="89"/>
      <c r="V392" s="88">
        <f t="shared" si="108"/>
        <v>954.8</v>
      </c>
      <c r="W392" s="89">
        <v>9.548</v>
      </c>
      <c r="X392" s="89">
        <v>0</v>
      </c>
      <c r="Y392" s="89"/>
      <c r="Z392" s="89"/>
      <c r="AA392" s="89">
        <v>67.78</v>
      </c>
      <c r="AB392" s="89"/>
      <c r="AC392" s="88">
        <f t="shared" si="109"/>
        <v>977.47199999999998</v>
      </c>
      <c r="AD392" s="106">
        <v>43880</v>
      </c>
      <c r="AE392" s="134" t="s">
        <v>208</v>
      </c>
      <c r="AF392" s="360" t="s">
        <v>128</v>
      </c>
    </row>
    <row r="393" spans="16:33" x14ac:dyDescent="0.2">
      <c r="P393" s="99" t="s">
        <v>75</v>
      </c>
      <c r="Q393" s="82" t="s">
        <v>79</v>
      </c>
      <c r="R393" s="89">
        <v>800</v>
      </c>
      <c r="S393" s="89">
        <v>0</v>
      </c>
      <c r="T393" s="89"/>
      <c r="U393" s="89"/>
      <c r="V393" s="88">
        <f t="shared" si="108"/>
        <v>800</v>
      </c>
      <c r="W393" s="89">
        <v>8</v>
      </c>
      <c r="X393" s="89"/>
      <c r="Y393" s="89"/>
      <c r="Z393" s="89"/>
      <c r="AA393" s="89"/>
      <c r="AB393" s="89"/>
      <c r="AC393" s="88">
        <f t="shared" si="109"/>
        <v>792</v>
      </c>
      <c r="AD393" s="106">
        <v>43880</v>
      </c>
      <c r="AE393" s="134" t="s">
        <v>208</v>
      </c>
      <c r="AF393" s="360" t="s">
        <v>128</v>
      </c>
    </row>
    <row r="394" spans="16:33" x14ac:dyDescent="0.2">
      <c r="P394" s="99" t="s">
        <v>86</v>
      </c>
      <c r="Q394" s="82" t="s">
        <v>106</v>
      </c>
      <c r="R394" s="89">
        <v>1000</v>
      </c>
      <c r="S394" s="89">
        <v>0</v>
      </c>
      <c r="T394" s="89"/>
      <c r="U394" s="89"/>
      <c r="V394" s="88">
        <f t="shared" si="108"/>
        <v>1000</v>
      </c>
      <c r="W394" s="89">
        <v>10</v>
      </c>
      <c r="X394" s="89"/>
      <c r="Y394" s="89"/>
      <c r="Z394" s="89"/>
      <c r="AA394" s="89"/>
      <c r="AB394" s="89">
        <v>100</v>
      </c>
      <c r="AC394" s="88">
        <f t="shared" si="109"/>
        <v>890</v>
      </c>
      <c r="AD394" s="106">
        <v>43880</v>
      </c>
      <c r="AE394" s="134" t="s">
        <v>208</v>
      </c>
      <c r="AF394" s="360" t="s">
        <v>128</v>
      </c>
    </row>
    <row r="395" spans="16:33" x14ac:dyDescent="0.2">
      <c r="P395" s="99" t="s">
        <v>149</v>
      </c>
      <c r="Q395" s="82" t="s">
        <v>150</v>
      </c>
      <c r="R395" s="89">
        <v>1000</v>
      </c>
      <c r="S395" s="89">
        <v>0</v>
      </c>
      <c r="T395" s="89"/>
      <c r="U395" s="89"/>
      <c r="V395" s="88">
        <f t="shared" si="108"/>
        <v>1000</v>
      </c>
      <c r="W395" s="89">
        <v>10</v>
      </c>
      <c r="X395" s="89">
        <v>0</v>
      </c>
      <c r="Y395" s="89"/>
      <c r="Z395" s="89"/>
      <c r="AA395" s="89"/>
      <c r="AB395" s="89"/>
      <c r="AC395" s="88">
        <f t="shared" si="109"/>
        <v>990</v>
      </c>
      <c r="AD395" s="106">
        <v>43880</v>
      </c>
      <c r="AE395" s="134" t="s">
        <v>208</v>
      </c>
      <c r="AF395" s="360" t="s">
        <v>128</v>
      </c>
    </row>
    <row r="396" spans="16:33" x14ac:dyDescent="0.2">
      <c r="P396" s="357" t="s">
        <v>25</v>
      </c>
      <c r="Q396" s="84" t="s">
        <v>68</v>
      </c>
      <c r="R396" s="89">
        <v>3675.2</v>
      </c>
      <c r="S396" s="89">
        <v>0</v>
      </c>
      <c r="T396" s="89">
        <v>490</v>
      </c>
      <c r="U396" s="89">
        <v>624</v>
      </c>
      <c r="V396" s="88">
        <f t="shared" ref="V396:V402" si="110">R396+S396+U396</f>
        <v>4299.2</v>
      </c>
      <c r="W396" s="89">
        <v>37.18</v>
      </c>
      <c r="X396" s="89">
        <v>543</v>
      </c>
      <c r="Y396" s="89">
        <v>-155</v>
      </c>
      <c r="Z396" s="89">
        <v>624</v>
      </c>
      <c r="AA396" s="89">
        <v>200.01</v>
      </c>
      <c r="AB396" s="89">
        <v>1125</v>
      </c>
      <c r="AC396" s="88">
        <f t="shared" ref="AC396:AC402" si="111">R396+S396+T396-W396-X396-Y396-Z396-AA396-AB396</f>
        <v>1791.0099999999993</v>
      </c>
      <c r="AD396" s="106">
        <v>43887</v>
      </c>
      <c r="AE396" s="165" t="s">
        <v>209</v>
      </c>
      <c r="AF396" s="360" t="s">
        <v>128</v>
      </c>
      <c r="AG396" s="90">
        <f t="shared" ref="AG396:AG402" si="112">R396+R389+R382+R375</f>
        <v>14700.8</v>
      </c>
    </row>
    <row r="397" spans="16:33" x14ac:dyDescent="0.2">
      <c r="P397" s="99" t="s">
        <v>26</v>
      </c>
      <c r="Q397" s="82" t="s">
        <v>76</v>
      </c>
      <c r="R397" s="89">
        <v>818.8</v>
      </c>
      <c r="S397" s="89">
        <v>0</v>
      </c>
      <c r="T397" s="89">
        <v>50</v>
      </c>
      <c r="U397" s="89"/>
      <c r="V397" s="88">
        <f t="shared" si="110"/>
        <v>818.8</v>
      </c>
      <c r="W397" s="89">
        <v>8.1880000000000006</v>
      </c>
      <c r="X397" s="89"/>
      <c r="Y397" s="89"/>
      <c r="Z397" s="89"/>
      <c r="AA397" s="89">
        <v>58.14</v>
      </c>
      <c r="AB397" s="89">
        <v>100</v>
      </c>
      <c r="AC397" s="88">
        <f t="shared" si="111"/>
        <v>702.47199999999998</v>
      </c>
      <c r="AD397" s="106">
        <v>43887</v>
      </c>
      <c r="AE397" s="165" t="s">
        <v>209</v>
      </c>
      <c r="AF397" s="360" t="s">
        <v>128</v>
      </c>
      <c r="AG397" s="90">
        <f t="shared" si="112"/>
        <v>3275.2</v>
      </c>
    </row>
    <row r="398" spans="16:33" x14ac:dyDescent="0.2">
      <c r="P398" s="99" t="s">
        <v>3</v>
      </c>
      <c r="Q398" s="82" t="s">
        <v>77</v>
      </c>
      <c r="R398" s="89">
        <v>1074.8</v>
      </c>
      <c r="S398" s="89">
        <v>0</v>
      </c>
      <c r="T398" s="89">
        <v>50</v>
      </c>
      <c r="U398" s="89"/>
      <c r="V398" s="88">
        <f t="shared" si="110"/>
        <v>1074.8</v>
      </c>
      <c r="W398" s="89">
        <v>10.747999999999999</v>
      </c>
      <c r="X398" s="89">
        <v>0</v>
      </c>
      <c r="Y398" s="89"/>
      <c r="Z398" s="89"/>
      <c r="AA398" s="89">
        <v>76.3</v>
      </c>
      <c r="AB398" s="89"/>
      <c r="AC398" s="88">
        <f t="shared" si="111"/>
        <v>1037.752</v>
      </c>
      <c r="AD398" s="106">
        <v>43887</v>
      </c>
      <c r="AE398" s="165" t="s">
        <v>209</v>
      </c>
      <c r="AF398" s="360" t="s">
        <v>128</v>
      </c>
      <c r="AG398" s="90">
        <f t="shared" si="112"/>
        <v>4299.2</v>
      </c>
    </row>
    <row r="399" spans="16:33" x14ac:dyDescent="0.2">
      <c r="P399" s="99" t="s">
        <v>32</v>
      </c>
      <c r="Q399" s="82" t="s">
        <v>78</v>
      </c>
      <c r="R399" s="89">
        <v>954.8</v>
      </c>
      <c r="S399" s="89">
        <v>0</v>
      </c>
      <c r="T399" s="89">
        <v>100</v>
      </c>
      <c r="U399" s="89"/>
      <c r="V399" s="88">
        <f t="shared" si="110"/>
        <v>954.8</v>
      </c>
      <c r="W399" s="89">
        <v>9.548</v>
      </c>
      <c r="X399" s="89">
        <v>0</v>
      </c>
      <c r="Y399" s="89"/>
      <c r="Z399" s="89"/>
      <c r="AA399" s="89">
        <v>67.78</v>
      </c>
      <c r="AB399" s="89"/>
      <c r="AC399" s="88">
        <f t="shared" si="111"/>
        <v>977.47199999999998</v>
      </c>
      <c r="AD399" s="106">
        <v>43887</v>
      </c>
      <c r="AE399" s="165" t="s">
        <v>209</v>
      </c>
      <c r="AF399" s="360" t="s">
        <v>128</v>
      </c>
      <c r="AG399" s="90">
        <f t="shared" si="112"/>
        <v>3819.2</v>
      </c>
    </row>
    <row r="400" spans="16:33" x14ac:dyDescent="0.2">
      <c r="P400" s="99" t="s">
        <v>75</v>
      </c>
      <c r="Q400" s="82" t="s">
        <v>79</v>
      </c>
      <c r="R400" s="89">
        <v>800</v>
      </c>
      <c r="S400" s="89">
        <v>0</v>
      </c>
      <c r="T400" s="89"/>
      <c r="U400" s="89"/>
      <c r="V400" s="88">
        <f t="shared" si="110"/>
        <v>800</v>
      </c>
      <c r="W400" s="89">
        <v>8</v>
      </c>
      <c r="X400" s="89"/>
      <c r="Y400" s="89"/>
      <c r="Z400" s="89"/>
      <c r="AA400" s="89"/>
      <c r="AB400" s="89"/>
      <c r="AC400" s="88">
        <f t="shared" si="111"/>
        <v>792</v>
      </c>
      <c r="AD400" s="106">
        <v>43887</v>
      </c>
      <c r="AE400" s="165" t="s">
        <v>209</v>
      </c>
      <c r="AF400" s="360" t="s">
        <v>128</v>
      </c>
      <c r="AG400" s="90">
        <f t="shared" si="112"/>
        <v>3200</v>
      </c>
    </row>
    <row r="401" spans="1:33" x14ac:dyDescent="0.2">
      <c r="O401" s="180"/>
      <c r="P401" s="99" t="s">
        <v>86</v>
      </c>
      <c r="Q401" s="82" t="s">
        <v>106</v>
      </c>
      <c r="R401" s="89">
        <v>1000</v>
      </c>
      <c r="S401" s="89">
        <v>0</v>
      </c>
      <c r="T401" s="89"/>
      <c r="U401" s="89"/>
      <c r="V401" s="88">
        <f t="shared" si="110"/>
        <v>1000</v>
      </c>
      <c r="W401" s="89">
        <v>10</v>
      </c>
      <c r="X401" s="89"/>
      <c r="Y401" s="89"/>
      <c r="Z401" s="89"/>
      <c r="AA401" s="89"/>
      <c r="AB401" s="89">
        <v>100</v>
      </c>
      <c r="AC401" s="88">
        <f t="shared" si="111"/>
        <v>890</v>
      </c>
      <c r="AD401" s="106">
        <v>43887</v>
      </c>
      <c r="AE401" s="165" t="s">
        <v>209</v>
      </c>
      <c r="AF401" s="360" t="s">
        <v>128</v>
      </c>
      <c r="AG401" s="90">
        <f t="shared" si="112"/>
        <v>4000</v>
      </c>
    </row>
    <row r="402" spans="1:33" x14ac:dyDescent="0.2">
      <c r="O402" s="180"/>
      <c r="P402" s="99" t="s">
        <v>149</v>
      </c>
      <c r="Q402" s="82" t="s">
        <v>150</v>
      </c>
      <c r="R402" s="89">
        <v>1000</v>
      </c>
      <c r="S402" s="89">
        <v>28.13</v>
      </c>
      <c r="T402" s="89"/>
      <c r="U402" s="89"/>
      <c r="V402" s="88">
        <f t="shared" si="110"/>
        <v>1028.1300000000001</v>
      </c>
      <c r="W402" s="89">
        <v>10.28</v>
      </c>
      <c r="X402" s="89">
        <v>0</v>
      </c>
      <c r="Y402" s="89"/>
      <c r="Z402" s="89"/>
      <c r="AA402" s="89"/>
      <c r="AB402" s="89"/>
      <c r="AC402" s="88">
        <f t="shared" si="111"/>
        <v>1017.8500000000001</v>
      </c>
      <c r="AD402" s="106">
        <v>43887</v>
      </c>
      <c r="AE402" s="165" t="s">
        <v>209</v>
      </c>
      <c r="AF402" s="360" t="s">
        <v>128</v>
      </c>
      <c r="AG402" s="90">
        <f t="shared" si="112"/>
        <v>4000</v>
      </c>
    </row>
    <row r="403" spans="1:33" s="180" customFormat="1" x14ac:dyDescent="0.2">
      <c r="A403" s="345"/>
      <c r="C403" s="321"/>
      <c r="D403" s="321"/>
      <c r="E403" s="321"/>
      <c r="F403" s="321"/>
      <c r="G403" s="321"/>
      <c r="H403" s="321"/>
      <c r="I403" s="321"/>
      <c r="J403" s="321"/>
      <c r="K403" s="321"/>
      <c r="L403" s="321"/>
      <c r="M403" s="321"/>
      <c r="N403" s="321"/>
      <c r="P403" s="361" t="s">
        <v>8</v>
      </c>
      <c r="Q403" s="183" t="s">
        <v>111</v>
      </c>
      <c r="R403" s="176">
        <v>13708</v>
      </c>
      <c r="S403" s="176"/>
      <c r="T403" s="176"/>
      <c r="U403" s="176">
        <v>5624</v>
      </c>
      <c r="V403" s="88">
        <f t="shared" ref="V403:V405" si="113">R403+S403+U403</f>
        <v>19332</v>
      </c>
      <c r="W403" s="176">
        <v>0</v>
      </c>
      <c r="X403" s="176">
        <v>2537</v>
      </c>
      <c r="Y403" s="176">
        <v>-829</v>
      </c>
      <c r="Z403" s="176"/>
      <c r="AA403" s="176"/>
      <c r="AB403" s="176"/>
      <c r="AC403" s="88">
        <f t="shared" ref="AC403:AC405" si="114">R403+S403+T403-W403-X403-Y403-Z403-AA403-AB403</f>
        <v>12000</v>
      </c>
      <c r="AD403" s="193"/>
      <c r="AE403" s="194"/>
      <c r="AF403" s="362"/>
      <c r="AG403" s="321"/>
    </row>
    <row r="404" spans="1:33" s="180" customFormat="1" x14ac:dyDescent="0.2">
      <c r="A404" s="345"/>
      <c r="C404" s="321"/>
      <c r="D404" s="321"/>
      <c r="E404" s="321"/>
      <c r="F404" s="321"/>
      <c r="G404" s="321"/>
      <c r="H404" s="321"/>
      <c r="I404" s="321"/>
      <c r="J404" s="321"/>
      <c r="K404" s="321"/>
      <c r="L404" s="321"/>
      <c r="M404" s="321"/>
      <c r="N404" s="321"/>
      <c r="O404" s="78"/>
      <c r="P404" s="361" t="s">
        <v>27</v>
      </c>
      <c r="Q404" s="183" t="s">
        <v>112</v>
      </c>
      <c r="R404" s="181">
        <v>13380</v>
      </c>
      <c r="S404" s="181"/>
      <c r="T404" s="181"/>
      <c r="U404" s="181">
        <v>2615</v>
      </c>
      <c r="V404" s="89">
        <f t="shared" si="113"/>
        <v>15995</v>
      </c>
      <c r="W404" s="181">
        <v>0</v>
      </c>
      <c r="X404" s="181">
        <v>1690</v>
      </c>
      <c r="Y404" s="181">
        <v>-310</v>
      </c>
      <c r="Z404" s="181"/>
      <c r="AA404" s="181"/>
      <c r="AB404" s="181"/>
      <c r="AC404" s="89">
        <f t="shared" si="114"/>
        <v>12000</v>
      </c>
      <c r="AD404" s="193"/>
      <c r="AE404" s="194"/>
      <c r="AF404" s="362"/>
      <c r="AG404" s="321"/>
    </row>
    <row r="405" spans="1:33" s="180" customFormat="1" ht="13.5" thickBot="1" x14ac:dyDescent="0.25">
      <c r="A405" s="345"/>
      <c r="C405" s="321"/>
      <c r="D405" s="321"/>
      <c r="E405" s="321"/>
      <c r="F405" s="321"/>
      <c r="G405" s="321"/>
      <c r="H405" s="321"/>
      <c r="I405" s="321"/>
      <c r="J405" s="321"/>
      <c r="K405" s="321"/>
      <c r="L405" s="321"/>
      <c r="M405" s="321"/>
      <c r="N405" s="321"/>
      <c r="O405" s="78"/>
      <c r="P405" s="363" t="s">
        <v>6</v>
      </c>
      <c r="Q405" s="364" t="s">
        <v>113</v>
      </c>
      <c r="R405" s="365">
        <v>12747.72</v>
      </c>
      <c r="S405" s="365"/>
      <c r="T405" s="365"/>
      <c r="U405" s="365">
        <v>2812</v>
      </c>
      <c r="V405" s="150">
        <f t="shared" si="113"/>
        <v>15559.72</v>
      </c>
      <c r="W405" s="365">
        <v>148.72</v>
      </c>
      <c r="X405" s="365">
        <v>1616</v>
      </c>
      <c r="Y405" s="365">
        <v>-829</v>
      </c>
      <c r="Z405" s="365">
        <v>2812</v>
      </c>
      <c r="AA405" s="365"/>
      <c r="AB405" s="365"/>
      <c r="AC405" s="150">
        <f t="shared" si="114"/>
        <v>9000</v>
      </c>
      <c r="AD405" s="405"/>
      <c r="AE405" s="413"/>
      <c r="AF405" s="366"/>
      <c r="AG405" s="321"/>
    </row>
    <row r="406" spans="1:33" ht="13.5" thickBot="1" x14ac:dyDescent="0.25">
      <c r="R406" s="420">
        <f t="shared" ref="R406:AC406" si="115">SUM(R4:R405)</f>
        <v>985628.29000000132</v>
      </c>
      <c r="S406" s="420">
        <f t="shared" si="115"/>
        <v>93261.350000000035</v>
      </c>
      <c r="T406" s="420">
        <f t="shared" si="115"/>
        <v>31850</v>
      </c>
      <c r="U406" s="420">
        <f t="shared" si="115"/>
        <v>149686</v>
      </c>
      <c r="V406" s="420">
        <f t="shared" si="115"/>
        <v>1187872.5100000012</v>
      </c>
      <c r="W406" s="420">
        <f t="shared" si="115"/>
        <v>6856.1312999999936</v>
      </c>
      <c r="X406" s="420">
        <f t="shared" si="115"/>
        <v>96400</v>
      </c>
      <c r="Y406" s="420">
        <f t="shared" si="115"/>
        <v>-31056</v>
      </c>
      <c r="Z406" s="420">
        <f t="shared" si="115"/>
        <v>55007</v>
      </c>
      <c r="AA406" s="420">
        <f t="shared" si="115"/>
        <v>20309.299999999963</v>
      </c>
      <c r="AB406" s="420">
        <f t="shared" si="115"/>
        <v>66840</v>
      </c>
      <c r="AC406" s="420">
        <f t="shared" si="115"/>
        <v>896383.20869999786</v>
      </c>
    </row>
    <row r="407" spans="1:33" ht="13.5" thickTop="1" x14ac:dyDescent="0.2"/>
  </sheetData>
  <mergeCells count="6">
    <mergeCell ref="B1:N1"/>
    <mergeCell ref="P1:AF2"/>
    <mergeCell ref="B37:C37"/>
    <mergeCell ref="A23:D23"/>
    <mergeCell ref="D37:D38"/>
    <mergeCell ref="B38:C38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96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Normal="100" workbookViewId="0">
      <selection activeCell="I24" sqref="I24"/>
    </sheetView>
  </sheetViews>
  <sheetFormatPr defaultColWidth="8.85546875" defaultRowHeight="12.75" x14ac:dyDescent="0.2"/>
  <cols>
    <col min="1" max="1" width="7.28515625" style="5" customWidth="1"/>
    <col min="2" max="2" width="12" style="11" customWidth="1"/>
    <col min="3" max="3" width="14.7109375" style="5" customWidth="1"/>
    <col min="4" max="4" width="13.7109375" style="5" customWidth="1"/>
    <col min="5" max="5" width="10.42578125" style="5" customWidth="1"/>
    <col min="6" max="6" width="13.7109375" style="5" customWidth="1"/>
    <col min="7" max="7" width="8.28515625" style="5" customWidth="1"/>
    <col min="8" max="8" width="7.85546875" style="276" customWidth="1"/>
    <col min="9" max="9" width="8.28515625" style="45" customWidth="1"/>
    <col min="10" max="10" width="14.85546875" style="5" customWidth="1"/>
    <col min="11" max="11" width="10.7109375" style="5" customWidth="1"/>
    <col min="12" max="12" width="13.7109375" style="5" customWidth="1"/>
    <col min="13" max="13" width="3.28515625" style="5" customWidth="1"/>
    <col min="14" max="14" width="13.7109375" style="45" customWidth="1"/>
    <col min="15" max="15" width="8.85546875" style="5"/>
    <col min="16" max="16" width="13.85546875" style="5" customWidth="1"/>
    <col min="17" max="16384" width="8.85546875" style="5"/>
  </cols>
  <sheetData>
    <row r="1" spans="1:14" s="1" customFormat="1" ht="24" customHeight="1" x14ac:dyDescent="0.2">
      <c r="A1" s="426" t="s">
        <v>225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</row>
    <row r="2" spans="1:14" s="24" customFormat="1" ht="6.75" customHeight="1" x14ac:dyDescent="0.2">
      <c r="B2" s="25"/>
      <c r="C2" s="26"/>
      <c r="D2" s="26"/>
      <c r="E2" s="26"/>
      <c r="F2" s="26"/>
      <c r="G2" s="27"/>
      <c r="H2" s="271"/>
      <c r="I2" s="53"/>
      <c r="J2" s="27"/>
      <c r="K2" s="27"/>
      <c r="L2" s="27"/>
      <c r="M2" s="27"/>
      <c r="N2" s="266"/>
    </row>
    <row r="3" spans="1:14" s="255" customFormat="1" ht="13.5" customHeight="1" x14ac:dyDescent="0.2">
      <c r="B3" s="256"/>
      <c r="C3" s="257"/>
      <c r="D3" s="257"/>
      <c r="E3" s="257"/>
      <c r="F3" s="257"/>
      <c r="G3" s="258"/>
      <c r="H3" s="272"/>
      <c r="I3" s="259"/>
      <c r="J3" s="258"/>
      <c r="K3" s="258"/>
      <c r="L3" s="258"/>
      <c r="M3" s="258"/>
      <c r="N3" s="267"/>
    </row>
    <row r="4" spans="1:14" s="287" customFormat="1" ht="36.75" thickBot="1" x14ac:dyDescent="0.25">
      <c r="A4" s="284" t="s">
        <v>69</v>
      </c>
      <c r="B4" s="487" t="s">
        <v>215</v>
      </c>
      <c r="C4" s="487"/>
      <c r="D4" s="284" t="s">
        <v>214</v>
      </c>
      <c r="E4" s="295" t="s">
        <v>224</v>
      </c>
      <c r="F4" s="284" t="s">
        <v>220</v>
      </c>
      <c r="G4" s="285" t="s">
        <v>218</v>
      </c>
      <c r="H4" s="286" t="s">
        <v>216</v>
      </c>
      <c r="I4" s="287" t="s">
        <v>219</v>
      </c>
      <c r="J4" s="287" t="s">
        <v>217</v>
      </c>
      <c r="K4" s="295" t="s">
        <v>224</v>
      </c>
      <c r="L4" s="287" t="s">
        <v>221</v>
      </c>
      <c r="N4" s="285" t="s">
        <v>222</v>
      </c>
    </row>
    <row r="5" spans="1:14" x14ac:dyDescent="0.2">
      <c r="A5" s="279" t="s">
        <v>25</v>
      </c>
      <c r="B5" s="280" t="s">
        <v>13</v>
      </c>
      <c r="C5" s="291"/>
      <c r="D5" s="248">
        <f>1790.45</f>
        <v>1790.45</v>
      </c>
      <c r="E5" s="260">
        <f>D5+1125</f>
        <v>2915.45</v>
      </c>
      <c r="F5" s="265">
        <f>(D5+1125)*4</f>
        <v>11661.8</v>
      </c>
      <c r="G5" s="262">
        <v>86.88</v>
      </c>
      <c r="H5" s="273">
        <f t="shared" ref="H5:H11" si="0">(I5-G5)/G5*100</f>
        <v>6.998158379373848</v>
      </c>
      <c r="I5" s="289">
        <v>92.96</v>
      </c>
      <c r="J5" s="263">
        <v>1980.21</v>
      </c>
      <c r="K5" s="294">
        <f>J5+1125</f>
        <v>3105.21</v>
      </c>
      <c r="L5" s="264">
        <f>(K5)*4</f>
        <v>12420.84</v>
      </c>
      <c r="N5" s="263">
        <f t="shared" ref="N5:N11" si="1">L5-F5</f>
        <v>759.04000000000087</v>
      </c>
    </row>
    <row r="6" spans="1:14" x14ac:dyDescent="0.2">
      <c r="A6" s="279" t="s">
        <v>26</v>
      </c>
      <c r="B6" s="280" t="s">
        <v>24</v>
      </c>
      <c r="C6" s="291"/>
      <c r="D6" s="250">
        <v>802.47</v>
      </c>
      <c r="E6" s="261"/>
      <c r="F6" s="265">
        <f t="shared" ref="F6:F11" si="2">D6*4</f>
        <v>3209.88</v>
      </c>
      <c r="G6" s="262">
        <v>20.47</v>
      </c>
      <c r="H6" s="273">
        <f t="shared" si="0"/>
        <v>22.129946262823651</v>
      </c>
      <c r="I6" s="281">
        <v>25</v>
      </c>
      <c r="J6" s="263">
        <v>981.86</v>
      </c>
      <c r="K6" s="263"/>
      <c r="L6" s="264">
        <f t="shared" ref="L6:L11" si="3">J6*4</f>
        <v>3927.44</v>
      </c>
      <c r="N6" s="263">
        <f t="shared" si="1"/>
        <v>717.56</v>
      </c>
    </row>
    <row r="7" spans="1:14" x14ac:dyDescent="0.2">
      <c r="A7" s="279" t="s">
        <v>3</v>
      </c>
      <c r="B7" s="280" t="s">
        <v>12</v>
      </c>
      <c r="C7" s="291"/>
      <c r="D7" s="250">
        <v>1037.75</v>
      </c>
      <c r="E7" s="261"/>
      <c r="F7" s="265">
        <f t="shared" si="2"/>
        <v>4151</v>
      </c>
      <c r="G7" s="262">
        <v>26.87</v>
      </c>
      <c r="H7" s="273">
        <f t="shared" si="0"/>
        <v>22.813546706363972</v>
      </c>
      <c r="I7" s="281">
        <v>33</v>
      </c>
      <c r="J7" s="263">
        <v>1280.5</v>
      </c>
      <c r="K7" s="263"/>
      <c r="L7" s="264">
        <f t="shared" si="3"/>
        <v>5122</v>
      </c>
      <c r="N7" s="263">
        <f t="shared" si="1"/>
        <v>971</v>
      </c>
    </row>
    <row r="8" spans="1:14" x14ac:dyDescent="0.2">
      <c r="A8" s="279" t="s">
        <v>32</v>
      </c>
      <c r="B8" s="280" t="s">
        <v>11</v>
      </c>
      <c r="C8" s="291"/>
      <c r="D8" s="250">
        <v>977.47</v>
      </c>
      <c r="E8" s="261"/>
      <c r="F8" s="265">
        <f t="shared" si="2"/>
        <v>3909.88</v>
      </c>
      <c r="G8" s="263">
        <v>23.87</v>
      </c>
      <c r="H8" s="273">
        <f t="shared" si="0"/>
        <v>25.680770842061158</v>
      </c>
      <c r="I8" s="281">
        <v>30</v>
      </c>
      <c r="J8" s="263">
        <v>1220.22</v>
      </c>
      <c r="K8" s="263"/>
      <c r="L8" s="264">
        <f t="shared" si="3"/>
        <v>4880.88</v>
      </c>
      <c r="N8" s="263">
        <f t="shared" si="1"/>
        <v>971</v>
      </c>
    </row>
    <row r="9" spans="1:14" x14ac:dyDescent="0.2">
      <c r="A9" s="279" t="s">
        <v>75</v>
      </c>
      <c r="B9" s="280" t="s">
        <v>31</v>
      </c>
      <c r="C9" s="291"/>
      <c r="D9" s="250">
        <v>792</v>
      </c>
      <c r="E9" s="261"/>
      <c r="F9" s="265">
        <f t="shared" si="2"/>
        <v>3168</v>
      </c>
      <c r="G9" s="263">
        <v>20</v>
      </c>
      <c r="H9" s="273">
        <f t="shared" si="0"/>
        <v>25</v>
      </c>
      <c r="I9" s="290">
        <v>25</v>
      </c>
      <c r="J9" s="263">
        <v>990</v>
      </c>
      <c r="K9" s="263"/>
      <c r="L9" s="264">
        <f t="shared" si="3"/>
        <v>3960</v>
      </c>
      <c r="M9" s="253"/>
      <c r="N9" s="263">
        <f t="shared" si="1"/>
        <v>792</v>
      </c>
    </row>
    <row r="10" spans="1:14" x14ac:dyDescent="0.2">
      <c r="A10" s="279" t="s">
        <v>86</v>
      </c>
      <c r="B10" s="280" t="s">
        <v>87</v>
      </c>
      <c r="C10" s="291"/>
      <c r="D10" s="250">
        <v>990</v>
      </c>
      <c r="E10" s="261"/>
      <c r="F10" s="265">
        <f t="shared" si="2"/>
        <v>3960</v>
      </c>
      <c r="G10" s="263">
        <v>25</v>
      </c>
      <c r="H10" s="273">
        <f t="shared" si="0"/>
        <v>20</v>
      </c>
      <c r="I10" s="290">
        <v>30</v>
      </c>
      <c r="J10" s="263">
        <v>1188</v>
      </c>
      <c r="K10" s="263"/>
      <c r="L10" s="264">
        <f t="shared" si="3"/>
        <v>4752</v>
      </c>
      <c r="M10" s="253"/>
      <c r="N10" s="263">
        <f t="shared" si="1"/>
        <v>792</v>
      </c>
    </row>
    <row r="11" spans="1:14" ht="12.75" customHeight="1" thickBot="1" x14ac:dyDescent="0.25">
      <c r="A11" s="279" t="s">
        <v>149</v>
      </c>
      <c r="B11" s="280" t="s">
        <v>157</v>
      </c>
      <c r="C11" s="291"/>
      <c r="D11" s="292">
        <v>990</v>
      </c>
      <c r="E11" s="296"/>
      <c r="F11" s="265">
        <f t="shared" si="2"/>
        <v>3960</v>
      </c>
      <c r="G11" s="263">
        <v>25</v>
      </c>
      <c r="H11" s="273">
        <f t="shared" si="0"/>
        <v>20</v>
      </c>
      <c r="I11" s="290">
        <v>30</v>
      </c>
      <c r="J11" s="263">
        <v>1188</v>
      </c>
      <c r="K11" s="263"/>
      <c r="L11" s="264">
        <f t="shared" si="3"/>
        <v>4752</v>
      </c>
      <c r="M11" s="187"/>
      <c r="N11" s="277">
        <f t="shared" si="1"/>
        <v>792</v>
      </c>
    </row>
    <row r="12" spans="1:14" ht="13.5" thickBot="1" x14ac:dyDescent="0.25">
      <c r="A12" s="10"/>
      <c r="B12" s="28" t="s">
        <v>99</v>
      </c>
      <c r="C12" s="28"/>
      <c r="D12" s="293">
        <f>SUM(D5:D11)</f>
        <v>7380.14</v>
      </c>
      <c r="E12" s="52">
        <f>D12+1125</f>
        <v>8505.14</v>
      </c>
      <c r="F12" s="281">
        <f>SUM(F5:F11)</f>
        <v>34020.559999999998</v>
      </c>
      <c r="G12" s="45"/>
      <c r="H12" s="274"/>
      <c r="I12" s="5"/>
      <c r="J12" s="263">
        <f>SUM(J5:J11)</f>
        <v>8828.7900000000009</v>
      </c>
      <c r="K12" s="277">
        <f>J12+1125</f>
        <v>9953.7900000000009</v>
      </c>
      <c r="L12" s="263">
        <f>SUM(L5:L11)</f>
        <v>39815.160000000003</v>
      </c>
      <c r="N12" s="293">
        <f>SUM(N5:N11)</f>
        <v>5794.6</v>
      </c>
    </row>
    <row r="13" spans="1:14" x14ac:dyDescent="0.2">
      <c r="A13" s="10"/>
      <c r="B13" s="28"/>
      <c r="C13" s="28"/>
      <c r="D13" s="52"/>
      <c r="E13" s="52"/>
      <c r="F13" s="52"/>
      <c r="G13" s="45"/>
      <c r="H13" s="274"/>
      <c r="I13" s="5"/>
    </row>
    <row r="14" spans="1:14" s="6" customFormat="1" ht="13.15" customHeight="1" x14ac:dyDescent="0.2">
      <c r="A14" s="14" t="s">
        <v>6</v>
      </c>
      <c r="B14" s="15" t="s">
        <v>211</v>
      </c>
      <c r="C14" s="15"/>
      <c r="D14" s="31"/>
      <c r="E14" s="31"/>
      <c r="F14" s="31">
        <v>9000</v>
      </c>
      <c r="G14" s="43"/>
      <c r="H14" s="269"/>
      <c r="I14" s="14"/>
      <c r="J14" s="15"/>
      <c r="K14" s="15"/>
      <c r="L14" s="31">
        <v>10000</v>
      </c>
      <c r="M14" s="51"/>
      <c r="N14" s="268">
        <f>L14-F14</f>
        <v>1000</v>
      </c>
    </row>
    <row r="15" spans="1:14" s="6" customFormat="1" ht="13.15" customHeight="1" x14ac:dyDescent="0.2">
      <c r="A15" s="14" t="s">
        <v>8</v>
      </c>
      <c r="B15" s="15" t="s">
        <v>212</v>
      </c>
      <c r="C15" s="15"/>
      <c r="D15" s="31"/>
      <c r="E15" s="31"/>
      <c r="F15" s="31">
        <v>12000</v>
      </c>
      <c r="G15" s="43"/>
      <c r="H15" s="269"/>
      <c r="I15" s="14"/>
      <c r="J15" s="15"/>
      <c r="K15" s="15"/>
      <c r="L15" s="31">
        <v>14000</v>
      </c>
      <c r="M15" s="51"/>
      <c r="N15" s="268">
        <f>L15-F15</f>
        <v>2000</v>
      </c>
    </row>
    <row r="16" spans="1:14" s="6" customFormat="1" ht="13.15" customHeight="1" thickBot="1" x14ac:dyDescent="0.25">
      <c r="A16" s="14" t="s">
        <v>27</v>
      </c>
      <c r="B16" s="15" t="s">
        <v>213</v>
      </c>
      <c r="C16" s="15"/>
      <c r="D16" s="31"/>
      <c r="E16" s="31"/>
      <c r="F16" s="31">
        <v>12000</v>
      </c>
      <c r="G16" s="43"/>
      <c r="H16" s="270"/>
      <c r="I16" s="60"/>
      <c r="J16" s="15"/>
      <c r="K16" s="15"/>
      <c r="L16" s="31">
        <v>14000</v>
      </c>
      <c r="M16" s="51"/>
      <c r="N16" s="268">
        <f>L16-F16</f>
        <v>2000</v>
      </c>
    </row>
    <row r="17" spans="1:14" s="6" customFormat="1" ht="13.15" customHeight="1" thickBot="1" x14ac:dyDescent="0.25">
      <c r="B17" s="14"/>
      <c r="C17" s="15"/>
      <c r="D17" s="8"/>
      <c r="E17" s="8"/>
      <c r="F17" s="245">
        <f>SUM(F12:F16)</f>
        <v>67020.56</v>
      </c>
      <c r="G17" s="31"/>
      <c r="H17" s="275"/>
      <c r="I17" s="63"/>
      <c r="J17" s="8"/>
      <c r="K17" s="8"/>
      <c r="L17" s="288" t="s">
        <v>223</v>
      </c>
      <c r="M17" s="278"/>
      <c r="N17" s="282">
        <f>SUM(N12:N16)</f>
        <v>10794.6</v>
      </c>
    </row>
    <row r="18" spans="1:14" s="6" customFormat="1" ht="13.15" customHeight="1" x14ac:dyDescent="0.2">
      <c r="B18" s="14"/>
      <c r="C18" s="15"/>
      <c r="D18" s="7"/>
      <c r="E18" s="7"/>
      <c r="F18" s="7"/>
      <c r="G18" s="8"/>
      <c r="H18" s="275"/>
      <c r="I18" s="63"/>
      <c r="J18" s="8"/>
      <c r="K18" s="8"/>
      <c r="L18" s="283">
        <f>SUM(L12:L16)</f>
        <v>77815.16</v>
      </c>
      <c r="M18" s="37"/>
      <c r="N18" s="268"/>
    </row>
    <row r="19" spans="1:14" s="6" customFormat="1" ht="13.15" customHeight="1" x14ac:dyDescent="0.2">
      <c r="B19" s="14"/>
      <c r="C19" s="15"/>
      <c r="D19" s="7"/>
      <c r="E19" s="7"/>
      <c r="F19" s="7"/>
      <c r="G19" s="8"/>
      <c r="H19" s="275"/>
      <c r="I19" s="63"/>
      <c r="J19" s="8"/>
      <c r="K19" s="8"/>
      <c r="L19" s="54"/>
      <c r="M19" s="37"/>
      <c r="N19" s="268"/>
    </row>
    <row r="20" spans="1:14" s="24" customFormat="1" ht="6.75" customHeight="1" x14ac:dyDescent="0.2">
      <c r="B20" s="25"/>
      <c r="C20" s="26"/>
      <c r="D20" s="26"/>
      <c r="E20" s="26"/>
      <c r="F20" s="26"/>
      <c r="G20" s="27"/>
      <c r="H20" s="271"/>
      <c r="I20" s="53"/>
      <c r="J20" s="27"/>
      <c r="K20" s="27"/>
      <c r="L20" s="27"/>
      <c r="M20" s="27"/>
      <c r="N20" s="266"/>
    </row>
    <row r="21" spans="1:14" s="1" customFormat="1" ht="24" customHeight="1" x14ac:dyDescent="0.2">
      <c r="A21" s="426" t="s">
        <v>226</v>
      </c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6"/>
    </row>
    <row r="22" spans="1:14" s="24" customFormat="1" ht="6.75" customHeight="1" x14ac:dyDescent="0.2">
      <c r="B22" s="25"/>
      <c r="C22" s="26"/>
      <c r="D22" s="26"/>
      <c r="E22" s="26"/>
      <c r="F22" s="26"/>
      <c r="G22" s="27"/>
      <c r="H22" s="271"/>
      <c r="I22" s="53"/>
      <c r="J22" s="27"/>
      <c r="K22" s="27"/>
      <c r="L22" s="27"/>
      <c r="M22" s="27"/>
      <c r="N22" s="266"/>
    </row>
    <row r="23" spans="1:14" s="255" customFormat="1" ht="13.5" customHeight="1" x14ac:dyDescent="0.2">
      <c r="B23" s="256"/>
      <c r="C23" s="257"/>
      <c r="D23" s="257"/>
      <c r="E23" s="257"/>
      <c r="F23" s="257"/>
      <c r="G23" s="258"/>
      <c r="H23" s="272"/>
      <c r="I23" s="259"/>
      <c r="J23" s="258"/>
      <c r="K23" s="258"/>
      <c r="L23" s="258"/>
      <c r="M23" s="258"/>
      <c r="N23" s="267"/>
    </row>
    <row r="24" spans="1:14" s="287" customFormat="1" ht="36" x14ac:dyDescent="0.2">
      <c r="A24" s="297" t="s">
        <v>69</v>
      </c>
      <c r="B24" s="487" t="s">
        <v>215</v>
      </c>
      <c r="C24" s="487"/>
      <c r="D24" s="311" t="s">
        <v>214</v>
      </c>
      <c r="E24" s="312" t="s">
        <v>224</v>
      </c>
      <c r="F24" s="311" t="s">
        <v>220</v>
      </c>
      <c r="G24" s="313" t="s">
        <v>218</v>
      </c>
      <c r="H24" s="286" t="s">
        <v>216</v>
      </c>
      <c r="I24" s="287" t="s">
        <v>219</v>
      </c>
      <c r="J24" s="287" t="s">
        <v>217</v>
      </c>
      <c r="K24" s="295" t="s">
        <v>224</v>
      </c>
      <c r="L24" s="287" t="s">
        <v>221</v>
      </c>
      <c r="N24" s="285" t="s">
        <v>222</v>
      </c>
    </row>
    <row r="25" spans="1:14" x14ac:dyDescent="0.2">
      <c r="A25" s="279" t="s">
        <v>25</v>
      </c>
      <c r="B25" s="280" t="s">
        <v>13</v>
      </c>
      <c r="C25" s="280"/>
      <c r="D25" s="265">
        <f>1790.45</f>
        <v>1790.45</v>
      </c>
      <c r="E25" s="314">
        <f>D25+1125</f>
        <v>2915.45</v>
      </c>
      <c r="F25" s="314">
        <f>(D25+1125)*4</f>
        <v>11661.8</v>
      </c>
      <c r="G25" s="315">
        <v>86.88</v>
      </c>
      <c r="H25" s="299">
        <f t="shared" ref="H25:H31" si="4">(I25-G25)/G25*100</f>
        <v>9.9792817679558041</v>
      </c>
      <c r="I25" s="289">
        <v>95.55</v>
      </c>
      <c r="J25" s="263">
        <v>2062.81</v>
      </c>
      <c r="K25" s="294">
        <f>J25+1125</f>
        <v>3187.81</v>
      </c>
      <c r="L25" s="264">
        <f>(K25)*4</f>
        <v>12751.24</v>
      </c>
      <c r="N25" s="263">
        <f t="shared" ref="N25:N31" si="5">L25-F25</f>
        <v>1089.4400000000005</v>
      </c>
    </row>
    <row r="26" spans="1:14" x14ac:dyDescent="0.2">
      <c r="A26" s="279" t="s">
        <v>26</v>
      </c>
      <c r="B26" s="280" t="s">
        <v>24</v>
      </c>
      <c r="C26" s="280"/>
      <c r="D26" s="265">
        <v>802.47</v>
      </c>
      <c r="E26" s="314"/>
      <c r="F26" s="314">
        <f t="shared" ref="F26:F31" si="6">D26*4</f>
        <v>3209.88</v>
      </c>
      <c r="G26" s="315">
        <v>20.47</v>
      </c>
      <c r="H26" s="299">
        <f t="shared" si="4"/>
        <v>29.995114802149491</v>
      </c>
      <c r="I26" s="281">
        <v>26.61</v>
      </c>
      <c r="J26" s="263">
        <v>1045.6199999999999</v>
      </c>
      <c r="K26" s="263"/>
      <c r="L26" s="264">
        <f t="shared" ref="L26:L31" si="7">J26*4</f>
        <v>4182.4799999999996</v>
      </c>
      <c r="N26" s="263">
        <f t="shared" si="5"/>
        <v>972.59999999999945</v>
      </c>
    </row>
    <row r="27" spans="1:14" x14ac:dyDescent="0.2">
      <c r="A27" s="279" t="s">
        <v>3</v>
      </c>
      <c r="B27" s="280" t="s">
        <v>12</v>
      </c>
      <c r="C27" s="280"/>
      <c r="D27" s="265">
        <v>1037.75</v>
      </c>
      <c r="E27" s="314"/>
      <c r="F27" s="314">
        <f t="shared" si="6"/>
        <v>4151</v>
      </c>
      <c r="G27" s="315">
        <v>26.87</v>
      </c>
      <c r="H27" s="299">
        <f t="shared" si="4"/>
        <v>29.996278377372526</v>
      </c>
      <c r="I27" s="281">
        <v>34.93</v>
      </c>
      <c r="J27" s="263">
        <v>1356.93</v>
      </c>
      <c r="K27" s="263"/>
      <c r="L27" s="264">
        <f t="shared" si="7"/>
        <v>5427.72</v>
      </c>
      <c r="N27" s="263">
        <f t="shared" si="5"/>
        <v>1276.7200000000003</v>
      </c>
    </row>
    <row r="28" spans="1:14" x14ac:dyDescent="0.2">
      <c r="A28" s="279" t="s">
        <v>32</v>
      </c>
      <c r="B28" s="280" t="s">
        <v>11</v>
      </c>
      <c r="C28" s="280"/>
      <c r="D28" s="265">
        <v>977.47</v>
      </c>
      <c r="E28" s="314"/>
      <c r="F28" s="314">
        <f t="shared" si="6"/>
        <v>3909.88</v>
      </c>
      <c r="G28" s="230">
        <v>23.87</v>
      </c>
      <c r="H28" s="299">
        <f t="shared" si="4"/>
        <v>36.15416841223292</v>
      </c>
      <c r="I28" s="281">
        <v>32.5</v>
      </c>
      <c r="J28" s="263">
        <v>1269.22</v>
      </c>
      <c r="K28" s="263"/>
      <c r="L28" s="264">
        <f t="shared" si="7"/>
        <v>5076.88</v>
      </c>
      <c r="N28" s="263">
        <f t="shared" si="5"/>
        <v>1167</v>
      </c>
    </row>
    <row r="29" spans="1:14" x14ac:dyDescent="0.2">
      <c r="A29" s="279" t="s">
        <v>75</v>
      </c>
      <c r="B29" s="280" t="s">
        <v>31</v>
      </c>
      <c r="C29" s="280"/>
      <c r="D29" s="265">
        <v>792</v>
      </c>
      <c r="E29" s="314"/>
      <c r="F29" s="314">
        <f t="shared" si="6"/>
        <v>3168</v>
      </c>
      <c r="G29" s="230">
        <v>20</v>
      </c>
      <c r="H29" s="299">
        <f t="shared" si="4"/>
        <v>30</v>
      </c>
      <c r="I29" s="290">
        <v>26</v>
      </c>
      <c r="J29" s="263">
        <v>1029.5999999999999</v>
      </c>
      <c r="K29" s="263"/>
      <c r="L29" s="264">
        <f t="shared" si="7"/>
        <v>4118.3999999999996</v>
      </c>
      <c r="M29" s="253"/>
      <c r="N29" s="263">
        <f t="shared" si="5"/>
        <v>950.39999999999964</v>
      </c>
    </row>
    <row r="30" spans="1:14" x14ac:dyDescent="0.2">
      <c r="A30" s="279" t="s">
        <v>86</v>
      </c>
      <c r="B30" s="280" t="s">
        <v>87</v>
      </c>
      <c r="C30" s="280"/>
      <c r="D30" s="265">
        <v>990</v>
      </c>
      <c r="E30" s="314"/>
      <c r="F30" s="314">
        <f t="shared" si="6"/>
        <v>3960</v>
      </c>
      <c r="G30" s="230">
        <v>25</v>
      </c>
      <c r="H30" s="299">
        <f t="shared" si="4"/>
        <v>30</v>
      </c>
      <c r="I30" s="290">
        <v>32.5</v>
      </c>
      <c r="J30" s="263">
        <v>1287</v>
      </c>
      <c r="K30" s="263"/>
      <c r="L30" s="264">
        <f t="shared" si="7"/>
        <v>5148</v>
      </c>
      <c r="M30" s="253"/>
      <c r="N30" s="263">
        <f t="shared" si="5"/>
        <v>1188</v>
      </c>
    </row>
    <row r="31" spans="1:14" ht="12.75" customHeight="1" thickBot="1" x14ac:dyDescent="0.25">
      <c r="A31" s="279" t="s">
        <v>149</v>
      </c>
      <c r="B31" s="280" t="s">
        <v>157</v>
      </c>
      <c r="C31" s="280"/>
      <c r="D31" s="265">
        <v>990</v>
      </c>
      <c r="E31" s="314"/>
      <c r="F31" s="314">
        <f t="shared" si="6"/>
        <v>3960</v>
      </c>
      <c r="G31" s="230">
        <v>25</v>
      </c>
      <c r="H31" s="299">
        <f t="shared" si="4"/>
        <v>30</v>
      </c>
      <c r="I31" s="290">
        <v>32.5</v>
      </c>
      <c r="J31" s="263">
        <v>1287</v>
      </c>
      <c r="K31" s="263"/>
      <c r="L31" s="264">
        <f t="shared" si="7"/>
        <v>5148</v>
      </c>
      <c r="M31" s="187"/>
      <c r="N31" s="277">
        <f t="shared" si="5"/>
        <v>1188</v>
      </c>
    </row>
    <row r="32" spans="1:14" ht="13.5" thickBot="1" x14ac:dyDescent="0.25">
      <c r="A32" s="300"/>
      <c r="B32" s="28" t="s">
        <v>99</v>
      </c>
      <c r="C32" s="28"/>
      <c r="D32" s="52">
        <f>SUM(D25:D31)</f>
        <v>7380.14</v>
      </c>
      <c r="E32" s="52">
        <f>D32+1125</f>
        <v>8505.14</v>
      </c>
      <c r="F32" s="52">
        <f>SUM(F25:F31)</f>
        <v>34020.559999999998</v>
      </c>
      <c r="G32" s="230"/>
      <c r="H32" s="316"/>
      <c r="I32" s="317"/>
      <c r="J32" s="263">
        <f>SUM(J25:J31)</f>
        <v>9338.18</v>
      </c>
      <c r="K32" s="277">
        <f>J32+1125</f>
        <v>10463.18</v>
      </c>
      <c r="L32" s="263">
        <f>SUM(L25:L31)</f>
        <v>41852.720000000001</v>
      </c>
      <c r="N32" s="293">
        <f>SUM(N25:N31)</f>
        <v>7832.16</v>
      </c>
    </row>
    <row r="33" spans="1:14" x14ac:dyDescent="0.2">
      <c r="A33" s="300"/>
      <c r="B33" s="28"/>
      <c r="C33" s="28"/>
      <c r="D33" s="52"/>
      <c r="E33" s="52"/>
      <c r="F33" s="52"/>
      <c r="G33" s="230"/>
      <c r="H33" s="316"/>
      <c r="I33" s="317"/>
      <c r="J33" s="317"/>
    </row>
    <row r="34" spans="1:14" s="6" customFormat="1" ht="13.15" customHeight="1" x14ac:dyDescent="0.2">
      <c r="A34" s="301" t="s">
        <v>6</v>
      </c>
      <c r="B34" s="15" t="s">
        <v>211</v>
      </c>
      <c r="C34" s="15"/>
      <c r="D34" s="31"/>
      <c r="E34" s="31"/>
      <c r="F34" s="31">
        <v>9000</v>
      </c>
      <c r="G34" s="43"/>
      <c r="H34" s="269"/>
      <c r="I34" s="14"/>
      <c r="J34" s="15"/>
      <c r="K34" s="15"/>
      <c r="L34" s="31">
        <v>10000</v>
      </c>
      <c r="M34" s="51"/>
      <c r="N34" s="268">
        <f>L34-F34</f>
        <v>1000</v>
      </c>
    </row>
    <row r="35" spans="1:14" s="6" customFormat="1" ht="13.15" customHeight="1" x14ac:dyDescent="0.2">
      <c r="A35" s="301" t="s">
        <v>8</v>
      </c>
      <c r="B35" s="15" t="s">
        <v>212</v>
      </c>
      <c r="C35" s="15"/>
      <c r="D35" s="31"/>
      <c r="E35" s="31"/>
      <c r="F35" s="31">
        <v>12000</v>
      </c>
      <c r="G35" s="43"/>
      <c r="H35" s="269"/>
      <c r="I35" s="14"/>
      <c r="J35" s="15"/>
      <c r="K35" s="15"/>
      <c r="L35" s="31">
        <v>14000</v>
      </c>
      <c r="M35" s="51"/>
      <c r="N35" s="268">
        <f>L35-F35</f>
        <v>2000</v>
      </c>
    </row>
    <row r="36" spans="1:14" s="6" customFormat="1" ht="13.15" customHeight="1" thickBot="1" x14ac:dyDescent="0.25">
      <c r="A36" s="301" t="s">
        <v>27</v>
      </c>
      <c r="B36" s="302" t="s">
        <v>213</v>
      </c>
      <c r="C36" s="302"/>
      <c r="D36" s="303"/>
      <c r="E36" s="303"/>
      <c r="F36" s="303">
        <v>12000</v>
      </c>
      <c r="G36" s="304"/>
      <c r="H36" s="270"/>
      <c r="I36" s="60"/>
      <c r="J36" s="15"/>
      <c r="K36" s="15"/>
      <c r="L36" s="31">
        <v>14000</v>
      </c>
      <c r="M36" s="51"/>
      <c r="N36" s="268">
        <f>L36-F36</f>
        <v>2000</v>
      </c>
    </row>
    <row r="37" spans="1:14" s="6" customFormat="1" ht="13.15" customHeight="1" thickBot="1" x14ac:dyDescent="0.25">
      <c r="A37" s="305"/>
      <c r="B37" s="301"/>
      <c r="C37" s="302"/>
      <c r="D37" s="306"/>
      <c r="E37" s="306"/>
      <c r="F37" s="307">
        <f>SUM(F32:F36)</f>
        <v>67020.56</v>
      </c>
      <c r="G37" s="303"/>
      <c r="H37" s="275"/>
      <c r="I37" s="63"/>
      <c r="J37" s="8"/>
      <c r="K37" s="8"/>
      <c r="L37" s="288" t="s">
        <v>223</v>
      </c>
      <c r="M37" s="278"/>
      <c r="N37" s="282">
        <f>SUM(N32:N36)</f>
        <v>12832.16</v>
      </c>
    </row>
    <row r="38" spans="1:14" s="6" customFormat="1" ht="13.15" customHeight="1" x14ac:dyDescent="0.2">
      <c r="A38" s="305"/>
      <c r="B38" s="301"/>
      <c r="C38" s="302"/>
      <c r="D38" s="308"/>
      <c r="E38" s="308"/>
      <c r="F38" s="308"/>
      <c r="G38" s="306"/>
      <c r="H38" s="275"/>
      <c r="I38" s="63"/>
      <c r="J38" s="8"/>
      <c r="K38" s="8"/>
      <c r="L38" s="283">
        <f>SUM(L32:L36)</f>
        <v>79852.72</v>
      </c>
      <c r="M38" s="37"/>
      <c r="N38" s="268"/>
    </row>
    <row r="39" spans="1:14" s="6" customFormat="1" ht="13.15" customHeight="1" x14ac:dyDescent="0.2">
      <c r="A39" s="306"/>
      <c r="B39" s="309"/>
      <c r="C39" s="308"/>
      <c r="D39" s="308"/>
      <c r="E39" s="308"/>
      <c r="F39" s="308"/>
      <c r="G39" s="306"/>
      <c r="H39" s="275"/>
      <c r="I39" s="63"/>
      <c r="J39" s="8"/>
      <c r="K39" s="8"/>
      <c r="L39" s="8"/>
      <c r="M39" s="37"/>
      <c r="N39" s="268"/>
    </row>
    <row r="40" spans="1:14" s="6" customFormat="1" ht="13.15" customHeight="1" x14ac:dyDescent="0.2">
      <c r="A40" s="8"/>
      <c r="B40" s="9"/>
      <c r="C40" s="7"/>
      <c r="D40" s="7"/>
      <c r="E40" s="7"/>
      <c r="F40" s="7"/>
      <c r="G40" s="8"/>
      <c r="H40" s="275"/>
      <c r="I40" s="63"/>
      <c r="J40" s="8"/>
      <c r="K40" s="8"/>
      <c r="L40" s="8"/>
      <c r="M40" s="37"/>
      <c r="N40" s="268"/>
    </row>
    <row r="41" spans="1:14" s="6" customFormat="1" ht="13.15" customHeight="1" x14ac:dyDescent="0.2">
      <c r="A41" s="8"/>
      <c r="B41" s="9"/>
      <c r="C41" s="7"/>
      <c r="D41" s="7"/>
      <c r="E41" s="7"/>
      <c r="F41" s="7"/>
      <c r="G41" s="8"/>
      <c r="H41" s="275"/>
      <c r="I41" s="63"/>
      <c r="J41" s="8"/>
      <c r="K41" s="8"/>
      <c r="L41" s="8"/>
      <c r="M41" s="37"/>
      <c r="N41" s="268"/>
    </row>
    <row r="42" spans="1:14" s="8" customFormat="1" ht="12" x14ac:dyDescent="0.2">
      <c r="B42" s="9"/>
      <c r="C42" s="7"/>
      <c r="H42" s="275"/>
      <c r="I42" s="63"/>
      <c r="N42" s="63"/>
    </row>
    <row r="43" spans="1:14" s="8" customFormat="1" ht="12" x14ac:dyDescent="0.2">
      <c r="B43" s="9"/>
      <c r="C43" s="7"/>
      <c r="H43" s="275"/>
      <c r="I43" s="63"/>
      <c r="N43" s="63"/>
    </row>
    <row r="44" spans="1:14" s="8" customFormat="1" ht="12" x14ac:dyDescent="0.2">
      <c r="B44" s="9"/>
      <c r="C44" s="7"/>
      <c r="H44" s="275"/>
      <c r="I44" s="63"/>
      <c r="N44" s="63"/>
    </row>
    <row r="45" spans="1:14" s="8" customFormat="1" ht="12" x14ac:dyDescent="0.2">
      <c r="B45" s="9"/>
      <c r="H45" s="275"/>
      <c r="I45" s="63"/>
      <c r="N45" s="63"/>
    </row>
    <row r="46" spans="1:14" s="8" customFormat="1" ht="12" x14ac:dyDescent="0.2">
      <c r="B46" s="9"/>
      <c r="H46" s="275"/>
      <c r="I46" s="63"/>
      <c r="N46" s="63"/>
    </row>
    <row r="47" spans="1:14" s="8" customFormat="1" ht="12" x14ac:dyDescent="0.2">
      <c r="B47" s="9"/>
      <c r="H47" s="275"/>
      <c r="I47" s="63"/>
      <c r="N47" s="63"/>
    </row>
    <row r="48" spans="1:14" s="8" customFormat="1" x14ac:dyDescent="0.2">
      <c r="B48" s="9"/>
      <c r="D48" s="5"/>
      <c r="E48" s="5"/>
      <c r="F48" s="5"/>
      <c r="H48" s="275"/>
      <c r="I48" s="63"/>
      <c r="N48" s="63"/>
    </row>
    <row r="49" spans="1:14" s="8" customFormat="1" x14ac:dyDescent="0.2">
      <c r="B49" s="9"/>
      <c r="D49" s="5"/>
      <c r="E49" s="5"/>
      <c r="F49" s="5"/>
      <c r="H49" s="276"/>
      <c r="I49" s="45"/>
      <c r="J49" s="5"/>
      <c r="K49" s="5"/>
      <c r="L49" s="5"/>
      <c r="N49" s="63"/>
    </row>
    <row r="50" spans="1:14" s="8" customFormat="1" x14ac:dyDescent="0.2">
      <c r="B50" s="9"/>
      <c r="D50" s="5"/>
      <c r="E50" s="5"/>
      <c r="F50" s="5"/>
      <c r="G50" s="5"/>
      <c r="H50" s="276"/>
      <c r="I50" s="45"/>
      <c r="J50" s="5"/>
      <c r="K50" s="5"/>
      <c r="L50" s="5"/>
      <c r="N50" s="63"/>
    </row>
    <row r="51" spans="1:14" s="8" customFormat="1" x14ac:dyDescent="0.2">
      <c r="B51" s="11"/>
      <c r="C51" s="5"/>
      <c r="D51" s="5"/>
      <c r="E51" s="5"/>
      <c r="F51" s="5"/>
      <c r="G51" s="5"/>
      <c r="H51" s="276"/>
      <c r="I51" s="45"/>
      <c r="J51" s="5"/>
      <c r="K51" s="5"/>
      <c r="L51" s="5"/>
      <c r="N51" s="63"/>
    </row>
    <row r="52" spans="1:14" s="8" customFormat="1" x14ac:dyDescent="0.2">
      <c r="B52" s="11"/>
      <c r="C52" s="5"/>
      <c r="D52" s="5"/>
      <c r="E52" s="5"/>
      <c r="F52" s="5"/>
      <c r="G52" s="5"/>
      <c r="H52" s="276"/>
      <c r="I52" s="45"/>
      <c r="J52" s="5"/>
      <c r="K52" s="5"/>
      <c r="L52" s="5"/>
      <c r="N52" s="63"/>
    </row>
    <row r="53" spans="1:14" s="8" customFormat="1" x14ac:dyDescent="0.2">
      <c r="B53" s="11"/>
      <c r="C53" s="5"/>
      <c r="D53" s="5"/>
      <c r="E53" s="5"/>
      <c r="F53" s="5"/>
      <c r="G53" s="5"/>
      <c r="H53" s="276"/>
      <c r="I53" s="45"/>
      <c r="J53" s="5"/>
      <c r="K53" s="5"/>
      <c r="L53" s="5"/>
      <c r="N53" s="63"/>
    </row>
    <row r="54" spans="1:14" s="8" customFormat="1" x14ac:dyDescent="0.2">
      <c r="B54" s="11"/>
      <c r="C54" s="5"/>
      <c r="D54" s="5"/>
      <c r="E54" s="5"/>
      <c r="F54" s="5"/>
      <c r="G54" s="5"/>
      <c r="H54" s="276"/>
      <c r="I54" s="45"/>
      <c r="J54" s="5"/>
      <c r="K54" s="5"/>
      <c r="L54" s="5"/>
      <c r="N54" s="63"/>
    </row>
    <row r="55" spans="1:14" s="8" customFormat="1" x14ac:dyDescent="0.2">
      <c r="A55" s="5"/>
      <c r="B55" s="11"/>
      <c r="C55" s="5"/>
      <c r="D55" s="5"/>
      <c r="E55" s="5"/>
      <c r="F55" s="5"/>
      <c r="G55" s="5"/>
      <c r="H55" s="276"/>
      <c r="I55" s="45"/>
      <c r="J55" s="5"/>
      <c r="K55" s="5"/>
      <c r="L55" s="5"/>
      <c r="M55" s="5"/>
      <c r="N55" s="63"/>
    </row>
    <row r="56" spans="1:14" s="8" customFormat="1" x14ac:dyDescent="0.2">
      <c r="A56" s="5"/>
      <c r="B56" s="11"/>
      <c r="C56" s="5"/>
      <c r="D56" s="5"/>
      <c r="E56" s="5"/>
      <c r="F56" s="5"/>
      <c r="G56" s="5"/>
      <c r="H56" s="276"/>
      <c r="I56" s="45"/>
      <c r="J56" s="5"/>
      <c r="K56" s="5"/>
      <c r="L56" s="5"/>
      <c r="M56" s="5"/>
      <c r="N56" s="63"/>
    </row>
    <row r="57" spans="1:14" s="8" customFormat="1" x14ac:dyDescent="0.2">
      <c r="A57" s="5"/>
      <c r="B57" s="11"/>
      <c r="C57" s="5"/>
      <c r="D57" s="5"/>
      <c r="E57" s="5"/>
      <c r="F57" s="5"/>
      <c r="G57" s="5"/>
      <c r="H57" s="276"/>
      <c r="I57" s="45"/>
      <c r="J57" s="5"/>
      <c r="K57" s="5"/>
      <c r="L57" s="5"/>
      <c r="M57" s="5"/>
      <c r="N57" s="63"/>
    </row>
    <row r="58" spans="1:14" s="8" customFormat="1" x14ac:dyDescent="0.2">
      <c r="A58" s="5"/>
      <c r="B58" s="11"/>
      <c r="C58" s="5"/>
      <c r="D58" s="5"/>
      <c r="E58" s="5"/>
      <c r="F58" s="5"/>
      <c r="G58" s="5"/>
      <c r="H58" s="276"/>
      <c r="I58" s="45"/>
      <c r="J58" s="5"/>
      <c r="K58" s="5"/>
      <c r="L58" s="5"/>
      <c r="M58" s="5"/>
      <c r="N58" s="63"/>
    </row>
  </sheetData>
  <mergeCells count="4">
    <mergeCell ref="B4:C4"/>
    <mergeCell ref="A21:N21"/>
    <mergeCell ref="B24:C24"/>
    <mergeCell ref="A1:N1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95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32" zoomScaleNormal="100" workbookViewId="0">
      <selection activeCell="D69" sqref="D69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9.85546875" style="5" customWidth="1"/>
    <col min="5" max="5" width="10.5703125" style="5" customWidth="1"/>
    <col min="6" max="6" width="7" style="45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426" t="s">
        <v>116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0" s="24" customFormat="1" ht="6.75" customHeight="1" x14ac:dyDescent="0.2">
      <c r="B2" s="25"/>
      <c r="C2" s="26"/>
      <c r="D2" s="26"/>
      <c r="E2" s="27"/>
      <c r="F2" s="53"/>
      <c r="G2" s="64"/>
      <c r="H2" s="27"/>
      <c r="I2" s="27"/>
    </row>
    <row r="3" spans="1:10" ht="19.5" customHeight="1" x14ac:dyDescent="0.2">
      <c r="A3" s="38"/>
      <c r="B3" s="20" t="s">
        <v>21</v>
      </c>
      <c r="C3" s="39" t="s">
        <v>43</v>
      </c>
      <c r="D3" s="33"/>
      <c r="E3" s="12"/>
      <c r="F3" s="54"/>
      <c r="G3" s="12"/>
      <c r="H3" s="12"/>
      <c r="I3" s="12"/>
    </row>
    <row r="4" spans="1:10" ht="19.5" customHeight="1" x14ac:dyDescent="0.2">
      <c r="B4" s="20" t="s">
        <v>23</v>
      </c>
      <c r="C4" s="427">
        <v>43558</v>
      </c>
      <c r="D4" s="428"/>
      <c r="E4" s="12"/>
      <c r="F4" s="54"/>
      <c r="G4" s="12"/>
      <c r="H4" s="12"/>
      <c r="I4" s="12"/>
    </row>
    <row r="5" spans="1:10" ht="4.5" customHeight="1" x14ac:dyDescent="0.45">
      <c r="B5" s="2"/>
      <c r="C5" s="17"/>
      <c r="D5" s="17"/>
      <c r="E5" s="424"/>
      <c r="F5" s="424"/>
      <c r="G5" s="3"/>
      <c r="H5" s="4"/>
      <c r="I5" s="4"/>
    </row>
    <row r="6" spans="1:10" s="140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55"/>
    </row>
    <row r="7" spans="1:10" x14ac:dyDescent="0.2">
      <c r="B7" s="18" t="s">
        <v>25</v>
      </c>
      <c r="C7" s="19" t="s">
        <v>13</v>
      </c>
      <c r="D7" s="40"/>
      <c r="E7" s="67">
        <v>2274.92</v>
      </c>
      <c r="G7" s="56"/>
    </row>
    <row r="8" spans="1:10" x14ac:dyDescent="0.2">
      <c r="B8" s="36" t="s">
        <v>26</v>
      </c>
      <c r="C8" s="22" t="s">
        <v>24</v>
      </c>
      <c r="D8" s="41"/>
      <c r="E8" s="67">
        <v>702.47</v>
      </c>
      <c r="F8" s="59"/>
      <c r="G8" s="137"/>
      <c r="H8" s="45"/>
    </row>
    <row r="9" spans="1:10" x14ac:dyDescent="0.2">
      <c r="B9" s="36" t="s">
        <v>3</v>
      </c>
      <c r="C9" s="22" t="s">
        <v>12</v>
      </c>
      <c r="D9" s="41"/>
      <c r="E9" s="67">
        <v>1037.75</v>
      </c>
      <c r="F9" s="59"/>
      <c r="G9" s="138"/>
    </row>
    <row r="10" spans="1:10" x14ac:dyDescent="0.2">
      <c r="B10" s="13" t="s">
        <v>32</v>
      </c>
      <c r="C10" s="16" t="s">
        <v>11</v>
      </c>
      <c r="D10" s="42"/>
      <c r="E10" s="68">
        <v>977.47</v>
      </c>
    </row>
    <row r="11" spans="1:10" x14ac:dyDescent="0.2">
      <c r="B11" s="69" t="s">
        <v>26</v>
      </c>
      <c r="C11" s="73" t="s">
        <v>31</v>
      </c>
      <c r="D11" s="70"/>
      <c r="E11" s="71">
        <v>792</v>
      </c>
      <c r="G11" s="56"/>
      <c r="I11" s="184"/>
      <c r="J11" s="184"/>
    </row>
    <row r="12" spans="1:10" ht="12" customHeight="1" thickBot="1" x14ac:dyDescent="0.25">
      <c r="B12" s="72" t="s">
        <v>86</v>
      </c>
      <c r="C12" s="74" t="s">
        <v>115</v>
      </c>
      <c r="D12" s="50"/>
      <c r="E12" s="29">
        <v>792</v>
      </c>
      <c r="F12" s="57"/>
      <c r="G12" s="56"/>
      <c r="I12" s="425"/>
      <c r="J12" s="425"/>
    </row>
    <row r="13" spans="1:10" s="4" customFormat="1" ht="13.5" thickBot="1" x14ac:dyDescent="0.25">
      <c r="B13" s="46"/>
      <c r="C13" s="47"/>
      <c r="D13" s="48"/>
      <c r="E13" s="49">
        <f>SUM(E7:E12)</f>
        <v>6576.6100000000006</v>
      </c>
      <c r="F13" s="58"/>
      <c r="G13" s="65"/>
    </row>
    <row r="14" spans="1:10" ht="13.5" thickBot="1" x14ac:dyDescent="0.25">
      <c r="B14" s="75" t="s">
        <v>30</v>
      </c>
      <c r="C14" s="76" t="s">
        <v>5</v>
      </c>
      <c r="D14" s="76"/>
      <c r="E14" s="77">
        <v>1125</v>
      </c>
    </row>
    <row r="15" spans="1:10" ht="13.5" thickBot="1" x14ac:dyDescent="0.25">
      <c r="B15" s="10"/>
      <c r="C15" s="28" t="s">
        <v>0</v>
      </c>
      <c r="D15" s="28"/>
      <c r="E15" s="30">
        <f>SUM(E13:E14)</f>
        <v>7701.6100000000006</v>
      </c>
    </row>
    <row r="16" spans="1:10" x14ac:dyDescent="0.2">
      <c r="B16" s="10"/>
      <c r="C16" s="28"/>
      <c r="D16" s="28"/>
      <c r="E16" s="52"/>
    </row>
    <row r="17" spans="1:10" s="24" customFormat="1" ht="6.75" customHeight="1" x14ac:dyDescent="0.2">
      <c r="B17" s="25"/>
      <c r="C17" s="26"/>
      <c r="D17" s="26"/>
      <c r="E17" s="27"/>
      <c r="F17" s="53"/>
      <c r="G17" s="27"/>
      <c r="H17" s="27"/>
      <c r="I17" s="27"/>
    </row>
    <row r="18" spans="1:10" ht="19.5" customHeight="1" x14ac:dyDescent="0.2">
      <c r="A18" s="38"/>
      <c r="B18" s="20" t="s">
        <v>21</v>
      </c>
      <c r="C18" s="39" t="s">
        <v>44</v>
      </c>
      <c r="D18" s="33"/>
      <c r="E18" s="12"/>
      <c r="F18" s="54"/>
      <c r="G18" s="12"/>
      <c r="H18" s="12"/>
      <c r="I18" s="12"/>
    </row>
    <row r="19" spans="1:10" ht="19.5" customHeight="1" x14ac:dyDescent="0.2">
      <c r="B19" s="20" t="s">
        <v>23</v>
      </c>
      <c r="C19" s="427">
        <v>43537</v>
      </c>
      <c r="D19" s="428"/>
      <c r="E19" s="12"/>
      <c r="F19" s="54"/>
      <c r="G19" s="12"/>
      <c r="H19" s="12"/>
      <c r="I19" s="12"/>
    </row>
    <row r="20" spans="1:10" ht="4.5" customHeight="1" x14ac:dyDescent="0.45">
      <c r="B20" s="2"/>
      <c r="C20" s="17"/>
      <c r="D20" s="17"/>
      <c r="E20" s="424"/>
      <c r="F20" s="424"/>
      <c r="G20" s="3"/>
      <c r="H20" s="4"/>
      <c r="I20" s="4"/>
    </row>
    <row r="21" spans="1:10" s="140" customFormat="1" ht="13.5" thickBot="1" x14ac:dyDescent="0.25">
      <c r="B21" s="21" t="s">
        <v>22</v>
      </c>
      <c r="C21" s="44" t="s">
        <v>1</v>
      </c>
      <c r="D21" s="44"/>
      <c r="E21" s="23" t="s">
        <v>2</v>
      </c>
      <c r="F21" s="55"/>
    </row>
    <row r="22" spans="1:10" x14ac:dyDescent="0.2">
      <c r="B22" s="18" t="s">
        <v>25</v>
      </c>
      <c r="C22" s="19" t="s">
        <v>13</v>
      </c>
      <c r="D22" s="40"/>
      <c r="E22" s="67">
        <v>1541.52</v>
      </c>
      <c r="G22" s="56"/>
    </row>
    <row r="23" spans="1:10" x14ac:dyDescent="0.2">
      <c r="B23" s="36" t="s">
        <v>26</v>
      </c>
      <c r="C23" s="22" t="s">
        <v>24</v>
      </c>
      <c r="D23" s="41"/>
      <c r="E23" s="67">
        <v>702.47</v>
      </c>
      <c r="F23" s="59"/>
      <c r="G23" s="137"/>
      <c r="H23" s="45"/>
    </row>
    <row r="24" spans="1:10" x14ac:dyDescent="0.2">
      <c r="B24" s="36" t="s">
        <v>3</v>
      </c>
      <c r="C24" s="22" t="s">
        <v>12</v>
      </c>
      <c r="D24" s="41"/>
      <c r="E24" s="67">
        <v>1037.75</v>
      </c>
      <c r="F24" s="59"/>
      <c r="G24" s="138"/>
    </row>
    <row r="25" spans="1:10" x14ac:dyDescent="0.2">
      <c r="B25" s="13" t="s">
        <v>32</v>
      </c>
      <c r="C25" s="16" t="s">
        <v>11</v>
      </c>
      <c r="D25" s="42"/>
      <c r="E25" s="68">
        <v>977.47</v>
      </c>
    </row>
    <row r="26" spans="1:10" x14ac:dyDescent="0.2">
      <c r="B26" s="69" t="s">
        <v>26</v>
      </c>
      <c r="C26" s="73" t="s">
        <v>31</v>
      </c>
      <c r="D26" s="70"/>
      <c r="E26" s="71">
        <v>792</v>
      </c>
      <c r="G26" s="56"/>
      <c r="I26" s="184"/>
      <c r="J26" s="184"/>
    </row>
    <row r="27" spans="1:10" ht="12" customHeight="1" thickBot="1" x14ac:dyDescent="0.25">
      <c r="B27" s="72" t="s">
        <v>26</v>
      </c>
      <c r="C27" s="74" t="s">
        <v>115</v>
      </c>
      <c r="D27" s="50"/>
      <c r="E27" s="29">
        <v>792</v>
      </c>
      <c r="F27" s="57"/>
      <c r="G27" s="59"/>
      <c r="I27" s="425"/>
      <c r="J27" s="425"/>
    </row>
    <row r="28" spans="1:10" s="4" customFormat="1" ht="13.5" thickBot="1" x14ac:dyDescent="0.25">
      <c r="B28" s="46"/>
      <c r="C28" s="47"/>
      <c r="D28" s="48"/>
      <c r="E28" s="49">
        <f>SUM(E22:E27)</f>
        <v>5843.21</v>
      </c>
      <c r="F28" s="58"/>
      <c r="G28" s="65"/>
    </row>
    <row r="29" spans="1:10" ht="13.5" thickBot="1" x14ac:dyDescent="0.25">
      <c r="B29" s="75" t="s">
        <v>30</v>
      </c>
      <c r="C29" s="76" t="s">
        <v>5</v>
      </c>
      <c r="D29" s="76"/>
      <c r="E29" s="77">
        <v>1125</v>
      </c>
    </row>
    <row r="30" spans="1:10" ht="13.5" thickBot="1" x14ac:dyDescent="0.25">
      <c r="B30" s="10"/>
      <c r="C30" s="28" t="s">
        <v>0</v>
      </c>
      <c r="D30" s="28"/>
      <c r="E30" s="30">
        <f>SUM(E28:E29)</f>
        <v>6968.21</v>
      </c>
    </row>
    <row r="31" spans="1:10" x14ac:dyDescent="0.2">
      <c r="B31" s="10"/>
      <c r="C31" s="28"/>
      <c r="D31" s="28"/>
      <c r="E31" s="52"/>
    </row>
    <row r="32" spans="1:10" s="24" customFormat="1" ht="6.75" customHeight="1" x14ac:dyDescent="0.2">
      <c r="B32" s="25"/>
      <c r="C32" s="26"/>
      <c r="D32" s="26"/>
      <c r="E32" s="27"/>
      <c r="F32" s="53"/>
      <c r="G32" s="27"/>
      <c r="H32" s="27"/>
      <c r="I32" s="27"/>
    </row>
    <row r="33" spans="1:10" ht="19.5" customHeight="1" x14ac:dyDescent="0.2">
      <c r="A33" s="38"/>
      <c r="B33" s="20" t="s">
        <v>21</v>
      </c>
      <c r="C33" s="39" t="s">
        <v>45</v>
      </c>
      <c r="D33" s="33"/>
      <c r="E33" s="12"/>
      <c r="F33" s="54"/>
      <c r="G33" s="12"/>
      <c r="H33" s="12"/>
      <c r="I33" s="12"/>
    </row>
    <row r="34" spans="1:10" ht="19.5" customHeight="1" x14ac:dyDescent="0.2">
      <c r="B34" s="20" t="s">
        <v>23</v>
      </c>
      <c r="C34" s="428">
        <v>43544</v>
      </c>
      <c r="D34" s="428"/>
      <c r="E34" s="12"/>
      <c r="F34" s="54"/>
      <c r="G34" s="12"/>
      <c r="H34" s="12"/>
      <c r="I34" s="12"/>
    </row>
    <row r="35" spans="1:10" ht="4.5" customHeight="1" x14ac:dyDescent="0.45">
      <c r="B35" s="2"/>
      <c r="C35" s="17"/>
      <c r="D35" s="17"/>
      <c r="E35" s="424"/>
      <c r="F35" s="424"/>
      <c r="G35" s="3"/>
      <c r="H35" s="4"/>
      <c r="I35" s="4"/>
    </row>
    <row r="36" spans="1:10" s="140" customFormat="1" ht="13.5" thickBot="1" x14ac:dyDescent="0.25">
      <c r="B36" s="21" t="s">
        <v>22</v>
      </c>
      <c r="C36" s="44" t="s">
        <v>1</v>
      </c>
      <c r="D36" s="44"/>
      <c r="E36" s="23" t="s">
        <v>2</v>
      </c>
      <c r="F36" s="55"/>
    </row>
    <row r="37" spans="1:10" x14ac:dyDescent="0.2">
      <c r="B37" s="18" t="s">
        <v>25</v>
      </c>
      <c r="C37" s="19" t="s">
        <v>13</v>
      </c>
      <c r="D37" s="40"/>
      <c r="E37" s="67">
        <v>1541.52</v>
      </c>
      <c r="F37" s="59"/>
      <c r="G37" s="56"/>
    </row>
    <row r="38" spans="1:10" x14ac:dyDescent="0.2">
      <c r="B38" s="36" t="s">
        <v>26</v>
      </c>
      <c r="C38" s="22" t="s">
        <v>24</v>
      </c>
      <c r="D38" s="41"/>
      <c r="E38" s="67">
        <v>802.47</v>
      </c>
      <c r="F38" s="59"/>
      <c r="G38" s="66"/>
      <c r="H38" s="45"/>
    </row>
    <row r="39" spans="1:10" x14ac:dyDescent="0.2">
      <c r="B39" s="36" t="s">
        <v>3</v>
      </c>
      <c r="C39" s="22" t="s">
        <v>12</v>
      </c>
      <c r="D39" s="41"/>
      <c r="E39" s="67">
        <v>1037.75</v>
      </c>
      <c r="F39" s="59"/>
    </row>
    <row r="40" spans="1:10" x14ac:dyDescent="0.2">
      <c r="B40" s="13" t="s">
        <v>32</v>
      </c>
      <c r="C40" s="16" t="s">
        <v>11</v>
      </c>
      <c r="D40" s="42"/>
      <c r="E40" s="68">
        <v>977.47</v>
      </c>
    </row>
    <row r="41" spans="1:10" x14ac:dyDescent="0.2">
      <c r="B41" s="69" t="s">
        <v>75</v>
      </c>
      <c r="C41" s="73" t="s">
        <v>31</v>
      </c>
      <c r="D41" s="70"/>
      <c r="E41" s="71">
        <v>792</v>
      </c>
      <c r="G41" s="59"/>
      <c r="I41" s="184"/>
      <c r="J41" s="184"/>
    </row>
    <row r="42" spans="1:10" ht="13.5" thickBot="1" x14ac:dyDescent="0.25">
      <c r="B42" s="72" t="s">
        <v>86</v>
      </c>
      <c r="C42" s="74" t="s">
        <v>87</v>
      </c>
      <c r="D42" s="50"/>
      <c r="E42" s="29">
        <v>792</v>
      </c>
      <c r="F42" s="57"/>
      <c r="G42" s="59"/>
      <c r="I42" s="425"/>
      <c r="J42" s="425"/>
    </row>
    <row r="43" spans="1:10" s="4" customFormat="1" ht="13.5" thickBot="1" x14ac:dyDescent="0.25">
      <c r="B43" s="46"/>
      <c r="C43" s="47"/>
      <c r="D43" s="48"/>
      <c r="E43" s="49">
        <f>SUM(E37:E42)</f>
        <v>5943.21</v>
      </c>
      <c r="F43" s="58"/>
      <c r="G43" s="65"/>
    </row>
    <row r="44" spans="1:10" ht="13.5" thickBot="1" x14ac:dyDescent="0.25">
      <c r="B44" s="75" t="s">
        <v>30</v>
      </c>
      <c r="C44" s="76" t="s">
        <v>5</v>
      </c>
      <c r="D44" s="76"/>
      <c r="E44" s="77">
        <v>1125</v>
      </c>
    </row>
    <row r="45" spans="1:10" ht="13.5" thickBot="1" x14ac:dyDescent="0.25">
      <c r="B45" s="10"/>
      <c r="C45" s="28" t="s">
        <v>0</v>
      </c>
      <c r="D45" s="28"/>
      <c r="E45" s="30">
        <f>SUM(E43:E44)</f>
        <v>7068.21</v>
      </c>
    </row>
    <row r="46" spans="1:10" x14ac:dyDescent="0.2">
      <c r="B46" s="10"/>
      <c r="C46" s="28"/>
      <c r="D46" s="28"/>
      <c r="E46" s="52"/>
    </row>
    <row r="47" spans="1:10" s="24" customFormat="1" ht="6.75" customHeight="1" x14ac:dyDescent="0.2">
      <c r="B47" s="25"/>
      <c r="C47" s="26"/>
      <c r="D47" s="26"/>
      <c r="E47" s="27"/>
      <c r="F47" s="53"/>
      <c r="G47" s="27"/>
      <c r="H47" s="27"/>
      <c r="I47" s="27"/>
    </row>
    <row r="48" spans="1:10" ht="19.5" customHeight="1" x14ac:dyDescent="0.2">
      <c r="A48" s="38"/>
      <c r="B48" s="20" t="s">
        <v>21</v>
      </c>
      <c r="C48" s="39" t="s">
        <v>46</v>
      </c>
      <c r="D48" s="33"/>
      <c r="E48" s="12"/>
      <c r="F48" s="54"/>
      <c r="G48" s="12"/>
      <c r="H48" s="12"/>
      <c r="I48" s="12"/>
    </row>
    <row r="49" spans="1:10" ht="19.5" customHeight="1" x14ac:dyDescent="0.2">
      <c r="B49" s="20" t="s">
        <v>23</v>
      </c>
      <c r="C49" s="427">
        <v>43551</v>
      </c>
      <c r="D49" s="428"/>
      <c r="E49" s="12"/>
      <c r="F49" s="54"/>
      <c r="G49" s="12"/>
      <c r="H49" s="12"/>
      <c r="I49" s="12"/>
    </row>
    <row r="50" spans="1:10" ht="4.5" customHeight="1" x14ac:dyDescent="0.45">
      <c r="B50" s="2"/>
      <c r="C50" s="17"/>
      <c r="D50" s="17"/>
      <c r="E50" s="424"/>
      <c r="F50" s="424"/>
      <c r="G50" s="3"/>
      <c r="H50" s="4"/>
      <c r="I50" s="4"/>
    </row>
    <row r="51" spans="1:10" s="140" customFormat="1" ht="13.5" thickBot="1" x14ac:dyDescent="0.25">
      <c r="B51" s="21" t="s">
        <v>22</v>
      </c>
      <c r="C51" s="44" t="s">
        <v>1</v>
      </c>
      <c r="D51" s="44"/>
      <c r="E51" s="23" t="s">
        <v>2</v>
      </c>
      <c r="F51" s="55"/>
    </row>
    <row r="52" spans="1:10" x14ac:dyDescent="0.2">
      <c r="B52" s="18" t="s">
        <v>25</v>
      </c>
      <c r="C52" s="19" t="s">
        <v>13</v>
      </c>
      <c r="D52" s="40"/>
      <c r="E52" s="67">
        <v>1541.52</v>
      </c>
      <c r="F52" s="59"/>
      <c r="G52" s="56"/>
    </row>
    <row r="53" spans="1:10" x14ac:dyDescent="0.2">
      <c r="B53" s="36" t="s">
        <v>26</v>
      </c>
      <c r="C53" s="22" t="s">
        <v>24</v>
      </c>
      <c r="D53" s="41"/>
      <c r="E53" s="67">
        <v>662.47</v>
      </c>
      <c r="F53" s="59"/>
      <c r="G53" s="66"/>
      <c r="H53" s="45"/>
    </row>
    <row r="54" spans="1:10" x14ac:dyDescent="0.2">
      <c r="B54" s="36" t="s">
        <v>3</v>
      </c>
      <c r="C54" s="22" t="s">
        <v>12</v>
      </c>
      <c r="D54" s="41"/>
      <c r="E54" s="67">
        <v>1037.75</v>
      </c>
      <c r="F54" s="59"/>
    </row>
    <row r="55" spans="1:10" x14ac:dyDescent="0.2">
      <c r="B55" s="13" t="s">
        <v>32</v>
      </c>
      <c r="C55" s="16" t="s">
        <v>11</v>
      </c>
      <c r="D55" s="42"/>
      <c r="E55" s="68">
        <v>977.47</v>
      </c>
    </row>
    <row r="56" spans="1:10" x14ac:dyDescent="0.2">
      <c r="B56" s="69" t="s">
        <v>75</v>
      </c>
      <c r="C56" s="73" t="s">
        <v>31</v>
      </c>
      <c r="D56" s="70"/>
      <c r="E56" s="71">
        <v>792</v>
      </c>
      <c r="G56" s="59"/>
      <c r="I56" s="184"/>
      <c r="J56" s="184"/>
    </row>
    <row r="57" spans="1:10" ht="13.5" thickBot="1" x14ac:dyDescent="0.25">
      <c r="B57" s="72" t="s">
        <v>26</v>
      </c>
      <c r="C57" s="74" t="s">
        <v>115</v>
      </c>
      <c r="D57" s="50"/>
      <c r="E57" s="29">
        <v>792</v>
      </c>
      <c r="F57" s="57"/>
      <c r="G57" s="56"/>
      <c r="I57" s="187"/>
      <c r="J57" s="187"/>
    </row>
    <row r="58" spans="1:10" s="4" customFormat="1" ht="13.5" thickBot="1" x14ac:dyDescent="0.25">
      <c r="B58" s="46"/>
      <c r="C58" s="47"/>
      <c r="D58" s="48"/>
      <c r="E58" s="49">
        <f>SUM(E52:E57)</f>
        <v>5803.21</v>
      </c>
      <c r="F58" s="58"/>
      <c r="G58" s="65"/>
    </row>
    <row r="59" spans="1:10" ht="13.5" thickBot="1" x14ac:dyDescent="0.25">
      <c r="B59" s="75" t="s">
        <v>30</v>
      </c>
      <c r="C59" s="76" t="s">
        <v>5</v>
      </c>
      <c r="D59" s="76"/>
      <c r="E59" s="77">
        <v>1125</v>
      </c>
    </row>
    <row r="60" spans="1:10" ht="13.5" thickBot="1" x14ac:dyDescent="0.25">
      <c r="B60" s="10"/>
      <c r="C60" s="28" t="s">
        <v>0</v>
      </c>
      <c r="D60" s="28"/>
      <c r="E60" s="30">
        <f>SUM(E58:E59)</f>
        <v>6928.21</v>
      </c>
    </row>
    <row r="61" spans="1:10" x14ac:dyDescent="0.2">
      <c r="B61" s="10"/>
      <c r="C61" s="28"/>
      <c r="D61" s="28"/>
      <c r="E61" s="52"/>
    </row>
    <row r="62" spans="1:10" s="6" customFormat="1" ht="13.15" customHeight="1" x14ac:dyDescent="0.2">
      <c r="A62" s="14" t="s">
        <v>6</v>
      </c>
      <c r="B62" s="15" t="s">
        <v>7</v>
      </c>
      <c r="C62" s="15"/>
      <c r="D62" s="31">
        <v>9000</v>
      </c>
      <c r="E62" s="43"/>
      <c r="F62" s="14" t="s">
        <v>34</v>
      </c>
      <c r="G62" s="15" t="s">
        <v>33</v>
      </c>
      <c r="H62" s="31">
        <v>3948.27</v>
      </c>
      <c r="I62" s="51"/>
    </row>
    <row r="63" spans="1:10" s="6" customFormat="1" ht="13.15" customHeight="1" x14ac:dyDescent="0.2">
      <c r="A63" s="14" t="s">
        <v>8</v>
      </c>
      <c r="B63" s="15" t="s">
        <v>9</v>
      </c>
      <c r="C63" s="15"/>
      <c r="D63" s="31">
        <v>311.83999999999997</v>
      </c>
      <c r="E63" s="43"/>
      <c r="F63" s="60" t="s">
        <v>41</v>
      </c>
      <c r="G63" s="15" t="s">
        <v>40</v>
      </c>
      <c r="H63" s="31">
        <v>0</v>
      </c>
      <c r="I63" s="51"/>
    </row>
    <row r="64" spans="1:10" s="6" customFormat="1" ht="13.15" customHeight="1" x14ac:dyDescent="0.2">
      <c r="A64" s="14" t="s">
        <v>27</v>
      </c>
      <c r="B64" s="15" t="s">
        <v>28</v>
      </c>
      <c r="C64" s="15"/>
      <c r="D64" s="31">
        <v>619.53</v>
      </c>
      <c r="E64" s="43"/>
      <c r="F64" s="60" t="s">
        <v>19</v>
      </c>
      <c r="G64" s="15" t="s">
        <v>20</v>
      </c>
      <c r="H64" s="31">
        <v>500</v>
      </c>
      <c r="I64" s="51"/>
    </row>
    <row r="65" spans="1:9" s="6" customFormat="1" ht="13.15" customHeight="1" x14ac:dyDescent="0.2">
      <c r="A65" s="14" t="s">
        <v>10</v>
      </c>
      <c r="B65" s="15" t="s">
        <v>35</v>
      </c>
      <c r="C65" s="31"/>
      <c r="D65" s="31">
        <v>5000</v>
      </c>
      <c r="E65" s="43"/>
      <c r="F65" s="60" t="s">
        <v>6</v>
      </c>
      <c r="G65" s="15" t="s">
        <v>42</v>
      </c>
      <c r="H65" s="31">
        <v>899</v>
      </c>
      <c r="I65" s="51"/>
    </row>
    <row r="66" spans="1:9" s="6" customFormat="1" ht="13.15" customHeight="1" x14ac:dyDescent="0.2">
      <c r="A66" s="14" t="s">
        <v>10</v>
      </c>
      <c r="B66" s="15" t="s">
        <v>36</v>
      </c>
      <c r="C66" s="31"/>
      <c r="D66" s="31">
        <v>4000</v>
      </c>
      <c r="E66" s="43"/>
      <c r="F66" s="60" t="s">
        <v>8</v>
      </c>
      <c r="G66" s="15" t="s">
        <v>14</v>
      </c>
      <c r="H66" s="31">
        <v>12000</v>
      </c>
      <c r="I66" s="51"/>
    </row>
    <row r="67" spans="1:9" s="6" customFormat="1" ht="13.15" customHeight="1" thickBot="1" x14ac:dyDescent="0.25">
      <c r="A67" s="14" t="s">
        <v>10</v>
      </c>
      <c r="B67" s="15" t="s">
        <v>37</v>
      </c>
      <c r="C67" s="31"/>
      <c r="D67" s="31">
        <v>1126.4100000000001</v>
      </c>
      <c r="E67" s="43"/>
      <c r="F67" s="61" t="s">
        <v>16</v>
      </c>
      <c r="G67" s="15" t="s">
        <v>15</v>
      </c>
      <c r="H67" s="32">
        <v>11000</v>
      </c>
      <c r="I67" s="51"/>
    </row>
    <row r="68" spans="1:9" s="6" customFormat="1" ht="13.15" customHeight="1" thickTop="1" thickBot="1" x14ac:dyDescent="0.25">
      <c r="A68" s="14"/>
      <c r="B68" s="15" t="s">
        <v>88</v>
      </c>
      <c r="C68" s="31"/>
      <c r="D68" s="31">
        <v>1000</v>
      </c>
      <c r="E68" s="43"/>
      <c r="F68" s="62"/>
      <c r="G68" s="15"/>
      <c r="H68" s="37">
        <f>SUM(H62:H67)+SUM(D62:D69)-D62</f>
        <v>40405.050000000003</v>
      </c>
      <c r="I68" s="51"/>
    </row>
    <row r="69" spans="1:9" s="6" customFormat="1" ht="13.15" customHeight="1" thickBot="1" x14ac:dyDescent="0.25">
      <c r="A69" s="14"/>
      <c r="B69" s="15"/>
      <c r="C69" s="31"/>
      <c r="D69" s="31"/>
      <c r="E69" s="31"/>
      <c r="F69" s="62"/>
      <c r="G69" s="34" t="s">
        <v>4</v>
      </c>
      <c r="H69" s="35">
        <f>E60+H68</f>
        <v>47333.26</v>
      </c>
      <c r="I69" s="37"/>
    </row>
    <row r="70" spans="1:9" s="6" customFormat="1" ht="13.15" customHeight="1" x14ac:dyDescent="0.2">
      <c r="B70" s="14"/>
      <c r="C70" s="15"/>
      <c r="D70" s="8"/>
      <c r="E70" s="31"/>
      <c r="F70" s="63"/>
      <c r="G70" s="8"/>
      <c r="H70" s="8"/>
      <c r="I70" s="37"/>
    </row>
    <row r="71" spans="1:9" s="6" customFormat="1" ht="13.15" customHeight="1" x14ac:dyDescent="0.2">
      <c r="B71" s="14"/>
      <c r="C71" s="15"/>
      <c r="D71" s="7"/>
      <c r="E71" s="8"/>
      <c r="F71" s="63"/>
      <c r="G71" s="8"/>
      <c r="H71" s="8"/>
      <c r="I71" s="37"/>
    </row>
    <row r="72" spans="1:9" s="6" customFormat="1" ht="13.15" customHeight="1" x14ac:dyDescent="0.2">
      <c r="A72" s="8"/>
      <c r="B72" s="9"/>
      <c r="C72" s="8"/>
      <c r="D72" s="7"/>
      <c r="E72" s="8"/>
      <c r="F72" s="63"/>
      <c r="G72" s="8"/>
      <c r="H72" s="8"/>
      <c r="I72" s="37"/>
    </row>
    <row r="73" spans="1:9" s="6" customFormat="1" ht="13.15" customHeight="1" x14ac:dyDescent="0.2">
      <c r="A73" s="8"/>
      <c r="B73" s="9"/>
      <c r="C73" s="7"/>
      <c r="D73" s="7"/>
      <c r="E73" s="8"/>
      <c r="F73" s="63"/>
      <c r="G73" s="8"/>
      <c r="H73" s="8"/>
      <c r="I73" s="37"/>
    </row>
    <row r="74" spans="1:9" s="6" customFormat="1" ht="13.15" customHeight="1" x14ac:dyDescent="0.2">
      <c r="A74" s="8"/>
      <c r="B74" s="9"/>
      <c r="C74" s="7"/>
      <c r="D74" s="7"/>
      <c r="E74" s="8"/>
      <c r="F74" s="63"/>
      <c r="G74" s="8"/>
      <c r="H74" s="8"/>
      <c r="I74" s="37"/>
    </row>
    <row r="75" spans="1:9" s="6" customFormat="1" ht="13.15" customHeight="1" x14ac:dyDescent="0.2">
      <c r="A75" s="8"/>
      <c r="B75" s="9"/>
      <c r="C75" s="7"/>
      <c r="D75" s="7"/>
      <c r="E75" s="8"/>
      <c r="F75" s="63"/>
      <c r="G75" s="8"/>
      <c r="H75" s="8"/>
      <c r="I75" s="37"/>
    </row>
    <row r="76" spans="1:9" s="8" customFormat="1" ht="12" x14ac:dyDescent="0.2">
      <c r="B76" s="9"/>
      <c r="C76" s="7"/>
      <c r="F76" s="63"/>
    </row>
    <row r="77" spans="1:9" s="8" customFormat="1" ht="12" x14ac:dyDescent="0.2">
      <c r="B77" s="9"/>
      <c r="C77" s="7"/>
      <c r="F77" s="63"/>
    </row>
    <row r="78" spans="1:9" s="8" customFormat="1" ht="12" x14ac:dyDescent="0.2">
      <c r="B78" s="9"/>
      <c r="C78" s="7"/>
      <c r="F78" s="63"/>
    </row>
    <row r="79" spans="1:9" s="8" customFormat="1" ht="12" x14ac:dyDescent="0.2">
      <c r="B79" s="9"/>
      <c r="F79" s="63"/>
    </row>
    <row r="80" spans="1:9" s="8" customFormat="1" ht="12" x14ac:dyDescent="0.2">
      <c r="B80" s="9"/>
      <c r="F80" s="63"/>
    </row>
    <row r="81" spans="1:9" s="8" customFormat="1" ht="12" x14ac:dyDescent="0.2">
      <c r="B81" s="9"/>
      <c r="F81" s="63"/>
    </row>
    <row r="82" spans="1:9" s="8" customFormat="1" x14ac:dyDescent="0.2">
      <c r="B82" s="9"/>
      <c r="D82" s="5"/>
      <c r="F82" s="63"/>
    </row>
    <row r="83" spans="1:9" s="8" customFormat="1" x14ac:dyDescent="0.2">
      <c r="B83" s="9"/>
      <c r="D83" s="5"/>
      <c r="F83" s="45"/>
      <c r="G83" s="5"/>
      <c r="H83" s="5"/>
    </row>
    <row r="84" spans="1:9" s="8" customFormat="1" x14ac:dyDescent="0.2">
      <c r="B84" s="9"/>
      <c r="D84" s="5"/>
      <c r="E84" s="5"/>
      <c r="F84" s="45"/>
      <c r="G84" s="5"/>
      <c r="H84" s="5"/>
    </row>
    <row r="85" spans="1:9" s="8" customFormat="1" x14ac:dyDescent="0.2">
      <c r="B85" s="11"/>
      <c r="C85" s="5"/>
      <c r="D85" s="5"/>
      <c r="E85" s="5"/>
      <c r="F85" s="45"/>
      <c r="G85" s="5"/>
      <c r="H85" s="5"/>
    </row>
    <row r="86" spans="1:9" s="8" customFormat="1" x14ac:dyDescent="0.2">
      <c r="B86" s="11"/>
      <c r="C86" s="5"/>
      <c r="D86" s="5"/>
      <c r="E86" s="5"/>
      <c r="F86" s="45"/>
      <c r="G86" s="5"/>
      <c r="H86" s="5"/>
    </row>
    <row r="87" spans="1:9" s="8" customFormat="1" x14ac:dyDescent="0.2">
      <c r="B87" s="11"/>
      <c r="C87" s="5"/>
      <c r="D87" s="5"/>
      <c r="E87" s="5"/>
      <c r="F87" s="45"/>
      <c r="G87" s="5"/>
      <c r="H87" s="5"/>
    </row>
    <row r="88" spans="1:9" s="8" customFormat="1" x14ac:dyDescent="0.2">
      <c r="B88" s="11"/>
      <c r="C88" s="5"/>
      <c r="D88" s="5"/>
      <c r="E88" s="5"/>
      <c r="F88" s="45"/>
      <c r="G88" s="5"/>
      <c r="H88" s="5"/>
    </row>
    <row r="89" spans="1:9" s="8" customFormat="1" x14ac:dyDescent="0.2">
      <c r="A89" s="5"/>
      <c r="B89" s="11"/>
      <c r="C89" s="5"/>
      <c r="D89" s="5"/>
      <c r="E89" s="5"/>
      <c r="F89" s="45"/>
      <c r="G89" s="5"/>
      <c r="H89" s="5"/>
      <c r="I89" s="5"/>
    </row>
    <row r="90" spans="1:9" s="8" customFormat="1" x14ac:dyDescent="0.2">
      <c r="A90" s="5"/>
      <c r="B90" s="11"/>
      <c r="C90" s="5"/>
      <c r="D90" s="5"/>
      <c r="E90" s="5"/>
      <c r="F90" s="45"/>
      <c r="G90" s="5"/>
      <c r="H90" s="5"/>
      <c r="I90" s="5"/>
    </row>
    <row r="91" spans="1:9" s="8" customFormat="1" x14ac:dyDescent="0.2">
      <c r="A91" s="5"/>
      <c r="B91" s="11"/>
      <c r="C91" s="5"/>
      <c r="D91" s="5"/>
      <c r="E91" s="5"/>
      <c r="F91" s="45"/>
      <c r="G91" s="5"/>
      <c r="H91" s="5"/>
      <c r="I91" s="5"/>
    </row>
    <row r="92" spans="1:9" s="8" customFormat="1" x14ac:dyDescent="0.2">
      <c r="A92" s="5"/>
      <c r="B92" s="11"/>
      <c r="C92" s="5"/>
      <c r="D92" s="5"/>
      <c r="E92" s="5"/>
      <c r="F92" s="45"/>
      <c r="G92" s="5"/>
      <c r="H92" s="5"/>
      <c r="I92" s="5"/>
    </row>
  </sheetData>
  <mergeCells count="12">
    <mergeCell ref="E50:F50"/>
    <mergeCell ref="E20:F20"/>
    <mergeCell ref="A1:J1"/>
    <mergeCell ref="C4:D4"/>
    <mergeCell ref="E5:F5"/>
    <mergeCell ref="I12:J12"/>
    <mergeCell ref="C19:D19"/>
    <mergeCell ref="I27:J27"/>
    <mergeCell ref="C34:D34"/>
    <mergeCell ref="E35:F35"/>
    <mergeCell ref="I42:J42"/>
    <mergeCell ref="C49:D49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opLeftCell="A46" zoomScaleNormal="100" workbookViewId="0">
      <selection activeCell="I63" sqref="A63:I82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9.85546875" style="5" customWidth="1"/>
    <col min="5" max="5" width="10.5703125" style="5" customWidth="1"/>
    <col min="6" max="6" width="7" style="45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426" t="s">
        <v>129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0" s="24" customFormat="1" ht="6.75" customHeight="1" x14ac:dyDescent="0.2">
      <c r="B2" s="25"/>
      <c r="C2" s="26"/>
      <c r="D2" s="26"/>
      <c r="E2" s="27"/>
      <c r="F2" s="53"/>
      <c r="G2" s="64"/>
      <c r="H2" s="27"/>
      <c r="I2" s="27"/>
    </row>
    <row r="3" spans="1:10" ht="19.5" customHeight="1" x14ac:dyDescent="0.2">
      <c r="A3" s="38"/>
      <c r="B3" s="20" t="s">
        <v>21</v>
      </c>
      <c r="C3" s="39" t="s">
        <v>49</v>
      </c>
      <c r="D3" s="33"/>
      <c r="E3" s="12"/>
      <c r="F3" s="54"/>
      <c r="G3" s="12"/>
      <c r="H3" s="12"/>
      <c r="I3" s="12"/>
    </row>
    <row r="4" spans="1:10" ht="19.5" customHeight="1" x14ac:dyDescent="0.2">
      <c r="B4" s="20" t="s">
        <v>23</v>
      </c>
      <c r="C4" s="427">
        <v>43586</v>
      </c>
      <c r="D4" s="428"/>
      <c r="E4" s="12"/>
      <c r="F4" s="54"/>
      <c r="G4" s="12"/>
      <c r="H4" s="12"/>
      <c r="I4" s="12"/>
    </row>
    <row r="5" spans="1:10" ht="4.5" customHeight="1" x14ac:dyDescent="0.45">
      <c r="B5" s="2"/>
      <c r="C5" s="17"/>
      <c r="D5" s="17"/>
      <c r="E5" s="424"/>
      <c r="F5" s="424"/>
      <c r="G5" s="3"/>
      <c r="H5" s="4"/>
      <c r="I5" s="4"/>
    </row>
    <row r="6" spans="1:10" s="140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55"/>
    </row>
    <row r="7" spans="1:10" x14ac:dyDescent="0.2">
      <c r="B7" s="18" t="s">
        <v>25</v>
      </c>
      <c r="C7" s="19" t="s">
        <v>13</v>
      </c>
      <c r="D7" s="40"/>
      <c r="E7" s="67">
        <v>2337.94</v>
      </c>
      <c r="G7" s="56"/>
    </row>
    <row r="8" spans="1:10" x14ac:dyDescent="0.2">
      <c r="B8" s="36" t="s">
        <v>26</v>
      </c>
      <c r="C8" s="22" t="s">
        <v>24</v>
      </c>
      <c r="D8" s="41"/>
      <c r="E8" s="67">
        <v>802.47</v>
      </c>
      <c r="F8" s="59"/>
      <c r="G8" s="137"/>
      <c r="H8" s="45"/>
    </row>
    <row r="9" spans="1:10" x14ac:dyDescent="0.2">
      <c r="B9" s="36" t="s">
        <v>3</v>
      </c>
      <c r="C9" s="22" t="s">
        <v>12</v>
      </c>
      <c r="D9" s="41"/>
      <c r="E9" s="67">
        <v>1037.75</v>
      </c>
      <c r="F9" s="59"/>
      <c r="G9" s="138"/>
    </row>
    <row r="10" spans="1:10" x14ac:dyDescent="0.2">
      <c r="B10" s="13" t="s">
        <v>32</v>
      </c>
      <c r="C10" s="16" t="s">
        <v>11</v>
      </c>
      <c r="D10" s="42"/>
      <c r="E10" s="68">
        <v>977.47</v>
      </c>
    </row>
    <row r="11" spans="1:10" x14ac:dyDescent="0.2">
      <c r="B11" s="69" t="s">
        <v>26</v>
      </c>
      <c r="C11" s="73" t="s">
        <v>31</v>
      </c>
      <c r="D11" s="70"/>
      <c r="E11" s="71">
        <v>792</v>
      </c>
      <c r="G11" s="56"/>
      <c r="I11" s="186"/>
      <c r="J11" s="186"/>
    </row>
    <row r="12" spans="1:10" ht="12" customHeight="1" thickBot="1" x14ac:dyDescent="0.25">
      <c r="B12" s="72" t="s">
        <v>86</v>
      </c>
      <c r="C12" s="74" t="s">
        <v>115</v>
      </c>
      <c r="D12" s="50"/>
      <c r="E12" s="29">
        <v>792</v>
      </c>
      <c r="F12" s="57"/>
      <c r="G12" s="56"/>
      <c r="I12" s="425"/>
      <c r="J12" s="425"/>
    </row>
    <row r="13" spans="1:10" s="4" customFormat="1" ht="13.5" thickBot="1" x14ac:dyDescent="0.25">
      <c r="B13" s="46"/>
      <c r="C13" s="47"/>
      <c r="D13" s="48"/>
      <c r="E13" s="49">
        <f>SUM(E7:E12)</f>
        <v>6739.63</v>
      </c>
      <c r="F13" s="58"/>
      <c r="G13" s="65"/>
    </row>
    <row r="14" spans="1:10" ht="13.5" thickBot="1" x14ac:dyDescent="0.25">
      <c r="B14" s="75" t="s">
        <v>30</v>
      </c>
      <c r="C14" s="76" t="s">
        <v>5</v>
      </c>
      <c r="D14" s="76"/>
      <c r="E14" s="77">
        <v>1125</v>
      </c>
    </row>
    <row r="15" spans="1:10" ht="13.5" thickBot="1" x14ac:dyDescent="0.25">
      <c r="B15" s="10"/>
      <c r="C15" s="28" t="s">
        <v>0</v>
      </c>
      <c r="D15" s="28"/>
      <c r="E15" s="30">
        <f>SUM(E13:E14)</f>
        <v>7864.63</v>
      </c>
    </row>
    <row r="16" spans="1:10" x14ac:dyDescent="0.2">
      <c r="B16" s="10"/>
      <c r="C16" s="28"/>
      <c r="D16" s="28"/>
      <c r="E16" s="52"/>
    </row>
    <row r="17" spans="1:10" s="24" customFormat="1" ht="6.75" customHeight="1" x14ac:dyDescent="0.2">
      <c r="B17" s="25"/>
      <c r="C17" s="26"/>
      <c r="D17" s="26"/>
      <c r="E17" s="27"/>
      <c r="F17" s="53"/>
      <c r="G17" s="27"/>
      <c r="H17" s="27"/>
      <c r="I17" s="27"/>
    </row>
    <row r="18" spans="1:10" ht="19.5" customHeight="1" x14ac:dyDescent="0.2">
      <c r="A18" s="38"/>
      <c r="B18" s="20" t="s">
        <v>21</v>
      </c>
      <c r="C18" s="39" t="s">
        <v>50</v>
      </c>
      <c r="D18" s="33"/>
      <c r="E18" s="12"/>
      <c r="F18" s="54"/>
      <c r="G18" s="12"/>
      <c r="H18" s="12"/>
      <c r="I18" s="12"/>
    </row>
    <row r="19" spans="1:10" ht="19.5" customHeight="1" x14ac:dyDescent="0.2">
      <c r="B19" s="20" t="s">
        <v>23</v>
      </c>
      <c r="C19" s="427">
        <v>43593</v>
      </c>
      <c r="D19" s="428"/>
      <c r="E19" s="12"/>
      <c r="F19" s="54"/>
      <c r="G19" s="12"/>
      <c r="H19" s="12"/>
      <c r="I19" s="12"/>
    </row>
    <row r="20" spans="1:10" ht="4.5" customHeight="1" x14ac:dyDescent="0.45">
      <c r="B20" s="2"/>
      <c r="C20" s="17"/>
      <c r="D20" s="17"/>
      <c r="E20" s="424"/>
      <c r="F20" s="424"/>
      <c r="G20" s="3"/>
      <c r="H20" s="4"/>
      <c r="I20" s="4"/>
    </row>
    <row r="21" spans="1:10" s="140" customFormat="1" ht="13.5" thickBot="1" x14ac:dyDescent="0.25">
      <c r="B21" s="21" t="s">
        <v>22</v>
      </c>
      <c r="C21" s="44" t="s">
        <v>1</v>
      </c>
      <c r="D21" s="44"/>
      <c r="E21" s="23" t="s">
        <v>2</v>
      </c>
      <c r="F21" s="55"/>
    </row>
    <row r="22" spans="1:10" x14ac:dyDescent="0.2">
      <c r="B22" s="18" t="s">
        <v>25</v>
      </c>
      <c r="C22" s="19" t="s">
        <v>13</v>
      </c>
      <c r="D22" s="40"/>
      <c r="E22" s="67">
        <v>3347.59</v>
      </c>
      <c r="G22" s="56"/>
    </row>
    <row r="23" spans="1:10" x14ac:dyDescent="0.2">
      <c r="B23" s="36" t="s">
        <v>26</v>
      </c>
      <c r="C23" s="22" t="s">
        <v>24</v>
      </c>
      <c r="D23" s="41"/>
      <c r="E23" s="67">
        <v>802.47</v>
      </c>
      <c r="F23" s="59"/>
      <c r="G23" s="137" t="s">
        <v>130</v>
      </c>
      <c r="H23" s="45"/>
    </row>
    <row r="24" spans="1:10" x14ac:dyDescent="0.2">
      <c r="B24" s="36" t="s">
        <v>3</v>
      </c>
      <c r="C24" s="22" t="s">
        <v>12</v>
      </c>
      <c r="D24" s="41"/>
      <c r="E24" s="67">
        <v>1037.75</v>
      </c>
      <c r="F24" s="59"/>
      <c r="G24" s="138"/>
    </row>
    <row r="25" spans="1:10" x14ac:dyDescent="0.2">
      <c r="B25" s="13" t="s">
        <v>32</v>
      </c>
      <c r="C25" s="16" t="s">
        <v>11</v>
      </c>
      <c r="D25" s="42"/>
      <c r="E25" s="68">
        <v>977.47</v>
      </c>
    </row>
    <row r="26" spans="1:10" x14ac:dyDescent="0.2">
      <c r="B26" s="69" t="s">
        <v>26</v>
      </c>
      <c r="C26" s="73" t="s">
        <v>31</v>
      </c>
      <c r="D26" s="70"/>
      <c r="E26" s="71">
        <v>792</v>
      </c>
      <c r="G26" s="56"/>
      <c r="I26" s="186"/>
      <c r="J26" s="186"/>
    </row>
    <row r="27" spans="1:10" ht="12" customHeight="1" thickBot="1" x14ac:dyDescent="0.25">
      <c r="B27" s="72" t="s">
        <v>26</v>
      </c>
      <c r="C27" s="74" t="s">
        <v>115</v>
      </c>
      <c r="D27" s="50"/>
      <c r="E27" s="29">
        <v>792</v>
      </c>
      <c r="F27" s="57"/>
      <c r="G27" s="59"/>
      <c r="I27" s="425"/>
      <c r="J27" s="425"/>
    </row>
    <row r="28" spans="1:10" s="4" customFormat="1" ht="13.5" thickBot="1" x14ac:dyDescent="0.25">
      <c r="B28" s="46"/>
      <c r="C28" s="47"/>
      <c r="D28" s="48"/>
      <c r="E28" s="49">
        <f>SUM(E22:E27)</f>
        <v>7749.2800000000007</v>
      </c>
      <c r="F28" s="58"/>
      <c r="G28" s="65"/>
    </row>
    <row r="29" spans="1:10" ht="13.5" thickBot="1" x14ac:dyDescent="0.25">
      <c r="B29" s="75" t="s">
        <v>30</v>
      </c>
      <c r="C29" s="76" t="s">
        <v>5</v>
      </c>
      <c r="D29" s="76"/>
      <c r="E29" s="77">
        <v>1125</v>
      </c>
    </row>
    <row r="30" spans="1:10" ht="13.5" thickBot="1" x14ac:dyDescent="0.25">
      <c r="B30" s="10"/>
      <c r="C30" s="28" t="s">
        <v>0</v>
      </c>
      <c r="D30" s="28"/>
      <c r="E30" s="30">
        <f>SUM(E28:E29)</f>
        <v>8874.2800000000007</v>
      </c>
    </row>
    <row r="31" spans="1:10" x14ac:dyDescent="0.2">
      <c r="B31" s="10"/>
      <c r="C31" s="28"/>
      <c r="D31" s="28"/>
      <c r="E31" s="52"/>
    </row>
    <row r="32" spans="1:10" s="24" customFormat="1" ht="6.75" customHeight="1" x14ac:dyDescent="0.2">
      <c r="B32" s="25"/>
      <c r="C32" s="26"/>
      <c r="D32" s="26"/>
      <c r="E32" s="27"/>
      <c r="F32" s="53"/>
      <c r="G32" s="27"/>
      <c r="H32" s="27"/>
      <c r="I32" s="27"/>
    </row>
    <row r="33" spans="1:10" ht="19.5" customHeight="1" x14ac:dyDescent="0.2">
      <c r="A33" s="38"/>
      <c r="B33" s="20" t="s">
        <v>21</v>
      </c>
      <c r="C33" s="39" t="s">
        <v>51</v>
      </c>
      <c r="D33" s="33"/>
      <c r="E33" s="12"/>
      <c r="F33" s="54"/>
      <c r="G33" s="12"/>
      <c r="H33" s="12"/>
      <c r="I33" s="12"/>
    </row>
    <row r="34" spans="1:10" ht="19.5" customHeight="1" x14ac:dyDescent="0.2">
      <c r="B34" s="20" t="s">
        <v>23</v>
      </c>
      <c r="C34" s="428">
        <v>43600</v>
      </c>
      <c r="D34" s="428"/>
      <c r="E34" s="12"/>
      <c r="F34" s="54"/>
      <c r="G34" s="12"/>
      <c r="H34" s="12"/>
      <c r="I34" s="12"/>
    </row>
    <row r="35" spans="1:10" ht="4.5" customHeight="1" x14ac:dyDescent="0.45">
      <c r="B35" s="2"/>
      <c r="C35" s="17"/>
      <c r="D35" s="17"/>
      <c r="E35" s="424"/>
      <c r="F35" s="424"/>
      <c r="G35" s="3"/>
      <c r="H35" s="4"/>
      <c r="I35" s="4"/>
    </row>
    <row r="36" spans="1:10" s="140" customFormat="1" ht="13.5" thickBot="1" x14ac:dyDescent="0.25">
      <c r="B36" s="21" t="s">
        <v>22</v>
      </c>
      <c r="C36" s="44" t="s">
        <v>1</v>
      </c>
      <c r="D36" s="44"/>
      <c r="E36" s="23" t="s">
        <v>2</v>
      </c>
      <c r="F36" s="55"/>
    </row>
    <row r="37" spans="1:10" x14ac:dyDescent="0.2">
      <c r="B37" s="18" t="s">
        <v>25</v>
      </c>
      <c r="C37" s="19" t="s">
        <v>13</v>
      </c>
      <c r="D37" s="40"/>
      <c r="E37" s="67">
        <v>4497.17</v>
      </c>
      <c r="F37" s="59"/>
      <c r="G37" s="56"/>
    </row>
    <row r="38" spans="1:10" x14ac:dyDescent="0.2">
      <c r="B38" s="36" t="s">
        <v>26</v>
      </c>
      <c r="C38" s="22" t="s">
        <v>24</v>
      </c>
      <c r="D38" s="41"/>
      <c r="E38" s="67">
        <v>602.47</v>
      </c>
      <c r="F38" s="59"/>
      <c r="G38" s="66"/>
      <c r="H38" s="45"/>
    </row>
    <row r="39" spans="1:10" x14ac:dyDescent="0.2">
      <c r="B39" s="36" t="s">
        <v>3</v>
      </c>
      <c r="C39" s="22" t="s">
        <v>12</v>
      </c>
      <c r="D39" s="41"/>
      <c r="E39" s="67">
        <v>1037.75</v>
      </c>
      <c r="F39" s="59"/>
    </row>
    <row r="40" spans="1:10" x14ac:dyDescent="0.2">
      <c r="B40" s="13" t="s">
        <v>32</v>
      </c>
      <c r="C40" s="16" t="s">
        <v>11</v>
      </c>
      <c r="D40" s="42"/>
      <c r="E40" s="68">
        <v>977.47</v>
      </c>
    </row>
    <row r="41" spans="1:10" x14ac:dyDescent="0.2">
      <c r="B41" s="69" t="s">
        <v>75</v>
      </c>
      <c r="C41" s="73" t="s">
        <v>31</v>
      </c>
      <c r="D41" s="70"/>
      <c r="E41" s="71">
        <v>792</v>
      </c>
      <c r="G41" s="59"/>
      <c r="I41" s="186"/>
      <c r="J41" s="186"/>
    </row>
    <row r="42" spans="1:10" ht="13.5" thickBot="1" x14ac:dyDescent="0.25">
      <c r="B42" s="72" t="s">
        <v>26</v>
      </c>
      <c r="C42" s="74" t="s">
        <v>115</v>
      </c>
      <c r="D42" s="50"/>
      <c r="E42" s="29">
        <v>792</v>
      </c>
      <c r="F42" s="57"/>
      <c r="G42" s="59"/>
      <c r="I42" s="425"/>
      <c r="J42" s="425"/>
    </row>
    <row r="43" spans="1:10" s="4" customFormat="1" ht="13.5" thickBot="1" x14ac:dyDescent="0.25">
      <c r="B43" s="46"/>
      <c r="C43" s="47"/>
      <c r="D43" s="48"/>
      <c r="E43" s="49">
        <f>SUM(E37:E42)</f>
        <v>8698.86</v>
      </c>
      <c r="F43" s="58"/>
      <c r="G43" s="65"/>
    </row>
    <row r="44" spans="1:10" ht="13.5" thickBot="1" x14ac:dyDescent="0.25">
      <c r="B44" s="75" t="s">
        <v>30</v>
      </c>
      <c r="C44" s="76" t="s">
        <v>5</v>
      </c>
      <c r="D44" s="76"/>
      <c r="E44" s="77">
        <v>1125</v>
      </c>
    </row>
    <row r="45" spans="1:10" ht="13.5" thickBot="1" x14ac:dyDescent="0.25">
      <c r="B45" s="10"/>
      <c r="C45" s="28" t="s">
        <v>0</v>
      </c>
      <c r="D45" s="28"/>
      <c r="E45" s="30">
        <f>SUM(E43:E44)</f>
        <v>9823.86</v>
      </c>
    </row>
    <row r="46" spans="1:10" x14ac:dyDescent="0.2">
      <c r="B46" s="10"/>
      <c r="C46" s="28"/>
      <c r="D46" s="28"/>
      <c r="E46" s="52"/>
    </row>
    <row r="47" spans="1:10" s="24" customFormat="1" ht="6.75" customHeight="1" x14ac:dyDescent="0.2">
      <c r="B47" s="25"/>
      <c r="C47" s="26"/>
      <c r="D47" s="26"/>
      <c r="E47" s="27"/>
      <c r="F47" s="53"/>
      <c r="G47" s="27"/>
      <c r="H47" s="27"/>
      <c r="I47" s="27"/>
    </row>
    <row r="48" spans="1:10" ht="19.5" customHeight="1" x14ac:dyDescent="0.2">
      <c r="A48" s="38"/>
      <c r="B48" s="20" t="s">
        <v>21</v>
      </c>
      <c r="C48" s="39" t="s">
        <v>52</v>
      </c>
      <c r="D48" s="33"/>
      <c r="E48" s="12"/>
      <c r="F48" s="54"/>
      <c r="G48" s="12"/>
      <c r="H48" s="12"/>
      <c r="I48" s="12"/>
    </row>
    <row r="49" spans="1:10" ht="19.5" customHeight="1" x14ac:dyDescent="0.2">
      <c r="B49" s="20" t="s">
        <v>23</v>
      </c>
      <c r="C49" s="428">
        <v>43607</v>
      </c>
      <c r="D49" s="428"/>
      <c r="E49" s="12"/>
      <c r="F49" s="54"/>
      <c r="G49" s="12"/>
      <c r="H49" s="12"/>
      <c r="I49" s="12"/>
    </row>
    <row r="50" spans="1:10" ht="4.5" customHeight="1" x14ac:dyDescent="0.45">
      <c r="B50" s="2"/>
      <c r="C50" s="17"/>
      <c r="D50" s="17"/>
      <c r="E50" s="424"/>
      <c r="F50" s="424"/>
      <c r="G50" s="3"/>
      <c r="H50" s="4"/>
      <c r="I50" s="4"/>
    </row>
    <row r="51" spans="1:10" s="140" customFormat="1" ht="13.5" thickBot="1" x14ac:dyDescent="0.25">
      <c r="B51" s="21" t="s">
        <v>22</v>
      </c>
      <c r="C51" s="44" t="s">
        <v>1</v>
      </c>
      <c r="D51" s="44"/>
      <c r="E51" s="23" t="s">
        <v>2</v>
      </c>
      <c r="F51" s="55"/>
      <c r="H51" s="189" t="s">
        <v>132</v>
      </c>
    </row>
    <row r="52" spans="1:10" x14ac:dyDescent="0.2">
      <c r="B52" s="18" t="s">
        <v>25</v>
      </c>
      <c r="C52" s="19" t="s">
        <v>13</v>
      </c>
      <c r="D52" s="40"/>
      <c r="E52" s="67">
        <f>2671.33-(H52/2)</f>
        <v>2320.96</v>
      </c>
      <c r="F52" s="59"/>
      <c r="G52" s="188" t="s">
        <v>131</v>
      </c>
      <c r="H52" s="45">
        <v>700.74</v>
      </c>
    </row>
    <row r="53" spans="1:10" x14ac:dyDescent="0.2">
      <c r="B53" s="36" t="s">
        <v>26</v>
      </c>
      <c r="C53" s="22" t="s">
        <v>24</v>
      </c>
      <c r="D53" s="41"/>
      <c r="E53" s="67">
        <v>602.47</v>
      </c>
      <c r="F53" s="59"/>
      <c r="G53" s="66"/>
      <c r="H53" s="45" t="s">
        <v>133</v>
      </c>
    </row>
    <row r="54" spans="1:10" x14ac:dyDescent="0.2">
      <c r="B54" s="36" t="s">
        <v>3</v>
      </c>
      <c r="C54" s="22" t="s">
        <v>12</v>
      </c>
      <c r="D54" s="41"/>
      <c r="E54" s="67">
        <v>1037.75</v>
      </c>
      <c r="F54" s="59"/>
    </row>
    <row r="55" spans="1:10" x14ac:dyDescent="0.2">
      <c r="B55" s="13" t="s">
        <v>32</v>
      </c>
      <c r="C55" s="16" t="s">
        <v>11</v>
      </c>
      <c r="D55" s="42"/>
      <c r="E55" s="68">
        <v>1261.05</v>
      </c>
    </row>
    <row r="56" spans="1:10" x14ac:dyDescent="0.2">
      <c r="B56" s="69" t="s">
        <v>75</v>
      </c>
      <c r="C56" s="73" t="s">
        <v>31</v>
      </c>
      <c r="D56" s="70"/>
      <c r="E56" s="71">
        <v>792</v>
      </c>
      <c r="G56" s="59"/>
      <c r="I56" s="186"/>
      <c r="J56" s="186"/>
    </row>
    <row r="57" spans="1:10" ht="13.5" thickBot="1" x14ac:dyDescent="0.25">
      <c r="B57" s="72" t="s">
        <v>26</v>
      </c>
      <c r="C57" s="74" t="s">
        <v>115</v>
      </c>
      <c r="D57" s="50"/>
      <c r="E57" s="29">
        <v>1029.5999999999999</v>
      </c>
      <c r="F57" s="57"/>
      <c r="G57" s="59"/>
      <c r="I57" s="425"/>
      <c r="J57" s="425"/>
    </row>
    <row r="58" spans="1:10" s="4" customFormat="1" ht="13.5" thickBot="1" x14ac:dyDescent="0.25">
      <c r="B58" s="46"/>
      <c r="C58" s="47"/>
      <c r="D58" s="48"/>
      <c r="E58" s="49">
        <f>SUM(E52:E57)</f>
        <v>7043.83</v>
      </c>
      <c r="F58" s="58"/>
      <c r="G58" s="65"/>
    </row>
    <row r="59" spans="1:10" ht="13.5" thickBot="1" x14ac:dyDescent="0.25">
      <c r="B59" s="75" t="s">
        <v>30</v>
      </c>
      <c r="C59" s="76" t="s">
        <v>5</v>
      </c>
      <c r="D59" s="76"/>
      <c r="E59" s="77">
        <v>1125</v>
      </c>
    </row>
    <row r="60" spans="1:10" ht="13.5" thickBot="1" x14ac:dyDescent="0.25">
      <c r="B60" s="10"/>
      <c r="C60" s="28" t="s">
        <v>0</v>
      </c>
      <c r="D60" s="28"/>
      <c r="E60" s="30">
        <f>SUM(E58:E59)</f>
        <v>8168.83</v>
      </c>
    </row>
    <row r="61" spans="1:10" x14ac:dyDescent="0.2">
      <c r="B61" s="10"/>
      <c r="C61" s="28"/>
      <c r="D61" s="28"/>
      <c r="E61" s="52"/>
    </row>
    <row r="62" spans="1:10" s="24" customFormat="1" ht="6.75" customHeight="1" x14ac:dyDescent="0.2">
      <c r="B62" s="25"/>
      <c r="C62" s="26"/>
      <c r="D62" s="26"/>
      <c r="E62" s="27"/>
      <c r="F62" s="53"/>
      <c r="G62" s="27"/>
      <c r="H62" s="27"/>
      <c r="I62" s="27"/>
    </row>
    <row r="63" spans="1:10" ht="19.5" customHeight="1" x14ac:dyDescent="0.2">
      <c r="A63" s="38"/>
      <c r="B63" s="20" t="s">
        <v>21</v>
      </c>
      <c r="C63" s="39" t="s">
        <v>53</v>
      </c>
      <c r="D63" s="33"/>
      <c r="E63" s="12"/>
      <c r="F63" s="54"/>
      <c r="G63" s="12"/>
      <c r="H63" s="12"/>
      <c r="I63" s="12"/>
    </row>
    <row r="64" spans="1:10" ht="19.5" customHeight="1" x14ac:dyDescent="0.2">
      <c r="B64" s="20" t="s">
        <v>23</v>
      </c>
      <c r="C64" s="427">
        <v>43614</v>
      </c>
      <c r="D64" s="428"/>
      <c r="E64" s="12"/>
      <c r="F64" s="54"/>
      <c r="G64" s="12"/>
      <c r="H64" s="12"/>
      <c r="I64" s="12"/>
    </row>
    <row r="65" spans="1:10" ht="4.5" customHeight="1" x14ac:dyDescent="0.45">
      <c r="B65" s="2"/>
      <c r="C65" s="17"/>
      <c r="D65" s="17"/>
      <c r="E65" s="424"/>
      <c r="F65" s="424"/>
      <c r="G65" s="3"/>
      <c r="H65" s="4"/>
      <c r="I65" s="4"/>
    </row>
    <row r="66" spans="1:10" s="140" customFormat="1" ht="13.5" thickBot="1" x14ac:dyDescent="0.25">
      <c r="B66" s="21" t="s">
        <v>22</v>
      </c>
      <c r="C66" s="44" t="s">
        <v>1</v>
      </c>
      <c r="D66" s="44"/>
      <c r="E66" s="23" t="s">
        <v>2</v>
      </c>
      <c r="F66" s="55"/>
    </row>
    <row r="67" spans="1:10" x14ac:dyDescent="0.2">
      <c r="B67" s="18" t="s">
        <v>25</v>
      </c>
      <c r="C67" s="19" t="s">
        <v>13</v>
      </c>
      <c r="D67" s="40"/>
      <c r="E67" s="67">
        <f>4481.64-(H52/2)</f>
        <v>4131.2700000000004</v>
      </c>
      <c r="F67" s="59"/>
      <c r="G67" s="56"/>
    </row>
    <row r="68" spans="1:10" x14ac:dyDescent="0.2">
      <c r="B68" s="36" t="s">
        <v>26</v>
      </c>
      <c r="C68" s="22" t="s">
        <v>24</v>
      </c>
      <c r="D68" s="41"/>
      <c r="E68" s="67">
        <v>802.47</v>
      </c>
      <c r="F68" s="59"/>
      <c r="G68" s="66"/>
      <c r="H68" s="45"/>
    </row>
    <row r="69" spans="1:10" x14ac:dyDescent="0.2">
      <c r="B69" s="36" t="s">
        <v>3</v>
      </c>
      <c r="C69" s="22" t="s">
        <v>12</v>
      </c>
      <c r="D69" s="41"/>
      <c r="E69" s="67">
        <v>1037.75</v>
      </c>
      <c r="F69" s="59"/>
    </row>
    <row r="70" spans="1:10" x14ac:dyDescent="0.2">
      <c r="B70" s="13" t="s">
        <v>32</v>
      </c>
      <c r="C70" s="16" t="s">
        <v>11</v>
      </c>
      <c r="D70" s="42"/>
      <c r="E70" s="68">
        <v>977.47</v>
      </c>
    </row>
    <row r="71" spans="1:10" x14ac:dyDescent="0.2">
      <c r="B71" s="69" t="s">
        <v>75</v>
      </c>
      <c r="C71" s="73" t="s">
        <v>31</v>
      </c>
      <c r="D71" s="70"/>
      <c r="E71" s="71">
        <v>792</v>
      </c>
      <c r="G71" s="59"/>
      <c r="I71" s="186"/>
      <c r="J71" s="186"/>
    </row>
    <row r="72" spans="1:10" ht="13.5" thickBot="1" x14ac:dyDescent="0.25">
      <c r="B72" s="72" t="s">
        <v>26</v>
      </c>
      <c r="C72" s="74" t="s">
        <v>115</v>
      </c>
      <c r="D72" s="50"/>
      <c r="E72" s="29">
        <v>792</v>
      </c>
      <c r="F72" s="57"/>
      <c r="G72" s="56"/>
      <c r="I72" s="187"/>
      <c r="J72" s="187"/>
    </row>
    <row r="73" spans="1:10" ht="13.5" thickBot="1" x14ac:dyDescent="0.25">
      <c r="B73" s="10"/>
      <c r="C73" s="28" t="s">
        <v>0</v>
      </c>
      <c r="D73" s="28"/>
      <c r="E73" s="30">
        <f>SUM(E67:E72)</f>
        <v>8532.9600000000009</v>
      </c>
    </row>
    <row r="74" spans="1:10" x14ac:dyDescent="0.2">
      <c r="B74" s="10"/>
      <c r="C74" s="28"/>
      <c r="D74" s="28"/>
      <c r="E74" s="52"/>
    </row>
    <row r="75" spans="1:10" s="6" customFormat="1" ht="13.15" customHeight="1" x14ac:dyDescent="0.2">
      <c r="A75" s="14" t="s">
        <v>6</v>
      </c>
      <c r="B75" s="15" t="s">
        <v>7</v>
      </c>
      <c r="C75" s="15"/>
      <c r="D75" s="31">
        <v>9000</v>
      </c>
      <c r="E75" s="43"/>
      <c r="F75" s="14" t="s">
        <v>34</v>
      </c>
      <c r="G75" s="15" t="s">
        <v>33</v>
      </c>
      <c r="H75" s="31">
        <v>3948.27</v>
      </c>
      <c r="I75" s="51"/>
    </row>
    <row r="76" spans="1:10" s="6" customFormat="1" ht="13.15" customHeight="1" x14ac:dyDescent="0.2">
      <c r="A76" s="14" t="s">
        <v>8</v>
      </c>
      <c r="B76" s="15" t="s">
        <v>9</v>
      </c>
      <c r="C76" s="15"/>
      <c r="D76" s="31">
        <v>311.83999999999997</v>
      </c>
      <c r="E76" s="43"/>
      <c r="F76" s="60" t="s">
        <v>41</v>
      </c>
      <c r="G76" s="15" t="s">
        <v>40</v>
      </c>
      <c r="H76" s="31">
        <v>0</v>
      </c>
      <c r="I76" s="51"/>
    </row>
    <row r="77" spans="1:10" s="6" customFormat="1" ht="13.15" customHeight="1" x14ac:dyDescent="0.2">
      <c r="A77" s="14" t="s">
        <v>27</v>
      </c>
      <c r="B77" s="15" t="s">
        <v>28</v>
      </c>
      <c r="C77" s="15"/>
      <c r="D77" s="31">
        <v>619.53</v>
      </c>
      <c r="E77" s="43"/>
      <c r="F77" s="60" t="s">
        <v>19</v>
      </c>
      <c r="G77" s="15" t="s">
        <v>20</v>
      </c>
      <c r="H77" s="31">
        <v>500</v>
      </c>
      <c r="I77" s="51"/>
    </row>
    <row r="78" spans="1:10" s="6" customFormat="1" ht="13.15" customHeight="1" x14ac:dyDescent="0.2">
      <c r="A78" s="14" t="s">
        <v>10</v>
      </c>
      <c r="B78" s="15" t="s">
        <v>35</v>
      </c>
      <c r="C78" s="31"/>
      <c r="D78" s="31">
        <v>5000</v>
      </c>
      <c r="E78" s="43"/>
      <c r="F78" s="60" t="s">
        <v>6</v>
      </c>
      <c r="G78" s="15" t="s">
        <v>42</v>
      </c>
      <c r="H78" s="31">
        <v>899</v>
      </c>
      <c r="I78" s="51"/>
    </row>
    <row r="79" spans="1:10" s="6" customFormat="1" ht="13.15" customHeight="1" x14ac:dyDescent="0.2">
      <c r="A79" s="14" t="s">
        <v>10</v>
      </c>
      <c r="B79" s="15" t="s">
        <v>36</v>
      </c>
      <c r="C79" s="31"/>
      <c r="D79" s="31">
        <v>4000</v>
      </c>
      <c r="E79" s="43"/>
      <c r="F79" s="60" t="s">
        <v>8</v>
      </c>
      <c r="G79" s="15" t="s">
        <v>14</v>
      </c>
      <c r="H79" s="31">
        <v>12000</v>
      </c>
      <c r="I79" s="51"/>
    </row>
    <row r="80" spans="1:10" s="6" customFormat="1" ht="13.15" customHeight="1" thickBot="1" x14ac:dyDescent="0.25">
      <c r="A80" s="14" t="s">
        <v>10</v>
      </c>
      <c r="B80" s="15" t="s">
        <v>37</v>
      </c>
      <c r="C80" s="31"/>
      <c r="D80" s="31">
        <v>1126.4100000000001</v>
      </c>
      <c r="E80" s="43"/>
      <c r="F80" s="61" t="s">
        <v>16</v>
      </c>
      <c r="G80" s="15" t="s">
        <v>15</v>
      </c>
      <c r="H80" s="32">
        <v>11000</v>
      </c>
      <c r="I80" s="51"/>
    </row>
    <row r="81" spans="1:9" s="6" customFormat="1" ht="13.15" customHeight="1" thickTop="1" thickBot="1" x14ac:dyDescent="0.25">
      <c r="A81" s="14"/>
      <c r="B81" s="15" t="s">
        <v>88</v>
      </c>
      <c r="C81" s="31"/>
      <c r="D81" s="31">
        <v>1000</v>
      </c>
      <c r="E81" s="43"/>
      <c r="F81" s="62"/>
      <c r="G81" s="15"/>
      <c r="H81" s="37">
        <f>SUM(H75:H80)+SUM(D75:D82)-D75</f>
        <v>40405.050000000003</v>
      </c>
      <c r="I81" s="51"/>
    </row>
    <row r="82" spans="1:9" s="6" customFormat="1" ht="13.15" customHeight="1" thickBot="1" x14ac:dyDescent="0.25">
      <c r="A82" s="14"/>
      <c r="B82" s="15"/>
      <c r="C82" s="31"/>
      <c r="D82" s="31"/>
      <c r="E82" s="31"/>
      <c r="F82" s="62"/>
      <c r="G82" s="34" t="s">
        <v>4</v>
      </c>
      <c r="H82" s="35">
        <f>E73+H81</f>
        <v>48938.01</v>
      </c>
      <c r="I82" s="37"/>
    </row>
    <row r="83" spans="1:9" s="6" customFormat="1" ht="13.15" customHeight="1" x14ac:dyDescent="0.2">
      <c r="B83" s="14"/>
      <c r="C83" s="15"/>
      <c r="D83" s="8"/>
      <c r="E83" s="31"/>
      <c r="F83" s="63"/>
      <c r="G83" s="8"/>
      <c r="H83" s="8"/>
      <c r="I83" s="37"/>
    </row>
    <row r="84" spans="1:9" s="6" customFormat="1" ht="13.15" customHeight="1" x14ac:dyDescent="0.2">
      <c r="B84" s="14"/>
      <c r="C84" s="15"/>
      <c r="D84" s="7"/>
      <c r="E84" s="8"/>
      <c r="F84" s="63"/>
      <c r="G84" s="8"/>
      <c r="H84" s="8"/>
      <c r="I84" s="37"/>
    </row>
    <row r="85" spans="1:9" s="6" customFormat="1" ht="13.15" customHeight="1" x14ac:dyDescent="0.2">
      <c r="A85" s="8"/>
      <c r="B85" s="9"/>
      <c r="C85" s="8"/>
      <c r="D85" s="7"/>
      <c r="E85" s="8"/>
      <c r="F85" s="63"/>
      <c r="G85" s="8"/>
      <c r="H85" s="8"/>
      <c r="I85" s="37"/>
    </row>
    <row r="86" spans="1:9" s="6" customFormat="1" ht="13.15" customHeight="1" x14ac:dyDescent="0.2">
      <c r="A86" s="8"/>
      <c r="B86" s="9"/>
      <c r="C86" s="7"/>
      <c r="D86" s="7"/>
      <c r="E86" s="8"/>
      <c r="F86" s="63"/>
      <c r="G86" s="8"/>
      <c r="H86" s="8"/>
      <c r="I86" s="37"/>
    </row>
    <row r="87" spans="1:9" s="6" customFormat="1" ht="13.15" customHeight="1" x14ac:dyDescent="0.2">
      <c r="A87" s="8"/>
      <c r="B87" s="9"/>
      <c r="C87" s="7"/>
      <c r="D87" s="7"/>
      <c r="E87" s="8"/>
      <c r="F87" s="63"/>
      <c r="G87" s="8"/>
      <c r="H87" s="8"/>
      <c r="I87" s="37"/>
    </row>
    <row r="88" spans="1:9" s="6" customFormat="1" ht="13.15" customHeight="1" x14ac:dyDescent="0.2">
      <c r="A88" s="8"/>
      <c r="B88" s="9"/>
      <c r="C88" s="7"/>
      <c r="D88" s="7"/>
      <c r="E88" s="8"/>
      <c r="F88" s="63"/>
      <c r="G88" s="8"/>
      <c r="H88" s="8"/>
      <c r="I88" s="37"/>
    </row>
    <row r="89" spans="1:9" s="8" customFormat="1" ht="12" x14ac:dyDescent="0.2">
      <c r="B89" s="9"/>
      <c r="C89" s="7"/>
      <c r="F89" s="63"/>
    </row>
    <row r="90" spans="1:9" s="8" customFormat="1" ht="12" x14ac:dyDescent="0.2">
      <c r="B90" s="9"/>
      <c r="C90" s="7"/>
      <c r="F90" s="63"/>
    </row>
    <row r="91" spans="1:9" s="8" customFormat="1" ht="12" x14ac:dyDescent="0.2">
      <c r="B91" s="9"/>
      <c r="C91" s="7"/>
      <c r="F91" s="63"/>
    </row>
    <row r="92" spans="1:9" s="8" customFormat="1" ht="12" x14ac:dyDescent="0.2">
      <c r="B92" s="9"/>
      <c r="F92" s="63"/>
    </row>
    <row r="93" spans="1:9" s="8" customFormat="1" ht="12" x14ac:dyDescent="0.2">
      <c r="B93" s="9"/>
      <c r="F93" s="63"/>
    </row>
    <row r="94" spans="1:9" s="8" customFormat="1" ht="12" x14ac:dyDescent="0.2">
      <c r="B94" s="9"/>
      <c r="F94" s="63"/>
    </row>
    <row r="95" spans="1:9" s="8" customFormat="1" x14ac:dyDescent="0.2">
      <c r="B95" s="9"/>
      <c r="D95" s="5"/>
      <c r="F95" s="63"/>
    </row>
    <row r="96" spans="1:9" s="8" customFormat="1" x14ac:dyDescent="0.2">
      <c r="B96" s="9"/>
      <c r="D96" s="5"/>
      <c r="F96" s="45"/>
      <c r="G96" s="5"/>
      <c r="H96" s="5"/>
    </row>
    <row r="97" spans="1:9" s="8" customFormat="1" x14ac:dyDescent="0.2">
      <c r="B97" s="9"/>
      <c r="D97" s="5"/>
      <c r="E97" s="5"/>
      <c r="F97" s="45"/>
      <c r="G97" s="5"/>
      <c r="H97" s="5"/>
    </row>
    <row r="98" spans="1:9" s="8" customFormat="1" x14ac:dyDescent="0.2">
      <c r="B98" s="11"/>
      <c r="C98" s="5"/>
      <c r="D98" s="5"/>
      <c r="E98" s="5"/>
      <c r="F98" s="45"/>
      <c r="G98" s="5"/>
      <c r="H98" s="5"/>
    </row>
    <row r="99" spans="1:9" s="8" customFormat="1" x14ac:dyDescent="0.2">
      <c r="B99" s="11"/>
      <c r="C99" s="5"/>
      <c r="D99" s="5"/>
      <c r="E99" s="5"/>
      <c r="F99" s="45"/>
      <c r="G99" s="5"/>
      <c r="H99" s="5"/>
    </row>
    <row r="100" spans="1:9" s="8" customFormat="1" x14ac:dyDescent="0.2">
      <c r="B100" s="11"/>
      <c r="C100" s="5"/>
      <c r="D100" s="5"/>
      <c r="E100" s="5"/>
      <c r="F100" s="45"/>
      <c r="G100" s="5"/>
      <c r="H100" s="5"/>
    </row>
    <row r="101" spans="1:9" s="8" customFormat="1" x14ac:dyDescent="0.2">
      <c r="B101" s="11"/>
      <c r="C101" s="5"/>
      <c r="D101" s="5"/>
      <c r="E101" s="5"/>
      <c r="F101" s="45"/>
      <c r="G101" s="5"/>
      <c r="H101" s="5"/>
    </row>
    <row r="102" spans="1:9" s="8" customFormat="1" x14ac:dyDescent="0.2">
      <c r="A102" s="5"/>
      <c r="B102" s="11"/>
      <c r="C102" s="5"/>
      <c r="D102" s="5"/>
      <c r="E102" s="5"/>
      <c r="F102" s="45"/>
      <c r="G102" s="5"/>
      <c r="H102" s="5"/>
      <c r="I102" s="5"/>
    </row>
    <row r="103" spans="1:9" s="8" customFormat="1" x14ac:dyDescent="0.2">
      <c r="A103" s="5"/>
      <c r="B103" s="11"/>
      <c r="C103" s="5"/>
      <c r="D103" s="5"/>
      <c r="E103" s="5"/>
      <c r="F103" s="45"/>
      <c r="G103" s="5"/>
      <c r="H103" s="5"/>
      <c r="I103" s="5"/>
    </row>
    <row r="104" spans="1:9" s="8" customFormat="1" x14ac:dyDescent="0.2">
      <c r="A104" s="5"/>
      <c r="B104" s="11"/>
      <c r="C104" s="5"/>
      <c r="D104" s="5"/>
      <c r="E104" s="5"/>
      <c r="F104" s="45"/>
      <c r="G104" s="5"/>
      <c r="H104" s="5"/>
      <c r="I104" s="5"/>
    </row>
    <row r="105" spans="1:9" s="8" customFormat="1" x14ac:dyDescent="0.2">
      <c r="A105" s="5"/>
      <c r="B105" s="11"/>
      <c r="C105" s="5"/>
      <c r="D105" s="5"/>
      <c r="E105" s="5"/>
      <c r="F105" s="45"/>
      <c r="G105" s="5"/>
      <c r="H105" s="5"/>
      <c r="I105" s="5"/>
    </row>
  </sheetData>
  <mergeCells count="15">
    <mergeCell ref="E65:F65"/>
    <mergeCell ref="C49:D49"/>
    <mergeCell ref="E50:F50"/>
    <mergeCell ref="I57:J57"/>
    <mergeCell ref="A1:J1"/>
    <mergeCell ref="C4:D4"/>
    <mergeCell ref="E5:F5"/>
    <mergeCell ref="I12:J12"/>
    <mergeCell ref="C19:D19"/>
    <mergeCell ref="E20:F20"/>
    <mergeCell ref="I27:J27"/>
    <mergeCell ref="C34:D34"/>
    <mergeCell ref="E35:F35"/>
    <mergeCell ref="I42:J42"/>
    <mergeCell ref="C64:D64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32" zoomScaleNormal="100" workbookViewId="0">
      <selection activeCell="L69" sqref="L69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9.85546875" style="5" customWidth="1"/>
    <col min="5" max="5" width="10.5703125" style="5" customWidth="1"/>
    <col min="6" max="6" width="7" style="45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426" t="s">
        <v>134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0" s="24" customFormat="1" ht="6.75" customHeight="1" x14ac:dyDescent="0.2">
      <c r="B2" s="25"/>
      <c r="C2" s="26"/>
      <c r="D2" s="26"/>
      <c r="E2" s="27"/>
      <c r="F2" s="53"/>
      <c r="G2" s="64"/>
      <c r="H2" s="27"/>
      <c r="I2" s="27"/>
    </row>
    <row r="3" spans="1:10" ht="19.5" customHeight="1" x14ac:dyDescent="0.2">
      <c r="A3" s="38"/>
      <c r="B3" s="20" t="s">
        <v>21</v>
      </c>
      <c r="C3" s="39" t="s">
        <v>54</v>
      </c>
      <c r="D3" s="33"/>
      <c r="E3" s="12"/>
      <c r="F3" s="54"/>
      <c r="G3" s="12"/>
      <c r="H3" s="12"/>
      <c r="I3" s="12"/>
    </row>
    <row r="4" spans="1:10" ht="19.5" customHeight="1" x14ac:dyDescent="0.2">
      <c r="B4" s="20" t="s">
        <v>23</v>
      </c>
      <c r="C4" s="427">
        <v>43621</v>
      </c>
      <c r="D4" s="428"/>
      <c r="E4" s="12"/>
      <c r="F4" s="54"/>
      <c r="G4" s="12"/>
      <c r="H4" s="12"/>
      <c r="I4" s="12"/>
    </row>
    <row r="5" spans="1:10" ht="4.5" customHeight="1" x14ac:dyDescent="0.45">
      <c r="B5" s="2"/>
      <c r="C5" s="17"/>
      <c r="D5" s="17"/>
      <c r="E5" s="424"/>
      <c r="F5" s="424"/>
      <c r="G5" s="3"/>
      <c r="H5" s="4"/>
      <c r="I5" s="4"/>
    </row>
    <row r="6" spans="1:10" s="140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55"/>
    </row>
    <row r="7" spans="1:10" x14ac:dyDescent="0.2">
      <c r="B7" s="18" t="s">
        <v>25</v>
      </c>
      <c r="C7" s="19" t="s">
        <v>13</v>
      </c>
      <c r="D7" s="40"/>
      <c r="E7" s="67">
        <v>2568.8200000000002</v>
      </c>
      <c r="G7" s="56"/>
    </row>
    <row r="8" spans="1:10" x14ac:dyDescent="0.2">
      <c r="B8" s="36" t="s">
        <v>26</v>
      </c>
      <c r="C8" s="22" t="s">
        <v>24</v>
      </c>
      <c r="D8" s="41"/>
      <c r="E8" s="67">
        <v>802.47</v>
      </c>
      <c r="F8" s="59"/>
      <c r="G8" s="137"/>
      <c r="H8" s="45"/>
    </row>
    <row r="9" spans="1:10" x14ac:dyDescent="0.2">
      <c r="B9" s="36" t="s">
        <v>3</v>
      </c>
      <c r="C9" s="22" t="s">
        <v>12</v>
      </c>
      <c r="D9" s="41"/>
      <c r="E9" s="67">
        <v>1037.75</v>
      </c>
      <c r="F9" s="59"/>
      <c r="G9" s="138"/>
    </row>
    <row r="10" spans="1:10" x14ac:dyDescent="0.2">
      <c r="B10" s="13" t="s">
        <v>32</v>
      </c>
      <c r="C10" s="16" t="s">
        <v>11</v>
      </c>
      <c r="D10" s="42"/>
      <c r="E10" s="68">
        <v>977.47</v>
      </c>
    </row>
    <row r="11" spans="1:10" x14ac:dyDescent="0.2">
      <c r="B11" s="69" t="s">
        <v>26</v>
      </c>
      <c r="C11" s="73" t="s">
        <v>31</v>
      </c>
      <c r="D11" s="70"/>
      <c r="E11" s="71">
        <v>792</v>
      </c>
      <c r="G11" s="56"/>
      <c r="I11" s="190"/>
      <c r="J11" s="190"/>
    </row>
    <row r="12" spans="1:10" ht="12" customHeight="1" thickBot="1" x14ac:dyDescent="0.25">
      <c r="B12" s="72" t="s">
        <v>86</v>
      </c>
      <c r="C12" s="74" t="s">
        <v>115</v>
      </c>
      <c r="D12" s="50"/>
      <c r="E12" s="29">
        <v>792</v>
      </c>
      <c r="F12" s="57"/>
      <c r="G12" s="56"/>
      <c r="I12" s="425"/>
      <c r="J12" s="425"/>
    </row>
    <row r="13" spans="1:10" s="4" customFormat="1" ht="13.5" thickBot="1" x14ac:dyDescent="0.25">
      <c r="B13" s="46"/>
      <c r="C13" s="47"/>
      <c r="D13" s="48"/>
      <c r="E13" s="49">
        <f>SUM(E7:E12)</f>
        <v>6970.51</v>
      </c>
      <c r="F13" s="58"/>
      <c r="G13" s="65"/>
    </row>
    <row r="14" spans="1:10" ht="13.5" thickBot="1" x14ac:dyDescent="0.25">
      <c r="B14" s="75" t="s">
        <v>30</v>
      </c>
      <c r="C14" s="76" t="s">
        <v>5</v>
      </c>
      <c r="D14" s="76"/>
      <c r="E14" s="77">
        <v>1125</v>
      </c>
    </row>
    <row r="15" spans="1:10" ht="13.5" thickBot="1" x14ac:dyDescent="0.25">
      <c r="B15" s="10"/>
      <c r="C15" s="28" t="s">
        <v>0</v>
      </c>
      <c r="D15" s="28"/>
      <c r="E15" s="30">
        <f>SUM(E13:E14)</f>
        <v>8095.51</v>
      </c>
    </row>
    <row r="16" spans="1:10" x14ac:dyDescent="0.2">
      <c r="B16" s="10"/>
      <c r="C16" s="28"/>
      <c r="D16" s="28"/>
      <c r="E16" s="52"/>
    </row>
    <row r="17" spans="1:10" s="24" customFormat="1" ht="6.75" customHeight="1" x14ac:dyDescent="0.2">
      <c r="B17" s="25"/>
      <c r="C17" s="26"/>
      <c r="D17" s="26"/>
      <c r="E17" s="27"/>
      <c r="F17" s="53"/>
      <c r="G17" s="27"/>
      <c r="H17" s="27"/>
      <c r="I17" s="27"/>
    </row>
    <row r="18" spans="1:10" ht="19.5" customHeight="1" x14ac:dyDescent="0.2">
      <c r="A18" s="38"/>
      <c r="B18" s="20" t="s">
        <v>21</v>
      </c>
      <c r="C18" s="39" t="s">
        <v>55</v>
      </c>
      <c r="D18" s="33"/>
      <c r="E18" s="12"/>
      <c r="F18" s="54"/>
      <c r="G18" s="12"/>
      <c r="H18" s="12"/>
      <c r="I18" s="12"/>
    </row>
    <row r="19" spans="1:10" ht="19.5" customHeight="1" x14ac:dyDescent="0.2">
      <c r="B19" s="20" t="s">
        <v>23</v>
      </c>
      <c r="C19" s="427">
        <v>43628</v>
      </c>
      <c r="D19" s="428"/>
      <c r="E19" s="12"/>
      <c r="F19" s="54"/>
      <c r="G19" s="12"/>
      <c r="H19" s="12"/>
      <c r="I19" s="12"/>
    </row>
    <row r="20" spans="1:10" ht="4.5" customHeight="1" x14ac:dyDescent="0.45">
      <c r="B20" s="2"/>
      <c r="C20" s="17"/>
      <c r="D20" s="17"/>
      <c r="E20" s="424"/>
      <c r="F20" s="424"/>
      <c r="G20" s="3"/>
      <c r="H20" s="4"/>
      <c r="I20" s="4"/>
    </row>
    <row r="21" spans="1:10" s="140" customFormat="1" ht="13.5" thickBot="1" x14ac:dyDescent="0.25">
      <c r="B21" s="21" t="s">
        <v>22</v>
      </c>
      <c r="C21" s="44" t="s">
        <v>1</v>
      </c>
      <c r="D21" s="44"/>
      <c r="E21" s="23" t="s">
        <v>2</v>
      </c>
      <c r="F21" s="55"/>
    </row>
    <row r="22" spans="1:10" x14ac:dyDescent="0.2">
      <c r="B22" s="18" t="s">
        <v>25</v>
      </c>
      <c r="C22" s="19" t="s">
        <v>13</v>
      </c>
      <c r="D22" s="40"/>
      <c r="E22" s="67">
        <v>2568.8200000000002</v>
      </c>
      <c r="G22" s="56"/>
    </row>
    <row r="23" spans="1:10" x14ac:dyDescent="0.2">
      <c r="B23" s="36" t="s">
        <v>26</v>
      </c>
      <c r="C23" s="22" t="s">
        <v>24</v>
      </c>
      <c r="D23" s="41"/>
      <c r="E23" s="67">
        <v>602.47</v>
      </c>
      <c r="F23" s="59"/>
      <c r="G23" s="137"/>
      <c r="H23" s="45"/>
    </row>
    <row r="24" spans="1:10" x14ac:dyDescent="0.2">
      <c r="B24" s="36" t="s">
        <v>3</v>
      </c>
      <c r="C24" s="22" t="s">
        <v>12</v>
      </c>
      <c r="D24" s="41"/>
      <c r="E24" s="67">
        <v>1037.75</v>
      </c>
      <c r="F24" s="59"/>
      <c r="G24" s="138"/>
    </row>
    <row r="25" spans="1:10" x14ac:dyDescent="0.2">
      <c r="B25" s="13" t="s">
        <v>32</v>
      </c>
      <c r="C25" s="16" t="s">
        <v>11</v>
      </c>
      <c r="D25" s="42"/>
      <c r="E25" s="68">
        <v>977.47</v>
      </c>
    </row>
    <row r="26" spans="1:10" x14ac:dyDescent="0.2">
      <c r="B26" s="69" t="s">
        <v>26</v>
      </c>
      <c r="C26" s="73" t="s">
        <v>31</v>
      </c>
      <c r="D26" s="70"/>
      <c r="E26" s="71">
        <v>792</v>
      </c>
      <c r="G26" s="56"/>
      <c r="I26" s="190"/>
      <c r="J26" s="190"/>
    </row>
    <row r="27" spans="1:10" ht="12" customHeight="1" thickBot="1" x14ac:dyDescent="0.25">
      <c r="B27" s="72" t="s">
        <v>26</v>
      </c>
      <c r="C27" s="74" t="s">
        <v>115</v>
      </c>
      <c r="D27" s="50"/>
      <c r="E27" s="29">
        <v>792</v>
      </c>
      <c r="F27" s="57"/>
      <c r="G27" s="59"/>
      <c r="I27" s="425"/>
      <c r="J27" s="425"/>
    </row>
    <row r="28" spans="1:10" s="4" customFormat="1" ht="13.5" thickBot="1" x14ac:dyDescent="0.25">
      <c r="B28" s="46"/>
      <c r="C28" s="47"/>
      <c r="D28" s="48"/>
      <c r="E28" s="49">
        <f>SUM(E22:E27)</f>
        <v>6770.51</v>
      </c>
      <c r="F28" s="58"/>
      <c r="G28" s="65"/>
    </row>
    <row r="29" spans="1:10" ht="13.5" thickBot="1" x14ac:dyDescent="0.25">
      <c r="B29" s="75" t="s">
        <v>30</v>
      </c>
      <c r="C29" s="76" t="s">
        <v>5</v>
      </c>
      <c r="D29" s="76"/>
      <c r="E29" s="77">
        <v>1125</v>
      </c>
    </row>
    <row r="30" spans="1:10" ht="13.5" thickBot="1" x14ac:dyDescent="0.25">
      <c r="B30" s="10"/>
      <c r="C30" s="28" t="s">
        <v>0</v>
      </c>
      <c r="D30" s="28"/>
      <c r="E30" s="30">
        <f>SUM(E28:E29)</f>
        <v>7895.51</v>
      </c>
    </row>
    <row r="31" spans="1:10" x14ac:dyDescent="0.2">
      <c r="B31" s="10"/>
      <c r="C31" s="28"/>
      <c r="D31" s="28"/>
      <c r="E31" s="52"/>
    </row>
    <row r="32" spans="1:10" s="24" customFormat="1" ht="6.75" customHeight="1" x14ac:dyDescent="0.2">
      <c r="B32" s="25"/>
      <c r="C32" s="26"/>
      <c r="D32" s="26"/>
      <c r="E32" s="27"/>
      <c r="F32" s="53"/>
      <c r="G32" s="27"/>
      <c r="H32" s="27"/>
      <c r="I32" s="27"/>
    </row>
    <row r="33" spans="1:10" ht="19.5" customHeight="1" x14ac:dyDescent="0.2">
      <c r="A33" s="38"/>
      <c r="B33" s="20" t="s">
        <v>21</v>
      </c>
      <c r="C33" s="39" t="s">
        <v>56</v>
      </c>
      <c r="D33" s="33"/>
      <c r="E33" s="12"/>
      <c r="F33" s="54"/>
      <c r="G33" s="12"/>
      <c r="H33" s="12"/>
      <c r="I33" s="12"/>
    </row>
    <row r="34" spans="1:10" ht="19.5" customHeight="1" x14ac:dyDescent="0.2">
      <c r="B34" s="20" t="s">
        <v>23</v>
      </c>
      <c r="C34" s="428">
        <v>43635</v>
      </c>
      <c r="D34" s="428"/>
      <c r="E34" s="12"/>
      <c r="F34" s="54"/>
      <c r="G34" s="12"/>
      <c r="H34" s="12"/>
      <c r="I34" s="12"/>
    </row>
    <row r="35" spans="1:10" ht="4.5" customHeight="1" x14ac:dyDescent="0.45">
      <c r="B35" s="2"/>
      <c r="C35" s="17"/>
      <c r="D35" s="17"/>
      <c r="E35" s="424"/>
      <c r="F35" s="424"/>
      <c r="G35" s="3"/>
      <c r="H35" s="4"/>
      <c r="I35" s="4"/>
    </row>
    <row r="36" spans="1:10" s="140" customFormat="1" ht="13.5" thickBot="1" x14ac:dyDescent="0.25">
      <c r="B36" s="21" t="s">
        <v>22</v>
      </c>
      <c r="C36" s="44" t="s">
        <v>1</v>
      </c>
      <c r="D36" s="44"/>
      <c r="E36" s="23" t="s">
        <v>2</v>
      </c>
      <c r="F36" s="55"/>
    </row>
    <row r="37" spans="1:10" x14ac:dyDescent="0.2">
      <c r="B37" s="18" t="s">
        <v>25</v>
      </c>
      <c r="C37" s="19" t="s">
        <v>13</v>
      </c>
      <c r="D37" s="40"/>
      <c r="E37" s="67">
        <v>2711.93</v>
      </c>
      <c r="F37" s="59"/>
      <c r="G37" s="56"/>
    </row>
    <row r="38" spans="1:10" x14ac:dyDescent="0.2">
      <c r="B38" s="36" t="s">
        <v>26</v>
      </c>
      <c r="C38" s="22" t="s">
        <v>24</v>
      </c>
      <c r="D38" s="41"/>
      <c r="E38" s="67">
        <v>655.67</v>
      </c>
      <c r="F38" s="59"/>
      <c r="G38" s="66"/>
      <c r="H38" s="45"/>
    </row>
    <row r="39" spans="1:10" x14ac:dyDescent="0.2">
      <c r="B39" s="36" t="s">
        <v>3</v>
      </c>
      <c r="C39" s="22" t="s">
        <v>12</v>
      </c>
      <c r="D39" s="41"/>
      <c r="E39" s="67">
        <v>1037.75</v>
      </c>
      <c r="F39" s="59"/>
    </row>
    <row r="40" spans="1:10" x14ac:dyDescent="0.2">
      <c r="B40" s="13" t="s">
        <v>32</v>
      </c>
      <c r="C40" s="16" t="s">
        <v>11</v>
      </c>
      <c r="D40" s="42"/>
      <c r="E40" s="68">
        <v>977.47</v>
      </c>
    </row>
    <row r="41" spans="1:10" x14ac:dyDescent="0.2">
      <c r="B41" s="69" t="s">
        <v>75</v>
      </c>
      <c r="C41" s="73" t="s">
        <v>31</v>
      </c>
      <c r="D41" s="70"/>
      <c r="E41" s="71">
        <v>792</v>
      </c>
      <c r="G41" s="59"/>
      <c r="I41" s="190"/>
      <c r="J41" s="190"/>
    </row>
    <row r="42" spans="1:10" x14ac:dyDescent="0.2">
      <c r="B42" s="69" t="s">
        <v>86</v>
      </c>
      <c r="C42" s="73" t="s">
        <v>87</v>
      </c>
      <c r="D42" s="70"/>
      <c r="E42" s="71">
        <v>396</v>
      </c>
      <c r="G42" s="59"/>
      <c r="I42" s="198"/>
      <c r="J42" s="198"/>
    </row>
    <row r="43" spans="1:10" ht="13.5" thickBot="1" x14ac:dyDescent="0.25">
      <c r="B43" s="72" t="s">
        <v>26</v>
      </c>
      <c r="C43" s="74" t="s">
        <v>115</v>
      </c>
      <c r="D43" s="50"/>
      <c r="E43" s="29">
        <v>792</v>
      </c>
      <c r="F43" s="57"/>
      <c r="G43" s="59"/>
      <c r="I43" s="425"/>
      <c r="J43" s="425"/>
    </row>
    <row r="44" spans="1:10" s="4" customFormat="1" ht="13.5" thickBot="1" x14ac:dyDescent="0.25">
      <c r="B44" s="46"/>
      <c r="C44" s="47"/>
      <c r="D44" s="48"/>
      <c r="E44" s="49">
        <f>SUM(E37:E43)</f>
        <v>7362.8200000000006</v>
      </c>
      <c r="F44" s="58"/>
      <c r="G44" s="65"/>
    </row>
    <row r="45" spans="1:10" ht="13.5" thickBot="1" x14ac:dyDescent="0.25">
      <c r="B45" s="75" t="s">
        <v>30</v>
      </c>
      <c r="C45" s="76" t="s">
        <v>5</v>
      </c>
      <c r="D45" s="76"/>
      <c r="E45" s="77">
        <v>1125</v>
      </c>
    </row>
    <row r="46" spans="1:10" ht="13.5" thickBot="1" x14ac:dyDescent="0.25">
      <c r="B46" s="10"/>
      <c r="C46" s="28" t="s">
        <v>0</v>
      </c>
      <c r="D46" s="28"/>
      <c r="E46" s="30">
        <f>SUM(E44:E45)</f>
        <v>8487.82</v>
      </c>
    </row>
    <row r="47" spans="1:10" x14ac:dyDescent="0.2">
      <c r="B47" s="10"/>
      <c r="C47" s="28"/>
      <c r="D47" s="28"/>
      <c r="E47" s="52"/>
    </row>
    <row r="48" spans="1:10" x14ac:dyDescent="0.2">
      <c r="B48" s="10"/>
      <c r="C48" s="28" t="s">
        <v>135</v>
      </c>
      <c r="D48" s="28"/>
      <c r="E48" s="52"/>
    </row>
    <row r="49" spans="1:10" x14ac:dyDescent="0.2">
      <c r="B49" s="10"/>
      <c r="C49" s="28"/>
      <c r="D49" s="28"/>
      <c r="E49" s="52"/>
    </row>
    <row r="50" spans="1:10" s="24" customFormat="1" ht="6.75" customHeight="1" x14ac:dyDescent="0.2">
      <c r="B50" s="25"/>
      <c r="C50" s="26"/>
      <c r="D50" s="26"/>
      <c r="E50" s="27"/>
      <c r="F50" s="53"/>
      <c r="G50" s="27"/>
      <c r="H50" s="27"/>
      <c r="I50" s="27"/>
    </row>
    <row r="51" spans="1:10" ht="19.5" customHeight="1" x14ac:dyDescent="0.2">
      <c r="A51" s="38"/>
      <c r="B51" s="20" t="s">
        <v>21</v>
      </c>
      <c r="C51" s="39" t="s">
        <v>57</v>
      </c>
      <c r="D51" s="33"/>
      <c r="E51" s="12"/>
      <c r="F51" s="54"/>
      <c r="G51" s="12"/>
      <c r="H51" s="12"/>
      <c r="I51" s="12"/>
    </row>
    <row r="52" spans="1:10" ht="19.5" customHeight="1" x14ac:dyDescent="0.2">
      <c r="B52" s="20" t="s">
        <v>23</v>
      </c>
      <c r="C52" s="428">
        <v>43642</v>
      </c>
      <c r="D52" s="428"/>
      <c r="E52" s="12"/>
      <c r="F52" s="54"/>
      <c r="G52" s="12"/>
      <c r="H52" s="12"/>
      <c r="I52" s="12"/>
    </row>
    <row r="53" spans="1:10" ht="4.5" customHeight="1" x14ac:dyDescent="0.45">
      <c r="B53" s="2"/>
      <c r="C53" s="17"/>
      <c r="D53" s="17"/>
      <c r="E53" s="424"/>
      <c r="F53" s="424"/>
      <c r="G53" s="3"/>
      <c r="H53" s="4"/>
      <c r="I53" s="4"/>
    </row>
    <row r="54" spans="1:10" s="140" customFormat="1" ht="13.5" thickBot="1" x14ac:dyDescent="0.25">
      <c r="B54" s="21" t="s">
        <v>22</v>
      </c>
      <c r="C54" s="44" t="s">
        <v>1</v>
      </c>
      <c r="D54" s="44"/>
      <c r="E54" s="23" t="s">
        <v>2</v>
      </c>
      <c r="F54" s="55"/>
      <c r="H54" s="189"/>
    </row>
    <row r="55" spans="1:10" x14ac:dyDescent="0.2">
      <c r="B55" s="18" t="s">
        <v>25</v>
      </c>
      <c r="C55" s="19" t="s">
        <v>13</v>
      </c>
      <c r="D55" s="40"/>
      <c r="E55" s="67">
        <v>2568.8200000000002</v>
      </c>
      <c r="F55" s="59"/>
      <c r="G55" s="188"/>
      <c r="H55" s="45"/>
    </row>
    <row r="56" spans="1:10" x14ac:dyDescent="0.2">
      <c r="B56" s="36" t="s">
        <v>26</v>
      </c>
      <c r="C56" s="22" t="s">
        <v>24</v>
      </c>
      <c r="D56" s="41"/>
      <c r="E56" s="67">
        <v>602.47</v>
      </c>
      <c r="F56" s="59"/>
      <c r="G56" s="66"/>
      <c r="H56" s="45"/>
    </row>
    <row r="57" spans="1:10" x14ac:dyDescent="0.2">
      <c r="B57" s="36" t="s">
        <v>3</v>
      </c>
      <c r="C57" s="22" t="s">
        <v>12</v>
      </c>
      <c r="D57" s="41"/>
      <c r="E57" s="67">
        <v>1037.75</v>
      </c>
      <c r="F57" s="59"/>
    </row>
    <row r="58" spans="1:10" x14ac:dyDescent="0.2">
      <c r="B58" s="13" t="s">
        <v>32</v>
      </c>
      <c r="C58" s="16" t="s">
        <v>11</v>
      </c>
      <c r="D58" s="42"/>
      <c r="E58" s="68">
        <v>977.47</v>
      </c>
    </row>
    <row r="59" spans="1:10" x14ac:dyDescent="0.2">
      <c r="B59" s="69" t="s">
        <v>75</v>
      </c>
      <c r="C59" s="73" t="s">
        <v>31</v>
      </c>
      <c r="D59" s="70"/>
      <c r="E59" s="71">
        <v>792</v>
      </c>
      <c r="G59" s="59"/>
      <c r="I59" s="190"/>
      <c r="J59" s="190"/>
    </row>
    <row r="60" spans="1:10" x14ac:dyDescent="0.2">
      <c r="B60" s="69" t="s">
        <v>86</v>
      </c>
      <c r="C60" s="73" t="s">
        <v>87</v>
      </c>
      <c r="D60" s="70"/>
      <c r="E60" s="71">
        <v>990</v>
      </c>
      <c r="G60" s="59"/>
      <c r="I60" s="199"/>
      <c r="J60" s="199"/>
    </row>
    <row r="61" spans="1:10" ht="13.5" thickBot="1" x14ac:dyDescent="0.25">
      <c r="B61" s="72" t="s">
        <v>26</v>
      </c>
      <c r="C61" s="74" t="s">
        <v>115</v>
      </c>
      <c r="D61" s="50"/>
      <c r="E61" s="29">
        <v>633.6</v>
      </c>
      <c r="F61" s="57"/>
      <c r="G61" s="59"/>
      <c r="I61" s="425"/>
      <c r="J61" s="425"/>
    </row>
    <row r="62" spans="1:10" s="4" customFormat="1" ht="13.5" thickBot="1" x14ac:dyDescent="0.25">
      <c r="B62" s="46"/>
      <c r="C62" s="47"/>
      <c r="D62" s="48"/>
      <c r="E62" s="49">
        <f>SUM(E55:E61)</f>
        <v>7602.1100000000006</v>
      </c>
      <c r="F62" s="58"/>
      <c r="G62" s="65"/>
    </row>
    <row r="63" spans="1:10" ht="13.5" thickBot="1" x14ac:dyDescent="0.25">
      <c r="B63" s="75" t="s">
        <v>30</v>
      </c>
      <c r="C63" s="76" t="s">
        <v>5</v>
      </c>
      <c r="D63" s="76"/>
      <c r="E63" s="77">
        <v>1125</v>
      </c>
    </row>
    <row r="64" spans="1:10" ht="13.5" thickBot="1" x14ac:dyDescent="0.25">
      <c r="B64" s="10"/>
      <c r="C64" s="28" t="s">
        <v>0</v>
      </c>
      <c r="D64" s="28"/>
      <c r="E64" s="30">
        <f>SUM(E62:E63)</f>
        <v>8727.11</v>
      </c>
    </row>
    <row r="65" spans="1:9" x14ac:dyDescent="0.2">
      <c r="B65" s="10"/>
      <c r="C65" s="28"/>
      <c r="D65" s="28"/>
      <c r="E65" s="52"/>
    </row>
    <row r="66" spans="1:9" s="6" customFormat="1" ht="13.15" customHeight="1" x14ac:dyDescent="0.2">
      <c r="A66" s="14" t="s">
        <v>6</v>
      </c>
      <c r="B66" s="15" t="s">
        <v>7</v>
      </c>
      <c r="C66" s="15"/>
      <c r="D66" s="31">
        <v>9000</v>
      </c>
      <c r="E66" s="43"/>
      <c r="F66" s="14" t="s">
        <v>34</v>
      </c>
      <c r="G66" s="15" t="s">
        <v>33</v>
      </c>
      <c r="H66" s="31">
        <v>3948.27</v>
      </c>
      <c r="I66" s="51"/>
    </row>
    <row r="67" spans="1:9" s="6" customFormat="1" ht="13.15" customHeight="1" x14ac:dyDescent="0.2">
      <c r="A67" s="14" t="s">
        <v>8</v>
      </c>
      <c r="B67" s="15" t="s">
        <v>9</v>
      </c>
      <c r="C67" s="15"/>
      <c r="D67" s="31">
        <v>311.83999999999997</v>
      </c>
      <c r="E67" s="43"/>
      <c r="F67" s="60" t="s">
        <v>41</v>
      </c>
      <c r="G67" s="15" t="s">
        <v>40</v>
      </c>
      <c r="H67" s="31">
        <v>0</v>
      </c>
      <c r="I67" s="51"/>
    </row>
    <row r="68" spans="1:9" s="6" customFormat="1" ht="13.15" customHeight="1" x14ac:dyDescent="0.2">
      <c r="A68" s="14" t="s">
        <v>27</v>
      </c>
      <c r="B68" s="15" t="s">
        <v>28</v>
      </c>
      <c r="C68" s="15"/>
      <c r="D68" s="31">
        <v>619.53</v>
      </c>
      <c r="E68" s="43"/>
      <c r="F68" s="60" t="s">
        <v>19</v>
      </c>
      <c r="G68" s="15" t="s">
        <v>20</v>
      </c>
      <c r="H68" s="31">
        <v>500</v>
      </c>
      <c r="I68" s="51"/>
    </row>
    <row r="69" spans="1:9" s="6" customFormat="1" ht="13.15" customHeight="1" x14ac:dyDescent="0.2">
      <c r="A69" s="14" t="s">
        <v>10</v>
      </c>
      <c r="B69" s="15" t="s">
        <v>35</v>
      </c>
      <c r="C69" s="31"/>
      <c r="D69" s="31">
        <v>5000</v>
      </c>
      <c r="E69" s="43"/>
      <c r="F69" s="60" t="s">
        <v>6</v>
      </c>
      <c r="G69" s="15" t="s">
        <v>42</v>
      </c>
      <c r="H69" s="31">
        <v>899</v>
      </c>
      <c r="I69" s="51"/>
    </row>
    <row r="70" spans="1:9" s="6" customFormat="1" ht="13.15" customHeight="1" x14ac:dyDescent="0.2">
      <c r="A70" s="14" t="s">
        <v>10</v>
      </c>
      <c r="B70" s="15" t="s">
        <v>36</v>
      </c>
      <c r="C70" s="31"/>
      <c r="D70" s="31">
        <v>4000</v>
      </c>
      <c r="E70" s="43"/>
      <c r="F70" s="60" t="s">
        <v>8</v>
      </c>
      <c r="G70" s="15" t="s">
        <v>14</v>
      </c>
      <c r="H70" s="31">
        <v>12000</v>
      </c>
      <c r="I70" s="51"/>
    </row>
    <row r="71" spans="1:9" s="6" customFormat="1" ht="13.15" customHeight="1" thickBot="1" x14ac:dyDescent="0.25">
      <c r="A71" s="14" t="s">
        <v>10</v>
      </c>
      <c r="B71" s="15" t="s">
        <v>37</v>
      </c>
      <c r="C71" s="31"/>
      <c r="D71" s="31">
        <v>1126.4100000000001</v>
      </c>
      <c r="E71" s="43"/>
      <c r="F71" s="61" t="s">
        <v>16</v>
      </c>
      <c r="G71" s="15" t="s">
        <v>15</v>
      </c>
      <c r="H71" s="32">
        <v>11000</v>
      </c>
      <c r="I71" s="51"/>
    </row>
    <row r="72" spans="1:9" s="6" customFormat="1" ht="13.15" customHeight="1" thickTop="1" thickBot="1" x14ac:dyDescent="0.25">
      <c r="A72" s="14"/>
      <c r="B72" s="15" t="s">
        <v>88</v>
      </c>
      <c r="C72" s="31"/>
      <c r="D72" s="31">
        <v>1000</v>
      </c>
      <c r="E72" s="43"/>
      <c r="F72" s="62"/>
      <c r="G72" s="15"/>
      <c r="H72" s="37">
        <f>SUM(H66:H71)+SUM(D66:D73)-D66</f>
        <v>40405.050000000003</v>
      </c>
      <c r="I72" s="51"/>
    </row>
    <row r="73" spans="1:9" s="6" customFormat="1" ht="13.15" customHeight="1" thickBot="1" x14ac:dyDescent="0.25">
      <c r="A73" s="14"/>
      <c r="B73" s="15"/>
      <c r="C73" s="31"/>
      <c r="D73" s="31"/>
      <c r="E73" s="31"/>
      <c r="F73" s="62"/>
      <c r="G73" s="34" t="s">
        <v>4</v>
      </c>
      <c r="H73" s="35">
        <f>E64+H72</f>
        <v>49132.160000000003</v>
      </c>
      <c r="I73" s="37"/>
    </row>
    <row r="74" spans="1:9" s="6" customFormat="1" ht="13.15" customHeight="1" x14ac:dyDescent="0.2">
      <c r="B74" s="14"/>
      <c r="C74" s="15"/>
      <c r="D74" s="8"/>
      <c r="E74" s="31"/>
      <c r="F74" s="63"/>
      <c r="G74" s="8"/>
      <c r="H74" s="8"/>
      <c r="I74" s="37"/>
    </row>
    <row r="75" spans="1:9" s="6" customFormat="1" ht="13.15" customHeight="1" x14ac:dyDescent="0.2">
      <c r="B75" s="14"/>
      <c r="C75" s="15"/>
      <c r="D75" s="7"/>
      <c r="E75" s="8"/>
      <c r="F75" s="63"/>
      <c r="G75" s="8"/>
      <c r="H75" s="8"/>
      <c r="I75" s="37"/>
    </row>
    <row r="76" spans="1:9" s="6" customFormat="1" ht="13.15" customHeight="1" x14ac:dyDescent="0.2">
      <c r="A76" s="8"/>
      <c r="B76" s="9"/>
      <c r="C76" s="8"/>
      <c r="D76" s="7"/>
      <c r="E76" s="8"/>
      <c r="F76" s="63"/>
      <c r="G76" s="8"/>
      <c r="H76" s="8"/>
      <c r="I76" s="37"/>
    </row>
    <row r="77" spans="1:9" s="6" customFormat="1" ht="13.15" customHeight="1" x14ac:dyDescent="0.2">
      <c r="A77" s="8"/>
      <c r="B77" s="9"/>
      <c r="C77" s="7"/>
      <c r="D77" s="7"/>
      <c r="E77" s="8"/>
      <c r="F77" s="63"/>
      <c r="G77" s="8"/>
      <c r="H77" s="8"/>
      <c r="I77" s="37"/>
    </row>
    <row r="78" spans="1:9" s="6" customFormat="1" ht="13.15" customHeight="1" x14ac:dyDescent="0.2">
      <c r="A78" s="8"/>
      <c r="B78" s="9"/>
      <c r="C78" s="7"/>
      <c r="D78" s="7"/>
      <c r="E78" s="8"/>
      <c r="F78" s="63"/>
      <c r="G78" s="8"/>
      <c r="H78" s="8"/>
      <c r="I78" s="37"/>
    </row>
    <row r="79" spans="1:9" s="6" customFormat="1" ht="13.15" customHeight="1" x14ac:dyDescent="0.2">
      <c r="A79" s="8"/>
      <c r="B79" s="9"/>
      <c r="C79" s="7"/>
      <c r="D79" s="7"/>
      <c r="E79" s="8"/>
      <c r="F79" s="63"/>
      <c r="G79" s="8"/>
      <c r="H79" s="8"/>
      <c r="I79" s="37"/>
    </row>
    <row r="80" spans="1:9" s="8" customFormat="1" ht="12" x14ac:dyDescent="0.2">
      <c r="B80" s="9"/>
      <c r="C80" s="7"/>
      <c r="F80" s="63"/>
    </row>
    <row r="81" spans="1:9" s="8" customFormat="1" ht="12" x14ac:dyDescent="0.2">
      <c r="B81" s="9"/>
      <c r="C81" s="7"/>
      <c r="F81" s="63"/>
    </row>
    <row r="82" spans="1:9" s="8" customFormat="1" ht="12" x14ac:dyDescent="0.2">
      <c r="B82" s="9"/>
      <c r="C82" s="7"/>
      <c r="F82" s="63"/>
    </row>
    <row r="83" spans="1:9" s="8" customFormat="1" ht="12" x14ac:dyDescent="0.2">
      <c r="B83" s="9"/>
      <c r="F83" s="63"/>
    </row>
    <row r="84" spans="1:9" s="8" customFormat="1" ht="12" x14ac:dyDescent="0.2">
      <c r="B84" s="9"/>
      <c r="F84" s="63"/>
    </row>
    <row r="85" spans="1:9" s="8" customFormat="1" ht="12" x14ac:dyDescent="0.2">
      <c r="B85" s="9"/>
      <c r="F85" s="63"/>
    </row>
    <row r="86" spans="1:9" s="8" customFormat="1" x14ac:dyDescent="0.2">
      <c r="B86" s="9"/>
      <c r="D86" s="5"/>
      <c r="F86" s="63"/>
    </row>
    <row r="87" spans="1:9" s="8" customFormat="1" x14ac:dyDescent="0.2">
      <c r="B87" s="9"/>
      <c r="D87" s="5"/>
      <c r="F87" s="45"/>
      <c r="G87" s="5"/>
      <c r="H87" s="5"/>
    </row>
    <row r="88" spans="1:9" s="8" customFormat="1" x14ac:dyDescent="0.2">
      <c r="B88" s="9"/>
      <c r="D88" s="5"/>
      <c r="E88" s="5"/>
      <c r="F88" s="45"/>
      <c r="G88" s="5"/>
      <c r="H88" s="5"/>
    </row>
    <row r="89" spans="1:9" s="8" customFormat="1" x14ac:dyDescent="0.2">
      <c r="B89" s="11"/>
      <c r="C89" s="5"/>
      <c r="D89" s="5"/>
      <c r="E89" s="5"/>
      <c r="F89" s="45"/>
      <c r="G89" s="5"/>
      <c r="H89" s="5"/>
    </row>
    <row r="90" spans="1:9" s="8" customFormat="1" x14ac:dyDescent="0.2">
      <c r="B90" s="11"/>
      <c r="C90" s="5"/>
      <c r="D90" s="5"/>
      <c r="E90" s="5"/>
      <c r="F90" s="45"/>
      <c r="G90" s="5"/>
      <c r="H90" s="5"/>
    </row>
    <row r="91" spans="1:9" s="8" customFormat="1" x14ac:dyDescent="0.2">
      <c r="B91" s="11"/>
      <c r="C91" s="5"/>
      <c r="D91" s="5"/>
      <c r="E91" s="5"/>
      <c r="F91" s="45"/>
      <c r="G91" s="5"/>
      <c r="H91" s="5"/>
    </row>
    <row r="92" spans="1:9" s="8" customFormat="1" x14ac:dyDescent="0.2">
      <c r="B92" s="11"/>
      <c r="C92" s="5"/>
      <c r="D92" s="5"/>
      <c r="E92" s="5"/>
      <c r="F92" s="45"/>
      <c r="G92" s="5"/>
      <c r="H92" s="5"/>
    </row>
    <row r="93" spans="1:9" s="8" customFormat="1" x14ac:dyDescent="0.2">
      <c r="A93" s="5"/>
      <c r="B93" s="11"/>
      <c r="C93" s="5"/>
      <c r="D93" s="5"/>
      <c r="E93" s="5"/>
      <c r="F93" s="45"/>
      <c r="G93" s="5"/>
      <c r="H93" s="5"/>
      <c r="I93" s="5"/>
    </row>
    <row r="94" spans="1:9" s="8" customFormat="1" x14ac:dyDescent="0.2">
      <c r="A94" s="5"/>
      <c r="B94" s="11"/>
      <c r="C94" s="5"/>
      <c r="D94" s="5"/>
      <c r="E94" s="5"/>
      <c r="F94" s="45"/>
      <c r="G94" s="5"/>
      <c r="H94" s="5"/>
      <c r="I94" s="5"/>
    </row>
    <row r="95" spans="1:9" s="8" customFormat="1" x14ac:dyDescent="0.2">
      <c r="A95" s="5"/>
      <c r="B95" s="11"/>
      <c r="C95" s="5"/>
      <c r="D95" s="5"/>
      <c r="E95" s="5"/>
      <c r="F95" s="45"/>
      <c r="G95" s="5"/>
      <c r="H95" s="5"/>
      <c r="I95" s="5"/>
    </row>
    <row r="96" spans="1:9" s="8" customFormat="1" x14ac:dyDescent="0.2">
      <c r="A96" s="5"/>
      <c r="B96" s="11"/>
      <c r="C96" s="5"/>
      <c r="D96" s="5"/>
      <c r="E96" s="5"/>
      <c r="F96" s="45"/>
      <c r="G96" s="5"/>
      <c r="H96" s="5"/>
      <c r="I96" s="5"/>
    </row>
  </sheetData>
  <mergeCells count="13">
    <mergeCell ref="I61:J61"/>
    <mergeCell ref="I27:J27"/>
    <mergeCell ref="C34:D34"/>
    <mergeCell ref="E35:F35"/>
    <mergeCell ref="I43:J43"/>
    <mergeCell ref="C52:D52"/>
    <mergeCell ref="E53:F53"/>
    <mergeCell ref="E20:F20"/>
    <mergeCell ref="A1:J1"/>
    <mergeCell ref="C4:D4"/>
    <mergeCell ref="E5:F5"/>
    <mergeCell ref="I12:J12"/>
    <mergeCell ref="C19:D19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opLeftCell="A39" zoomScaleNormal="100" workbookViewId="0">
      <selection activeCell="I80" sqref="I80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9.85546875" style="5" customWidth="1"/>
    <col min="5" max="5" width="10.5703125" style="5" customWidth="1"/>
    <col min="6" max="6" width="7" style="45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426" t="s">
        <v>136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0" s="24" customFormat="1" ht="6.75" customHeight="1" x14ac:dyDescent="0.2">
      <c r="B2" s="25"/>
      <c r="C2" s="26"/>
      <c r="D2" s="26"/>
      <c r="E2" s="27"/>
      <c r="F2" s="53"/>
      <c r="G2" s="64"/>
      <c r="H2" s="27"/>
      <c r="I2" s="27"/>
    </row>
    <row r="3" spans="1:10" ht="19.5" customHeight="1" x14ac:dyDescent="0.2">
      <c r="A3" s="38"/>
      <c r="B3" s="20" t="s">
        <v>21</v>
      </c>
      <c r="C3" s="39" t="s">
        <v>58</v>
      </c>
      <c r="D3" s="33"/>
      <c r="E3" s="12"/>
      <c r="F3" s="54"/>
      <c r="G3" s="12"/>
      <c r="H3" s="12"/>
      <c r="I3" s="12"/>
    </row>
    <row r="4" spans="1:10" ht="19.5" customHeight="1" x14ac:dyDescent="0.2">
      <c r="B4" s="20" t="s">
        <v>23</v>
      </c>
      <c r="C4" s="427">
        <v>43649</v>
      </c>
      <c r="D4" s="428"/>
      <c r="E4" s="12"/>
      <c r="F4" s="54"/>
      <c r="G4" s="12"/>
      <c r="H4" s="12"/>
      <c r="I4" s="12"/>
    </row>
    <row r="5" spans="1:10" ht="4.5" customHeight="1" x14ac:dyDescent="0.45">
      <c r="B5" s="2"/>
      <c r="C5" s="17"/>
      <c r="D5" s="17"/>
      <c r="E5" s="424"/>
      <c r="F5" s="424"/>
      <c r="G5" s="3"/>
      <c r="H5" s="4"/>
      <c r="I5" s="4"/>
    </row>
    <row r="6" spans="1:10" s="140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55"/>
    </row>
    <row r="7" spans="1:10" x14ac:dyDescent="0.2">
      <c r="B7" s="18" t="s">
        <v>25</v>
      </c>
      <c r="C7" s="19" t="s">
        <v>13</v>
      </c>
      <c r="D7" s="40"/>
      <c r="E7" s="67">
        <v>1791.7</v>
      </c>
      <c r="G7" s="56"/>
    </row>
    <row r="8" spans="1:10" x14ac:dyDescent="0.2">
      <c r="B8" s="36" t="s">
        <v>26</v>
      </c>
      <c r="C8" s="22" t="s">
        <v>24</v>
      </c>
      <c r="D8" s="41"/>
      <c r="E8" s="67">
        <v>802.47</v>
      </c>
      <c r="F8" s="59"/>
      <c r="G8" s="137"/>
      <c r="H8" s="45"/>
    </row>
    <row r="9" spans="1:10" x14ac:dyDescent="0.2">
      <c r="B9" s="36" t="s">
        <v>3</v>
      </c>
      <c r="C9" s="22" t="s">
        <v>12</v>
      </c>
      <c r="D9" s="41"/>
      <c r="E9" s="67">
        <v>1037.75</v>
      </c>
      <c r="F9" s="59"/>
      <c r="G9" s="138"/>
    </row>
    <row r="10" spans="1:10" x14ac:dyDescent="0.2">
      <c r="B10" s="13" t="s">
        <v>32</v>
      </c>
      <c r="C10" s="16" t="s">
        <v>11</v>
      </c>
      <c r="D10" s="42"/>
      <c r="E10" s="68">
        <v>977.47</v>
      </c>
    </row>
    <row r="11" spans="1:10" x14ac:dyDescent="0.2">
      <c r="B11" s="69" t="s">
        <v>26</v>
      </c>
      <c r="C11" s="73" t="s">
        <v>31</v>
      </c>
      <c r="D11" s="70"/>
      <c r="E11" s="71">
        <v>792</v>
      </c>
      <c r="G11" s="56"/>
      <c r="I11" s="200"/>
      <c r="J11" s="200"/>
    </row>
    <row r="12" spans="1:10" x14ac:dyDescent="0.2">
      <c r="B12" s="69" t="s">
        <v>86</v>
      </c>
      <c r="C12" s="73" t="s">
        <v>87</v>
      </c>
      <c r="D12" s="70"/>
      <c r="E12" s="71">
        <v>990</v>
      </c>
      <c r="G12" s="56"/>
      <c r="I12" s="200"/>
      <c r="J12" s="200"/>
    </row>
    <row r="13" spans="1:10" ht="12" customHeight="1" thickBot="1" x14ac:dyDescent="0.25">
      <c r="B13" s="72" t="s">
        <v>86</v>
      </c>
      <c r="C13" s="74" t="s">
        <v>115</v>
      </c>
      <c r="D13" s="50"/>
      <c r="E13" s="29">
        <v>792</v>
      </c>
      <c r="F13" s="57"/>
      <c r="G13" s="59"/>
      <c r="I13" s="425"/>
      <c r="J13" s="425"/>
    </row>
    <row r="14" spans="1:10" s="4" customFormat="1" ht="13.5" thickBot="1" x14ac:dyDescent="0.25">
      <c r="B14" s="46"/>
      <c r="C14" s="47"/>
      <c r="D14" s="48"/>
      <c r="E14" s="49">
        <f>SUM(E7:E13)</f>
        <v>7183.39</v>
      </c>
      <c r="F14" s="58"/>
      <c r="G14" s="65"/>
    </row>
    <row r="15" spans="1:10" ht="13.5" thickBot="1" x14ac:dyDescent="0.25">
      <c r="B15" s="75" t="s">
        <v>30</v>
      </c>
      <c r="C15" s="76" t="s">
        <v>5</v>
      </c>
      <c r="D15" s="76"/>
      <c r="E15" s="77">
        <v>1125</v>
      </c>
    </row>
    <row r="16" spans="1:10" ht="13.5" thickBot="1" x14ac:dyDescent="0.25">
      <c r="B16" s="10"/>
      <c r="C16" s="28" t="s">
        <v>0</v>
      </c>
      <c r="D16" s="28"/>
      <c r="E16" s="30">
        <f>SUM(E14:E15)</f>
        <v>8308.39</v>
      </c>
      <c r="G16" s="5" t="s">
        <v>138</v>
      </c>
    </row>
    <row r="17" spans="1:10" x14ac:dyDescent="0.2">
      <c r="B17" s="10"/>
      <c r="C17" s="28"/>
      <c r="D17" s="28"/>
      <c r="E17" s="52"/>
    </row>
    <row r="18" spans="1:10" s="24" customFormat="1" ht="6.75" customHeight="1" x14ac:dyDescent="0.2">
      <c r="B18" s="25"/>
      <c r="C18" s="26"/>
      <c r="D18" s="26"/>
      <c r="E18" s="27"/>
      <c r="F18" s="53"/>
      <c r="G18" s="27"/>
      <c r="H18" s="27"/>
      <c r="I18" s="27"/>
    </row>
    <row r="19" spans="1:10" ht="19.5" customHeight="1" x14ac:dyDescent="0.2">
      <c r="A19" s="38"/>
      <c r="B19" s="20" t="s">
        <v>21</v>
      </c>
      <c r="C19" s="39" t="s">
        <v>59</v>
      </c>
      <c r="D19" s="33"/>
      <c r="E19" s="12"/>
      <c r="F19" s="54"/>
      <c r="G19" s="12"/>
      <c r="H19" s="12"/>
      <c r="I19" s="12"/>
    </row>
    <row r="20" spans="1:10" ht="19.5" customHeight="1" x14ac:dyDescent="0.2">
      <c r="B20" s="20" t="s">
        <v>23</v>
      </c>
      <c r="C20" s="427">
        <v>43656</v>
      </c>
      <c r="D20" s="428"/>
      <c r="E20" s="12"/>
      <c r="F20" s="54"/>
      <c r="G20" s="12"/>
      <c r="H20" s="12"/>
      <c r="I20" s="12"/>
    </row>
    <row r="21" spans="1:10" ht="4.5" customHeight="1" x14ac:dyDescent="0.45">
      <c r="B21" s="2"/>
      <c r="C21" s="17"/>
      <c r="D21" s="17"/>
      <c r="E21" s="424"/>
      <c r="F21" s="424"/>
      <c r="G21" s="3"/>
      <c r="H21" s="4"/>
      <c r="I21" s="4"/>
    </row>
    <row r="22" spans="1:10" s="140" customFormat="1" ht="13.5" thickBot="1" x14ac:dyDescent="0.25">
      <c r="B22" s="21" t="s">
        <v>22</v>
      </c>
      <c r="C22" s="44" t="s">
        <v>1</v>
      </c>
      <c r="D22" s="44"/>
      <c r="E22" s="23" t="s">
        <v>2</v>
      </c>
      <c r="F22" s="55"/>
    </row>
    <row r="23" spans="1:10" x14ac:dyDescent="0.2">
      <c r="B23" s="18" t="s">
        <v>25</v>
      </c>
      <c r="C23" s="19" t="s">
        <v>13</v>
      </c>
      <c r="D23" s="40"/>
      <c r="E23" s="67">
        <v>2000.84</v>
      </c>
      <c r="G23" s="56"/>
    </row>
    <row r="24" spans="1:10" x14ac:dyDescent="0.2">
      <c r="B24" s="36" t="s">
        <v>26</v>
      </c>
      <c r="C24" s="22" t="s">
        <v>24</v>
      </c>
      <c r="D24" s="41"/>
      <c r="E24" s="67">
        <v>802.47</v>
      </c>
      <c r="F24" s="59"/>
      <c r="G24" s="137"/>
      <c r="H24" s="45"/>
    </row>
    <row r="25" spans="1:10" x14ac:dyDescent="0.2">
      <c r="B25" s="36" t="s">
        <v>3</v>
      </c>
      <c r="C25" s="22" t="s">
        <v>12</v>
      </c>
      <c r="D25" s="41"/>
      <c r="E25" s="67">
        <v>1037.75</v>
      </c>
      <c r="F25" s="59"/>
      <c r="G25" s="138"/>
    </row>
    <row r="26" spans="1:10" x14ac:dyDescent="0.2">
      <c r="B26" s="13" t="s">
        <v>32</v>
      </c>
      <c r="C26" s="16" t="s">
        <v>11</v>
      </c>
      <c r="D26" s="42"/>
      <c r="E26" s="68">
        <v>977.47</v>
      </c>
    </row>
    <row r="27" spans="1:10" x14ac:dyDescent="0.2">
      <c r="B27" s="69" t="s">
        <v>26</v>
      </c>
      <c r="C27" s="73" t="s">
        <v>31</v>
      </c>
      <c r="D27" s="70"/>
      <c r="E27" s="71">
        <v>792</v>
      </c>
      <c r="G27" s="56"/>
      <c r="I27" s="200"/>
      <c r="J27" s="200"/>
    </row>
    <row r="28" spans="1:10" x14ac:dyDescent="0.2">
      <c r="B28" s="69" t="s">
        <v>86</v>
      </c>
      <c r="C28" s="73" t="s">
        <v>87</v>
      </c>
      <c r="D28" s="70"/>
      <c r="E28" s="71">
        <v>1064.25</v>
      </c>
      <c r="G28" s="56"/>
      <c r="I28" s="200"/>
      <c r="J28" s="200"/>
    </row>
    <row r="29" spans="1:10" ht="12" customHeight="1" thickBot="1" x14ac:dyDescent="0.25">
      <c r="B29" s="72" t="s">
        <v>26</v>
      </c>
      <c r="C29" s="74" t="s">
        <v>115</v>
      </c>
      <c r="D29" s="50"/>
      <c r="E29" s="29">
        <v>592</v>
      </c>
      <c r="F29" s="57"/>
      <c r="G29" s="59" t="s">
        <v>137</v>
      </c>
      <c r="I29" s="425"/>
      <c r="J29" s="425"/>
    </row>
    <row r="30" spans="1:10" s="4" customFormat="1" ht="13.5" thickBot="1" x14ac:dyDescent="0.25">
      <c r="B30" s="46"/>
      <c r="C30" s="47"/>
      <c r="D30" s="48"/>
      <c r="E30" s="49">
        <f>SUM(E23:E29)</f>
        <v>7266.78</v>
      </c>
      <c r="F30" s="58"/>
      <c r="G30" s="65"/>
    </row>
    <row r="31" spans="1:10" ht="13.5" thickBot="1" x14ac:dyDescent="0.25">
      <c r="B31" s="75" t="s">
        <v>30</v>
      </c>
      <c r="C31" s="76" t="s">
        <v>5</v>
      </c>
      <c r="D31" s="76"/>
      <c r="E31" s="77">
        <v>1125</v>
      </c>
    </row>
    <row r="32" spans="1:10" ht="13.5" thickBot="1" x14ac:dyDescent="0.25">
      <c r="B32" s="10"/>
      <c r="C32" s="28" t="s">
        <v>0</v>
      </c>
      <c r="D32" s="28"/>
      <c r="E32" s="30">
        <f>SUM(E30:E31)</f>
        <v>8391.7799999999988</v>
      </c>
    </row>
    <row r="33" spans="1:10" x14ac:dyDescent="0.2">
      <c r="B33" s="10"/>
      <c r="C33" s="28"/>
      <c r="D33" s="28"/>
      <c r="E33" s="52"/>
    </row>
    <row r="34" spans="1:10" s="24" customFormat="1" ht="6.75" customHeight="1" x14ac:dyDescent="0.2">
      <c r="B34" s="25"/>
      <c r="C34" s="26"/>
      <c r="D34" s="26"/>
      <c r="E34" s="27"/>
      <c r="F34" s="53"/>
      <c r="G34" s="27"/>
      <c r="H34" s="27"/>
      <c r="I34" s="27"/>
    </row>
    <row r="35" spans="1:10" ht="19.5" customHeight="1" x14ac:dyDescent="0.2">
      <c r="A35" s="38"/>
      <c r="B35" s="20" t="s">
        <v>21</v>
      </c>
      <c r="C35" s="39" t="s">
        <v>60</v>
      </c>
      <c r="D35" s="33"/>
      <c r="E35" s="12"/>
      <c r="F35" s="54"/>
      <c r="G35" s="12"/>
      <c r="H35" s="12"/>
      <c r="I35" s="12"/>
    </row>
    <row r="36" spans="1:10" ht="19.5" customHeight="1" x14ac:dyDescent="0.2">
      <c r="B36" s="20" t="s">
        <v>23</v>
      </c>
      <c r="C36" s="428">
        <v>43663</v>
      </c>
      <c r="D36" s="428"/>
      <c r="E36" s="12"/>
      <c r="F36" s="54"/>
      <c r="G36" s="12"/>
      <c r="H36" s="12"/>
      <c r="I36" s="12"/>
    </row>
    <row r="37" spans="1:10" ht="4.5" customHeight="1" x14ac:dyDescent="0.45">
      <c r="B37" s="2"/>
      <c r="C37" s="17"/>
      <c r="D37" s="17"/>
      <c r="E37" s="424"/>
      <c r="F37" s="424"/>
      <c r="G37" s="3"/>
      <c r="H37" s="4"/>
      <c r="I37" s="4"/>
    </row>
    <row r="38" spans="1:10" s="140" customFormat="1" ht="13.5" thickBot="1" x14ac:dyDescent="0.25">
      <c r="B38" s="21" t="s">
        <v>22</v>
      </c>
      <c r="C38" s="44" t="s">
        <v>1</v>
      </c>
      <c r="D38" s="44"/>
      <c r="E38" s="23" t="s">
        <v>2</v>
      </c>
      <c r="F38" s="55"/>
    </row>
    <row r="39" spans="1:10" x14ac:dyDescent="0.2">
      <c r="B39" s="18" t="s">
        <v>25</v>
      </c>
      <c r="C39" s="19" t="s">
        <v>13</v>
      </c>
      <c r="D39" s="40"/>
      <c r="E39" s="67">
        <v>2529.2199999999998</v>
      </c>
      <c r="F39" s="59"/>
      <c r="G39" s="56"/>
    </row>
    <row r="40" spans="1:10" x14ac:dyDescent="0.2">
      <c r="B40" s="36" t="s">
        <v>26</v>
      </c>
      <c r="C40" s="22" t="s">
        <v>24</v>
      </c>
      <c r="D40" s="41"/>
      <c r="E40" s="67">
        <v>802.47</v>
      </c>
      <c r="F40" s="59"/>
      <c r="G40" s="66"/>
      <c r="H40" s="45"/>
    </row>
    <row r="41" spans="1:10" x14ac:dyDescent="0.2">
      <c r="B41" s="36" t="s">
        <v>3</v>
      </c>
      <c r="C41" s="22" t="s">
        <v>12</v>
      </c>
      <c r="D41" s="41"/>
      <c r="E41" s="67">
        <v>1037.75</v>
      </c>
      <c r="F41" s="59"/>
    </row>
    <row r="42" spans="1:10" x14ac:dyDescent="0.2">
      <c r="B42" s="13" t="s">
        <v>32</v>
      </c>
      <c r="C42" s="16" t="s">
        <v>11</v>
      </c>
      <c r="D42" s="42"/>
      <c r="E42" s="68">
        <v>977.47</v>
      </c>
    </row>
    <row r="43" spans="1:10" x14ac:dyDescent="0.2">
      <c r="B43" s="69" t="s">
        <v>75</v>
      </c>
      <c r="C43" s="73" t="s">
        <v>31</v>
      </c>
      <c r="D43" s="70"/>
      <c r="E43" s="71">
        <v>792</v>
      </c>
      <c r="G43" s="59"/>
      <c r="I43" s="200"/>
      <c r="J43" s="200"/>
    </row>
    <row r="44" spans="1:10" x14ac:dyDescent="0.2">
      <c r="B44" s="69" t="s">
        <v>86</v>
      </c>
      <c r="C44" s="73" t="s">
        <v>87</v>
      </c>
      <c r="D44" s="70"/>
      <c r="E44" s="71">
        <v>1268.44</v>
      </c>
      <c r="G44" s="59"/>
      <c r="I44" s="200"/>
      <c r="J44" s="200"/>
    </row>
    <row r="45" spans="1:10" ht="13.5" thickBot="1" x14ac:dyDescent="0.25">
      <c r="B45" s="72" t="s">
        <v>26</v>
      </c>
      <c r="C45" s="74" t="s">
        <v>115</v>
      </c>
      <c r="D45" s="50"/>
      <c r="E45" s="29">
        <v>592</v>
      </c>
      <c r="F45" s="57"/>
      <c r="G45" s="59"/>
      <c r="I45" s="425"/>
      <c r="J45" s="425"/>
    </row>
    <row r="46" spans="1:10" s="4" customFormat="1" ht="13.5" thickBot="1" x14ac:dyDescent="0.25">
      <c r="B46" s="46"/>
      <c r="C46" s="47"/>
      <c r="D46" s="48"/>
      <c r="E46" s="49">
        <f>SUM(E39:E45)</f>
        <v>7999.35</v>
      </c>
      <c r="F46" s="58"/>
      <c r="G46" s="65"/>
    </row>
    <row r="47" spans="1:10" ht="13.5" thickBot="1" x14ac:dyDescent="0.25">
      <c r="B47" s="75" t="s">
        <v>30</v>
      </c>
      <c r="C47" s="76" t="s">
        <v>5</v>
      </c>
      <c r="D47" s="76"/>
      <c r="E47" s="77">
        <v>1125</v>
      </c>
    </row>
    <row r="48" spans="1:10" ht="13.5" thickBot="1" x14ac:dyDescent="0.25">
      <c r="B48" s="10"/>
      <c r="C48" s="28" t="s">
        <v>0</v>
      </c>
      <c r="D48" s="28"/>
      <c r="E48" s="30">
        <f>SUM(E46:E47)</f>
        <v>9124.35</v>
      </c>
    </row>
    <row r="49" spans="1:10" x14ac:dyDescent="0.2">
      <c r="B49" s="10"/>
      <c r="C49" s="28"/>
      <c r="D49" s="28"/>
      <c r="E49" s="52"/>
    </row>
    <row r="50" spans="1:10" s="24" customFormat="1" ht="6.75" customHeight="1" x14ac:dyDescent="0.2">
      <c r="B50" s="25"/>
      <c r="C50" s="26"/>
      <c r="D50" s="26"/>
      <c r="E50" s="27"/>
      <c r="F50" s="53"/>
      <c r="G50" s="27"/>
      <c r="H50" s="27"/>
      <c r="I50" s="27"/>
    </row>
    <row r="51" spans="1:10" ht="19.5" customHeight="1" x14ac:dyDescent="0.2">
      <c r="A51" s="38"/>
      <c r="B51" s="20" t="s">
        <v>21</v>
      </c>
      <c r="C51" s="39" t="s">
        <v>82</v>
      </c>
      <c r="D51" s="33"/>
      <c r="E51" s="12"/>
      <c r="F51" s="54"/>
      <c r="G51" s="12"/>
      <c r="H51" s="12"/>
      <c r="I51" s="12"/>
    </row>
    <row r="52" spans="1:10" ht="19.5" customHeight="1" x14ac:dyDescent="0.2">
      <c r="B52" s="20" t="s">
        <v>23</v>
      </c>
      <c r="C52" s="428">
        <v>43670</v>
      </c>
      <c r="D52" s="428"/>
      <c r="E52" s="12"/>
      <c r="F52" s="54"/>
      <c r="G52" s="12"/>
      <c r="H52" s="12"/>
      <c r="I52" s="12"/>
    </row>
    <row r="53" spans="1:10" ht="4.5" customHeight="1" x14ac:dyDescent="0.45">
      <c r="B53" s="2"/>
      <c r="C53" s="17"/>
      <c r="D53" s="17"/>
      <c r="E53" s="424"/>
      <c r="F53" s="424"/>
      <c r="G53" s="3"/>
      <c r="H53" s="4"/>
      <c r="I53" s="4"/>
    </row>
    <row r="54" spans="1:10" s="140" customFormat="1" ht="13.5" thickBot="1" x14ac:dyDescent="0.25">
      <c r="B54" s="21" t="s">
        <v>22</v>
      </c>
      <c r="C54" s="44" t="s">
        <v>1</v>
      </c>
      <c r="D54" s="44"/>
      <c r="E54" s="23" t="s">
        <v>2</v>
      </c>
      <c r="F54" s="55"/>
      <c r="H54" s="189"/>
    </row>
    <row r="55" spans="1:10" x14ac:dyDescent="0.2">
      <c r="B55" s="18" t="s">
        <v>25</v>
      </c>
      <c r="C55" s="19" t="s">
        <v>13</v>
      </c>
      <c r="D55" s="40"/>
      <c r="E55" s="67">
        <v>2719.36</v>
      </c>
      <c r="F55" s="59"/>
      <c r="G55" s="188"/>
      <c r="H55" s="45"/>
    </row>
    <row r="56" spans="1:10" x14ac:dyDescent="0.2">
      <c r="B56" s="36" t="s">
        <v>26</v>
      </c>
      <c r="C56" s="22" t="s">
        <v>24</v>
      </c>
      <c r="D56" s="41"/>
      <c r="E56" s="67">
        <v>802.47</v>
      </c>
      <c r="F56" s="59"/>
      <c r="G56" s="66"/>
      <c r="H56" s="45"/>
    </row>
    <row r="57" spans="1:10" x14ac:dyDescent="0.2">
      <c r="B57" s="36" t="s">
        <v>3</v>
      </c>
      <c r="C57" s="22" t="s">
        <v>12</v>
      </c>
      <c r="D57" s="41"/>
      <c r="E57" s="67">
        <v>1037.75</v>
      </c>
      <c r="F57" s="59"/>
    </row>
    <row r="58" spans="1:10" x14ac:dyDescent="0.2">
      <c r="B58" s="13" t="s">
        <v>32</v>
      </c>
      <c r="C58" s="16" t="s">
        <v>11</v>
      </c>
      <c r="D58" s="42"/>
      <c r="E58" s="68">
        <v>977.47</v>
      </c>
    </row>
    <row r="59" spans="1:10" x14ac:dyDescent="0.2">
      <c r="B59" s="69" t="s">
        <v>75</v>
      </c>
      <c r="C59" s="73" t="s">
        <v>31</v>
      </c>
      <c r="D59" s="70"/>
      <c r="E59" s="71">
        <v>792</v>
      </c>
      <c r="G59" s="59"/>
      <c r="I59" s="200"/>
      <c r="J59" s="200"/>
    </row>
    <row r="60" spans="1:10" x14ac:dyDescent="0.2">
      <c r="B60" s="69" t="s">
        <v>86</v>
      </c>
      <c r="C60" s="73" t="s">
        <v>87</v>
      </c>
      <c r="D60" s="70"/>
      <c r="E60" s="71">
        <v>1045.69</v>
      </c>
      <c r="G60" s="59"/>
      <c r="I60" s="200"/>
      <c r="J60" s="200"/>
    </row>
    <row r="61" spans="1:10" ht="13.5" thickBot="1" x14ac:dyDescent="0.25">
      <c r="B61" s="72" t="s">
        <v>26</v>
      </c>
      <c r="C61" s="74" t="s">
        <v>115</v>
      </c>
      <c r="D61" s="50"/>
      <c r="E61" s="29">
        <v>836.55</v>
      </c>
      <c r="F61" s="57"/>
      <c r="G61" s="59"/>
      <c r="I61" s="425"/>
      <c r="J61" s="425"/>
    </row>
    <row r="62" spans="1:10" s="4" customFormat="1" ht="13.5" thickBot="1" x14ac:dyDescent="0.25">
      <c r="B62" s="46"/>
      <c r="C62" s="47"/>
      <c r="D62" s="48"/>
      <c r="E62" s="49">
        <f>SUM(E55:E61)</f>
        <v>8211.2899999999991</v>
      </c>
      <c r="F62" s="58"/>
      <c r="G62" s="65"/>
    </row>
    <row r="63" spans="1:10" ht="13.5" thickBot="1" x14ac:dyDescent="0.25">
      <c r="B63" s="75" t="s">
        <v>30</v>
      </c>
      <c r="C63" s="76" t="s">
        <v>5</v>
      </c>
      <c r="D63" s="76"/>
      <c r="E63" s="77">
        <v>1125</v>
      </c>
    </row>
    <row r="64" spans="1:10" ht="13.5" thickBot="1" x14ac:dyDescent="0.25">
      <c r="B64" s="10"/>
      <c r="C64" s="28" t="s">
        <v>0</v>
      </c>
      <c r="D64" s="28"/>
      <c r="E64" s="30">
        <f>SUM(E62:E63)</f>
        <v>9336.2899999999991</v>
      </c>
    </row>
    <row r="65" spans="1:10" x14ac:dyDescent="0.2">
      <c r="B65" s="10"/>
      <c r="C65" s="28"/>
      <c r="D65" s="28"/>
      <c r="E65" s="52"/>
    </row>
    <row r="66" spans="1:10" s="24" customFormat="1" ht="6.75" customHeight="1" x14ac:dyDescent="0.2">
      <c r="B66" s="25"/>
      <c r="C66" s="26"/>
      <c r="D66" s="26"/>
      <c r="E66" s="27"/>
      <c r="F66" s="53"/>
      <c r="G66" s="27"/>
      <c r="H66" s="27"/>
      <c r="I66" s="27"/>
    </row>
    <row r="67" spans="1:10" ht="19.5" customHeight="1" x14ac:dyDescent="0.2">
      <c r="A67" s="38"/>
      <c r="B67" s="20" t="s">
        <v>21</v>
      </c>
      <c r="C67" s="39" t="s">
        <v>83</v>
      </c>
      <c r="D67" s="33"/>
      <c r="E67" s="12"/>
      <c r="F67" s="54"/>
      <c r="G67" s="12"/>
      <c r="H67" s="12"/>
      <c r="I67" s="12"/>
    </row>
    <row r="68" spans="1:10" ht="19.5" customHeight="1" x14ac:dyDescent="0.2">
      <c r="B68" s="20" t="s">
        <v>23</v>
      </c>
      <c r="C68" s="428">
        <v>43677</v>
      </c>
      <c r="D68" s="428"/>
      <c r="E68" s="12"/>
      <c r="F68" s="54"/>
      <c r="G68" s="12"/>
      <c r="H68" s="12"/>
      <c r="I68" s="12"/>
    </row>
    <row r="69" spans="1:10" ht="4.5" customHeight="1" x14ac:dyDescent="0.45">
      <c r="B69" s="2"/>
      <c r="C69" s="17"/>
      <c r="D69" s="17"/>
      <c r="E69" s="424"/>
      <c r="F69" s="424"/>
      <c r="G69" s="3"/>
      <c r="H69" s="4"/>
      <c r="I69" s="4"/>
    </row>
    <row r="70" spans="1:10" s="140" customFormat="1" ht="13.5" thickBot="1" x14ac:dyDescent="0.25">
      <c r="B70" s="21" t="s">
        <v>22</v>
      </c>
      <c r="C70" s="44" t="s">
        <v>1</v>
      </c>
      <c r="D70" s="44"/>
      <c r="E70" s="23" t="s">
        <v>2</v>
      </c>
      <c r="F70" s="55"/>
      <c r="H70" s="189"/>
    </row>
    <row r="71" spans="1:10" x14ac:dyDescent="0.2">
      <c r="B71" s="18" t="s">
        <v>25</v>
      </c>
      <c r="C71" s="19" t="s">
        <v>13</v>
      </c>
      <c r="D71" s="40"/>
      <c r="E71" s="67">
        <v>3819.15</v>
      </c>
      <c r="F71" s="59"/>
      <c r="G71" s="188"/>
      <c r="H71" s="45"/>
    </row>
    <row r="72" spans="1:10" x14ac:dyDescent="0.2">
      <c r="B72" s="36" t="s">
        <v>26</v>
      </c>
      <c r="C72" s="22" t="s">
        <v>24</v>
      </c>
      <c r="D72" s="41"/>
      <c r="E72" s="67">
        <v>802.47</v>
      </c>
      <c r="F72" s="59"/>
      <c r="G72" s="66"/>
      <c r="H72" s="45"/>
    </row>
    <row r="73" spans="1:10" x14ac:dyDescent="0.2">
      <c r="B73" s="36" t="s">
        <v>3</v>
      </c>
      <c r="C73" s="22" t="s">
        <v>12</v>
      </c>
      <c r="D73" s="41"/>
      <c r="E73" s="67">
        <v>1037.75</v>
      </c>
      <c r="F73" s="59"/>
    </row>
    <row r="74" spans="1:10" x14ac:dyDescent="0.2">
      <c r="B74" s="13" t="s">
        <v>32</v>
      </c>
      <c r="C74" s="16" t="s">
        <v>11</v>
      </c>
      <c r="D74" s="42"/>
      <c r="E74" s="68">
        <v>977.47</v>
      </c>
    </row>
    <row r="75" spans="1:10" x14ac:dyDescent="0.2">
      <c r="B75" s="69" t="s">
        <v>75</v>
      </c>
      <c r="C75" s="73" t="s">
        <v>31</v>
      </c>
      <c r="D75" s="70"/>
      <c r="E75" s="71">
        <v>792</v>
      </c>
      <c r="G75" s="59"/>
      <c r="I75" s="200"/>
      <c r="J75" s="200"/>
    </row>
    <row r="76" spans="1:10" x14ac:dyDescent="0.2">
      <c r="B76" s="69" t="s">
        <v>86</v>
      </c>
      <c r="C76" s="73" t="s">
        <v>87</v>
      </c>
      <c r="D76" s="70"/>
      <c r="E76" s="71">
        <v>1082.81</v>
      </c>
      <c r="G76" s="59"/>
      <c r="I76" s="200"/>
      <c r="J76" s="200"/>
    </row>
    <row r="77" spans="1:10" ht="13.5" thickBot="1" x14ac:dyDescent="0.25">
      <c r="B77" s="72" t="s">
        <v>26</v>
      </c>
      <c r="C77" s="74" t="s">
        <v>115</v>
      </c>
      <c r="D77" s="50"/>
      <c r="E77" s="29">
        <v>592</v>
      </c>
      <c r="F77" s="57"/>
      <c r="G77" s="59"/>
      <c r="I77" s="425"/>
      <c r="J77" s="425"/>
    </row>
    <row r="78" spans="1:10" s="4" customFormat="1" ht="13.5" thickBot="1" x14ac:dyDescent="0.25">
      <c r="B78" s="201"/>
      <c r="C78" s="202"/>
      <c r="D78" s="203"/>
      <c r="E78" s="49">
        <f>SUM(E71:E77)</f>
        <v>9103.65</v>
      </c>
      <c r="F78" s="58"/>
      <c r="G78" s="65"/>
    </row>
    <row r="79" spans="1:10" x14ac:dyDescent="0.2">
      <c r="A79" s="4"/>
      <c r="B79" s="10"/>
      <c r="C79" s="28"/>
      <c r="D79" s="28"/>
      <c r="E79" s="52"/>
    </row>
    <row r="80" spans="1:10" s="6" customFormat="1" ht="13.15" customHeight="1" x14ac:dyDescent="0.2">
      <c r="A80" s="14" t="s">
        <v>6</v>
      </c>
      <c r="B80" s="15" t="s">
        <v>7</v>
      </c>
      <c r="C80" s="15"/>
      <c r="D80" s="31">
        <v>9000</v>
      </c>
      <c r="E80" s="43" t="s">
        <v>139</v>
      </c>
      <c r="F80" s="14" t="s">
        <v>34</v>
      </c>
      <c r="G80" s="15" t="s">
        <v>33</v>
      </c>
      <c r="H80" s="31">
        <v>3948.27</v>
      </c>
      <c r="I80" s="51" t="s">
        <v>139</v>
      </c>
    </row>
    <row r="81" spans="1:9" s="6" customFormat="1" ht="13.15" customHeight="1" x14ac:dyDescent="0.2">
      <c r="A81" s="14" t="s">
        <v>8</v>
      </c>
      <c r="B81" s="15" t="s">
        <v>9</v>
      </c>
      <c r="C81" s="15"/>
      <c r="D81" s="31">
        <v>311.83999999999997</v>
      </c>
      <c r="E81" s="43" t="s">
        <v>139</v>
      </c>
      <c r="F81" s="60" t="s">
        <v>41</v>
      </c>
      <c r="G81" s="15" t="s">
        <v>40</v>
      </c>
      <c r="H81" s="31">
        <v>0</v>
      </c>
      <c r="I81" s="51"/>
    </row>
    <row r="82" spans="1:9" s="6" customFormat="1" ht="13.15" customHeight="1" x14ac:dyDescent="0.2">
      <c r="A82" s="14" t="s">
        <v>27</v>
      </c>
      <c r="B82" s="15" t="s">
        <v>28</v>
      </c>
      <c r="C82" s="15"/>
      <c r="D82" s="31">
        <v>619.53</v>
      </c>
      <c r="E82" s="43" t="s">
        <v>139</v>
      </c>
      <c r="F82" s="60" t="s">
        <v>19</v>
      </c>
      <c r="G82" s="15" t="s">
        <v>20</v>
      </c>
      <c r="H82" s="31">
        <v>500</v>
      </c>
      <c r="I82" s="51" t="s">
        <v>139</v>
      </c>
    </row>
    <row r="83" spans="1:9" s="6" customFormat="1" ht="13.15" customHeight="1" x14ac:dyDescent="0.2">
      <c r="A83" s="14" t="s">
        <v>10</v>
      </c>
      <c r="B83" s="15" t="s">
        <v>35</v>
      </c>
      <c r="C83" s="31"/>
      <c r="D83" s="31">
        <v>5000</v>
      </c>
      <c r="E83" s="43" t="s">
        <v>139</v>
      </c>
      <c r="F83" s="60" t="s">
        <v>6</v>
      </c>
      <c r="G83" s="15" t="s">
        <v>42</v>
      </c>
      <c r="H83" s="31">
        <v>904</v>
      </c>
      <c r="I83" s="51" t="s">
        <v>139</v>
      </c>
    </row>
    <row r="84" spans="1:9" s="6" customFormat="1" ht="13.15" customHeight="1" x14ac:dyDescent="0.2">
      <c r="A84" s="14" t="s">
        <v>10</v>
      </c>
      <c r="B84" s="15" t="s">
        <v>36</v>
      </c>
      <c r="C84" s="31"/>
      <c r="D84" s="31">
        <v>4000</v>
      </c>
      <c r="E84" s="43" t="s">
        <v>139</v>
      </c>
      <c r="F84" s="60" t="s">
        <v>8</v>
      </c>
      <c r="G84" s="15" t="s">
        <v>14</v>
      </c>
      <c r="H84" s="31">
        <v>12000</v>
      </c>
      <c r="I84" s="51" t="s">
        <v>139</v>
      </c>
    </row>
    <row r="85" spans="1:9" s="6" customFormat="1" ht="13.15" customHeight="1" thickBot="1" x14ac:dyDescent="0.25">
      <c r="A85" s="14" t="s">
        <v>10</v>
      </c>
      <c r="B85" s="15" t="s">
        <v>37</v>
      </c>
      <c r="C85" s="31"/>
      <c r="D85" s="31">
        <v>1126.4100000000001</v>
      </c>
      <c r="E85" s="43" t="s">
        <v>139</v>
      </c>
      <c r="F85" s="61" t="s">
        <v>16</v>
      </c>
      <c r="G85" s="15" t="s">
        <v>15</v>
      </c>
      <c r="H85" s="32">
        <v>12000</v>
      </c>
      <c r="I85" s="51" t="s">
        <v>139</v>
      </c>
    </row>
    <row r="86" spans="1:9" s="6" customFormat="1" ht="13.15" customHeight="1" thickTop="1" thickBot="1" x14ac:dyDescent="0.25">
      <c r="A86" s="14"/>
      <c r="B86" s="15" t="s">
        <v>88</v>
      </c>
      <c r="C86" s="31"/>
      <c r="D86" s="31">
        <v>1000</v>
      </c>
      <c r="E86" s="204" t="s">
        <v>140</v>
      </c>
      <c r="F86" s="62"/>
      <c r="G86" s="15"/>
      <c r="H86" s="37">
        <f>SUM(H80:H85)+SUM(D80:D87)-D80</f>
        <v>41410.050000000003</v>
      </c>
      <c r="I86" s="51"/>
    </row>
    <row r="87" spans="1:9" s="6" customFormat="1" ht="13.15" customHeight="1" thickBot="1" x14ac:dyDescent="0.25">
      <c r="A87" s="14"/>
      <c r="B87" s="15"/>
      <c r="C87" s="31"/>
      <c r="D87" s="31"/>
      <c r="E87" s="31"/>
      <c r="F87" s="62"/>
      <c r="G87" s="34" t="s">
        <v>4</v>
      </c>
      <c r="H87" s="35">
        <f>E78+H86</f>
        <v>50513.700000000004</v>
      </c>
      <c r="I87" s="37"/>
    </row>
    <row r="88" spans="1:9" s="6" customFormat="1" ht="13.15" customHeight="1" x14ac:dyDescent="0.2">
      <c r="B88" s="14"/>
      <c r="C88" s="15"/>
      <c r="D88" s="8"/>
      <c r="E88" s="31"/>
      <c r="F88" s="63"/>
      <c r="G88" s="8"/>
      <c r="H88" s="8"/>
      <c r="I88" s="37"/>
    </row>
    <row r="89" spans="1:9" s="6" customFormat="1" ht="13.15" customHeight="1" x14ac:dyDescent="0.2">
      <c r="B89" s="14"/>
      <c r="C89" s="15"/>
      <c r="D89" s="7"/>
      <c r="E89" s="8"/>
      <c r="F89" s="63"/>
      <c r="G89" s="8"/>
      <c r="H89" s="8"/>
      <c r="I89" s="37"/>
    </row>
    <row r="90" spans="1:9" s="6" customFormat="1" ht="13.15" customHeight="1" x14ac:dyDescent="0.2">
      <c r="A90" s="8"/>
      <c r="B90" s="9"/>
      <c r="C90" s="8"/>
      <c r="D90" s="7"/>
      <c r="E90" s="8"/>
      <c r="F90" s="63"/>
      <c r="G90" s="8"/>
      <c r="H90" s="8"/>
      <c r="I90" s="37"/>
    </row>
    <row r="91" spans="1:9" s="6" customFormat="1" ht="13.15" customHeight="1" x14ac:dyDescent="0.2">
      <c r="A91" s="8"/>
      <c r="B91" s="9"/>
      <c r="C91" s="7"/>
      <c r="D91" s="7"/>
      <c r="E91" s="8"/>
      <c r="F91" s="63"/>
      <c r="G91" s="8"/>
      <c r="H91" s="8"/>
      <c r="I91" s="37"/>
    </row>
    <row r="92" spans="1:9" s="6" customFormat="1" ht="13.15" customHeight="1" x14ac:dyDescent="0.2">
      <c r="A92" s="8"/>
      <c r="B92" s="9"/>
      <c r="C92" s="7"/>
      <c r="D92" s="7"/>
      <c r="E92" s="8"/>
      <c r="F92" s="63"/>
      <c r="G92" s="8"/>
      <c r="H92" s="8"/>
      <c r="I92" s="37"/>
    </row>
    <row r="93" spans="1:9" s="6" customFormat="1" ht="13.15" customHeight="1" x14ac:dyDescent="0.2">
      <c r="A93" s="8"/>
      <c r="B93" s="9"/>
      <c r="C93" s="7"/>
      <c r="D93" s="7"/>
      <c r="E93" s="8"/>
      <c r="F93" s="63"/>
      <c r="G93" s="8"/>
      <c r="H93" s="8"/>
      <c r="I93" s="37"/>
    </row>
    <row r="94" spans="1:9" s="8" customFormat="1" ht="12" x14ac:dyDescent="0.2">
      <c r="B94" s="9"/>
      <c r="C94" s="7"/>
      <c r="F94" s="63"/>
    </row>
    <row r="95" spans="1:9" s="8" customFormat="1" ht="12" x14ac:dyDescent="0.2">
      <c r="B95" s="9"/>
      <c r="C95" s="7"/>
      <c r="F95" s="63"/>
    </row>
    <row r="96" spans="1:9" s="8" customFormat="1" ht="12" x14ac:dyDescent="0.2">
      <c r="B96" s="9"/>
      <c r="C96" s="7"/>
      <c r="F96" s="63"/>
    </row>
    <row r="97" spans="1:9" s="8" customFormat="1" ht="12" x14ac:dyDescent="0.2">
      <c r="B97" s="9"/>
      <c r="F97" s="63"/>
    </row>
    <row r="98" spans="1:9" s="8" customFormat="1" ht="12" x14ac:dyDescent="0.2">
      <c r="B98" s="9"/>
      <c r="F98" s="63"/>
    </row>
    <row r="99" spans="1:9" s="8" customFormat="1" ht="12" x14ac:dyDescent="0.2">
      <c r="B99" s="9"/>
      <c r="F99" s="63"/>
    </row>
    <row r="100" spans="1:9" s="8" customFormat="1" x14ac:dyDescent="0.2">
      <c r="B100" s="9"/>
      <c r="D100" s="5"/>
      <c r="F100" s="63"/>
    </row>
    <row r="101" spans="1:9" s="8" customFormat="1" x14ac:dyDescent="0.2">
      <c r="B101" s="9"/>
      <c r="D101" s="5"/>
      <c r="F101" s="45"/>
      <c r="G101" s="5"/>
      <c r="H101" s="5"/>
    </row>
    <row r="102" spans="1:9" s="8" customFormat="1" x14ac:dyDescent="0.2">
      <c r="B102" s="9"/>
      <c r="D102" s="5"/>
      <c r="E102" s="5"/>
      <c r="F102" s="45"/>
      <c r="G102" s="5"/>
      <c r="H102" s="5"/>
    </row>
    <row r="103" spans="1:9" s="8" customFormat="1" x14ac:dyDescent="0.2">
      <c r="B103" s="11"/>
      <c r="C103" s="5"/>
      <c r="D103" s="5"/>
      <c r="E103" s="5"/>
      <c r="F103" s="45"/>
      <c r="G103" s="5"/>
      <c r="H103" s="5"/>
    </row>
    <row r="104" spans="1:9" s="8" customFormat="1" x14ac:dyDescent="0.2">
      <c r="B104" s="11"/>
      <c r="C104" s="5"/>
      <c r="D104" s="5"/>
      <c r="E104" s="5"/>
      <c r="F104" s="45"/>
      <c r="G104" s="5"/>
      <c r="H104" s="5"/>
    </row>
    <row r="105" spans="1:9" s="8" customFormat="1" x14ac:dyDescent="0.2">
      <c r="B105" s="11"/>
      <c r="C105" s="5"/>
      <c r="D105" s="5"/>
      <c r="E105" s="5"/>
      <c r="F105" s="45"/>
      <c r="G105" s="5"/>
      <c r="H105" s="5"/>
    </row>
    <row r="106" spans="1:9" s="8" customFormat="1" x14ac:dyDescent="0.2">
      <c r="B106" s="11"/>
      <c r="C106" s="5"/>
      <c r="D106" s="5"/>
      <c r="E106" s="5"/>
      <c r="F106" s="45"/>
      <c r="G106" s="5"/>
      <c r="H106" s="5"/>
    </row>
    <row r="107" spans="1:9" s="8" customFormat="1" x14ac:dyDescent="0.2">
      <c r="A107" s="5"/>
      <c r="B107" s="11"/>
      <c r="C107" s="5"/>
      <c r="D107" s="5"/>
      <c r="E107" s="5"/>
      <c r="F107" s="45"/>
      <c r="G107" s="5"/>
      <c r="H107" s="5"/>
      <c r="I107" s="5"/>
    </row>
    <row r="108" spans="1:9" s="8" customFormat="1" x14ac:dyDescent="0.2">
      <c r="A108" s="5"/>
      <c r="B108" s="11"/>
      <c r="C108" s="5"/>
      <c r="D108" s="5"/>
      <c r="E108" s="5"/>
      <c r="F108" s="45"/>
      <c r="G108" s="5"/>
      <c r="H108" s="5"/>
      <c r="I108" s="5"/>
    </row>
    <row r="109" spans="1:9" s="8" customFormat="1" x14ac:dyDescent="0.2">
      <c r="A109" s="5"/>
      <c r="B109" s="11"/>
      <c r="C109" s="5"/>
      <c r="D109" s="5"/>
      <c r="E109" s="5"/>
      <c r="F109" s="45"/>
      <c r="G109" s="5"/>
      <c r="H109" s="5"/>
      <c r="I109" s="5"/>
    </row>
    <row r="110" spans="1:9" s="8" customFormat="1" x14ac:dyDescent="0.2">
      <c r="A110" s="5"/>
      <c r="B110" s="11"/>
      <c r="C110" s="5"/>
      <c r="D110" s="5"/>
      <c r="E110" s="5"/>
      <c r="F110" s="45"/>
      <c r="G110" s="5"/>
      <c r="H110" s="5"/>
      <c r="I110" s="5"/>
    </row>
  </sheetData>
  <mergeCells count="16">
    <mergeCell ref="I61:J61"/>
    <mergeCell ref="C68:D68"/>
    <mergeCell ref="E69:F69"/>
    <mergeCell ref="I77:J77"/>
    <mergeCell ref="I29:J29"/>
    <mergeCell ref="C36:D36"/>
    <mergeCell ref="E37:F37"/>
    <mergeCell ref="I45:J45"/>
    <mergeCell ref="C52:D52"/>
    <mergeCell ref="E53:F53"/>
    <mergeCell ref="E21:F21"/>
    <mergeCell ref="A1:J1"/>
    <mergeCell ref="C4:D4"/>
    <mergeCell ref="E5:F5"/>
    <mergeCell ref="I13:J13"/>
    <mergeCell ref="C20:D20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opLeftCell="A52" zoomScaleNormal="100" workbookViewId="0">
      <selection activeCell="I69" sqref="I69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9.85546875" style="5" customWidth="1"/>
    <col min="5" max="5" width="10.5703125" style="5" customWidth="1"/>
    <col min="6" max="6" width="7" style="45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426" t="s">
        <v>143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0" s="24" customFormat="1" ht="6.75" customHeight="1" x14ac:dyDescent="0.2">
      <c r="B2" s="25"/>
      <c r="C2" s="26"/>
      <c r="D2" s="26"/>
      <c r="E2" s="27"/>
      <c r="F2" s="53"/>
      <c r="G2" s="64"/>
      <c r="H2" s="27"/>
      <c r="I2" s="27"/>
    </row>
    <row r="3" spans="1:10" ht="19.5" customHeight="1" x14ac:dyDescent="0.2">
      <c r="A3" s="38"/>
      <c r="B3" s="20" t="s">
        <v>21</v>
      </c>
      <c r="C3" s="39" t="s">
        <v>84</v>
      </c>
      <c r="D3" s="33"/>
      <c r="E3" s="12"/>
      <c r="F3" s="54"/>
      <c r="G3" s="12"/>
      <c r="H3" s="12"/>
      <c r="I3" s="12"/>
    </row>
    <row r="4" spans="1:10" ht="19.5" customHeight="1" x14ac:dyDescent="0.2">
      <c r="B4" s="20" t="s">
        <v>23</v>
      </c>
      <c r="C4" s="427">
        <v>43684</v>
      </c>
      <c r="D4" s="428"/>
      <c r="E4" s="12"/>
      <c r="F4" s="54"/>
      <c r="G4" s="12"/>
      <c r="H4" s="12"/>
      <c r="I4" s="12"/>
    </row>
    <row r="5" spans="1:10" ht="4.5" customHeight="1" x14ac:dyDescent="0.45">
      <c r="B5" s="2"/>
      <c r="C5" s="17"/>
      <c r="D5" s="17"/>
      <c r="E5" s="424"/>
      <c r="F5" s="424"/>
      <c r="G5" s="3"/>
      <c r="H5" s="4"/>
      <c r="I5" s="4"/>
    </row>
    <row r="6" spans="1:10" s="140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55"/>
    </row>
    <row r="7" spans="1:10" x14ac:dyDescent="0.2">
      <c r="B7" s="18" t="s">
        <v>25</v>
      </c>
      <c r="C7" s="19" t="s">
        <v>13</v>
      </c>
      <c r="D7" s="40"/>
      <c r="E7" s="67">
        <v>2813.43</v>
      </c>
      <c r="G7" s="56"/>
    </row>
    <row r="8" spans="1:10" x14ac:dyDescent="0.2">
      <c r="B8" s="36" t="s">
        <v>26</v>
      </c>
      <c r="C8" s="22" t="s">
        <v>24</v>
      </c>
      <c r="D8" s="41"/>
      <c r="E8" s="67">
        <v>617.66999999999996</v>
      </c>
      <c r="F8" s="59"/>
      <c r="G8" s="137" t="s">
        <v>142</v>
      </c>
      <c r="H8" s="45"/>
    </row>
    <row r="9" spans="1:10" x14ac:dyDescent="0.2">
      <c r="B9" s="36" t="s">
        <v>3</v>
      </c>
      <c r="C9" s="22" t="s">
        <v>12</v>
      </c>
      <c r="D9" s="41"/>
      <c r="E9" s="67">
        <v>1037.75</v>
      </c>
      <c r="F9" s="59"/>
      <c r="G9" s="138"/>
    </row>
    <row r="10" spans="1:10" x14ac:dyDescent="0.2">
      <c r="B10" s="13" t="s">
        <v>32</v>
      </c>
      <c r="C10" s="16" t="s">
        <v>11</v>
      </c>
      <c r="D10" s="42"/>
      <c r="E10" s="68">
        <v>977.47</v>
      </c>
    </row>
    <row r="11" spans="1:10" x14ac:dyDescent="0.2">
      <c r="B11" s="69" t="s">
        <v>26</v>
      </c>
      <c r="C11" s="73" t="s">
        <v>31</v>
      </c>
      <c r="D11" s="70"/>
      <c r="E11" s="71">
        <v>792</v>
      </c>
      <c r="G11" s="56"/>
      <c r="I11" s="205"/>
      <c r="J11" s="205"/>
    </row>
    <row r="12" spans="1:10" x14ac:dyDescent="0.2">
      <c r="B12" s="69" t="s">
        <v>86</v>
      </c>
      <c r="C12" s="73" t="s">
        <v>87</v>
      </c>
      <c r="D12" s="70"/>
      <c r="E12" s="71">
        <v>990</v>
      </c>
      <c r="G12" s="56"/>
      <c r="I12" s="205"/>
      <c r="J12" s="205"/>
    </row>
    <row r="13" spans="1:10" ht="12" customHeight="1" thickBot="1" x14ac:dyDescent="0.25">
      <c r="B13" s="72" t="s">
        <v>86</v>
      </c>
      <c r="C13" s="74" t="s">
        <v>115</v>
      </c>
      <c r="D13" s="50"/>
      <c r="E13" s="29">
        <v>592</v>
      </c>
      <c r="F13" s="57"/>
      <c r="G13" s="59"/>
      <c r="I13" s="425"/>
      <c r="J13" s="425"/>
    </row>
    <row r="14" spans="1:10" s="4" customFormat="1" ht="13.5" thickBot="1" x14ac:dyDescent="0.25">
      <c r="B14" s="46"/>
      <c r="C14" s="47"/>
      <c r="D14" s="48"/>
      <c r="E14" s="49">
        <f>SUM(E7:E13)</f>
        <v>7820.3200000000006</v>
      </c>
      <c r="F14" s="58"/>
      <c r="G14" s="65"/>
    </row>
    <row r="15" spans="1:10" ht="13.5" thickBot="1" x14ac:dyDescent="0.25">
      <c r="B15" s="75" t="s">
        <v>30</v>
      </c>
      <c r="C15" s="76" t="s">
        <v>5</v>
      </c>
      <c r="D15" s="76"/>
      <c r="E15" s="77">
        <v>1125</v>
      </c>
    </row>
    <row r="16" spans="1:10" ht="13.5" thickBot="1" x14ac:dyDescent="0.25">
      <c r="B16" s="10"/>
      <c r="C16" s="28" t="s">
        <v>0</v>
      </c>
      <c r="D16" s="28"/>
      <c r="E16" s="30">
        <f>SUM(E14:E15)</f>
        <v>8945.32</v>
      </c>
      <c r="G16" s="5" t="s">
        <v>138</v>
      </c>
    </row>
    <row r="17" spans="1:10" x14ac:dyDescent="0.2">
      <c r="B17" s="10"/>
      <c r="C17" s="28"/>
      <c r="D17" s="28"/>
      <c r="E17" s="52"/>
    </row>
    <row r="18" spans="1:10" s="24" customFormat="1" ht="6.75" customHeight="1" x14ac:dyDescent="0.2">
      <c r="B18" s="25"/>
      <c r="C18" s="26"/>
      <c r="D18" s="26"/>
      <c r="E18" s="27"/>
      <c r="F18" s="53"/>
      <c r="G18" s="27"/>
      <c r="H18" s="27"/>
      <c r="I18" s="27"/>
    </row>
    <row r="19" spans="1:10" ht="19.5" customHeight="1" x14ac:dyDescent="0.2">
      <c r="A19" s="38"/>
      <c r="B19" s="20" t="s">
        <v>21</v>
      </c>
      <c r="C19" s="39" t="s">
        <v>85</v>
      </c>
      <c r="D19" s="33"/>
      <c r="E19" s="12"/>
      <c r="F19" s="54"/>
      <c r="G19" s="12"/>
      <c r="H19" s="12"/>
      <c r="I19" s="12"/>
    </row>
    <row r="20" spans="1:10" ht="19.5" customHeight="1" x14ac:dyDescent="0.2">
      <c r="B20" s="20" t="s">
        <v>23</v>
      </c>
      <c r="C20" s="427">
        <v>43691</v>
      </c>
      <c r="D20" s="428"/>
      <c r="E20" s="12"/>
      <c r="F20" s="54"/>
      <c r="G20" s="12"/>
      <c r="H20" s="12"/>
      <c r="I20" s="12"/>
    </row>
    <row r="21" spans="1:10" ht="4.5" customHeight="1" x14ac:dyDescent="0.45">
      <c r="B21" s="2"/>
      <c r="C21" s="17"/>
      <c r="D21" s="17"/>
      <c r="E21" s="424"/>
      <c r="F21" s="424"/>
      <c r="G21" s="3"/>
      <c r="H21" s="4"/>
      <c r="I21" s="4"/>
    </row>
    <row r="22" spans="1:10" s="140" customFormat="1" ht="13.5" thickBot="1" x14ac:dyDescent="0.25">
      <c r="B22" s="21" t="s">
        <v>22</v>
      </c>
      <c r="C22" s="44" t="s">
        <v>1</v>
      </c>
      <c r="D22" s="44"/>
      <c r="E22" s="23" t="s">
        <v>2</v>
      </c>
      <c r="F22" s="55"/>
    </row>
    <row r="23" spans="1:10" x14ac:dyDescent="0.2">
      <c r="B23" s="18" t="s">
        <v>25</v>
      </c>
      <c r="C23" s="19" t="s">
        <v>13</v>
      </c>
      <c r="D23" s="40"/>
      <c r="E23" s="67">
        <v>3084.3</v>
      </c>
      <c r="G23" s="56"/>
    </row>
    <row r="24" spans="1:10" x14ac:dyDescent="0.2">
      <c r="B24" s="36" t="s">
        <v>26</v>
      </c>
      <c r="C24" s="22" t="s">
        <v>24</v>
      </c>
      <c r="D24" s="41"/>
      <c r="E24" s="67">
        <v>802.47</v>
      </c>
      <c r="F24" s="59"/>
      <c r="G24" s="137"/>
      <c r="H24" s="45"/>
    </row>
    <row r="25" spans="1:10" x14ac:dyDescent="0.2">
      <c r="B25" s="36" t="s">
        <v>3</v>
      </c>
      <c r="C25" s="22" t="s">
        <v>12</v>
      </c>
      <c r="D25" s="41"/>
      <c r="E25" s="67">
        <v>1037.75</v>
      </c>
      <c r="F25" s="59"/>
      <c r="G25" s="138"/>
    </row>
    <row r="26" spans="1:10" x14ac:dyDescent="0.2">
      <c r="B26" s="13" t="s">
        <v>32</v>
      </c>
      <c r="C26" s="16" t="s">
        <v>11</v>
      </c>
      <c r="D26" s="42"/>
      <c r="E26" s="68">
        <v>977.47</v>
      </c>
    </row>
    <row r="27" spans="1:10" x14ac:dyDescent="0.2">
      <c r="B27" s="69" t="s">
        <v>75</v>
      </c>
      <c r="C27" s="73" t="s">
        <v>31</v>
      </c>
      <c r="D27" s="70"/>
      <c r="E27" s="71">
        <v>792</v>
      </c>
      <c r="G27" s="56"/>
      <c r="I27" s="205"/>
      <c r="J27" s="205"/>
    </row>
    <row r="28" spans="1:10" x14ac:dyDescent="0.2">
      <c r="B28" s="69" t="s">
        <v>48</v>
      </c>
      <c r="C28" s="73" t="s">
        <v>47</v>
      </c>
      <c r="D28" s="70"/>
      <c r="E28" s="71">
        <v>990</v>
      </c>
      <c r="G28" s="56"/>
      <c r="I28" s="206"/>
      <c r="J28" s="206"/>
    </row>
    <row r="29" spans="1:10" x14ac:dyDescent="0.2">
      <c r="B29" s="69" t="s">
        <v>86</v>
      </c>
      <c r="C29" s="73" t="s">
        <v>87</v>
      </c>
      <c r="D29" s="70"/>
      <c r="E29" s="71">
        <v>990</v>
      </c>
      <c r="G29" s="56"/>
      <c r="I29" s="205"/>
      <c r="J29" s="205"/>
    </row>
    <row r="30" spans="1:10" ht="12" customHeight="1" thickBot="1" x14ac:dyDescent="0.25">
      <c r="B30" s="72" t="s">
        <v>26</v>
      </c>
      <c r="C30" s="74" t="s">
        <v>115</v>
      </c>
      <c r="D30" s="50"/>
      <c r="E30" s="29">
        <v>592</v>
      </c>
      <c r="F30" s="57"/>
      <c r="G30" s="59"/>
      <c r="I30" s="425"/>
      <c r="J30" s="425"/>
    </row>
    <row r="31" spans="1:10" s="4" customFormat="1" ht="13.5" thickBot="1" x14ac:dyDescent="0.25">
      <c r="B31" s="46"/>
      <c r="C31" s="47"/>
      <c r="D31" s="48"/>
      <c r="E31" s="49">
        <f>SUM(E23:E30)</f>
        <v>9265.9900000000016</v>
      </c>
      <c r="F31" s="58"/>
      <c r="G31" s="65"/>
    </row>
    <row r="32" spans="1:10" ht="13.5" thickBot="1" x14ac:dyDescent="0.25">
      <c r="B32" s="75" t="s">
        <v>30</v>
      </c>
      <c r="C32" s="76" t="s">
        <v>5</v>
      </c>
      <c r="D32" s="76"/>
      <c r="E32" s="77">
        <v>1125</v>
      </c>
    </row>
    <row r="33" spans="1:10" ht="13.5" thickBot="1" x14ac:dyDescent="0.25">
      <c r="B33" s="10"/>
      <c r="C33" s="28" t="s">
        <v>0</v>
      </c>
      <c r="D33" s="28"/>
      <c r="E33" s="30">
        <f>SUM(E31:E32)</f>
        <v>10390.990000000002</v>
      </c>
    </row>
    <row r="34" spans="1:10" x14ac:dyDescent="0.2">
      <c r="B34" s="10"/>
      <c r="C34" s="28"/>
      <c r="D34" s="28"/>
      <c r="E34" s="52"/>
    </row>
    <row r="35" spans="1:10" s="24" customFormat="1" ht="6.75" customHeight="1" x14ac:dyDescent="0.2">
      <c r="B35" s="25"/>
      <c r="C35" s="26"/>
      <c r="D35" s="26"/>
      <c r="E35" s="27"/>
      <c r="F35" s="53"/>
      <c r="G35" s="27"/>
      <c r="H35" s="27"/>
      <c r="I35" s="27"/>
    </row>
    <row r="36" spans="1:10" ht="19.5" customHeight="1" x14ac:dyDescent="0.2">
      <c r="A36" s="38"/>
      <c r="B36" s="20" t="s">
        <v>21</v>
      </c>
      <c r="C36" s="39" t="s">
        <v>144</v>
      </c>
      <c r="D36" s="33"/>
      <c r="E36" s="12"/>
      <c r="F36" s="54"/>
      <c r="G36" s="12"/>
      <c r="H36" s="12"/>
      <c r="I36" s="12"/>
    </row>
    <row r="37" spans="1:10" ht="19.5" customHeight="1" x14ac:dyDescent="0.2">
      <c r="B37" s="20" t="s">
        <v>23</v>
      </c>
      <c r="C37" s="428">
        <v>43698</v>
      </c>
      <c r="D37" s="428"/>
      <c r="E37" s="12"/>
      <c r="F37" s="54"/>
      <c r="G37" s="12"/>
      <c r="H37" s="12"/>
      <c r="I37" s="12"/>
    </row>
    <row r="38" spans="1:10" ht="4.5" customHeight="1" x14ac:dyDescent="0.45">
      <c r="B38" s="2"/>
      <c r="C38" s="17"/>
      <c r="D38" s="17"/>
      <c r="E38" s="424"/>
      <c r="F38" s="424"/>
      <c r="G38" s="3"/>
      <c r="H38" s="4"/>
      <c r="I38" s="4"/>
    </row>
    <row r="39" spans="1:10" s="140" customFormat="1" ht="13.5" thickBot="1" x14ac:dyDescent="0.25">
      <c r="B39" s="21" t="s">
        <v>22</v>
      </c>
      <c r="C39" s="44" t="s">
        <v>1</v>
      </c>
      <c r="D39" s="44"/>
      <c r="E39" s="23" t="s">
        <v>2</v>
      </c>
      <c r="F39" s="55"/>
    </row>
    <row r="40" spans="1:10" x14ac:dyDescent="0.2">
      <c r="B40" s="18" t="s">
        <v>25</v>
      </c>
      <c r="C40" s="19" t="s">
        <v>13</v>
      </c>
      <c r="D40" s="40"/>
      <c r="E40" s="67">
        <v>2719.36</v>
      </c>
      <c r="F40" s="59"/>
      <c r="G40" s="56"/>
    </row>
    <row r="41" spans="1:10" x14ac:dyDescent="0.2">
      <c r="B41" s="36" t="s">
        <v>26</v>
      </c>
      <c r="C41" s="22" t="s">
        <v>24</v>
      </c>
      <c r="D41" s="41"/>
      <c r="E41" s="67">
        <v>602.47</v>
      </c>
      <c r="F41" s="59"/>
      <c r="G41" s="66"/>
      <c r="H41" s="45"/>
    </row>
    <row r="42" spans="1:10" x14ac:dyDescent="0.2">
      <c r="B42" s="36" t="s">
        <v>3</v>
      </c>
      <c r="C42" s="22" t="s">
        <v>12</v>
      </c>
      <c r="D42" s="41"/>
      <c r="E42" s="67">
        <v>1037.75</v>
      </c>
      <c r="F42" s="59"/>
    </row>
    <row r="43" spans="1:10" x14ac:dyDescent="0.2">
      <c r="B43" s="13" t="s">
        <v>32</v>
      </c>
      <c r="C43" s="16" t="s">
        <v>11</v>
      </c>
      <c r="D43" s="42"/>
      <c r="E43" s="68">
        <v>977.47</v>
      </c>
    </row>
    <row r="44" spans="1:10" x14ac:dyDescent="0.2">
      <c r="B44" s="69" t="s">
        <v>75</v>
      </c>
      <c r="C44" s="73" t="s">
        <v>31</v>
      </c>
      <c r="D44" s="70"/>
      <c r="E44" s="71">
        <v>792</v>
      </c>
      <c r="G44" s="59"/>
      <c r="I44" s="205"/>
      <c r="J44" s="205"/>
    </row>
    <row r="45" spans="1:10" x14ac:dyDescent="0.2">
      <c r="B45" s="69" t="s">
        <v>86</v>
      </c>
      <c r="C45" s="73" t="s">
        <v>87</v>
      </c>
      <c r="D45" s="70"/>
      <c r="E45" s="71">
        <v>1342.69</v>
      </c>
      <c r="G45" s="59"/>
      <c r="I45" s="205"/>
      <c r="J45" s="205"/>
    </row>
    <row r="46" spans="1:10" x14ac:dyDescent="0.2">
      <c r="B46" s="69" t="s">
        <v>110</v>
      </c>
      <c r="C46" s="73" t="s">
        <v>146</v>
      </c>
      <c r="D46" s="70"/>
      <c r="E46" s="71">
        <v>829.13</v>
      </c>
      <c r="G46" s="59"/>
      <c r="I46" s="207"/>
      <c r="J46" s="207"/>
    </row>
    <row r="47" spans="1:10" ht="13.5" thickBot="1" x14ac:dyDescent="0.25">
      <c r="B47" s="72" t="s">
        <v>26</v>
      </c>
      <c r="C47" s="74" t="s">
        <v>115</v>
      </c>
      <c r="D47" s="50"/>
      <c r="E47" s="29">
        <v>592</v>
      </c>
      <c r="F47" s="57"/>
      <c r="G47" s="59"/>
      <c r="I47" s="425"/>
      <c r="J47" s="425"/>
    </row>
    <row r="48" spans="1:10" s="4" customFormat="1" ht="13.5" thickBot="1" x14ac:dyDescent="0.25">
      <c r="B48" s="46"/>
      <c r="C48" s="47"/>
      <c r="D48" s="48"/>
      <c r="E48" s="49">
        <f>SUM(E40:E47)</f>
        <v>8892.869999999999</v>
      </c>
      <c r="F48" s="58"/>
      <c r="G48" s="65"/>
    </row>
    <row r="49" spans="1:10" ht="13.5" thickBot="1" x14ac:dyDescent="0.25">
      <c r="B49" s="75" t="s">
        <v>30</v>
      </c>
      <c r="C49" s="76" t="s">
        <v>5</v>
      </c>
      <c r="D49" s="76"/>
      <c r="E49" s="77">
        <v>1125</v>
      </c>
    </row>
    <row r="50" spans="1:10" ht="13.5" thickBot="1" x14ac:dyDescent="0.25">
      <c r="B50" s="10"/>
      <c r="C50" s="28" t="s">
        <v>0</v>
      </c>
      <c r="D50" s="28"/>
      <c r="E50" s="30">
        <f>SUM(E48:E49)</f>
        <v>10017.869999999999</v>
      </c>
    </row>
    <row r="51" spans="1:10" x14ac:dyDescent="0.2">
      <c r="B51" s="10"/>
      <c r="C51" s="28"/>
      <c r="D51" s="28"/>
      <c r="E51" s="52"/>
    </row>
    <row r="52" spans="1:10" s="24" customFormat="1" ht="6.75" customHeight="1" x14ac:dyDescent="0.2">
      <c r="B52" s="25"/>
      <c r="C52" s="26"/>
      <c r="D52" s="26"/>
      <c r="E52" s="27"/>
      <c r="F52" s="53"/>
      <c r="G52" s="27"/>
      <c r="H52" s="27"/>
      <c r="I52" s="27"/>
    </row>
    <row r="53" spans="1:10" ht="19.5" customHeight="1" x14ac:dyDescent="0.2">
      <c r="A53" s="38"/>
      <c r="B53" s="20" t="s">
        <v>21</v>
      </c>
      <c r="C53" s="39" t="s">
        <v>89</v>
      </c>
      <c r="D53" s="33"/>
      <c r="E53" s="12"/>
      <c r="F53" s="54"/>
      <c r="G53" s="12"/>
      <c r="H53" s="12"/>
      <c r="I53" s="12"/>
    </row>
    <row r="54" spans="1:10" ht="19.5" customHeight="1" x14ac:dyDescent="0.2">
      <c r="B54" s="20" t="s">
        <v>23</v>
      </c>
      <c r="C54" s="428">
        <v>43705</v>
      </c>
      <c r="D54" s="428"/>
      <c r="E54" s="12"/>
      <c r="F54" s="54"/>
      <c r="G54" s="12"/>
      <c r="H54" s="12"/>
      <c r="I54" s="12"/>
    </row>
    <row r="55" spans="1:10" ht="4.5" customHeight="1" x14ac:dyDescent="0.45">
      <c r="B55" s="2"/>
      <c r="C55" s="17"/>
      <c r="D55" s="17"/>
      <c r="E55" s="424"/>
      <c r="F55" s="424"/>
      <c r="G55" s="3"/>
      <c r="H55" s="4"/>
      <c r="I55" s="4"/>
    </row>
    <row r="56" spans="1:10" s="140" customFormat="1" ht="13.5" thickBot="1" x14ac:dyDescent="0.25">
      <c r="B56" s="21" t="s">
        <v>22</v>
      </c>
      <c r="C56" s="44" t="s">
        <v>1</v>
      </c>
      <c r="D56" s="44"/>
      <c r="E56" s="23" t="s">
        <v>2</v>
      </c>
      <c r="F56" s="55"/>
      <c r="H56" s="189"/>
    </row>
    <row r="57" spans="1:10" x14ac:dyDescent="0.2">
      <c r="B57" s="18" t="s">
        <v>25</v>
      </c>
      <c r="C57" s="19" t="s">
        <v>13</v>
      </c>
      <c r="D57" s="40"/>
      <c r="E57" s="67">
        <v>2326.2600000000002</v>
      </c>
      <c r="F57" s="59"/>
      <c r="G57" s="188" t="s">
        <v>145</v>
      </c>
      <c r="H57" s="45"/>
    </row>
    <row r="58" spans="1:10" x14ac:dyDescent="0.2">
      <c r="B58" s="36" t="s">
        <v>26</v>
      </c>
      <c r="C58" s="22" t="s">
        <v>24</v>
      </c>
      <c r="D58" s="41"/>
      <c r="E58" s="67">
        <v>602.47</v>
      </c>
      <c r="F58" s="59"/>
      <c r="G58" s="66"/>
      <c r="H58" s="45"/>
    </row>
    <row r="59" spans="1:10" x14ac:dyDescent="0.2">
      <c r="B59" s="36" t="s">
        <v>3</v>
      </c>
      <c r="C59" s="22" t="s">
        <v>12</v>
      </c>
      <c r="D59" s="41"/>
      <c r="E59" s="67">
        <v>1356.97</v>
      </c>
      <c r="F59" s="59"/>
    </row>
    <row r="60" spans="1:10" x14ac:dyDescent="0.2">
      <c r="B60" s="13" t="s">
        <v>32</v>
      </c>
      <c r="C60" s="16" t="s">
        <v>11</v>
      </c>
      <c r="D60" s="42"/>
      <c r="E60" s="68">
        <v>1261.05</v>
      </c>
    </row>
    <row r="61" spans="1:10" x14ac:dyDescent="0.2">
      <c r="B61" s="69" t="s">
        <v>75</v>
      </c>
      <c r="C61" s="73" t="s">
        <v>31</v>
      </c>
      <c r="D61" s="70"/>
      <c r="E61" s="71">
        <v>792</v>
      </c>
      <c r="G61" s="59"/>
      <c r="I61" s="205"/>
      <c r="J61" s="205"/>
    </row>
    <row r="62" spans="1:10" x14ac:dyDescent="0.2">
      <c r="B62" s="69" t="s">
        <v>86</v>
      </c>
      <c r="C62" s="73" t="s">
        <v>87</v>
      </c>
      <c r="D62" s="70"/>
      <c r="E62" s="71">
        <v>1287</v>
      </c>
      <c r="G62" s="59"/>
      <c r="I62" s="205"/>
      <c r="J62" s="205"/>
    </row>
    <row r="63" spans="1:10" x14ac:dyDescent="0.2">
      <c r="B63" s="69" t="s">
        <v>110</v>
      </c>
      <c r="C63" s="73" t="s">
        <v>146</v>
      </c>
      <c r="D63" s="70"/>
      <c r="E63" s="71">
        <v>1287</v>
      </c>
      <c r="G63" s="59"/>
      <c r="I63" s="207"/>
      <c r="J63" s="207"/>
    </row>
    <row r="64" spans="1:10" ht="13.5" thickBot="1" x14ac:dyDescent="0.25">
      <c r="B64" s="72" t="s">
        <v>26</v>
      </c>
      <c r="C64" s="74" t="s">
        <v>115</v>
      </c>
      <c r="D64" s="50"/>
      <c r="E64" s="29">
        <v>792</v>
      </c>
      <c r="F64" s="57"/>
      <c r="G64" s="59"/>
      <c r="I64" s="425"/>
      <c r="J64" s="425"/>
    </row>
    <row r="65" spans="1:9" s="4" customFormat="1" ht="13.5" thickBot="1" x14ac:dyDescent="0.25">
      <c r="B65" s="46"/>
      <c r="C65" s="47"/>
      <c r="D65" s="48"/>
      <c r="E65" s="49">
        <f>SUM(E57:E64)</f>
        <v>9704.75</v>
      </c>
      <c r="F65" s="58"/>
      <c r="G65" s="65"/>
    </row>
    <row r="66" spans="1:9" ht="13.5" thickBot="1" x14ac:dyDescent="0.25">
      <c r="B66" s="75" t="s">
        <v>30</v>
      </c>
      <c r="C66" s="76" t="s">
        <v>5</v>
      </c>
      <c r="D66" s="76"/>
      <c r="E66" s="77">
        <v>1125</v>
      </c>
    </row>
    <row r="67" spans="1:9" ht="13.5" thickBot="1" x14ac:dyDescent="0.25">
      <c r="B67" s="10"/>
      <c r="C67" s="28" t="s">
        <v>0</v>
      </c>
      <c r="D67" s="28"/>
      <c r="E67" s="30">
        <f>SUM(E65:E66)</f>
        <v>10829.75</v>
      </c>
    </row>
    <row r="68" spans="1:9" x14ac:dyDescent="0.2">
      <c r="B68" s="10"/>
      <c r="C68" s="28"/>
      <c r="D68" s="28"/>
      <c r="E68" s="52"/>
    </row>
    <row r="69" spans="1:9" s="6" customFormat="1" ht="13.15" customHeight="1" x14ac:dyDescent="0.2">
      <c r="A69" s="14" t="s">
        <v>6</v>
      </c>
      <c r="B69" s="15" t="s">
        <v>7</v>
      </c>
      <c r="C69" s="15"/>
      <c r="D69" s="31">
        <v>9000</v>
      </c>
      <c r="E69" s="43" t="s">
        <v>139</v>
      </c>
      <c r="F69" s="14" t="s">
        <v>34</v>
      </c>
      <c r="G69" s="15" t="s">
        <v>33</v>
      </c>
      <c r="H69" s="31">
        <v>3948.27</v>
      </c>
      <c r="I69" s="51" t="s">
        <v>139</v>
      </c>
    </row>
    <row r="70" spans="1:9" s="6" customFormat="1" ht="13.15" customHeight="1" x14ac:dyDescent="0.2">
      <c r="A70" s="14" t="s">
        <v>8</v>
      </c>
      <c r="B70" s="15" t="s">
        <v>9</v>
      </c>
      <c r="C70" s="15"/>
      <c r="D70" s="31">
        <v>311.83999999999997</v>
      </c>
      <c r="E70" s="43" t="s">
        <v>139</v>
      </c>
      <c r="F70" s="60" t="s">
        <v>41</v>
      </c>
      <c r="G70" s="15" t="s">
        <v>40</v>
      </c>
      <c r="H70" s="31">
        <v>0</v>
      </c>
      <c r="I70" s="51"/>
    </row>
    <row r="71" spans="1:9" s="6" customFormat="1" ht="13.15" customHeight="1" x14ac:dyDescent="0.2">
      <c r="A71" s="14" t="s">
        <v>27</v>
      </c>
      <c r="B71" s="15" t="s">
        <v>28</v>
      </c>
      <c r="C71" s="15"/>
      <c r="D71" s="31">
        <v>619.53</v>
      </c>
      <c r="E71" s="43" t="s">
        <v>139</v>
      </c>
      <c r="F71" s="60" t="s">
        <v>19</v>
      </c>
      <c r="G71" s="15" t="s">
        <v>20</v>
      </c>
      <c r="H71" s="31">
        <v>500</v>
      </c>
      <c r="I71" s="51" t="s">
        <v>139</v>
      </c>
    </row>
    <row r="72" spans="1:9" s="6" customFormat="1" ht="13.15" customHeight="1" x14ac:dyDescent="0.2">
      <c r="A72" s="14" t="s">
        <v>10</v>
      </c>
      <c r="B72" s="15" t="s">
        <v>35</v>
      </c>
      <c r="C72" s="31"/>
      <c r="D72" s="31">
        <v>5000</v>
      </c>
      <c r="E72" s="43" t="s">
        <v>139</v>
      </c>
      <c r="F72" s="60" t="s">
        <v>6</v>
      </c>
      <c r="G72" s="15" t="s">
        <v>42</v>
      </c>
      <c r="H72" s="31">
        <v>904</v>
      </c>
      <c r="I72" s="51" t="s">
        <v>139</v>
      </c>
    </row>
    <row r="73" spans="1:9" s="6" customFormat="1" ht="13.15" customHeight="1" x14ac:dyDescent="0.2">
      <c r="A73" s="14" t="s">
        <v>10</v>
      </c>
      <c r="B73" s="15" t="s">
        <v>36</v>
      </c>
      <c r="C73" s="31"/>
      <c r="D73" s="31">
        <v>4000</v>
      </c>
      <c r="E73" s="43" t="s">
        <v>139</v>
      </c>
      <c r="F73" s="60" t="s">
        <v>8</v>
      </c>
      <c r="G73" s="15" t="s">
        <v>14</v>
      </c>
      <c r="H73" s="31">
        <v>12000</v>
      </c>
      <c r="I73" s="51" t="s">
        <v>139</v>
      </c>
    </row>
    <row r="74" spans="1:9" s="6" customFormat="1" ht="13.15" customHeight="1" thickBot="1" x14ac:dyDescent="0.25">
      <c r="A74" s="14" t="s">
        <v>10</v>
      </c>
      <c r="B74" s="15" t="s">
        <v>37</v>
      </c>
      <c r="C74" s="31"/>
      <c r="D74" s="31">
        <v>1126.4100000000001</v>
      </c>
      <c r="E74" s="43" t="s">
        <v>139</v>
      </c>
      <c r="F74" s="61" t="s">
        <v>16</v>
      </c>
      <c r="G74" s="15" t="s">
        <v>15</v>
      </c>
      <c r="H74" s="32">
        <v>12000</v>
      </c>
      <c r="I74" s="51" t="s">
        <v>139</v>
      </c>
    </row>
    <row r="75" spans="1:9" s="6" customFormat="1" ht="13.15" customHeight="1" thickTop="1" thickBot="1" x14ac:dyDescent="0.25">
      <c r="A75" s="14"/>
      <c r="B75" s="15" t="s">
        <v>88</v>
      </c>
      <c r="C75" s="31"/>
      <c r="D75" s="31">
        <v>1000</v>
      </c>
      <c r="E75" s="204"/>
      <c r="F75" s="62"/>
      <c r="G75" s="15"/>
      <c r="H75" s="37">
        <f>SUM(H69:H74)+SUM(D69:D76)</f>
        <v>50410.05</v>
      </c>
      <c r="I75" s="51"/>
    </row>
    <row r="76" spans="1:9" s="6" customFormat="1" ht="13.15" customHeight="1" thickBot="1" x14ac:dyDescent="0.25">
      <c r="A76" s="14"/>
      <c r="B76" s="15"/>
      <c r="C76" s="31"/>
      <c r="D76" s="31"/>
      <c r="E76" s="31"/>
      <c r="F76" s="62"/>
      <c r="G76" s="34" t="s">
        <v>4</v>
      </c>
      <c r="H76" s="35">
        <f>E67+H75</f>
        <v>61239.8</v>
      </c>
      <c r="I76" s="37"/>
    </row>
    <row r="77" spans="1:9" s="6" customFormat="1" ht="13.15" customHeight="1" x14ac:dyDescent="0.2">
      <c r="B77" s="14"/>
      <c r="C77" s="15"/>
      <c r="D77" s="8"/>
      <c r="E77" s="31"/>
      <c r="F77" s="63"/>
      <c r="G77" s="8"/>
      <c r="H77" s="8"/>
      <c r="I77" s="37"/>
    </row>
    <row r="78" spans="1:9" s="6" customFormat="1" ht="13.15" customHeight="1" x14ac:dyDescent="0.2">
      <c r="B78" s="14"/>
      <c r="C78" s="15"/>
      <c r="D78" s="7"/>
      <c r="E78" s="8"/>
      <c r="F78" s="63"/>
      <c r="G78" s="8"/>
      <c r="H78" s="8"/>
      <c r="I78" s="37"/>
    </row>
    <row r="79" spans="1:9" s="6" customFormat="1" ht="13.15" customHeight="1" x14ac:dyDescent="0.2">
      <c r="A79" s="8"/>
      <c r="B79" s="9"/>
      <c r="C79" s="8"/>
      <c r="D79" s="7"/>
      <c r="E79" s="8"/>
      <c r="F79" s="63"/>
      <c r="G79" s="8"/>
      <c r="H79" s="8"/>
      <c r="I79" s="37"/>
    </row>
    <row r="80" spans="1:9" s="6" customFormat="1" ht="13.15" customHeight="1" x14ac:dyDescent="0.2">
      <c r="A80" s="8"/>
      <c r="B80" s="9"/>
      <c r="C80" s="7"/>
      <c r="D80" s="7"/>
      <c r="E80" s="8"/>
      <c r="F80" s="63"/>
      <c r="G80" s="8"/>
      <c r="H80" s="8"/>
      <c r="I80" s="37"/>
    </row>
    <row r="81" spans="1:9" s="6" customFormat="1" ht="13.15" customHeight="1" x14ac:dyDescent="0.2">
      <c r="A81" s="8"/>
      <c r="B81" s="9"/>
      <c r="C81" s="7"/>
      <c r="D81" s="7"/>
      <c r="E81" s="8"/>
      <c r="F81" s="63"/>
      <c r="G81" s="8"/>
      <c r="H81" s="8"/>
      <c r="I81" s="37"/>
    </row>
    <row r="82" spans="1:9" s="6" customFormat="1" ht="13.15" customHeight="1" x14ac:dyDescent="0.2">
      <c r="A82" s="8"/>
      <c r="B82" s="9"/>
      <c r="C82" s="7"/>
      <c r="D82" s="7"/>
      <c r="E82" s="8"/>
      <c r="F82" s="63"/>
      <c r="G82" s="8"/>
      <c r="H82" s="8"/>
      <c r="I82" s="37"/>
    </row>
    <row r="83" spans="1:9" s="8" customFormat="1" ht="12" x14ac:dyDescent="0.2">
      <c r="B83" s="9"/>
      <c r="C83" s="7"/>
      <c r="F83" s="63"/>
    </row>
    <row r="84" spans="1:9" s="8" customFormat="1" ht="12" x14ac:dyDescent="0.2">
      <c r="B84" s="9"/>
      <c r="C84" s="7"/>
      <c r="F84" s="63"/>
    </row>
    <row r="85" spans="1:9" s="8" customFormat="1" ht="12" x14ac:dyDescent="0.2">
      <c r="B85" s="9"/>
      <c r="C85" s="7"/>
      <c r="F85" s="63"/>
    </row>
    <row r="86" spans="1:9" s="8" customFormat="1" ht="12" x14ac:dyDescent="0.2">
      <c r="B86" s="9"/>
      <c r="F86" s="63"/>
    </row>
    <row r="87" spans="1:9" s="8" customFormat="1" ht="12" x14ac:dyDescent="0.2">
      <c r="B87" s="9"/>
      <c r="F87" s="63"/>
    </row>
    <row r="88" spans="1:9" s="8" customFormat="1" ht="12" x14ac:dyDescent="0.2">
      <c r="B88" s="9"/>
      <c r="F88" s="63"/>
    </row>
    <row r="89" spans="1:9" s="8" customFormat="1" x14ac:dyDescent="0.2">
      <c r="B89" s="9"/>
      <c r="D89" s="5"/>
      <c r="F89" s="63"/>
    </row>
    <row r="90" spans="1:9" s="8" customFormat="1" x14ac:dyDescent="0.2">
      <c r="B90" s="9"/>
      <c r="D90" s="5"/>
      <c r="F90" s="45"/>
      <c r="G90" s="5"/>
      <c r="H90" s="5"/>
    </row>
    <row r="91" spans="1:9" s="8" customFormat="1" x14ac:dyDescent="0.2">
      <c r="B91" s="9"/>
      <c r="D91" s="5"/>
      <c r="E91" s="5"/>
      <c r="F91" s="45"/>
      <c r="G91" s="5"/>
      <c r="H91" s="5"/>
    </row>
    <row r="92" spans="1:9" s="8" customFormat="1" x14ac:dyDescent="0.2">
      <c r="B92" s="11"/>
      <c r="C92" s="5"/>
      <c r="D92" s="5"/>
      <c r="E92" s="5"/>
      <c r="F92" s="45"/>
      <c r="G92" s="5"/>
      <c r="H92" s="5"/>
    </row>
    <row r="93" spans="1:9" s="8" customFormat="1" x14ac:dyDescent="0.2">
      <c r="B93" s="11"/>
      <c r="C93" s="5"/>
      <c r="D93" s="5"/>
      <c r="E93" s="5"/>
      <c r="F93" s="45"/>
      <c r="G93" s="5"/>
      <c r="H93" s="5"/>
    </row>
    <row r="94" spans="1:9" s="8" customFormat="1" x14ac:dyDescent="0.2">
      <c r="B94" s="11"/>
      <c r="C94" s="5"/>
      <c r="D94" s="5"/>
      <c r="E94" s="5"/>
      <c r="F94" s="45"/>
      <c r="G94" s="5"/>
      <c r="H94" s="5"/>
    </row>
    <row r="95" spans="1:9" s="8" customFormat="1" x14ac:dyDescent="0.2">
      <c r="B95" s="11"/>
      <c r="C95" s="5"/>
      <c r="D95" s="5"/>
      <c r="E95" s="5"/>
      <c r="F95" s="45"/>
      <c r="G95" s="5"/>
      <c r="H95" s="5"/>
    </row>
    <row r="96" spans="1:9" s="8" customFormat="1" x14ac:dyDescent="0.2">
      <c r="A96" s="5"/>
      <c r="B96" s="11"/>
      <c r="C96" s="5"/>
      <c r="D96" s="5"/>
      <c r="E96" s="5"/>
      <c r="F96" s="45"/>
      <c r="G96" s="5"/>
      <c r="H96" s="5"/>
      <c r="I96" s="5"/>
    </row>
    <row r="97" spans="1:9" s="8" customFormat="1" x14ac:dyDescent="0.2">
      <c r="A97" s="5"/>
      <c r="B97" s="11"/>
      <c r="C97" s="5"/>
      <c r="D97" s="5"/>
      <c r="E97" s="5"/>
      <c r="F97" s="45"/>
      <c r="G97" s="5"/>
      <c r="H97" s="5"/>
      <c r="I97" s="5"/>
    </row>
    <row r="98" spans="1:9" s="8" customFormat="1" x14ac:dyDescent="0.2">
      <c r="A98" s="5"/>
      <c r="B98" s="11"/>
      <c r="C98" s="5"/>
      <c r="D98" s="5"/>
      <c r="E98" s="5"/>
      <c r="F98" s="45"/>
      <c r="G98" s="5"/>
      <c r="H98" s="5"/>
      <c r="I98" s="5"/>
    </row>
    <row r="99" spans="1:9" s="8" customFormat="1" x14ac:dyDescent="0.2">
      <c r="A99" s="5"/>
      <c r="B99" s="11"/>
      <c r="C99" s="5"/>
      <c r="D99" s="5"/>
      <c r="E99" s="5"/>
      <c r="F99" s="45"/>
      <c r="G99" s="5"/>
      <c r="H99" s="5"/>
      <c r="I99" s="5"/>
    </row>
  </sheetData>
  <mergeCells count="13">
    <mergeCell ref="I64:J64"/>
    <mergeCell ref="I30:J30"/>
    <mergeCell ref="C37:D37"/>
    <mergeCell ref="E38:F38"/>
    <mergeCell ref="I47:J47"/>
    <mergeCell ref="C54:D54"/>
    <mergeCell ref="E55:F55"/>
    <mergeCell ref="E21:F21"/>
    <mergeCell ref="A1:J1"/>
    <mergeCell ref="C4:D4"/>
    <mergeCell ref="E5:F5"/>
    <mergeCell ref="I13:J13"/>
    <mergeCell ref="C20:D20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opLeftCell="A40" zoomScaleNormal="100" workbookViewId="0">
      <selection activeCell="E73" sqref="E73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9.85546875" style="5" customWidth="1"/>
    <col min="5" max="5" width="10.5703125" style="5" customWidth="1"/>
    <col min="6" max="6" width="7" style="45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426" t="s">
        <v>147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0" s="24" customFormat="1" ht="6.75" customHeight="1" x14ac:dyDescent="0.2">
      <c r="B2" s="25"/>
      <c r="C2" s="26"/>
      <c r="D2" s="26"/>
      <c r="E2" s="27"/>
      <c r="F2" s="53"/>
      <c r="G2" s="64"/>
      <c r="H2" s="27"/>
      <c r="I2" s="27"/>
    </row>
    <row r="3" spans="1:10" ht="19.5" customHeight="1" x14ac:dyDescent="0.2">
      <c r="A3" s="38"/>
      <c r="B3" s="20" t="s">
        <v>21</v>
      </c>
      <c r="C3" s="39" t="s">
        <v>90</v>
      </c>
      <c r="D3" s="33"/>
      <c r="E3" s="12"/>
      <c r="F3" s="54"/>
      <c r="G3" s="12"/>
      <c r="H3" s="12"/>
      <c r="I3" s="12"/>
    </row>
    <row r="4" spans="1:10" ht="19.5" customHeight="1" x14ac:dyDescent="0.2">
      <c r="B4" s="20" t="s">
        <v>23</v>
      </c>
      <c r="C4" s="427">
        <v>43712</v>
      </c>
      <c r="D4" s="428"/>
      <c r="E4" s="12"/>
      <c r="F4" s="54"/>
      <c r="G4" s="12"/>
      <c r="H4" s="12"/>
      <c r="I4" s="12"/>
    </row>
    <row r="5" spans="1:10" ht="4.5" customHeight="1" x14ac:dyDescent="0.45">
      <c r="B5" s="2"/>
      <c r="C5" s="17"/>
      <c r="D5" s="17"/>
      <c r="E5" s="424"/>
      <c r="F5" s="424"/>
      <c r="G5" s="3"/>
      <c r="H5" s="4"/>
      <c r="I5" s="4"/>
    </row>
    <row r="6" spans="1:10" s="140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55"/>
    </row>
    <row r="7" spans="1:10" x14ac:dyDescent="0.2">
      <c r="B7" s="18" t="s">
        <v>25</v>
      </c>
      <c r="C7" s="19" t="s">
        <v>13</v>
      </c>
      <c r="D7" s="40"/>
      <c r="E7" s="67">
        <v>2753.57</v>
      </c>
      <c r="G7" s="56"/>
    </row>
    <row r="8" spans="1:10" x14ac:dyDescent="0.2">
      <c r="B8" s="36" t="s">
        <v>26</v>
      </c>
      <c r="C8" s="22" t="s">
        <v>24</v>
      </c>
      <c r="D8" s="41"/>
      <c r="E8" s="67">
        <v>602.47</v>
      </c>
      <c r="F8" s="59"/>
      <c r="G8" s="137"/>
      <c r="H8" s="45"/>
    </row>
    <row r="9" spans="1:10" x14ac:dyDescent="0.2">
      <c r="B9" s="36" t="s">
        <v>3</v>
      </c>
      <c r="C9" s="22" t="s">
        <v>12</v>
      </c>
      <c r="D9" s="41"/>
      <c r="E9" s="67">
        <v>1356.97</v>
      </c>
      <c r="F9" s="59"/>
      <c r="G9" s="138"/>
    </row>
    <row r="10" spans="1:10" x14ac:dyDescent="0.2">
      <c r="B10" s="13" t="s">
        <v>32</v>
      </c>
      <c r="C10" s="16" t="s">
        <v>11</v>
      </c>
      <c r="D10" s="42"/>
      <c r="E10" s="68">
        <v>1261.05</v>
      </c>
    </row>
    <row r="11" spans="1:10" x14ac:dyDescent="0.2">
      <c r="B11" s="69" t="s">
        <v>26</v>
      </c>
      <c r="C11" s="73" t="s">
        <v>31</v>
      </c>
      <c r="D11" s="70"/>
      <c r="E11" s="71">
        <v>1029.5999999999999</v>
      </c>
      <c r="G11" s="56"/>
      <c r="I11" s="208"/>
      <c r="J11" s="208"/>
    </row>
    <row r="12" spans="1:10" x14ac:dyDescent="0.2">
      <c r="B12" s="69" t="s">
        <v>86</v>
      </c>
      <c r="C12" s="73" t="s">
        <v>87</v>
      </c>
      <c r="D12" s="70"/>
      <c r="E12" s="71">
        <v>1454.06</v>
      </c>
      <c r="G12" s="56"/>
      <c r="I12" s="208"/>
      <c r="J12" s="208"/>
    </row>
    <row r="13" spans="1:10" x14ac:dyDescent="0.2">
      <c r="B13" s="69" t="s">
        <v>110</v>
      </c>
      <c r="C13" s="73" t="s">
        <v>146</v>
      </c>
      <c r="D13" s="70"/>
      <c r="E13" s="71">
        <v>1287</v>
      </c>
      <c r="G13" s="59"/>
      <c r="I13" s="208"/>
      <c r="J13" s="208"/>
    </row>
    <row r="14" spans="1:10" ht="12" customHeight="1" thickBot="1" x14ac:dyDescent="0.25">
      <c r="B14" s="72" t="s">
        <v>26</v>
      </c>
      <c r="C14" s="74" t="s">
        <v>115</v>
      </c>
      <c r="D14" s="50"/>
      <c r="E14" s="29">
        <v>492</v>
      </c>
      <c r="F14" s="57"/>
      <c r="G14" s="59"/>
      <c r="I14" s="425"/>
      <c r="J14" s="425"/>
    </row>
    <row r="15" spans="1:10" s="4" customFormat="1" ht="13.5" thickBot="1" x14ac:dyDescent="0.25">
      <c r="B15" s="46"/>
      <c r="C15" s="47"/>
      <c r="D15" s="48"/>
      <c r="E15" s="49">
        <f>SUM(E7:E14)</f>
        <v>10236.719999999999</v>
      </c>
      <c r="F15" s="58"/>
      <c r="G15" s="65"/>
    </row>
    <row r="16" spans="1:10" ht="13.5" thickBot="1" x14ac:dyDescent="0.25">
      <c r="B16" s="75" t="s">
        <v>30</v>
      </c>
      <c r="C16" s="76" t="s">
        <v>5</v>
      </c>
      <c r="D16" s="76"/>
      <c r="E16" s="77">
        <v>1125</v>
      </c>
    </row>
    <row r="17" spans="1:10" ht="13.5" thickBot="1" x14ac:dyDescent="0.25">
      <c r="B17" s="10"/>
      <c r="C17" s="28" t="s">
        <v>0</v>
      </c>
      <c r="D17" s="28"/>
      <c r="E17" s="30">
        <f>SUM(E15:E16)</f>
        <v>11361.72</v>
      </c>
      <c r="G17" s="5" t="s">
        <v>138</v>
      </c>
    </row>
    <row r="18" spans="1:10" x14ac:dyDescent="0.2">
      <c r="B18" s="10"/>
      <c r="C18" s="28"/>
      <c r="D18" s="28"/>
      <c r="E18" s="52"/>
    </row>
    <row r="19" spans="1:10" s="24" customFormat="1" ht="6.75" customHeight="1" x14ac:dyDescent="0.2">
      <c r="B19" s="25"/>
      <c r="C19" s="26"/>
      <c r="D19" s="26"/>
      <c r="E19" s="27"/>
      <c r="F19" s="53"/>
      <c r="G19" s="27"/>
      <c r="H19" s="27"/>
      <c r="I19" s="27"/>
    </row>
    <row r="20" spans="1:10" ht="19.5" customHeight="1" x14ac:dyDescent="0.2">
      <c r="A20" s="38"/>
      <c r="B20" s="20" t="s">
        <v>21</v>
      </c>
      <c r="C20" s="39" t="s">
        <v>91</v>
      </c>
      <c r="D20" s="33"/>
      <c r="E20" s="12"/>
      <c r="F20" s="54"/>
      <c r="G20" s="12"/>
      <c r="H20" s="12"/>
      <c r="I20" s="12"/>
    </row>
    <row r="21" spans="1:10" ht="19.5" customHeight="1" x14ac:dyDescent="0.2">
      <c r="B21" s="20" t="s">
        <v>23</v>
      </c>
      <c r="C21" s="427">
        <v>43719</v>
      </c>
      <c r="D21" s="428"/>
      <c r="E21" s="12"/>
      <c r="F21" s="54"/>
      <c r="G21" s="12"/>
      <c r="H21" s="12"/>
      <c r="I21" s="12"/>
    </row>
    <row r="22" spans="1:10" ht="4.5" customHeight="1" x14ac:dyDescent="0.45">
      <c r="B22" s="2"/>
      <c r="C22" s="17"/>
      <c r="D22" s="17"/>
      <c r="E22" s="424"/>
      <c r="F22" s="424"/>
      <c r="G22" s="3"/>
      <c r="H22" s="4"/>
      <c r="I22" s="4"/>
    </row>
    <row r="23" spans="1:10" s="140" customFormat="1" ht="13.5" thickBot="1" x14ac:dyDescent="0.25">
      <c r="B23" s="21" t="s">
        <v>22</v>
      </c>
      <c r="C23" s="44" t="s">
        <v>1</v>
      </c>
      <c r="D23" s="44"/>
      <c r="E23" s="23" t="s">
        <v>2</v>
      </c>
      <c r="F23" s="55"/>
    </row>
    <row r="24" spans="1:10" x14ac:dyDescent="0.2">
      <c r="B24" s="18" t="s">
        <v>25</v>
      </c>
      <c r="C24" s="19" t="s">
        <v>13</v>
      </c>
      <c r="D24" s="40"/>
      <c r="E24" s="67">
        <v>2850.64</v>
      </c>
      <c r="G24" s="56"/>
    </row>
    <row r="25" spans="1:10" x14ac:dyDescent="0.2">
      <c r="B25" s="36" t="s">
        <v>26</v>
      </c>
      <c r="C25" s="22" t="s">
        <v>24</v>
      </c>
      <c r="D25" s="41"/>
      <c r="E25" s="67">
        <v>686.07</v>
      </c>
      <c r="F25" s="59"/>
      <c r="G25" s="137"/>
      <c r="H25" s="45"/>
    </row>
    <row r="26" spans="1:10" x14ac:dyDescent="0.2">
      <c r="B26" s="36" t="s">
        <v>3</v>
      </c>
      <c r="C26" s="22" t="s">
        <v>12</v>
      </c>
      <c r="D26" s="41"/>
      <c r="E26" s="67">
        <v>1356.97</v>
      </c>
      <c r="F26" s="59"/>
      <c r="G26" s="138"/>
    </row>
    <row r="27" spans="1:10" x14ac:dyDescent="0.2">
      <c r="B27" s="13" t="s">
        <v>32</v>
      </c>
      <c r="C27" s="16" t="s">
        <v>11</v>
      </c>
      <c r="D27" s="42"/>
      <c r="E27" s="68">
        <v>1261.05</v>
      </c>
    </row>
    <row r="28" spans="1:10" x14ac:dyDescent="0.2">
      <c r="B28" s="69" t="s">
        <v>75</v>
      </c>
      <c r="C28" s="73" t="s">
        <v>31</v>
      </c>
      <c r="D28" s="70"/>
      <c r="E28" s="71">
        <v>1029.5999999999999</v>
      </c>
      <c r="G28" s="56"/>
      <c r="I28" s="208"/>
      <c r="J28" s="208"/>
    </row>
    <row r="29" spans="1:10" x14ac:dyDescent="0.2">
      <c r="B29" s="69" t="s">
        <v>86</v>
      </c>
      <c r="C29" s="73" t="s">
        <v>87</v>
      </c>
      <c r="D29" s="70"/>
      <c r="E29" s="71">
        <v>1491.19</v>
      </c>
      <c r="G29" s="56"/>
      <c r="I29" s="208"/>
      <c r="J29" s="208"/>
    </row>
    <row r="30" spans="1:10" x14ac:dyDescent="0.2">
      <c r="B30" s="69" t="s">
        <v>110</v>
      </c>
      <c r="C30" s="73" t="s">
        <v>146</v>
      </c>
      <c r="D30" s="70"/>
      <c r="E30" s="71">
        <v>1287</v>
      </c>
      <c r="G30" s="59"/>
      <c r="I30" s="208"/>
      <c r="J30" s="208"/>
    </row>
    <row r="31" spans="1:10" x14ac:dyDescent="0.2">
      <c r="B31" s="69" t="s">
        <v>26</v>
      </c>
      <c r="C31" s="73" t="s">
        <v>115</v>
      </c>
      <c r="D31" s="70"/>
      <c r="E31" s="71">
        <v>792</v>
      </c>
      <c r="G31" s="59"/>
      <c r="I31" s="211"/>
      <c r="J31" s="211"/>
    </row>
    <row r="32" spans="1:10" ht="12" customHeight="1" thickBot="1" x14ac:dyDescent="0.25">
      <c r="B32" s="72" t="s">
        <v>149</v>
      </c>
      <c r="C32" s="74" t="s">
        <v>148</v>
      </c>
      <c r="D32" s="50"/>
      <c r="E32" s="29">
        <v>475.2</v>
      </c>
      <c r="F32" s="57"/>
      <c r="G32" s="59"/>
      <c r="I32" s="425"/>
      <c r="J32" s="425"/>
    </row>
    <row r="33" spans="1:10" s="4" customFormat="1" ht="13.5" thickBot="1" x14ac:dyDescent="0.25">
      <c r="B33" s="46"/>
      <c r="C33" s="47"/>
      <c r="D33" s="48"/>
      <c r="E33" s="49">
        <f>SUM(E24:E32)</f>
        <v>11229.720000000001</v>
      </c>
      <c r="F33" s="58"/>
      <c r="G33" s="65"/>
    </row>
    <row r="34" spans="1:10" ht="13.5" thickBot="1" x14ac:dyDescent="0.25">
      <c r="B34" s="75" t="s">
        <v>30</v>
      </c>
      <c r="C34" s="76" t="s">
        <v>5</v>
      </c>
      <c r="D34" s="76"/>
      <c r="E34" s="77">
        <v>1125</v>
      </c>
    </row>
    <row r="35" spans="1:10" ht="13.5" thickBot="1" x14ac:dyDescent="0.25">
      <c r="B35" s="10"/>
      <c r="C35" s="28" t="s">
        <v>0</v>
      </c>
      <c r="D35" s="28"/>
      <c r="E35" s="30">
        <f>SUM(E33:E34)</f>
        <v>12354.720000000001</v>
      </c>
    </row>
    <row r="36" spans="1:10" x14ac:dyDescent="0.2">
      <c r="B36" s="10"/>
      <c r="C36" s="28"/>
      <c r="D36" s="28"/>
      <c r="E36" s="52"/>
    </row>
    <row r="37" spans="1:10" s="24" customFormat="1" ht="6.75" customHeight="1" x14ac:dyDescent="0.2">
      <c r="B37" s="25"/>
      <c r="C37" s="26"/>
      <c r="D37" s="26"/>
      <c r="E37" s="27"/>
      <c r="F37" s="53"/>
      <c r="G37" s="27"/>
      <c r="H37" s="27"/>
      <c r="I37" s="27"/>
    </row>
    <row r="38" spans="1:10" ht="19.5" customHeight="1" x14ac:dyDescent="0.2">
      <c r="A38" s="38"/>
      <c r="B38" s="20" t="s">
        <v>21</v>
      </c>
      <c r="C38" s="39" t="s">
        <v>92</v>
      </c>
      <c r="D38" s="33"/>
      <c r="E38" s="12"/>
      <c r="F38" s="54"/>
      <c r="G38" s="12"/>
      <c r="H38" s="12"/>
      <c r="I38" s="12"/>
    </row>
    <row r="39" spans="1:10" ht="19.5" customHeight="1" x14ac:dyDescent="0.2">
      <c r="B39" s="20" t="s">
        <v>23</v>
      </c>
      <c r="C39" s="428">
        <v>43726</v>
      </c>
      <c r="D39" s="428"/>
      <c r="E39" s="12"/>
      <c r="F39" s="54"/>
      <c r="G39" s="12"/>
      <c r="H39" s="12"/>
      <c r="I39" s="12"/>
    </row>
    <row r="40" spans="1:10" ht="4.5" customHeight="1" x14ac:dyDescent="0.45">
      <c r="B40" s="2"/>
      <c r="C40" s="17"/>
      <c r="D40" s="17"/>
      <c r="E40" s="424"/>
      <c r="F40" s="424"/>
      <c r="G40" s="3"/>
      <c r="H40" s="4"/>
      <c r="I40" s="4"/>
    </row>
    <row r="41" spans="1:10" s="140" customFormat="1" ht="13.5" thickBot="1" x14ac:dyDescent="0.25">
      <c r="B41" s="21" t="s">
        <v>22</v>
      </c>
      <c r="C41" s="44" t="s">
        <v>1</v>
      </c>
      <c r="D41" s="44"/>
      <c r="E41" s="23" t="s">
        <v>2</v>
      </c>
      <c r="F41" s="55"/>
    </row>
    <row r="42" spans="1:10" x14ac:dyDescent="0.2">
      <c r="B42" s="18" t="s">
        <v>25</v>
      </c>
      <c r="C42" s="19" t="s">
        <v>13</v>
      </c>
      <c r="D42" s="40"/>
      <c r="E42" s="67">
        <v>2421.33</v>
      </c>
      <c r="F42" s="59"/>
      <c r="G42" s="56"/>
    </row>
    <row r="43" spans="1:10" x14ac:dyDescent="0.2">
      <c r="B43" s="36" t="s">
        <v>26</v>
      </c>
      <c r="C43" s="22" t="s">
        <v>24</v>
      </c>
      <c r="D43" s="41"/>
      <c r="E43" s="67">
        <v>602.47</v>
      </c>
      <c r="F43" s="59"/>
      <c r="G43" s="66"/>
      <c r="H43" s="45"/>
    </row>
    <row r="44" spans="1:10" x14ac:dyDescent="0.2">
      <c r="B44" s="36" t="s">
        <v>3</v>
      </c>
      <c r="C44" s="22" t="s">
        <v>12</v>
      </c>
      <c r="D44" s="41"/>
      <c r="E44" s="67">
        <v>1356.97</v>
      </c>
      <c r="F44" s="59"/>
    </row>
    <row r="45" spans="1:10" x14ac:dyDescent="0.2">
      <c r="B45" s="13" t="s">
        <v>32</v>
      </c>
      <c r="C45" s="16" t="s">
        <v>11</v>
      </c>
      <c r="D45" s="42"/>
      <c r="E45" s="68">
        <v>1261.05</v>
      </c>
    </row>
    <row r="46" spans="1:10" x14ac:dyDescent="0.2">
      <c r="B46" s="69" t="s">
        <v>75</v>
      </c>
      <c r="C46" s="73" t="s">
        <v>31</v>
      </c>
      <c r="D46" s="70"/>
      <c r="E46" s="71">
        <v>1029.5999999999999</v>
      </c>
      <c r="G46" s="59"/>
      <c r="I46" s="208"/>
      <c r="J46" s="208"/>
    </row>
    <row r="47" spans="1:10" x14ac:dyDescent="0.2">
      <c r="B47" s="69" t="s">
        <v>86</v>
      </c>
      <c r="C47" s="73" t="s">
        <v>87</v>
      </c>
      <c r="D47" s="70"/>
      <c r="E47" s="71">
        <v>1287</v>
      </c>
      <c r="G47" s="59"/>
      <c r="I47" s="208"/>
      <c r="J47" s="208"/>
    </row>
    <row r="48" spans="1:10" x14ac:dyDescent="0.2">
      <c r="B48" s="69" t="s">
        <v>110</v>
      </c>
      <c r="C48" s="73" t="s">
        <v>146</v>
      </c>
      <c r="D48" s="70"/>
      <c r="E48" s="71">
        <v>1287</v>
      </c>
      <c r="G48" s="59"/>
      <c r="I48" s="208"/>
      <c r="J48" s="208"/>
    </row>
    <row r="49" spans="1:10" x14ac:dyDescent="0.2">
      <c r="B49" s="69" t="s">
        <v>26</v>
      </c>
      <c r="C49" s="73" t="s">
        <v>115</v>
      </c>
      <c r="D49" s="70"/>
      <c r="E49" s="71">
        <v>1059.3</v>
      </c>
      <c r="G49" s="59"/>
      <c r="I49" s="211"/>
      <c r="J49" s="211"/>
    </row>
    <row r="50" spans="1:10" ht="12" customHeight="1" thickBot="1" x14ac:dyDescent="0.25">
      <c r="B50" s="72" t="s">
        <v>149</v>
      </c>
      <c r="C50" s="74" t="s">
        <v>148</v>
      </c>
      <c r="D50" s="50"/>
      <c r="E50" s="29">
        <v>1029.5999999999999</v>
      </c>
      <c r="F50" s="57"/>
      <c r="G50" s="59"/>
      <c r="I50" s="425"/>
      <c r="J50" s="425"/>
    </row>
    <row r="51" spans="1:10" s="4" customFormat="1" ht="13.5" thickBot="1" x14ac:dyDescent="0.25">
      <c r="B51" s="46"/>
      <c r="C51" s="47"/>
      <c r="D51" s="48"/>
      <c r="E51" s="49">
        <f>SUM(E42:E50)</f>
        <v>11334.32</v>
      </c>
      <c r="F51" s="58"/>
      <c r="G51" s="65"/>
    </row>
    <row r="52" spans="1:10" ht="13.5" thickBot="1" x14ac:dyDescent="0.25">
      <c r="B52" s="75" t="s">
        <v>30</v>
      </c>
      <c r="C52" s="76" t="s">
        <v>5</v>
      </c>
      <c r="D52" s="76"/>
      <c r="E52" s="77">
        <v>1125</v>
      </c>
    </row>
    <row r="53" spans="1:10" ht="13.5" thickBot="1" x14ac:dyDescent="0.25">
      <c r="B53" s="10"/>
      <c r="C53" s="28" t="s">
        <v>0</v>
      </c>
      <c r="D53" s="28"/>
      <c r="E53" s="30">
        <f>SUM(E51:E52)</f>
        <v>12459.32</v>
      </c>
    </row>
    <row r="54" spans="1:10" x14ac:dyDescent="0.2">
      <c r="B54" s="10"/>
      <c r="C54" s="28"/>
      <c r="D54" s="28"/>
      <c r="E54" s="52"/>
    </row>
    <row r="55" spans="1:10" s="24" customFormat="1" ht="6.75" customHeight="1" x14ac:dyDescent="0.2">
      <c r="B55" s="25"/>
      <c r="C55" s="26"/>
      <c r="D55" s="26"/>
      <c r="E55" s="27"/>
      <c r="F55" s="53"/>
      <c r="G55" s="27"/>
      <c r="H55" s="27"/>
      <c r="I55" s="27"/>
    </row>
    <row r="56" spans="1:10" ht="19.5" customHeight="1" x14ac:dyDescent="0.2">
      <c r="A56" s="38"/>
      <c r="B56" s="20" t="s">
        <v>21</v>
      </c>
      <c r="C56" s="39" t="s">
        <v>93</v>
      </c>
      <c r="D56" s="33"/>
      <c r="E56" s="12"/>
      <c r="F56" s="54"/>
      <c r="G56" s="12"/>
      <c r="H56" s="12"/>
      <c r="I56" s="12"/>
    </row>
    <row r="57" spans="1:10" ht="19.5" customHeight="1" x14ac:dyDescent="0.2">
      <c r="B57" s="20" t="s">
        <v>23</v>
      </c>
      <c r="C57" s="428">
        <v>43733</v>
      </c>
      <c r="D57" s="428"/>
      <c r="E57" s="12"/>
      <c r="F57" s="54"/>
      <c r="G57" s="12"/>
      <c r="H57" s="12"/>
      <c r="I57" s="12"/>
    </row>
    <row r="58" spans="1:10" ht="4.5" customHeight="1" x14ac:dyDescent="0.45">
      <c r="B58" s="2"/>
      <c r="C58" s="17"/>
      <c r="D58" s="17"/>
      <c r="E58" s="424"/>
      <c r="F58" s="424"/>
      <c r="G58" s="3"/>
      <c r="H58" s="4"/>
      <c r="I58" s="4"/>
    </row>
    <row r="59" spans="1:10" s="140" customFormat="1" ht="13.5" thickBot="1" x14ac:dyDescent="0.25">
      <c r="B59" s="21" t="s">
        <v>22</v>
      </c>
      <c r="C59" s="44" t="s">
        <v>1</v>
      </c>
      <c r="D59" s="44"/>
      <c r="E59" s="23" t="s">
        <v>2</v>
      </c>
      <c r="F59" s="55"/>
      <c r="H59" s="189"/>
    </row>
    <row r="60" spans="1:10" x14ac:dyDescent="0.2">
      <c r="B60" s="18" t="s">
        <v>25</v>
      </c>
      <c r="C60" s="19" t="s">
        <v>13</v>
      </c>
      <c r="D60" s="40"/>
      <c r="E60" s="67">
        <v>3489.79</v>
      </c>
      <c r="F60" s="59"/>
      <c r="G60" s="188"/>
      <c r="H60" s="45"/>
    </row>
    <row r="61" spans="1:10" x14ac:dyDescent="0.2">
      <c r="B61" s="36" t="s">
        <v>26</v>
      </c>
      <c r="C61" s="22" t="s">
        <v>24</v>
      </c>
      <c r="D61" s="41"/>
      <c r="E61" s="67">
        <v>802.47</v>
      </c>
      <c r="F61" s="59"/>
      <c r="G61" s="66"/>
      <c r="H61" s="45"/>
    </row>
    <row r="62" spans="1:10" x14ac:dyDescent="0.2">
      <c r="B62" s="36" t="s">
        <v>3</v>
      </c>
      <c r="C62" s="22" t="s">
        <v>12</v>
      </c>
      <c r="D62" s="41"/>
      <c r="E62" s="67">
        <v>1356.97</v>
      </c>
      <c r="F62" s="59"/>
    </row>
    <row r="63" spans="1:10" x14ac:dyDescent="0.2">
      <c r="B63" s="13" t="s">
        <v>32</v>
      </c>
      <c r="C63" s="16" t="s">
        <v>11</v>
      </c>
      <c r="D63" s="42"/>
      <c r="E63" s="68">
        <v>1261.05</v>
      </c>
    </row>
    <row r="64" spans="1:10" x14ac:dyDescent="0.2">
      <c r="B64" s="69" t="s">
        <v>75</v>
      </c>
      <c r="C64" s="73" t="s">
        <v>31</v>
      </c>
      <c r="D64" s="70"/>
      <c r="E64" s="71">
        <v>1029.5999999999999</v>
      </c>
      <c r="G64" s="59"/>
      <c r="I64" s="208"/>
      <c r="J64" s="208"/>
    </row>
    <row r="65" spans="1:10" x14ac:dyDescent="0.2">
      <c r="B65" s="69" t="s">
        <v>86</v>
      </c>
      <c r="C65" s="73" t="s">
        <v>87</v>
      </c>
      <c r="D65" s="70"/>
      <c r="E65" s="71">
        <v>1700.88</v>
      </c>
      <c r="G65" s="59"/>
      <c r="I65" s="208"/>
      <c r="J65" s="208"/>
    </row>
    <row r="66" spans="1:10" x14ac:dyDescent="0.2">
      <c r="B66" s="69" t="s">
        <v>110</v>
      </c>
      <c r="C66" s="73" t="s">
        <v>146</v>
      </c>
      <c r="D66" s="70"/>
      <c r="E66" s="71">
        <v>1287</v>
      </c>
      <c r="G66" s="59"/>
      <c r="I66" s="208"/>
      <c r="J66" s="208"/>
    </row>
    <row r="67" spans="1:10" x14ac:dyDescent="0.2">
      <c r="B67" s="69" t="s">
        <v>26</v>
      </c>
      <c r="C67" s="73" t="s">
        <v>115</v>
      </c>
      <c r="D67" s="70"/>
      <c r="E67" s="71">
        <v>1029.5999999999999</v>
      </c>
      <c r="G67" s="59"/>
      <c r="I67" s="211"/>
      <c r="J67" s="211"/>
    </row>
    <row r="68" spans="1:10" ht="12" customHeight="1" thickBot="1" x14ac:dyDescent="0.25">
      <c r="B68" s="72" t="s">
        <v>149</v>
      </c>
      <c r="C68" s="74" t="s">
        <v>148</v>
      </c>
      <c r="D68" s="50"/>
      <c r="E68" s="29">
        <v>1663.2</v>
      </c>
      <c r="F68" s="57"/>
      <c r="G68" s="59"/>
      <c r="I68" s="425"/>
      <c r="J68" s="425"/>
    </row>
    <row r="69" spans="1:10" s="4" customFormat="1" ht="13.5" thickBot="1" x14ac:dyDescent="0.25">
      <c r="B69" s="46"/>
      <c r="C69" s="47"/>
      <c r="D69" s="48"/>
      <c r="E69" s="49">
        <f>SUM(E60:E68)</f>
        <v>13620.560000000003</v>
      </c>
      <c r="F69" s="58"/>
      <c r="G69" s="65"/>
    </row>
    <row r="70" spans="1:10" ht="13.5" thickBot="1" x14ac:dyDescent="0.25">
      <c r="B70" s="75" t="s">
        <v>30</v>
      </c>
      <c r="C70" s="76" t="s">
        <v>5</v>
      </c>
      <c r="D70" s="76"/>
      <c r="E70" s="77">
        <v>1125</v>
      </c>
    </row>
    <row r="71" spans="1:10" ht="13.5" thickBot="1" x14ac:dyDescent="0.25">
      <c r="B71" s="10"/>
      <c r="C71" s="28" t="s">
        <v>0</v>
      </c>
      <c r="D71" s="28"/>
      <c r="E71" s="30">
        <f>SUM(E69:E70)</f>
        <v>14745.560000000003</v>
      </c>
    </row>
    <row r="72" spans="1:10" x14ac:dyDescent="0.2">
      <c r="B72" s="10"/>
      <c r="C72" s="28"/>
      <c r="D72" s="28"/>
      <c r="E72" s="52"/>
    </row>
    <row r="73" spans="1:10" s="6" customFormat="1" ht="13.15" customHeight="1" x14ac:dyDescent="0.2">
      <c r="A73" s="14" t="s">
        <v>6</v>
      </c>
      <c r="B73" s="15" t="s">
        <v>7</v>
      </c>
      <c r="C73" s="15"/>
      <c r="D73" s="31">
        <v>9000</v>
      </c>
      <c r="E73" s="43" t="s">
        <v>139</v>
      </c>
      <c r="F73" s="14" t="s">
        <v>34</v>
      </c>
      <c r="G73" s="15" t="s">
        <v>33</v>
      </c>
      <c r="H73" s="31">
        <v>3948.27</v>
      </c>
      <c r="I73" s="51" t="s">
        <v>139</v>
      </c>
    </row>
    <row r="74" spans="1:10" s="6" customFormat="1" ht="13.15" customHeight="1" x14ac:dyDescent="0.2">
      <c r="A74" s="14" t="s">
        <v>8</v>
      </c>
      <c r="B74" s="15" t="s">
        <v>9</v>
      </c>
      <c r="C74" s="15"/>
      <c r="D74" s="31">
        <v>311.83999999999997</v>
      </c>
      <c r="E74" s="43" t="s">
        <v>139</v>
      </c>
      <c r="F74" s="60" t="s">
        <v>41</v>
      </c>
      <c r="G74" s="15" t="s">
        <v>40</v>
      </c>
      <c r="H74" s="31">
        <v>0</v>
      </c>
      <c r="I74" s="51"/>
    </row>
    <row r="75" spans="1:10" s="6" customFormat="1" ht="13.15" customHeight="1" x14ac:dyDescent="0.2">
      <c r="A75" s="14" t="s">
        <v>27</v>
      </c>
      <c r="B75" s="15" t="s">
        <v>28</v>
      </c>
      <c r="C75" s="15"/>
      <c r="D75" s="31">
        <v>619.53</v>
      </c>
      <c r="E75" s="43" t="s">
        <v>139</v>
      </c>
      <c r="F75" s="60" t="s">
        <v>19</v>
      </c>
      <c r="G75" s="15" t="s">
        <v>20</v>
      </c>
      <c r="H75" s="31">
        <v>500</v>
      </c>
      <c r="I75" s="51" t="s">
        <v>139</v>
      </c>
    </row>
    <row r="76" spans="1:10" s="6" customFormat="1" ht="13.15" customHeight="1" x14ac:dyDescent="0.2">
      <c r="A76" s="14" t="s">
        <v>10</v>
      </c>
      <c r="B76" s="15" t="s">
        <v>35</v>
      </c>
      <c r="C76" s="31"/>
      <c r="D76" s="31">
        <v>5000</v>
      </c>
      <c r="E76" s="43" t="s">
        <v>139</v>
      </c>
      <c r="F76" s="60" t="s">
        <v>6</v>
      </c>
      <c r="G76" s="15" t="s">
        <v>42</v>
      </c>
      <c r="H76" s="31">
        <v>904</v>
      </c>
      <c r="I76" s="51" t="s">
        <v>139</v>
      </c>
    </row>
    <row r="77" spans="1:10" s="6" customFormat="1" ht="13.15" customHeight="1" x14ac:dyDescent="0.2">
      <c r="A77" s="14" t="s">
        <v>10</v>
      </c>
      <c r="B77" s="15" t="s">
        <v>36</v>
      </c>
      <c r="C77" s="31"/>
      <c r="D77" s="31">
        <v>4000</v>
      </c>
      <c r="E77" s="43" t="s">
        <v>139</v>
      </c>
      <c r="F77" s="60" t="s">
        <v>8</v>
      </c>
      <c r="G77" s="15" t="s">
        <v>14</v>
      </c>
      <c r="H77" s="31">
        <v>12000</v>
      </c>
      <c r="I77" s="51" t="s">
        <v>139</v>
      </c>
    </row>
    <row r="78" spans="1:10" s="6" customFormat="1" ht="13.15" customHeight="1" thickBot="1" x14ac:dyDescent="0.25">
      <c r="A78" s="14" t="s">
        <v>10</v>
      </c>
      <c r="B78" s="15" t="s">
        <v>37</v>
      </c>
      <c r="C78" s="31"/>
      <c r="D78" s="31">
        <v>1126.4100000000001</v>
      </c>
      <c r="E78" s="43" t="s">
        <v>139</v>
      </c>
      <c r="F78" s="61" t="s">
        <v>16</v>
      </c>
      <c r="G78" s="15" t="s">
        <v>15</v>
      </c>
      <c r="H78" s="32">
        <v>12000</v>
      </c>
      <c r="I78" s="51" t="s">
        <v>139</v>
      </c>
    </row>
    <row r="79" spans="1:10" s="6" customFormat="1" ht="13.15" customHeight="1" thickTop="1" thickBot="1" x14ac:dyDescent="0.25">
      <c r="A79" s="14"/>
      <c r="B79" s="15" t="s">
        <v>88</v>
      </c>
      <c r="C79" s="31"/>
      <c r="D79" s="31">
        <v>1000</v>
      </c>
      <c r="E79" s="43" t="s">
        <v>139</v>
      </c>
      <c r="F79" s="62"/>
      <c r="G79" s="15"/>
      <c r="H79" s="37">
        <f>SUM(H73:H78)+SUM(D73:D80)</f>
        <v>50410.05</v>
      </c>
      <c r="I79" s="51"/>
    </row>
    <row r="80" spans="1:10" s="6" customFormat="1" ht="13.15" customHeight="1" thickBot="1" x14ac:dyDescent="0.25">
      <c r="A80" s="14"/>
      <c r="B80" s="15"/>
      <c r="C80" s="31"/>
      <c r="D80" s="31"/>
      <c r="E80" s="31"/>
      <c r="F80" s="62"/>
      <c r="G80" s="34" t="s">
        <v>4</v>
      </c>
      <c r="H80" s="35">
        <f>E71+H79</f>
        <v>65155.610000000008</v>
      </c>
      <c r="I80" s="37"/>
    </row>
    <row r="81" spans="1:9" s="6" customFormat="1" ht="13.15" customHeight="1" x14ac:dyDescent="0.2">
      <c r="B81" s="14"/>
      <c r="C81" s="15"/>
      <c r="D81" s="8"/>
      <c r="E81" s="31"/>
      <c r="F81" s="63"/>
      <c r="G81" s="8"/>
      <c r="H81" s="8"/>
      <c r="I81" s="37"/>
    </row>
    <row r="82" spans="1:9" s="6" customFormat="1" ht="13.15" customHeight="1" x14ac:dyDescent="0.2">
      <c r="B82" s="14"/>
      <c r="C82" s="15"/>
      <c r="D82" s="7"/>
      <c r="E82" s="8"/>
      <c r="F82" s="63"/>
      <c r="G82" s="8"/>
      <c r="H82" s="8"/>
      <c r="I82" s="37"/>
    </row>
    <row r="83" spans="1:9" s="6" customFormat="1" ht="13.15" customHeight="1" x14ac:dyDescent="0.2">
      <c r="A83" s="8"/>
      <c r="B83" s="9"/>
      <c r="C83" s="8"/>
      <c r="D83" s="7"/>
      <c r="E83" s="8"/>
      <c r="F83" s="63"/>
      <c r="G83" s="8"/>
      <c r="H83" s="8"/>
      <c r="I83" s="37"/>
    </row>
    <row r="84" spans="1:9" s="6" customFormat="1" ht="13.15" customHeight="1" x14ac:dyDescent="0.2">
      <c r="A84" s="8"/>
      <c r="B84" s="9"/>
      <c r="C84" s="7"/>
      <c r="D84" s="7"/>
      <c r="E84" s="8"/>
      <c r="F84" s="63"/>
      <c r="G84" s="8"/>
      <c r="H84" s="8"/>
      <c r="I84" s="37"/>
    </row>
    <row r="85" spans="1:9" s="6" customFormat="1" ht="13.15" customHeight="1" x14ac:dyDescent="0.2">
      <c r="A85" s="8"/>
      <c r="B85" s="9"/>
      <c r="C85" s="7"/>
      <c r="D85" s="7"/>
      <c r="E85" s="8"/>
      <c r="F85" s="63"/>
      <c r="G85" s="8"/>
      <c r="H85" s="8"/>
      <c r="I85" s="37"/>
    </row>
    <row r="86" spans="1:9" s="6" customFormat="1" ht="13.15" customHeight="1" x14ac:dyDescent="0.2">
      <c r="A86" s="8"/>
      <c r="B86" s="9"/>
      <c r="C86" s="7"/>
      <c r="D86" s="7"/>
      <c r="E86" s="8"/>
      <c r="F86" s="63"/>
      <c r="G86" s="8"/>
      <c r="H86" s="8"/>
      <c r="I86" s="37"/>
    </row>
    <row r="87" spans="1:9" s="8" customFormat="1" ht="12" x14ac:dyDescent="0.2">
      <c r="B87" s="9"/>
      <c r="C87" s="7"/>
      <c r="F87" s="63"/>
    </row>
    <row r="88" spans="1:9" s="8" customFormat="1" ht="12" x14ac:dyDescent="0.2">
      <c r="B88" s="9"/>
      <c r="C88" s="7"/>
      <c r="F88" s="63"/>
    </row>
    <row r="89" spans="1:9" s="8" customFormat="1" ht="12" x14ac:dyDescent="0.2">
      <c r="B89" s="9"/>
      <c r="C89" s="7"/>
      <c r="F89" s="63"/>
    </row>
    <row r="90" spans="1:9" s="8" customFormat="1" ht="12" x14ac:dyDescent="0.2">
      <c r="B90" s="9"/>
      <c r="F90" s="63"/>
    </row>
    <row r="91" spans="1:9" s="8" customFormat="1" ht="12" x14ac:dyDescent="0.2">
      <c r="B91" s="9"/>
      <c r="F91" s="63"/>
    </row>
    <row r="92" spans="1:9" s="8" customFormat="1" ht="12" x14ac:dyDescent="0.2">
      <c r="B92" s="9"/>
      <c r="F92" s="63"/>
    </row>
    <row r="93" spans="1:9" s="8" customFormat="1" x14ac:dyDescent="0.2">
      <c r="B93" s="9"/>
      <c r="D93" s="5"/>
      <c r="F93" s="63"/>
    </row>
    <row r="94" spans="1:9" s="8" customFormat="1" x14ac:dyDescent="0.2">
      <c r="B94" s="9"/>
      <c r="D94" s="5"/>
      <c r="F94" s="45"/>
      <c r="G94" s="5"/>
      <c r="H94" s="5"/>
    </row>
    <row r="95" spans="1:9" s="8" customFormat="1" x14ac:dyDescent="0.2">
      <c r="B95" s="9"/>
      <c r="D95" s="5"/>
      <c r="E95" s="5"/>
      <c r="F95" s="45"/>
      <c r="G95" s="5"/>
      <c r="H95" s="5"/>
    </row>
    <row r="96" spans="1:9" s="8" customFormat="1" x14ac:dyDescent="0.2">
      <c r="B96" s="11"/>
      <c r="C96" s="5"/>
      <c r="D96" s="5"/>
      <c r="E96" s="5"/>
      <c r="F96" s="45"/>
      <c r="G96" s="5"/>
      <c r="H96" s="5"/>
    </row>
    <row r="97" spans="1:9" s="8" customFormat="1" x14ac:dyDescent="0.2">
      <c r="B97" s="11"/>
      <c r="C97" s="5"/>
      <c r="D97" s="5"/>
      <c r="E97" s="5"/>
      <c r="F97" s="45"/>
      <c r="G97" s="5"/>
      <c r="H97" s="5"/>
    </row>
    <row r="98" spans="1:9" s="8" customFormat="1" x14ac:dyDescent="0.2">
      <c r="B98" s="11"/>
      <c r="C98" s="5"/>
      <c r="D98" s="5"/>
      <c r="E98" s="5"/>
      <c r="F98" s="45"/>
      <c r="G98" s="5"/>
      <c r="H98" s="5"/>
    </row>
    <row r="99" spans="1:9" s="8" customFormat="1" x14ac:dyDescent="0.2">
      <c r="B99" s="11"/>
      <c r="C99" s="5"/>
      <c r="D99" s="5"/>
      <c r="E99" s="5"/>
      <c r="F99" s="45"/>
      <c r="G99" s="5"/>
      <c r="H99" s="5"/>
    </row>
    <row r="100" spans="1:9" s="8" customFormat="1" x14ac:dyDescent="0.2">
      <c r="A100" s="5"/>
      <c r="B100" s="11"/>
      <c r="C100" s="5"/>
      <c r="D100" s="5"/>
      <c r="E100" s="5"/>
      <c r="F100" s="45"/>
      <c r="G100" s="5"/>
      <c r="H100" s="5"/>
      <c r="I100" s="5"/>
    </row>
    <row r="101" spans="1:9" s="8" customFormat="1" x14ac:dyDescent="0.2">
      <c r="A101" s="5"/>
      <c r="B101" s="11"/>
      <c r="C101" s="5"/>
      <c r="D101" s="5"/>
      <c r="E101" s="5"/>
      <c r="F101" s="45"/>
      <c r="G101" s="5"/>
      <c r="H101" s="5"/>
      <c r="I101" s="5"/>
    </row>
    <row r="102" spans="1:9" s="8" customFormat="1" x14ac:dyDescent="0.2">
      <c r="A102" s="5"/>
      <c r="B102" s="11"/>
      <c r="C102" s="5"/>
      <c r="D102" s="5"/>
      <c r="E102" s="5"/>
      <c r="F102" s="45"/>
      <c r="G102" s="5"/>
      <c r="H102" s="5"/>
      <c r="I102" s="5"/>
    </row>
    <row r="103" spans="1:9" s="8" customFormat="1" x14ac:dyDescent="0.2">
      <c r="A103" s="5"/>
      <c r="B103" s="11"/>
      <c r="C103" s="5"/>
      <c r="D103" s="5"/>
      <c r="E103" s="5"/>
      <c r="F103" s="45"/>
      <c r="G103" s="5"/>
      <c r="H103" s="5"/>
      <c r="I103" s="5"/>
    </row>
  </sheetData>
  <mergeCells count="13">
    <mergeCell ref="I68:J68"/>
    <mergeCell ref="E22:F22"/>
    <mergeCell ref="A1:J1"/>
    <mergeCell ref="C4:D4"/>
    <mergeCell ref="E5:F5"/>
    <mergeCell ref="I14:J14"/>
    <mergeCell ref="C21:D21"/>
    <mergeCell ref="I32:J32"/>
    <mergeCell ref="C39:D39"/>
    <mergeCell ref="E40:F40"/>
    <mergeCell ref="C57:D57"/>
    <mergeCell ref="E58:F58"/>
    <mergeCell ref="I50:J50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topLeftCell="A58" zoomScaleNormal="100" workbookViewId="0">
      <selection activeCell="I94" sqref="I94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14.42578125" style="5" customWidth="1"/>
    <col min="5" max="5" width="10.5703125" style="5" customWidth="1"/>
    <col min="6" max="6" width="7" style="45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426" t="s">
        <v>151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0" s="24" customFormat="1" ht="6.75" customHeight="1" x14ac:dyDescent="0.2">
      <c r="B2" s="25"/>
      <c r="C2" s="26"/>
      <c r="D2" s="26"/>
      <c r="E2" s="27"/>
      <c r="F2" s="53"/>
      <c r="G2" s="64"/>
      <c r="H2" s="27"/>
      <c r="I2" s="27"/>
    </row>
    <row r="3" spans="1:10" ht="19.5" customHeight="1" x14ac:dyDescent="0.2">
      <c r="A3" s="38"/>
      <c r="B3" s="20" t="s">
        <v>21</v>
      </c>
      <c r="C3" s="39" t="s">
        <v>94</v>
      </c>
      <c r="D3" s="33"/>
      <c r="E3" s="12"/>
      <c r="F3" s="54"/>
      <c r="G3" s="12"/>
      <c r="H3" s="12"/>
      <c r="I3" s="12"/>
    </row>
    <row r="4" spans="1:10" ht="19.5" customHeight="1" x14ac:dyDescent="0.2">
      <c r="B4" s="20" t="s">
        <v>23</v>
      </c>
      <c r="C4" s="427">
        <v>43740</v>
      </c>
      <c r="D4" s="428"/>
      <c r="E4" s="12"/>
      <c r="F4" s="54"/>
      <c r="G4" s="12"/>
      <c r="H4" s="12"/>
      <c r="I4" s="12"/>
    </row>
    <row r="5" spans="1:10" ht="4.5" customHeight="1" x14ac:dyDescent="0.45">
      <c r="B5" s="2"/>
      <c r="C5" s="17"/>
      <c r="D5" s="17"/>
      <c r="E5" s="424"/>
      <c r="F5" s="424"/>
      <c r="G5" s="3"/>
      <c r="H5" s="4"/>
      <c r="I5" s="4"/>
    </row>
    <row r="6" spans="1:10" s="140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55"/>
    </row>
    <row r="7" spans="1:10" x14ac:dyDescent="0.2">
      <c r="B7" s="18" t="s">
        <v>25</v>
      </c>
      <c r="C7" s="19" t="s">
        <v>13</v>
      </c>
      <c r="D7" s="40"/>
      <c r="E7" s="67">
        <v>2611.4699999999998</v>
      </c>
      <c r="G7" s="56"/>
    </row>
    <row r="8" spans="1:10" x14ac:dyDescent="0.2">
      <c r="B8" s="36" t="s">
        <v>26</v>
      </c>
      <c r="C8" s="22" t="s">
        <v>24</v>
      </c>
      <c r="D8" s="41"/>
      <c r="E8" s="67">
        <v>602.47</v>
      </c>
      <c r="F8" s="59"/>
      <c r="G8" s="137"/>
      <c r="H8" s="45"/>
    </row>
    <row r="9" spans="1:10" x14ac:dyDescent="0.2">
      <c r="B9" s="36" t="s">
        <v>3</v>
      </c>
      <c r="C9" s="22" t="s">
        <v>12</v>
      </c>
      <c r="D9" s="41"/>
      <c r="E9" s="67">
        <v>1356.97</v>
      </c>
      <c r="F9" s="59"/>
      <c r="G9" s="138"/>
    </row>
    <row r="10" spans="1:10" x14ac:dyDescent="0.2">
      <c r="B10" s="13" t="s">
        <v>32</v>
      </c>
      <c r="C10" s="16" t="s">
        <v>11</v>
      </c>
      <c r="D10" s="42"/>
      <c r="E10" s="68">
        <v>1261.5</v>
      </c>
    </row>
    <row r="11" spans="1:10" x14ac:dyDescent="0.2">
      <c r="B11" s="69" t="s">
        <v>26</v>
      </c>
      <c r="C11" s="73" t="s">
        <v>31</v>
      </c>
      <c r="D11" s="70"/>
      <c r="E11" s="71">
        <v>1029.5999999999999</v>
      </c>
      <c r="G11" s="56"/>
      <c r="I11" s="212"/>
      <c r="J11" s="212"/>
    </row>
    <row r="12" spans="1:10" x14ac:dyDescent="0.2">
      <c r="B12" s="69" t="s">
        <v>86</v>
      </c>
      <c r="C12" s="73" t="s">
        <v>87</v>
      </c>
      <c r="D12" s="70"/>
      <c r="E12" s="71">
        <v>1398.38</v>
      </c>
      <c r="G12" s="56"/>
      <c r="I12" s="212"/>
      <c r="J12" s="212"/>
    </row>
    <row r="13" spans="1:10" x14ac:dyDescent="0.2">
      <c r="B13" s="69" t="s">
        <v>110</v>
      </c>
      <c r="C13" s="73" t="s">
        <v>146</v>
      </c>
      <c r="D13" s="70"/>
      <c r="E13" s="71">
        <v>1342.69</v>
      </c>
      <c r="G13" s="59"/>
      <c r="I13" s="212"/>
      <c r="J13" s="212"/>
    </row>
    <row r="14" spans="1:10" x14ac:dyDescent="0.2">
      <c r="B14" s="69" t="s">
        <v>26</v>
      </c>
      <c r="C14" s="73" t="s">
        <v>115</v>
      </c>
      <c r="D14" s="70"/>
      <c r="E14" s="71">
        <v>1029.5999999999999</v>
      </c>
      <c r="G14" s="59"/>
      <c r="I14" s="212"/>
      <c r="J14" s="212"/>
    </row>
    <row r="15" spans="1:10" ht="12" customHeight="1" thickBot="1" x14ac:dyDescent="0.25">
      <c r="B15" s="72" t="s">
        <v>149</v>
      </c>
      <c r="C15" s="74" t="s">
        <v>148</v>
      </c>
      <c r="D15" s="50"/>
      <c r="E15" s="29">
        <v>1342.69</v>
      </c>
      <c r="F15" s="57"/>
      <c r="G15" s="59"/>
      <c r="I15" s="425"/>
      <c r="J15" s="425"/>
    </row>
    <row r="16" spans="1:10" s="4" customFormat="1" ht="13.5" thickBot="1" x14ac:dyDescent="0.25">
      <c r="B16" s="46"/>
      <c r="C16" s="47"/>
      <c r="D16" s="48"/>
      <c r="E16" s="49">
        <f>SUM(E7:E15)</f>
        <v>11975.37</v>
      </c>
      <c r="F16" s="58"/>
      <c r="G16" s="65"/>
    </row>
    <row r="17" spans="1:10" ht="13.5" thickBot="1" x14ac:dyDescent="0.25">
      <c r="B17" s="75" t="s">
        <v>30</v>
      </c>
      <c r="C17" s="76" t="s">
        <v>5</v>
      </c>
      <c r="D17" s="76"/>
      <c r="E17" s="77">
        <v>1125</v>
      </c>
    </row>
    <row r="18" spans="1:10" ht="13.5" thickBot="1" x14ac:dyDescent="0.25">
      <c r="B18" s="10"/>
      <c r="C18" s="28" t="s">
        <v>0</v>
      </c>
      <c r="D18" s="28"/>
      <c r="E18" s="30">
        <f>SUM(E16:E17)</f>
        <v>13100.37</v>
      </c>
      <c r="G18" s="5" t="s">
        <v>138</v>
      </c>
    </row>
    <row r="19" spans="1:10" x14ac:dyDescent="0.2">
      <c r="B19" s="10"/>
      <c r="C19" s="28"/>
      <c r="D19" s="28"/>
      <c r="E19" s="52"/>
    </row>
    <row r="20" spans="1:10" s="24" customFormat="1" ht="6.75" customHeight="1" x14ac:dyDescent="0.2">
      <c r="B20" s="25"/>
      <c r="C20" s="26"/>
      <c r="D20" s="26"/>
      <c r="E20" s="27"/>
      <c r="F20" s="53"/>
      <c r="G20" s="27"/>
      <c r="H20" s="27"/>
      <c r="I20" s="27"/>
    </row>
    <row r="21" spans="1:10" ht="19.5" customHeight="1" x14ac:dyDescent="0.2">
      <c r="A21" s="38"/>
      <c r="B21" s="20" t="s">
        <v>21</v>
      </c>
      <c r="C21" s="39" t="s">
        <v>95</v>
      </c>
      <c r="D21" s="33"/>
      <c r="E21" s="12"/>
      <c r="F21" s="54"/>
      <c r="G21" s="12"/>
      <c r="H21" s="12"/>
      <c r="I21" s="12"/>
    </row>
    <row r="22" spans="1:10" ht="19.5" customHeight="1" x14ac:dyDescent="0.2">
      <c r="B22" s="20" t="s">
        <v>23</v>
      </c>
      <c r="C22" s="427">
        <v>43747</v>
      </c>
      <c r="D22" s="428"/>
      <c r="E22" s="12"/>
      <c r="F22" s="54"/>
      <c r="G22" s="12"/>
      <c r="H22" s="12"/>
      <c r="I22" s="12"/>
    </row>
    <row r="23" spans="1:10" ht="4.5" customHeight="1" x14ac:dyDescent="0.45">
      <c r="B23" s="2"/>
      <c r="C23" s="17"/>
      <c r="D23" s="17"/>
      <c r="E23" s="424"/>
      <c r="F23" s="424"/>
      <c r="G23" s="3"/>
      <c r="H23" s="4"/>
      <c r="I23" s="4"/>
    </row>
    <row r="24" spans="1:10" s="140" customFormat="1" ht="13.5" thickBot="1" x14ac:dyDescent="0.25">
      <c r="B24" s="21" t="s">
        <v>22</v>
      </c>
      <c r="C24" s="44" t="s">
        <v>1</v>
      </c>
      <c r="D24" s="44"/>
      <c r="E24" s="23" t="s">
        <v>2</v>
      </c>
      <c r="F24" s="55"/>
    </row>
    <row r="25" spans="1:10" x14ac:dyDescent="0.2">
      <c r="B25" s="18" t="s">
        <v>25</v>
      </c>
      <c r="C25" s="19" t="s">
        <v>13</v>
      </c>
      <c r="D25" s="40"/>
      <c r="E25" s="67">
        <v>2802.61</v>
      </c>
      <c r="G25" s="56"/>
    </row>
    <row r="26" spans="1:10" x14ac:dyDescent="0.2">
      <c r="B26" s="36" t="s">
        <v>26</v>
      </c>
      <c r="C26" s="22" t="s">
        <v>24</v>
      </c>
      <c r="D26" s="41"/>
      <c r="E26" s="67">
        <v>802.47</v>
      </c>
      <c r="F26" s="59"/>
      <c r="G26" s="137"/>
      <c r="H26" s="45"/>
    </row>
    <row r="27" spans="1:10" x14ac:dyDescent="0.2">
      <c r="B27" s="36" t="s">
        <v>3</v>
      </c>
      <c r="C27" s="22" t="s">
        <v>12</v>
      </c>
      <c r="D27" s="41"/>
      <c r="E27" s="67">
        <v>1476.67</v>
      </c>
      <c r="F27" s="59"/>
      <c r="G27" s="138"/>
    </row>
    <row r="28" spans="1:10" x14ac:dyDescent="0.2">
      <c r="B28" s="13" t="s">
        <v>32</v>
      </c>
      <c r="C28" s="16" t="s">
        <v>11</v>
      </c>
      <c r="D28" s="42"/>
      <c r="E28" s="68">
        <v>1367.39</v>
      </c>
    </row>
    <row r="29" spans="1:10" x14ac:dyDescent="0.2">
      <c r="B29" s="69" t="s">
        <v>75</v>
      </c>
      <c r="C29" s="73" t="s">
        <v>31</v>
      </c>
      <c r="D29" s="70"/>
      <c r="E29" s="71">
        <v>1118.7</v>
      </c>
      <c r="G29" s="56"/>
      <c r="I29" s="212"/>
      <c r="J29" s="212"/>
    </row>
    <row r="30" spans="1:10" x14ac:dyDescent="0.2">
      <c r="B30" s="69" t="s">
        <v>86</v>
      </c>
      <c r="C30" s="73" t="s">
        <v>87</v>
      </c>
      <c r="D30" s="70"/>
      <c r="E30" s="71">
        <v>1472.63</v>
      </c>
      <c r="G30" s="56"/>
      <c r="I30" s="212"/>
      <c r="J30" s="212"/>
    </row>
    <row r="31" spans="1:10" x14ac:dyDescent="0.2">
      <c r="B31" s="69" t="s">
        <v>110</v>
      </c>
      <c r="C31" s="73" t="s">
        <v>146</v>
      </c>
      <c r="D31" s="70"/>
      <c r="E31" s="71">
        <v>1398.38</v>
      </c>
      <c r="G31" s="59"/>
      <c r="I31" s="212"/>
      <c r="J31" s="212"/>
    </row>
    <row r="32" spans="1:10" x14ac:dyDescent="0.2">
      <c r="B32" s="69" t="s">
        <v>26</v>
      </c>
      <c r="C32" s="73" t="s">
        <v>115</v>
      </c>
      <c r="D32" s="70"/>
      <c r="E32" s="71">
        <v>1089</v>
      </c>
      <c r="G32" s="59"/>
      <c r="I32" s="212"/>
      <c r="J32" s="212"/>
    </row>
    <row r="33" spans="1:10" ht="12" customHeight="1" thickBot="1" x14ac:dyDescent="0.25">
      <c r="B33" s="72" t="s">
        <v>149</v>
      </c>
      <c r="C33" s="74" t="s">
        <v>148</v>
      </c>
      <c r="D33" s="50"/>
      <c r="E33" s="29">
        <v>1398.38</v>
      </c>
      <c r="F33" s="57"/>
      <c r="G33" s="59" t="s">
        <v>154</v>
      </c>
      <c r="I33" s="425"/>
      <c r="J33" s="425"/>
    </row>
    <row r="34" spans="1:10" s="4" customFormat="1" ht="13.5" thickBot="1" x14ac:dyDescent="0.25">
      <c r="B34" s="46"/>
      <c r="C34" s="47"/>
      <c r="D34" s="48"/>
      <c r="E34" s="49">
        <f>SUM(E25:E33)</f>
        <v>12926.230000000003</v>
      </c>
      <c r="F34" s="58"/>
      <c r="G34" s="65"/>
    </row>
    <row r="35" spans="1:10" ht="13.5" thickBot="1" x14ac:dyDescent="0.25">
      <c r="B35" s="75" t="s">
        <v>30</v>
      </c>
      <c r="C35" s="76" t="s">
        <v>5</v>
      </c>
      <c r="D35" s="76"/>
      <c r="E35" s="77">
        <v>1125</v>
      </c>
    </row>
    <row r="36" spans="1:10" ht="13.5" thickBot="1" x14ac:dyDescent="0.25">
      <c r="B36" s="10"/>
      <c r="C36" s="28" t="s">
        <v>0</v>
      </c>
      <c r="D36" s="28"/>
      <c r="E36" s="30">
        <f>SUM(E34:E35)</f>
        <v>14051.230000000003</v>
      </c>
    </row>
    <row r="37" spans="1:10" x14ac:dyDescent="0.2">
      <c r="B37" s="10"/>
      <c r="C37" s="28"/>
      <c r="D37" s="28"/>
      <c r="E37" s="52"/>
    </row>
    <row r="38" spans="1:10" s="24" customFormat="1" ht="6.75" customHeight="1" x14ac:dyDescent="0.2">
      <c r="B38" s="25"/>
      <c r="C38" s="26"/>
      <c r="D38" s="26"/>
      <c r="E38" s="27"/>
      <c r="F38" s="53"/>
      <c r="G38" s="27"/>
      <c r="H38" s="27"/>
      <c r="I38" s="27"/>
    </row>
    <row r="39" spans="1:10" ht="19.5" customHeight="1" x14ac:dyDescent="0.2">
      <c r="A39" s="38"/>
      <c r="B39" s="20" t="s">
        <v>21</v>
      </c>
      <c r="C39" s="39" t="s">
        <v>96</v>
      </c>
      <c r="D39" s="33"/>
      <c r="E39" s="12"/>
      <c r="F39" s="54"/>
      <c r="G39" s="12"/>
      <c r="H39" s="12"/>
      <c r="I39" s="12"/>
    </row>
    <row r="40" spans="1:10" ht="19.5" customHeight="1" x14ac:dyDescent="0.2">
      <c r="B40" s="20" t="s">
        <v>23</v>
      </c>
      <c r="C40" s="428">
        <v>43754</v>
      </c>
      <c r="D40" s="428"/>
      <c r="E40" s="12"/>
      <c r="F40" s="54"/>
      <c r="G40" s="12"/>
      <c r="H40" s="12"/>
      <c r="I40" s="12"/>
    </row>
    <row r="41" spans="1:10" ht="4.5" customHeight="1" x14ac:dyDescent="0.45">
      <c r="B41" s="2"/>
      <c r="C41" s="17"/>
      <c r="D41" s="17"/>
      <c r="E41" s="424"/>
      <c r="F41" s="424"/>
      <c r="G41" s="3"/>
      <c r="H41" s="4"/>
      <c r="I41" s="4"/>
    </row>
    <row r="42" spans="1:10" s="140" customFormat="1" ht="13.5" thickBot="1" x14ac:dyDescent="0.25">
      <c r="B42" s="21" t="s">
        <v>22</v>
      </c>
      <c r="C42" s="44" t="s">
        <v>1</v>
      </c>
      <c r="D42" s="44"/>
      <c r="E42" s="23" t="s">
        <v>2</v>
      </c>
      <c r="F42" s="55"/>
    </row>
    <row r="43" spans="1:10" x14ac:dyDescent="0.2">
      <c r="B43" s="18" t="s">
        <v>25</v>
      </c>
      <c r="C43" s="19" t="s">
        <v>13</v>
      </c>
      <c r="D43" s="40"/>
      <c r="E43" s="67">
        <v>3083.82</v>
      </c>
      <c r="F43" s="59"/>
      <c r="G43" s="56"/>
    </row>
    <row r="44" spans="1:10" x14ac:dyDescent="0.2">
      <c r="B44" s="36" t="s">
        <v>26</v>
      </c>
      <c r="C44" s="22" t="s">
        <v>24</v>
      </c>
      <c r="D44" s="41"/>
      <c r="E44" s="67">
        <v>602.47</v>
      </c>
      <c r="F44" s="59"/>
      <c r="G44" s="66"/>
      <c r="H44" s="45"/>
    </row>
    <row r="45" spans="1:10" x14ac:dyDescent="0.2">
      <c r="B45" s="36" t="s">
        <v>3</v>
      </c>
      <c r="C45" s="22" t="s">
        <v>12</v>
      </c>
      <c r="D45" s="41"/>
      <c r="E45" s="67">
        <v>1542.48</v>
      </c>
      <c r="F45" s="59"/>
    </row>
    <row r="46" spans="1:10" x14ac:dyDescent="0.2">
      <c r="B46" s="13" t="s">
        <v>32</v>
      </c>
      <c r="C46" s="16" t="s">
        <v>11</v>
      </c>
      <c r="D46" s="42"/>
      <c r="E46" s="68">
        <v>1048.3699999999999</v>
      </c>
    </row>
    <row r="47" spans="1:10" x14ac:dyDescent="0.2">
      <c r="B47" s="69" t="s">
        <v>75</v>
      </c>
      <c r="C47" s="73" t="s">
        <v>31</v>
      </c>
      <c r="D47" s="70"/>
      <c r="E47" s="71">
        <v>1178.0999999999999</v>
      </c>
      <c r="G47" s="59"/>
      <c r="I47" s="212"/>
      <c r="J47" s="212"/>
    </row>
    <row r="48" spans="1:10" x14ac:dyDescent="0.2">
      <c r="B48" s="69" t="s">
        <v>86</v>
      </c>
      <c r="C48" s="73" t="s">
        <v>87</v>
      </c>
      <c r="D48" s="70"/>
      <c r="E48" s="71">
        <v>1472.63</v>
      </c>
      <c r="G48" s="59"/>
      <c r="I48" s="212"/>
      <c r="J48" s="212"/>
    </row>
    <row r="49" spans="1:10" x14ac:dyDescent="0.2">
      <c r="B49" s="69" t="s">
        <v>110</v>
      </c>
      <c r="C49" s="73" t="s">
        <v>146</v>
      </c>
      <c r="D49" s="70"/>
      <c r="E49" s="71">
        <v>1472.63</v>
      </c>
      <c r="G49" s="59"/>
      <c r="I49" s="212"/>
      <c r="J49" s="212"/>
    </row>
    <row r="50" spans="1:10" x14ac:dyDescent="0.2">
      <c r="B50" s="69" t="s">
        <v>26</v>
      </c>
      <c r="C50" s="73" t="s">
        <v>115</v>
      </c>
      <c r="D50" s="70"/>
      <c r="E50" s="71">
        <v>1178.0999999999999</v>
      </c>
      <c r="G50" s="59"/>
      <c r="I50" s="212"/>
      <c r="J50" s="212"/>
    </row>
    <row r="51" spans="1:10" ht="12" customHeight="1" thickBot="1" x14ac:dyDescent="0.25">
      <c r="B51" s="72" t="s">
        <v>149</v>
      </c>
      <c r="C51" s="74" t="s">
        <v>148</v>
      </c>
      <c r="D51" s="50"/>
      <c r="E51" s="29">
        <v>1472.63</v>
      </c>
      <c r="F51" s="57"/>
      <c r="G51" s="59"/>
      <c r="I51" s="425"/>
      <c r="J51" s="425"/>
    </row>
    <row r="52" spans="1:10" s="4" customFormat="1" ht="13.5" thickBot="1" x14ac:dyDescent="0.25">
      <c r="B52" s="46"/>
      <c r="C52" s="47"/>
      <c r="D52" s="48"/>
      <c r="E52" s="49">
        <f>SUM(E43:E51)</f>
        <v>13051.23</v>
      </c>
      <c r="F52" s="58"/>
      <c r="G52" s="65"/>
    </row>
    <row r="53" spans="1:10" ht="13.5" thickBot="1" x14ac:dyDescent="0.25">
      <c r="B53" s="75" t="s">
        <v>30</v>
      </c>
      <c r="C53" s="76" t="s">
        <v>5</v>
      </c>
      <c r="D53" s="76"/>
      <c r="E53" s="77">
        <v>1125</v>
      </c>
    </row>
    <row r="54" spans="1:10" ht="13.5" thickBot="1" x14ac:dyDescent="0.25">
      <c r="B54" s="10"/>
      <c r="C54" s="28" t="s">
        <v>0</v>
      </c>
      <c r="D54" s="28"/>
      <c r="E54" s="30">
        <f>SUM(E52:E53)</f>
        <v>14176.23</v>
      </c>
    </row>
    <row r="55" spans="1:10" x14ac:dyDescent="0.2">
      <c r="B55" s="10"/>
      <c r="C55" s="28"/>
      <c r="D55" s="28"/>
      <c r="E55" s="52"/>
    </row>
    <row r="56" spans="1:10" x14ac:dyDescent="0.2">
      <c r="B56" s="10" t="s">
        <v>6</v>
      </c>
      <c r="C56" s="214" t="s">
        <v>155</v>
      </c>
      <c r="D56" s="28"/>
      <c r="E56" s="52">
        <v>2060</v>
      </c>
    </row>
    <row r="57" spans="1:10" x14ac:dyDescent="0.2">
      <c r="B57" s="10"/>
      <c r="C57" s="28"/>
      <c r="D57" s="28"/>
      <c r="E57" s="52"/>
    </row>
    <row r="58" spans="1:10" s="24" customFormat="1" ht="6.75" customHeight="1" x14ac:dyDescent="0.2">
      <c r="B58" s="25"/>
      <c r="C58" s="26"/>
      <c r="D58" s="26"/>
      <c r="E58" s="27"/>
      <c r="F58" s="53"/>
      <c r="G58" s="27"/>
      <c r="H58" s="27"/>
      <c r="I58" s="27"/>
    </row>
    <row r="59" spans="1:10" ht="19.5" customHeight="1" x14ac:dyDescent="0.2">
      <c r="A59" s="38"/>
      <c r="B59" s="20" t="s">
        <v>21</v>
      </c>
      <c r="C59" s="39" t="s">
        <v>152</v>
      </c>
      <c r="D59" s="33"/>
      <c r="E59" s="12"/>
      <c r="F59" s="54"/>
      <c r="G59" s="12"/>
      <c r="H59" s="12"/>
      <c r="I59" s="12"/>
    </row>
    <row r="60" spans="1:10" ht="19.5" customHeight="1" x14ac:dyDescent="0.2">
      <c r="B60" s="20" t="s">
        <v>23</v>
      </c>
      <c r="C60" s="428">
        <v>43761</v>
      </c>
      <c r="D60" s="428"/>
      <c r="E60" s="12"/>
      <c r="F60" s="54"/>
      <c r="G60" s="12"/>
      <c r="H60" s="12"/>
      <c r="I60" s="12"/>
    </row>
    <row r="61" spans="1:10" ht="4.5" customHeight="1" x14ac:dyDescent="0.45">
      <c r="B61" s="2"/>
      <c r="C61" s="17"/>
      <c r="D61" s="17"/>
      <c r="E61" s="424"/>
      <c r="F61" s="424"/>
      <c r="G61" s="3"/>
      <c r="H61" s="4"/>
      <c r="I61" s="4"/>
    </row>
    <row r="62" spans="1:10" s="140" customFormat="1" ht="13.5" thickBot="1" x14ac:dyDescent="0.25">
      <c r="B62" s="21" t="s">
        <v>22</v>
      </c>
      <c r="C62" s="44" t="s">
        <v>1</v>
      </c>
      <c r="D62" s="44"/>
      <c r="E62" s="23" t="s">
        <v>2</v>
      </c>
      <c r="F62" s="55"/>
    </row>
    <row r="63" spans="1:10" x14ac:dyDescent="0.2">
      <c r="B63" s="18" t="s">
        <v>25</v>
      </c>
      <c r="C63" s="19" t="s">
        <v>13</v>
      </c>
      <c r="D63" s="40"/>
      <c r="E63" s="67">
        <v>3428.89</v>
      </c>
      <c r="F63" s="59"/>
      <c r="G63" s="56"/>
    </row>
    <row r="64" spans="1:10" x14ac:dyDescent="0.2">
      <c r="B64" s="36" t="s">
        <v>26</v>
      </c>
      <c r="C64" s="22" t="s">
        <v>24</v>
      </c>
      <c r="D64" s="41"/>
      <c r="E64" s="67">
        <v>802.47</v>
      </c>
      <c r="F64" s="59"/>
      <c r="G64" s="66"/>
      <c r="H64" s="45"/>
    </row>
    <row r="65" spans="1:10" x14ac:dyDescent="0.2">
      <c r="B65" s="36" t="s">
        <v>3</v>
      </c>
      <c r="C65" s="22" t="s">
        <v>12</v>
      </c>
      <c r="D65" s="41"/>
      <c r="E65" s="67">
        <v>1673.09</v>
      </c>
      <c r="F65" s="59"/>
    </row>
    <row r="66" spans="1:10" x14ac:dyDescent="0.2">
      <c r="B66" s="13" t="s">
        <v>32</v>
      </c>
      <c r="C66" s="16" t="s">
        <v>11</v>
      </c>
      <c r="D66" s="42"/>
      <c r="E66" s="68">
        <v>1573.07</v>
      </c>
    </row>
    <row r="67" spans="1:10" x14ac:dyDescent="0.2">
      <c r="B67" s="69" t="s">
        <v>75</v>
      </c>
      <c r="C67" s="73" t="s">
        <v>31</v>
      </c>
      <c r="D67" s="70"/>
      <c r="E67" s="71">
        <v>1296.9000000000001</v>
      </c>
      <c r="G67" s="59"/>
      <c r="I67" s="212"/>
      <c r="J67" s="212"/>
    </row>
    <row r="68" spans="1:10" x14ac:dyDescent="0.2">
      <c r="B68" s="69" t="s">
        <v>86</v>
      </c>
      <c r="C68" s="73" t="s">
        <v>87</v>
      </c>
      <c r="D68" s="70"/>
      <c r="E68" s="71">
        <v>1600.13</v>
      </c>
      <c r="G68" s="59"/>
      <c r="I68" s="212"/>
      <c r="J68" s="212"/>
    </row>
    <row r="69" spans="1:10" x14ac:dyDescent="0.2">
      <c r="B69" s="69" t="s">
        <v>110</v>
      </c>
      <c r="C69" s="73" t="s">
        <v>146</v>
      </c>
      <c r="D69" s="70"/>
      <c r="E69" s="71">
        <v>1600.13</v>
      </c>
      <c r="G69" s="59"/>
      <c r="I69" s="212"/>
      <c r="J69" s="212"/>
    </row>
    <row r="70" spans="1:10" x14ac:dyDescent="0.2">
      <c r="B70" s="69" t="s">
        <v>26</v>
      </c>
      <c r="C70" s="73" t="s">
        <v>115</v>
      </c>
      <c r="D70" s="70"/>
      <c r="E70" s="71">
        <v>1296.9000000000001</v>
      </c>
      <c r="G70" s="59"/>
      <c r="I70" s="212"/>
      <c r="J70" s="212"/>
    </row>
    <row r="71" spans="1:10" x14ac:dyDescent="0.2">
      <c r="B71" s="69" t="s">
        <v>149</v>
      </c>
      <c r="C71" s="73" t="s">
        <v>157</v>
      </c>
      <c r="D71" s="70"/>
      <c r="E71" s="71">
        <v>1600.13</v>
      </c>
      <c r="G71" s="59"/>
      <c r="I71" s="213"/>
      <c r="J71" s="213"/>
    </row>
    <row r="72" spans="1:10" ht="12" customHeight="1" thickBot="1" x14ac:dyDescent="0.25">
      <c r="B72" s="72" t="s">
        <v>156</v>
      </c>
      <c r="C72" s="74" t="s">
        <v>158</v>
      </c>
      <c r="D72" s="50"/>
      <c r="E72" s="29">
        <v>618.75</v>
      </c>
      <c r="F72" s="57"/>
      <c r="G72" s="59"/>
      <c r="I72" s="425"/>
      <c r="J72" s="425"/>
    </row>
    <row r="73" spans="1:10" s="4" customFormat="1" ht="13.5" thickBot="1" x14ac:dyDescent="0.25">
      <c r="B73" s="46"/>
      <c r="C73" s="47"/>
      <c r="D73" s="48"/>
      <c r="E73" s="49">
        <f>SUM(E63:E72)</f>
        <v>15490.46</v>
      </c>
      <c r="F73" s="58"/>
      <c r="G73" s="65"/>
    </row>
    <row r="74" spans="1:10" ht="13.5" thickBot="1" x14ac:dyDescent="0.25">
      <c r="B74" s="75" t="s">
        <v>30</v>
      </c>
      <c r="C74" s="76" t="s">
        <v>5</v>
      </c>
      <c r="D74" s="76"/>
      <c r="E74" s="77">
        <v>1125</v>
      </c>
    </row>
    <row r="75" spans="1:10" ht="13.5" thickBot="1" x14ac:dyDescent="0.25">
      <c r="B75" s="10"/>
      <c r="C75" s="28" t="s">
        <v>0</v>
      </c>
      <c r="D75" s="28"/>
      <c r="E75" s="30">
        <f>SUM(E73:E74)</f>
        <v>16615.46</v>
      </c>
    </row>
    <row r="76" spans="1:10" x14ac:dyDescent="0.2">
      <c r="B76" s="10"/>
      <c r="C76" s="28"/>
      <c r="D76" s="28"/>
      <c r="E76" s="52"/>
    </row>
    <row r="77" spans="1:10" s="24" customFormat="1" ht="6.75" customHeight="1" x14ac:dyDescent="0.2">
      <c r="B77" s="25"/>
      <c r="C77" s="26"/>
      <c r="D77" s="26"/>
      <c r="E77" s="27"/>
      <c r="F77" s="53"/>
      <c r="G77" s="27"/>
      <c r="H77" s="27"/>
      <c r="I77" s="27"/>
    </row>
    <row r="78" spans="1:10" ht="19.5" customHeight="1" x14ac:dyDescent="0.2">
      <c r="A78" s="38"/>
      <c r="B78" s="20" t="s">
        <v>21</v>
      </c>
      <c r="C78" s="39" t="s">
        <v>153</v>
      </c>
      <c r="D78" s="33"/>
      <c r="E78" s="12"/>
      <c r="F78" s="54"/>
      <c r="G78" s="12"/>
      <c r="H78" s="12"/>
      <c r="I78" s="12"/>
    </row>
    <row r="79" spans="1:10" ht="19.5" customHeight="1" x14ac:dyDescent="0.2">
      <c r="B79" s="20" t="s">
        <v>23</v>
      </c>
      <c r="C79" s="428">
        <v>43768</v>
      </c>
      <c r="D79" s="428"/>
      <c r="E79" s="12"/>
      <c r="F79" s="54"/>
      <c r="G79" s="12"/>
      <c r="H79" s="12"/>
      <c r="I79" s="12"/>
    </row>
    <row r="80" spans="1:10" ht="4.5" customHeight="1" x14ac:dyDescent="0.45">
      <c r="B80" s="2"/>
      <c r="C80" s="17"/>
      <c r="D80" s="17"/>
      <c r="E80" s="424"/>
      <c r="F80" s="424"/>
      <c r="G80" s="3"/>
      <c r="H80" s="4"/>
      <c r="I80" s="4"/>
    </row>
    <row r="81" spans="1:10" s="140" customFormat="1" ht="13.5" thickBot="1" x14ac:dyDescent="0.25">
      <c r="B81" s="21" t="s">
        <v>22</v>
      </c>
      <c r="C81" s="44" t="s">
        <v>1</v>
      </c>
      <c r="D81" s="44"/>
      <c r="E81" s="23" t="s">
        <v>2</v>
      </c>
      <c r="F81" s="55"/>
      <c r="H81" s="189"/>
    </row>
    <row r="82" spans="1:10" x14ac:dyDescent="0.2">
      <c r="B82" s="18" t="s">
        <v>25</v>
      </c>
      <c r="C82" s="19" t="s">
        <v>13</v>
      </c>
      <c r="D82" s="40"/>
      <c r="E82" s="67">
        <v>4528.67</v>
      </c>
      <c r="F82" s="59"/>
      <c r="G82" s="188" t="s">
        <v>165</v>
      </c>
      <c r="H82" s="45"/>
    </row>
    <row r="83" spans="1:10" x14ac:dyDescent="0.2">
      <c r="B83" s="36" t="s">
        <v>26</v>
      </c>
      <c r="C83" s="22" t="s">
        <v>24</v>
      </c>
      <c r="D83" s="41"/>
      <c r="E83" s="67">
        <v>663.27</v>
      </c>
      <c r="F83" s="59"/>
      <c r="G83" s="66"/>
      <c r="H83" s="45"/>
    </row>
    <row r="84" spans="1:10" x14ac:dyDescent="0.2">
      <c r="B84" s="36" t="s">
        <v>3</v>
      </c>
      <c r="C84" s="22" t="s">
        <v>12</v>
      </c>
      <c r="D84" s="41"/>
      <c r="E84" s="67">
        <v>1673.09</v>
      </c>
      <c r="F84" s="59"/>
    </row>
    <row r="85" spans="1:10" x14ac:dyDescent="0.2">
      <c r="B85" s="13" t="s">
        <v>32</v>
      </c>
      <c r="C85" s="16" t="s">
        <v>11</v>
      </c>
      <c r="D85" s="42"/>
      <c r="E85" s="68">
        <v>1543.62</v>
      </c>
    </row>
    <row r="86" spans="1:10" x14ac:dyDescent="0.2">
      <c r="B86" s="69" t="s">
        <v>75</v>
      </c>
      <c r="C86" s="73" t="s">
        <v>31</v>
      </c>
      <c r="D86" s="70"/>
      <c r="E86" s="71">
        <v>1267.2</v>
      </c>
      <c r="G86" s="59"/>
      <c r="I86" s="212"/>
      <c r="J86" s="212"/>
    </row>
    <row r="87" spans="1:10" x14ac:dyDescent="0.2">
      <c r="B87" s="69" t="s">
        <v>86</v>
      </c>
      <c r="C87" s="73" t="s">
        <v>87</v>
      </c>
      <c r="D87" s="70"/>
      <c r="E87" s="71">
        <v>1600.13</v>
      </c>
      <c r="G87" s="59"/>
      <c r="I87" s="212"/>
      <c r="J87" s="212"/>
    </row>
    <row r="88" spans="1:10" x14ac:dyDescent="0.2">
      <c r="B88" s="69" t="s">
        <v>110</v>
      </c>
      <c r="C88" s="73" t="s">
        <v>146</v>
      </c>
      <c r="D88" s="70"/>
      <c r="E88" s="71">
        <v>1569</v>
      </c>
      <c r="G88" s="59"/>
      <c r="I88" s="212"/>
      <c r="J88" s="212"/>
    </row>
    <row r="89" spans="1:10" x14ac:dyDescent="0.2">
      <c r="B89" s="69" t="s">
        <v>26</v>
      </c>
      <c r="C89" s="73" t="s">
        <v>115</v>
      </c>
      <c r="D89" s="70"/>
      <c r="E89" s="71">
        <v>1267.2</v>
      </c>
      <c r="G89" s="59"/>
      <c r="I89" s="212"/>
      <c r="J89" s="212"/>
    </row>
    <row r="90" spans="1:10" x14ac:dyDescent="0.2">
      <c r="B90" s="69" t="s">
        <v>149</v>
      </c>
      <c r="C90" s="73" t="s">
        <v>157</v>
      </c>
      <c r="D90" s="70"/>
      <c r="E90" s="71">
        <v>1600.13</v>
      </c>
      <c r="G90" s="59"/>
      <c r="I90" s="213"/>
      <c r="J90" s="213"/>
    </row>
    <row r="91" spans="1:10" ht="12" customHeight="1" thickBot="1" x14ac:dyDescent="0.25">
      <c r="B91" s="72" t="s">
        <v>156</v>
      </c>
      <c r="C91" s="74" t="s">
        <v>158</v>
      </c>
      <c r="D91" s="50"/>
      <c r="E91" s="29">
        <v>1569</v>
      </c>
      <c r="F91" s="57"/>
      <c r="G91" s="188" t="s">
        <v>166</v>
      </c>
      <c r="I91" s="425"/>
      <c r="J91" s="425"/>
    </row>
    <row r="92" spans="1:10" ht="13.5" thickBot="1" x14ac:dyDescent="0.25">
      <c r="B92" s="10"/>
      <c r="C92" s="28" t="s">
        <v>0</v>
      </c>
      <c r="D92" s="28"/>
      <c r="E92" s="30">
        <f>SUM(E82:E91)</f>
        <v>17281.310000000005</v>
      </c>
    </row>
    <row r="93" spans="1:10" x14ac:dyDescent="0.2">
      <c r="B93" s="10"/>
      <c r="C93" s="28"/>
      <c r="D93" s="28"/>
      <c r="E93" s="52"/>
    </row>
    <row r="94" spans="1:10" s="6" customFormat="1" ht="13.15" customHeight="1" x14ac:dyDescent="0.2">
      <c r="A94" s="14" t="s">
        <v>6</v>
      </c>
      <c r="B94" s="15" t="s">
        <v>7</v>
      </c>
      <c r="C94" s="15"/>
      <c r="D94" s="31">
        <v>9000</v>
      </c>
      <c r="E94" s="43" t="s">
        <v>139</v>
      </c>
      <c r="F94" s="14" t="s">
        <v>34</v>
      </c>
      <c r="G94" s="15" t="s">
        <v>33</v>
      </c>
      <c r="H94" s="31">
        <v>3948.27</v>
      </c>
      <c r="I94" s="51" t="s">
        <v>139</v>
      </c>
    </row>
    <row r="95" spans="1:10" s="6" customFormat="1" ht="13.15" customHeight="1" x14ac:dyDescent="0.2">
      <c r="A95" s="14" t="s">
        <v>8</v>
      </c>
      <c r="B95" s="15" t="s">
        <v>9</v>
      </c>
      <c r="C95" s="15"/>
      <c r="D95" s="31">
        <v>311.83999999999997</v>
      </c>
      <c r="E95" s="43" t="s">
        <v>139</v>
      </c>
      <c r="F95" s="60" t="s">
        <v>41</v>
      </c>
      <c r="G95" s="15" t="s">
        <v>40</v>
      </c>
      <c r="H95" s="31">
        <v>0</v>
      </c>
      <c r="I95" s="51"/>
    </row>
    <row r="96" spans="1:10" s="6" customFormat="1" ht="13.15" customHeight="1" x14ac:dyDescent="0.2">
      <c r="A96" s="14" t="s">
        <v>27</v>
      </c>
      <c r="B96" s="15" t="s">
        <v>28</v>
      </c>
      <c r="C96" s="15"/>
      <c r="D96" s="31">
        <v>619.53</v>
      </c>
      <c r="E96" s="43" t="s">
        <v>139</v>
      </c>
      <c r="F96" s="60" t="s">
        <v>19</v>
      </c>
      <c r="G96" s="15" t="s">
        <v>20</v>
      </c>
      <c r="H96" s="31">
        <v>500</v>
      </c>
      <c r="I96" s="51" t="s">
        <v>139</v>
      </c>
    </row>
    <row r="97" spans="1:9" s="6" customFormat="1" ht="13.15" customHeight="1" x14ac:dyDescent="0.2">
      <c r="A97" s="14" t="s">
        <v>10</v>
      </c>
      <c r="B97" s="15" t="s">
        <v>35</v>
      </c>
      <c r="C97" s="31"/>
      <c r="D97" s="31">
        <v>5000</v>
      </c>
      <c r="E97" s="43" t="s">
        <v>139</v>
      </c>
      <c r="F97" s="60" t="s">
        <v>6</v>
      </c>
      <c r="G97" s="15" t="s">
        <v>42</v>
      </c>
      <c r="H97" s="31">
        <v>904</v>
      </c>
      <c r="I97" s="51" t="s">
        <v>139</v>
      </c>
    </row>
    <row r="98" spans="1:9" s="6" customFormat="1" ht="13.15" customHeight="1" x14ac:dyDescent="0.2">
      <c r="A98" s="14" t="s">
        <v>10</v>
      </c>
      <c r="B98" s="15" t="s">
        <v>36</v>
      </c>
      <c r="C98" s="31"/>
      <c r="D98" s="31">
        <v>4000</v>
      </c>
      <c r="E98" s="43" t="s">
        <v>139</v>
      </c>
      <c r="F98" s="60" t="s">
        <v>8</v>
      </c>
      <c r="G98" s="15" t="s">
        <v>14</v>
      </c>
      <c r="H98" s="31">
        <v>12000</v>
      </c>
      <c r="I98" s="51" t="s">
        <v>139</v>
      </c>
    </row>
    <row r="99" spans="1:9" s="6" customFormat="1" ht="13.15" customHeight="1" thickBot="1" x14ac:dyDescent="0.25">
      <c r="A99" s="14" t="s">
        <v>10</v>
      </c>
      <c r="B99" s="15" t="s">
        <v>37</v>
      </c>
      <c r="C99" s="31"/>
      <c r="D99" s="31">
        <v>1126.4100000000001</v>
      </c>
      <c r="E99" s="43"/>
      <c r="F99" s="61" t="s">
        <v>16</v>
      </c>
      <c r="G99" s="15" t="s">
        <v>15</v>
      </c>
      <c r="H99" s="32">
        <v>12000</v>
      </c>
      <c r="I99" s="51" t="s">
        <v>139</v>
      </c>
    </row>
    <row r="100" spans="1:9" s="6" customFormat="1" ht="13.15" customHeight="1" thickTop="1" thickBot="1" x14ac:dyDescent="0.25">
      <c r="A100" s="14"/>
      <c r="B100" s="15"/>
      <c r="C100" s="31"/>
      <c r="D100" s="31"/>
      <c r="E100" s="43"/>
      <c r="F100" s="62"/>
      <c r="G100" s="15"/>
      <c r="H100" s="37">
        <f>SUM(H94:H99)+SUM(D94:D101)</f>
        <v>49410.05</v>
      </c>
      <c r="I100" s="51"/>
    </row>
    <row r="101" spans="1:9" s="6" customFormat="1" ht="13.15" customHeight="1" thickBot="1" x14ac:dyDescent="0.25">
      <c r="A101" s="14"/>
      <c r="B101" s="15"/>
      <c r="C101" s="31"/>
      <c r="D101" s="31"/>
      <c r="E101" s="31"/>
      <c r="F101" s="62"/>
      <c r="G101" s="34" t="s">
        <v>4</v>
      </c>
      <c r="H101" s="35">
        <f>E92+H100</f>
        <v>66691.360000000015</v>
      </c>
      <c r="I101" s="37"/>
    </row>
    <row r="102" spans="1:9" s="6" customFormat="1" ht="13.15" customHeight="1" x14ac:dyDescent="0.2">
      <c r="B102" s="14"/>
      <c r="C102" s="15"/>
      <c r="D102" s="8"/>
      <c r="E102" s="31"/>
      <c r="F102" s="63"/>
      <c r="G102" s="8"/>
      <c r="H102" s="8"/>
      <c r="I102" s="37"/>
    </row>
    <row r="103" spans="1:9" s="6" customFormat="1" ht="13.15" customHeight="1" x14ac:dyDescent="0.2">
      <c r="B103" s="14"/>
      <c r="C103" s="15"/>
      <c r="D103" s="7"/>
      <c r="E103" s="8"/>
      <c r="F103" s="63"/>
      <c r="G103" s="8"/>
      <c r="H103" s="8"/>
      <c r="I103" s="37"/>
    </row>
    <row r="104" spans="1:9" s="6" customFormat="1" ht="13.15" customHeight="1" x14ac:dyDescent="0.2">
      <c r="A104" s="8"/>
      <c r="B104" s="9"/>
      <c r="C104" s="8"/>
      <c r="D104" s="7"/>
      <c r="E104" s="8"/>
      <c r="F104" s="63"/>
      <c r="G104" s="8"/>
      <c r="H104" s="8"/>
      <c r="I104" s="37"/>
    </row>
    <row r="105" spans="1:9" s="6" customFormat="1" ht="13.15" customHeight="1" x14ac:dyDescent="0.2">
      <c r="A105" s="8"/>
      <c r="B105" s="9"/>
      <c r="C105" s="7"/>
      <c r="D105" s="7"/>
      <c r="E105" s="8"/>
      <c r="F105" s="63"/>
      <c r="G105" s="8"/>
      <c r="H105" s="8"/>
      <c r="I105" s="37"/>
    </row>
    <row r="106" spans="1:9" s="6" customFormat="1" ht="13.15" customHeight="1" x14ac:dyDescent="0.2">
      <c r="A106" s="8"/>
      <c r="B106" s="9"/>
      <c r="C106" s="7"/>
      <c r="D106" s="7"/>
      <c r="E106" s="8"/>
      <c r="F106" s="63"/>
      <c r="G106" s="8"/>
      <c r="H106" s="8"/>
      <c r="I106" s="37"/>
    </row>
    <row r="107" spans="1:9" s="6" customFormat="1" ht="13.15" customHeight="1" x14ac:dyDescent="0.2">
      <c r="A107" s="8"/>
      <c r="B107" s="9"/>
      <c r="C107" s="7"/>
      <c r="D107" s="7"/>
      <c r="E107" s="8"/>
      <c r="F107" s="63"/>
      <c r="G107" s="8"/>
      <c r="H107" s="8"/>
      <c r="I107" s="37"/>
    </row>
    <row r="108" spans="1:9" s="8" customFormat="1" ht="12" x14ac:dyDescent="0.2">
      <c r="B108" s="9"/>
      <c r="C108" s="7"/>
      <c r="F108" s="63"/>
    </row>
    <row r="109" spans="1:9" s="8" customFormat="1" ht="12" x14ac:dyDescent="0.2">
      <c r="B109" s="9"/>
      <c r="C109" s="7"/>
      <c r="F109" s="63"/>
    </row>
    <row r="110" spans="1:9" s="8" customFormat="1" ht="12" x14ac:dyDescent="0.2">
      <c r="B110" s="9"/>
      <c r="C110" s="7"/>
      <c r="F110" s="63"/>
    </row>
    <row r="111" spans="1:9" s="8" customFormat="1" ht="12" x14ac:dyDescent="0.2">
      <c r="B111" s="9"/>
      <c r="F111" s="63"/>
    </row>
    <row r="112" spans="1:9" s="8" customFormat="1" ht="12" x14ac:dyDescent="0.2">
      <c r="B112" s="9"/>
      <c r="F112" s="63"/>
    </row>
    <row r="113" spans="1:9" s="8" customFormat="1" ht="12" x14ac:dyDescent="0.2">
      <c r="B113" s="9"/>
      <c r="F113" s="63"/>
    </row>
    <row r="114" spans="1:9" s="8" customFormat="1" x14ac:dyDescent="0.2">
      <c r="B114" s="9"/>
      <c r="D114" s="5"/>
      <c r="F114" s="63"/>
    </row>
    <row r="115" spans="1:9" s="8" customFormat="1" x14ac:dyDescent="0.2">
      <c r="B115" s="9"/>
      <c r="D115" s="5"/>
      <c r="F115" s="45"/>
      <c r="G115" s="5"/>
      <c r="H115" s="5"/>
    </row>
    <row r="116" spans="1:9" s="8" customFormat="1" x14ac:dyDescent="0.2">
      <c r="B116" s="9"/>
      <c r="D116" s="5"/>
      <c r="E116" s="5"/>
      <c r="F116" s="45"/>
      <c r="G116" s="5"/>
      <c r="H116" s="5"/>
    </row>
    <row r="117" spans="1:9" s="8" customFormat="1" x14ac:dyDescent="0.2">
      <c r="B117" s="11"/>
      <c r="C117" s="5"/>
      <c r="D117" s="5"/>
      <c r="E117" s="5"/>
      <c r="F117" s="45"/>
      <c r="G117" s="5"/>
      <c r="H117" s="5"/>
    </row>
    <row r="118" spans="1:9" s="8" customFormat="1" x14ac:dyDescent="0.2">
      <c r="B118" s="11"/>
      <c r="C118" s="5"/>
      <c r="D118" s="5"/>
      <c r="E118" s="5"/>
      <c r="F118" s="45"/>
      <c r="G118" s="5"/>
      <c r="H118" s="5"/>
    </row>
    <row r="119" spans="1:9" s="8" customFormat="1" x14ac:dyDescent="0.2">
      <c r="B119" s="11"/>
      <c r="C119" s="5"/>
      <c r="D119" s="5"/>
      <c r="E119" s="5"/>
      <c r="F119" s="45"/>
      <c r="G119" s="5"/>
      <c r="H119" s="5"/>
    </row>
    <row r="120" spans="1:9" s="8" customFormat="1" x14ac:dyDescent="0.2">
      <c r="B120" s="11"/>
      <c r="C120" s="5"/>
      <c r="D120" s="5"/>
      <c r="E120" s="5"/>
      <c r="F120" s="45"/>
      <c r="G120" s="5"/>
      <c r="H120" s="5"/>
    </row>
    <row r="121" spans="1:9" s="8" customFormat="1" x14ac:dyDescent="0.2">
      <c r="A121" s="5"/>
      <c r="B121" s="11"/>
      <c r="C121" s="5"/>
      <c r="D121" s="5"/>
      <c r="E121" s="5"/>
      <c r="F121" s="45"/>
      <c r="G121" s="5"/>
      <c r="H121" s="5"/>
      <c r="I121" s="5"/>
    </row>
    <row r="122" spans="1:9" s="8" customFormat="1" x14ac:dyDescent="0.2">
      <c r="A122" s="5"/>
      <c r="B122" s="11"/>
      <c r="C122" s="5"/>
      <c r="D122" s="5"/>
      <c r="E122" s="5"/>
      <c r="F122" s="45"/>
      <c r="G122" s="5"/>
      <c r="H122" s="5"/>
      <c r="I122" s="5"/>
    </row>
    <row r="123" spans="1:9" s="8" customFormat="1" x14ac:dyDescent="0.2">
      <c r="A123" s="5"/>
      <c r="B123" s="11"/>
      <c r="C123" s="5"/>
      <c r="D123" s="5"/>
      <c r="E123" s="5"/>
      <c r="F123" s="45"/>
      <c r="G123" s="5"/>
      <c r="H123" s="5"/>
      <c r="I123" s="5"/>
    </row>
    <row r="124" spans="1:9" s="8" customFormat="1" x14ac:dyDescent="0.2">
      <c r="A124" s="5"/>
      <c r="B124" s="11"/>
      <c r="C124" s="5"/>
      <c r="D124" s="5"/>
      <c r="E124" s="5"/>
      <c r="F124" s="45"/>
      <c r="G124" s="5"/>
      <c r="H124" s="5"/>
      <c r="I124" s="5"/>
    </row>
  </sheetData>
  <mergeCells count="16">
    <mergeCell ref="I91:J91"/>
    <mergeCell ref="C60:D60"/>
    <mergeCell ref="E61:F61"/>
    <mergeCell ref="I72:J72"/>
    <mergeCell ref="I15:J15"/>
    <mergeCell ref="I33:J33"/>
    <mergeCell ref="C40:D40"/>
    <mergeCell ref="E41:F41"/>
    <mergeCell ref="I51:J51"/>
    <mergeCell ref="C79:D79"/>
    <mergeCell ref="E80:F80"/>
    <mergeCell ref="A1:J1"/>
    <mergeCell ref="C4:D4"/>
    <mergeCell ref="E5:F5"/>
    <mergeCell ref="C22:D22"/>
    <mergeCell ref="E23:F23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opLeftCell="A51" zoomScaleNormal="100" workbookViewId="0">
      <selection activeCell="E77" sqref="E77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14.42578125" style="5" customWidth="1"/>
    <col min="5" max="5" width="10.5703125" style="5" customWidth="1"/>
    <col min="6" max="6" width="7" style="45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426" t="s">
        <v>160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0" s="24" customFormat="1" ht="6.75" customHeight="1" x14ac:dyDescent="0.2">
      <c r="B2" s="25"/>
      <c r="C2" s="26"/>
      <c r="D2" s="26"/>
      <c r="E2" s="27"/>
      <c r="F2" s="53"/>
      <c r="G2" s="64"/>
      <c r="H2" s="27"/>
      <c r="I2" s="27"/>
    </row>
    <row r="3" spans="1:10" ht="19.5" customHeight="1" x14ac:dyDescent="0.2">
      <c r="A3" s="38"/>
      <c r="B3" s="20" t="s">
        <v>21</v>
      </c>
      <c r="C3" s="39" t="s">
        <v>161</v>
      </c>
      <c r="D3" s="33"/>
      <c r="E3" s="12"/>
      <c r="F3" s="54"/>
      <c r="G3" s="12"/>
      <c r="H3" s="12"/>
      <c r="I3" s="12"/>
    </row>
    <row r="4" spans="1:10" ht="19.5" customHeight="1" x14ac:dyDescent="0.2">
      <c r="B4" s="20" t="s">
        <v>23</v>
      </c>
      <c r="C4" s="427">
        <v>43714</v>
      </c>
      <c r="D4" s="428"/>
      <c r="E4" s="12"/>
      <c r="F4" s="54"/>
      <c r="G4" s="12"/>
      <c r="H4" s="12"/>
      <c r="I4" s="12"/>
    </row>
    <row r="5" spans="1:10" ht="4.5" customHeight="1" x14ac:dyDescent="0.45">
      <c r="B5" s="2"/>
      <c r="C5" s="17"/>
      <c r="D5" s="17"/>
      <c r="E5" s="424"/>
      <c r="F5" s="424"/>
      <c r="G5" s="3"/>
      <c r="H5" s="4"/>
      <c r="I5" s="4"/>
    </row>
    <row r="6" spans="1:10" s="140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55"/>
    </row>
    <row r="7" spans="1:10" x14ac:dyDescent="0.2">
      <c r="B7" s="18" t="s">
        <v>25</v>
      </c>
      <c r="C7" s="19" t="s">
        <v>13</v>
      </c>
      <c r="D7" s="40"/>
      <c r="E7" s="67">
        <v>2611.4699999999998</v>
      </c>
      <c r="G7" s="56"/>
    </row>
    <row r="8" spans="1:10" x14ac:dyDescent="0.2">
      <c r="B8" s="36" t="s">
        <v>26</v>
      </c>
      <c r="C8" s="22" t="s">
        <v>24</v>
      </c>
      <c r="D8" s="41"/>
      <c r="E8" s="67">
        <v>802.47</v>
      </c>
      <c r="F8" s="59"/>
      <c r="G8" s="137" t="s">
        <v>169</v>
      </c>
      <c r="H8" s="45"/>
    </row>
    <row r="9" spans="1:10" x14ac:dyDescent="0.2">
      <c r="B9" s="36" t="s">
        <v>3</v>
      </c>
      <c r="C9" s="22" t="s">
        <v>12</v>
      </c>
      <c r="D9" s="41"/>
      <c r="E9" s="67">
        <v>1476.67</v>
      </c>
      <c r="F9" s="59"/>
      <c r="G9" s="138"/>
    </row>
    <row r="10" spans="1:10" x14ac:dyDescent="0.2">
      <c r="B10" s="13" t="s">
        <v>32</v>
      </c>
      <c r="C10" s="16" t="s">
        <v>11</v>
      </c>
      <c r="D10" s="42"/>
      <c r="E10" s="68">
        <v>1367.39</v>
      </c>
    </row>
    <row r="11" spans="1:10" x14ac:dyDescent="0.2">
      <c r="B11" s="69" t="s">
        <v>26</v>
      </c>
      <c r="C11" s="73" t="s">
        <v>31</v>
      </c>
      <c r="D11" s="70"/>
      <c r="E11" s="71">
        <v>1118.7</v>
      </c>
      <c r="G11" s="188" t="s">
        <v>168</v>
      </c>
      <c r="I11" s="218"/>
      <c r="J11" s="218"/>
    </row>
    <row r="12" spans="1:10" x14ac:dyDescent="0.2">
      <c r="B12" s="69" t="s">
        <v>86</v>
      </c>
      <c r="C12" s="73" t="s">
        <v>87</v>
      </c>
      <c r="D12" s="70"/>
      <c r="E12" s="71">
        <v>1398.38</v>
      </c>
      <c r="G12" s="56"/>
      <c r="I12" s="218"/>
      <c r="J12" s="218"/>
    </row>
    <row r="13" spans="1:10" x14ac:dyDescent="0.2">
      <c r="B13" s="69" t="s">
        <v>110</v>
      </c>
      <c r="C13" s="73" t="s">
        <v>146</v>
      </c>
      <c r="D13" s="70"/>
      <c r="E13" s="71">
        <v>1398.38</v>
      </c>
      <c r="G13" s="59"/>
      <c r="I13" s="218"/>
      <c r="J13" s="218"/>
    </row>
    <row r="14" spans="1:10" x14ac:dyDescent="0.2">
      <c r="B14" s="69" t="s">
        <v>26</v>
      </c>
      <c r="C14" s="73" t="s">
        <v>115</v>
      </c>
      <c r="D14" s="70"/>
      <c r="E14" s="71">
        <v>642</v>
      </c>
      <c r="G14" s="188" t="s">
        <v>167</v>
      </c>
      <c r="I14" s="218"/>
      <c r="J14" s="218"/>
    </row>
    <row r="15" spans="1:10" x14ac:dyDescent="0.2">
      <c r="B15" s="69" t="s">
        <v>149</v>
      </c>
      <c r="C15" s="73" t="s">
        <v>157</v>
      </c>
      <c r="D15" s="70"/>
      <c r="E15" s="71">
        <v>1435.5</v>
      </c>
      <c r="G15" s="188"/>
      <c r="I15" s="219"/>
      <c r="J15" s="219"/>
    </row>
    <row r="16" spans="1:10" ht="12" customHeight="1" thickBot="1" x14ac:dyDescent="0.25">
      <c r="B16" s="72" t="s">
        <v>156</v>
      </c>
      <c r="C16" s="74" t="s">
        <v>158</v>
      </c>
      <c r="D16" s="50"/>
      <c r="E16" s="29">
        <v>1098.3800000000001</v>
      </c>
      <c r="F16" s="57"/>
      <c r="G16" s="59"/>
      <c r="I16" s="425"/>
      <c r="J16" s="425"/>
    </row>
    <row r="17" spans="1:10" s="4" customFormat="1" ht="13.5" thickBot="1" x14ac:dyDescent="0.25">
      <c r="B17" s="46"/>
      <c r="C17" s="47"/>
      <c r="D17" s="48"/>
      <c r="E17" s="49">
        <f>SUM(E7:E16)</f>
        <v>13349.34</v>
      </c>
      <c r="F17" s="58"/>
      <c r="G17" s="65"/>
    </row>
    <row r="18" spans="1:10" ht="13.5" thickBot="1" x14ac:dyDescent="0.25">
      <c r="B18" s="75" t="s">
        <v>30</v>
      </c>
      <c r="C18" s="76" t="s">
        <v>5</v>
      </c>
      <c r="D18" s="76"/>
      <c r="E18" s="77">
        <v>1125</v>
      </c>
    </row>
    <row r="19" spans="1:10" ht="13.5" thickBot="1" x14ac:dyDescent="0.25">
      <c r="B19" s="10"/>
      <c r="C19" s="28" t="s">
        <v>0</v>
      </c>
      <c r="D19" s="28"/>
      <c r="E19" s="30">
        <f>SUM(E17:E18)</f>
        <v>14474.34</v>
      </c>
      <c r="G19" s="5" t="s">
        <v>138</v>
      </c>
    </row>
    <row r="20" spans="1:10" x14ac:dyDescent="0.2">
      <c r="B20" s="10"/>
      <c r="C20" s="28"/>
      <c r="D20" s="28"/>
      <c r="E20" s="52"/>
    </row>
    <row r="21" spans="1:10" s="24" customFormat="1" ht="6.75" customHeight="1" x14ac:dyDescent="0.2">
      <c r="B21" s="25"/>
      <c r="C21" s="26"/>
      <c r="D21" s="26"/>
      <c r="E21" s="27"/>
      <c r="F21" s="53"/>
      <c r="G21" s="27"/>
      <c r="H21" s="27"/>
      <c r="I21" s="27"/>
    </row>
    <row r="22" spans="1:10" ht="19.5" customHeight="1" x14ac:dyDescent="0.2">
      <c r="A22" s="38"/>
      <c r="B22" s="20" t="s">
        <v>21</v>
      </c>
      <c r="C22" s="39" t="s">
        <v>162</v>
      </c>
      <c r="D22" s="33"/>
      <c r="E22" s="12"/>
      <c r="F22" s="54"/>
      <c r="G22" s="12"/>
      <c r="H22" s="12"/>
      <c r="I22" s="12"/>
    </row>
    <row r="23" spans="1:10" ht="19.5" customHeight="1" x14ac:dyDescent="0.2">
      <c r="B23" s="20" t="s">
        <v>23</v>
      </c>
      <c r="C23" s="427">
        <v>43721</v>
      </c>
      <c r="D23" s="428"/>
      <c r="E23" s="12"/>
      <c r="F23" s="54"/>
      <c r="G23" s="12"/>
      <c r="H23" s="12"/>
      <c r="I23" s="12"/>
    </row>
    <row r="24" spans="1:10" ht="4.5" customHeight="1" x14ac:dyDescent="0.45">
      <c r="B24" s="2"/>
      <c r="C24" s="17"/>
      <c r="D24" s="17"/>
      <c r="E24" s="424"/>
      <c r="F24" s="424"/>
      <c r="G24" s="3"/>
      <c r="H24" s="4"/>
      <c r="I24" s="4"/>
    </row>
    <row r="25" spans="1:10" s="140" customFormat="1" ht="13.5" thickBot="1" x14ac:dyDescent="0.25">
      <c r="B25" s="21" t="s">
        <v>22</v>
      </c>
      <c r="C25" s="44" t="s">
        <v>1</v>
      </c>
      <c r="D25" s="44"/>
      <c r="E25" s="23" t="s">
        <v>2</v>
      </c>
      <c r="F25" s="55"/>
    </row>
    <row r="26" spans="1:10" x14ac:dyDescent="0.2">
      <c r="B26" s="18" t="s">
        <v>25</v>
      </c>
      <c r="C26" s="19" t="s">
        <v>13</v>
      </c>
      <c r="D26" s="40"/>
      <c r="E26" s="67">
        <v>3273.96</v>
      </c>
      <c r="G26" s="56"/>
    </row>
    <row r="27" spans="1:10" x14ac:dyDescent="0.2">
      <c r="B27" s="36" t="s">
        <v>26</v>
      </c>
      <c r="C27" s="22" t="s">
        <v>24</v>
      </c>
      <c r="D27" s="41"/>
      <c r="E27" s="67">
        <v>676.05</v>
      </c>
      <c r="F27" s="59"/>
      <c r="G27" s="137" t="s">
        <v>170</v>
      </c>
      <c r="H27" s="45"/>
    </row>
    <row r="28" spans="1:10" x14ac:dyDescent="0.2">
      <c r="B28" s="36" t="s">
        <v>3</v>
      </c>
      <c r="C28" s="22" t="s">
        <v>12</v>
      </c>
      <c r="D28" s="41"/>
      <c r="E28" s="67">
        <v>1356.97</v>
      </c>
      <c r="F28" s="59"/>
      <c r="G28" s="138"/>
    </row>
    <row r="29" spans="1:10" x14ac:dyDescent="0.2">
      <c r="B29" s="13" t="s">
        <v>32</v>
      </c>
      <c r="C29" s="16" t="s">
        <v>11</v>
      </c>
      <c r="D29" s="42"/>
      <c r="E29" s="68">
        <v>1261.05</v>
      </c>
    </row>
    <row r="30" spans="1:10" x14ac:dyDescent="0.2">
      <c r="B30" s="69" t="s">
        <v>75</v>
      </c>
      <c r="C30" s="73" t="s">
        <v>31</v>
      </c>
      <c r="D30" s="70"/>
      <c r="E30" s="71">
        <v>792</v>
      </c>
      <c r="G30" s="56"/>
      <c r="I30" s="218"/>
      <c r="J30" s="218"/>
    </row>
    <row r="31" spans="1:10" x14ac:dyDescent="0.2">
      <c r="B31" s="69" t="s">
        <v>86</v>
      </c>
      <c r="C31" s="73" t="s">
        <v>87</v>
      </c>
      <c r="D31" s="70"/>
      <c r="E31" s="71">
        <v>1398.38</v>
      </c>
      <c r="G31" s="56"/>
      <c r="I31" s="218"/>
      <c r="J31" s="218"/>
    </row>
    <row r="32" spans="1:10" x14ac:dyDescent="0.2">
      <c r="B32" s="69" t="s">
        <v>110</v>
      </c>
      <c r="C32" s="73" t="s">
        <v>146</v>
      </c>
      <c r="D32" s="70"/>
      <c r="E32" s="71">
        <v>1398.38</v>
      </c>
      <c r="G32" s="59"/>
      <c r="I32" s="218"/>
      <c r="J32" s="218"/>
    </row>
    <row r="33" spans="1:10" x14ac:dyDescent="0.2">
      <c r="B33" s="69" t="s">
        <v>26</v>
      </c>
      <c r="C33" s="73" t="s">
        <v>115</v>
      </c>
      <c r="D33" s="70"/>
      <c r="E33" s="71">
        <v>879.6</v>
      </c>
      <c r="G33" s="188" t="s">
        <v>167</v>
      </c>
      <c r="I33" s="218"/>
      <c r="J33" s="218"/>
    </row>
    <row r="34" spans="1:10" x14ac:dyDescent="0.2">
      <c r="B34" s="69" t="s">
        <v>149</v>
      </c>
      <c r="C34" s="73" t="s">
        <v>157</v>
      </c>
      <c r="D34" s="70"/>
      <c r="E34" s="71">
        <v>1287</v>
      </c>
      <c r="G34" s="188"/>
      <c r="I34" s="220"/>
      <c r="J34" s="220"/>
    </row>
    <row r="35" spans="1:10" ht="12" customHeight="1" thickBot="1" x14ac:dyDescent="0.25">
      <c r="B35" s="72" t="s">
        <v>156</v>
      </c>
      <c r="C35" s="74" t="s">
        <v>158</v>
      </c>
      <c r="D35" s="50"/>
      <c r="E35" s="29">
        <v>987</v>
      </c>
      <c r="F35" s="57"/>
      <c r="G35" s="59"/>
      <c r="I35" s="425"/>
      <c r="J35" s="425"/>
    </row>
    <row r="36" spans="1:10" s="4" customFormat="1" ht="13.5" thickBot="1" x14ac:dyDescent="0.25">
      <c r="B36" s="46"/>
      <c r="C36" s="47"/>
      <c r="D36" s="48"/>
      <c r="E36" s="49">
        <f>SUM(E26:E35)</f>
        <v>13310.390000000001</v>
      </c>
      <c r="F36" s="58"/>
      <c r="G36" s="65"/>
    </row>
    <row r="37" spans="1:10" ht="13.5" thickBot="1" x14ac:dyDescent="0.25">
      <c r="B37" s="75" t="s">
        <v>30</v>
      </c>
      <c r="C37" s="76" t="s">
        <v>5</v>
      </c>
      <c r="D37" s="76"/>
      <c r="E37" s="77">
        <v>1125</v>
      </c>
    </row>
    <row r="38" spans="1:10" ht="13.5" thickBot="1" x14ac:dyDescent="0.25">
      <c r="B38" s="10"/>
      <c r="C38" s="28" t="s">
        <v>0</v>
      </c>
      <c r="D38" s="28"/>
      <c r="E38" s="30">
        <f>SUM(E36:E37)</f>
        <v>14435.390000000001</v>
      </c>
    </row>
    <row r="39" spans="1:10" x14ac:dyDescent="0.2">
      <c r="B39" s="10"/>
      <c r="C39" s="28"/>
      <c r="D39" s="28"/>
      <c r="E39" s="52"/>
    </row>
    <row r="40" spans="1:10" s="24" customFormat="1" ht="6.75" customHeight="1" x14ac:dyDescent="0.2">
      <c r="B40" s="25"/>
      <c r="C40" s="26"/>
      <c r="D40" s="26"/>
      <c r="E40" s="27"/>
      <c r="F40" s="53"/>
      <c r="G40" s="27"/>
      <c r="H40" s="27"/>
      <c r="I40" s="27"/>
    </row>
    <row r="41" spans="1:10" ht="19.5" customHeight="1" x14ac:dyDescent="0.2">
      <c r="A41" s="38"/>
      <c r="B41" s="20" t="s">
        <v>21</v>
      </c>
      <c r="C41" s="39" t="s">
        <v>163</v>
      </c>
      <c r="D41" s="33"/>
      <c r="E41" s="12"/>
      <c r="F41" s="54"/>
      <c r="G41" s="12"/>
      <c r="H41" s="12"/>
      <c r="I41" s="12"/>
    </row>
    <row r="42" spans="1:10" ht="19.5" customHeight="1" x14ac:dyDescent="0.2">
      <c r="B42" s="20" t="s">
        <v>23</v>
      </c>
      <c r="C42" s="428">
        <v>43789</v>
      </c>
      <c r="D42" s="428"/>
      <c r="E42" s="12"/>
      <c r="F42" s="54"/>
      <c r="G42" s="12"/>
      <c r="H42" s="12"/>
      <c r="I42" s="12"/>
    </row>
    <row r="43" spans="1:10" ht="4.5" customHeight="1" x14ac:dyDescent="0.45">
      <c r="B43" s="2"/>
      <c r="C43" s="17"/>
      <c r="D43" s="17"/>
      <c r="E43" s="424"/>
      <c r="F43" s="424"/>
      <c r="G43" s="3"/>
      <c r="H43" s="4"/>
      <c r="I43" s="4"/>
    </row>
    <row r="44" spans="1:10" s="140" customFormat="1" ht="13.5" thickBot="1" x14ac:dyDescent="0.25">
      <c r="B44" s="21" t="s">
        <v>22</v>
      </c>
      <c r="C44" s="44" t="s">
        <v>1</v>
      </c>
      <c r="D44" s="44"/>
      <c r="E44" s="23" t="s">
        <v>2</v>
      </c>
      <c r="F44" s="55"/>
    </row>
    <row r="45" spans="1:10" x14ac:dyDescent="0.2">
      <c r="B45" s="18" t="s">
        <v>25</v>
      </c>
      <c r="C45" s="19" t="s">
        <v>13</v>
      </c>
      <c r="D45" s="40"/>
      <c r="E45" s="67">
        <v>3815.38</v>
      </c>
      <c r="F45" s="59"/>
      <c r="G45" s="56"/>
    </row>
    <row r="46" spans="1:10" x14ac:dyDescent="0.2">
      <c r="B46" s="36" t="s">
        <v>26</v>
      </c>
      <c r="C46" s="22" t="s">
        <v>24</v>
      </c>
      <c r="D46" s="41"/>
      <c r="E46" s="67">
        <v>602.47</v>
      </c>
      <c r="F46" s="59"/>
      <c r="G46" s="66"/>
      <c r="H46" s="45"/>
    </row>
    <row r="47" spans="1:10" x14ac:dyDescent="0.2">
      <c r="B47" s="36" t="s">
        <v>3</v>
      </c>
      <c r="C47" s="22" t="s">
        <v>12</v>
      </c>
      <c r="D47" s="41"/>
      <c r="E47" s="67">
        <v>1157.46</v>
      </c>
      <c r="F47" s="59"/>
    </row>
    <row r="48" spans="1:10" x14ac:dyDescent="0.2">
      <c r="B48" s="13" t="s">
        <v>32</v>
      </c>
      <c r="C48" s="16" t="s">
        <v>11</v>
      </c>
      <c r="D48" s="42"/>
      <c r="E48" s="68">
        <v>1083.81</v>
      </c>
    </row>
    <row r="49" spans="1:10" x14ac:dyDescent="0.2">
      <c r="B49" s="69" t="s">
        <v>75</v>
      </c>
      <c r="C49" s="73" t="s">
        <v>31</v>
      </c>
      <c r="D49" s="70"/>
      <c r="E49" s="71">
        <v>881.1</v>
      </c>
      <c r="G49" s="59"/>
      <c r="I49" s="218"/>
      <c r="J49" s="218"/>
    </row>
    <row r="50" spans="1:10" x14ac:dyDescent="0.2">
      <c r="B50" s="69" t="s">
        <v>86</v>
      </c>
      <c r="C50" s="73" t="s">
        <v>87</v>
      </c>
      <c r="D50" s="70"/>
      <c r="E50" s="71">
        <v>1524.31</v>
      </c>
      <c r="G50" s="59"/>
      <c r="I50" s="218"/>
      <c r="J50" s="218"/>
    </row>
    <row r="51" spans="1:10" x14ac:dyDescent="0.2">
      <c r="B51" s="69" t="s">
        <v>110</v>
      </c>
      <c r="C51" s="73" t="s">
        <v>146</v>
      </c>
      <c r="D51" s="70"/>
      <c r="E51" s="71">
        <v>1524.31</v>
      </c>
      <c r="G51" s="59"/>
      <c r="I51" s="218"/>
      <c r="J51" s="218"/>
    </row>
    <row r="52" spans="1:10" x14ac:dyDescent="0.2">
      <c r="B52" s="69" t="s">
        <v>26</v>
      </c>
      <c r="C52" s="73" t="s">
        <v>115</v>
      </c>
      <c r="D52" s="70"/>
      <c r="E52" s="71">
        <v>792</v>
      </c>
      <c r="G52" s="59"/>
      <c r="I52" s="218"/>
      <c r="J52" s="218"/>
    </row>
    <row r="53" spans="1:10" x14ac:dyDescent="0.2">
      <c r="B53" s="69" t="s">
        <v>149</v>
      </c>
      <c r="C53" s="73" t="s">
        <v>157</v>
      </c>
      <c r="D53" s="70"/>
      <c r="E53" s="71">
        <v>1645.81</v>
      </c>
      <c r="G53" s="59"/>
      <c r="I53" s="221"/>
      <c r="J53" s="221"/>
    </row>
    <row r="54" spans="1:10" ht="12" customHeight="1" thickBot="1" x14ac:dyDescent="0.25">
      <c r="B54" s="72" t="s">
        <v>156</v>
      </c>
      <c r="C54" s="74" t="s">
        <v>158</v>
      </c>
      <c r="D54" s="50"/>
      <c r="E54" s="29">
        <v>0</v>
      </c>
      <c r="F54" s="57"/>
      <c r="G54" s="188" t="s">
        <v>171</v>
      </c>
      <c r="H54" s="45">
        <f>E57-E54</f>
        <v>14151.65</v>
      </c>
      <c r="I54" s="425"/>
      <c r="J54" s="425"/>
    </row>
    <row r="55" spans="1:10" s="4" customFormat="1" ht="13.5" thickBot="1" x14ac:dyDescent="0.25">
      <c r="B55" s="46"/>
      <c r="C55" s="47"/>
      <c r="D55" s="48"/>
      <c r="E55" s="49">
        <f>SUM(E45:E54)</f>
        <v>13026.65</v>
      </c>
      <c r="F55" s="58"/>
      <c r="G55" s="65"/>
    </row>
    <row r="56" spans="1:10" ht="13.5" thickBot="1" x14ac:dyDescent="0.25">
      <c r="B56" s="75" t="s">
        <v>30</v>
      </c>
      <c r="C56" s="76" t="s">
        <v>5</v>
      </c>
      <c r="D56" s="76"/>
      <c r="E56" s="77">
        <v>1125</v>
      </c>
    </row>
    <row r="57" spans="1:10" ht="13.5" thickBot="1" x14ac:dyDescent="0.25">
      <c r="B57" s="10"/>
      <c r="C57" s="28" t="s">
        <v>0</v>
      </c>
      <c r="D57" s="28"/>
      <c r="E57" s="30">
        <f>SUM(E55:E56)</f>
        <v>14151.65</v>
      </c>
    </row>
    <row r="58" spans="1:10" x14ac:dyDescent="0.2">
      <c r="B58" s="10"/>
      <c r="C58" s="28"/>
      <c r="D58" s="28"/>
      <c r="E58" s="52"/>
    </row>
    <row r="59" spans="1:10" s="24" customFormat="1" ht="6.75" customHeight="1" x14ac:dyDescent="0.2">
      <c r="B59" s="25"/>
      <c r="C59" s="26"/>
      <c r="D59" s="26"/>
      <c r="E59" s="27"/>
      <c r="F59" s="53"/>
      <c r="G59" s="27"/>
      <c r="H59" s="27"/>
      <c r="I59" s="27"/>
    </row>
    <row r="60" spans="1:10" ht="19.5" customHeight="1" x14ac:dyDescent="0.2">
      <c r="A60" s="38"/>
      <c r="B60" s="20" t="s">
        <v>21</v>
      </c>
      <c r="C60" s="39" t="s">
        <v>164</v>
      </c>
      <c r="D60" s="33"/>
      <c r="E60" s="12"/>
      <c r="F60" s="54"/>
      <c r="G60" s="12"/>
      <c r="H60" s="12"/>
      <c r="I60" s="12"/>
    </row>
    <row r="61" spans="1:10" ht="19.5" customHeight="1" x14ac:dyDescent="0.2">
      <c r="B61" s="20" t="s">
        <v>23</v>
      </c>
      <c r="C61" s="428">
        <v>43796</v>
      </c>
      <c r="D61" s="428"/>
      <c r="E61" s="12"/>
      <c r="F61" s="54"/>
      <c r="G61" s="12"/>
      <c r="H61" s="12"/>
      <c r="I61" s="12"/>
    </row>
    <row r="62" spans="1:10" ht="4.5" customHeight="1" x14ac:dyDescent="0.45">
      <c r="B62" s="2"/>
      <c r="C62" s="17"/>
      <c r="D62" s="17"/>
      <c r="E62" s="424"/>
      <c r="F62" s="424"/>
      <c r="G62" s="3"/>
      <c r="H62" s="4"/>
      <c r="I62" s="4"/>
    </row>
    <row r="63" spans="1:10" s="140" customFormat="1" ht="13.5" thickBot="1" x14ac:dyDescent="0.25">
      <c r="B63" s="21" t="s">
        <v>22</v>
      </c>
      <c r="C63" s="44" t="s">
        <v>1</v>
      </c>
      <c r="D63" s="44"/>
      <c r="E63" s="23" t="s">
        <v>2</v>
      </c>
      <c r="F63" s="55"/>
    </row>
    <row r="64" spans="1:10" x14ac:dyDescent="0.2">
      <c r="B64" s="18" t="s">
        <v>25</v>
      </c>
      <c r="C64" s="19" t="s">
        <v>13</v>
      </c>
      <c r="D64" s="40"/>
      <c r="E64" s="67">
        <v>3369.03</v>
      </c>
      <c r="F64" s="59"/>
      <c r="G64" s="56"/>
    </row>
    <row r="65" spans="1:10" x14ac:dyDescent="0.2">
      <c r="B65" s="36" t="s">
        <v>26</v>
      </c>
      <c r="C65" s="22" t="s">
        <v>24</v>
      </c>
      <c r="D65" s="41"/>
      <c r="E65" s="67">
        <v>802.47</v>
      </c>
      <c r="F65" s="59"/>
      <c r="G65" s="66"/>
      <c r="H65" s="45"/>
    </row>
    <row r="66" spans="1:10" x14ac:dyDescent="0.2">
      <c r="B66" s="36" t="s">
        <v>3</v>
      </c>
      <c r="C66" s="22" t="s">
        <v>12</v>
      </c>
      <c r="D66" s="41"/>
      <c r="E66" s="67">
        <v>1037.75</v>
      </c>
      <c r="F66" s="59"/>
    </row>
    <row r="67" spans="1:10" x14ac:dyDescent="0.2">
      <c r="B67" s="13" t="s">
        <v>32</v>
      </c>
      <c r="C67" s="16" t="s">
        <v>11</v>
      </c>
      <c r="D67" s="42"/>
      <c r="E67" s="68">
        <v>977.47</v>
      </c>
    </row>
    <row r="68" spans="1:10" x14ac:dyDescent="0.2">
      <c r="B68" s="69" t="s">
        <v>75</v>
      </c>
      <c r="C68" s="73" t="s">
        <v>31</v>
      </c>
      <c r="D68" s="70"/>
      <c r="E68" s="71">
        <v>792</v>
      </c>
      <c r="G68" s="59"/>
      <c r="I68" s="218"/>
      <c r="J68" s="218"/>
    </row>
    <row r="69" spans="1:10" x14ac:dyDescent="0.2">
      <c r="B69" s="69" t="s">
        <v>86</v>
      </c>
      <c r="C69" s="73" t="s">
        <v>87</v>
      </c>
      <c r="D69" s="70"/>
      <c r="E69" s="71">
        <v>1249.8800000000001</v>
      </c>
      <c r="G69" s="59"/>
      <c r="I69" s="218"/>
      <c r="J69" s="218"/>
    </row>
    <row r="70" spans="1:10" x14ac:dyDescent="0.2">
      <c r="B70" s="69" t="s">
        <v>110</v>
      </c>
      <c r="C70" s="73" t="s">
        <v>146</v>
      </c>
      <c r="D70" s="70"/>
      <c r="E70" s="71">
        <v>990</v>
      </c>
      <c r="G70" s="59"/>
      <c r="I70" s="218"/>
      <c r="J70" s="218"/>
    </row>
    <row r="71" spans="1:10" x14ac:dyDescent="0.2">
      <c r="B71" s="69" t="s">
        <v>26</v>
      </c>
      <c r="C71" s="73" t="s">
        <v>115</v>
      </c>
      <c r="D71" s="70"/>
      <c r="E71" s="71">
        <v>732.6</v>
      </c>
      <c r="G71" s="59" t="s">
        <v>172</v>
      </c>
      <c r="I71" s="218"/>
      <c r="J71" s="218"/>
    </row>
    <row r="72" spans="1:10" ht="13.5" thickBot="1" x14ac:dyDescent="0.25">
      <c r="B72" s="72" t="s">
        <v>149</v>
      </c>
      <c r="C72" s="74" t="s">
        <v>157</v>
      </c>
      <c r="D72" s="50"/>
      <c r="E72" s="222">
        <v>1398.38</v>
      </c>
      <c r="G72" s="59"/>
      <c r="I72" s="218"/>
      <c r="J72" s="218"/>
    </row>
    <row r="73" spans="1:10" s="4" customFormat="1" ht="13.5" thickBot="1" x14ac:dyDescent="0.25">
      <c r="B73" s="46"/>
      <c r="C73" s="47"/>
      <c r="D73" s="48"/>
      <c r="E73" s="49">
        <f>SUM(E64:E72)</f>
        <v>11349.580000000002</v>
      </c>
      <c r="F73" s="58"/>
      <c r="G73" s="65"/>
    </row>
    <row r="74" spans="1:10" ht="13.5" thickBot="1" x14ac:dyDescent="0.25">
      <c r="B74" s="75" t="s">
        <v>30</v>
      </c>
      <c r="C74" s="76" t="s">
        <v>5</v>
      </c>
      <c r="D74" s="76"/>
      <c r="E74" s="77">
        <v>1125</v>
      </c>
    </row>
    <row r="75" spans="1:10" ht="13.5" thickBot="1" x14ac:dyDescent="0.25">
      <c r="B75" s="10"/>
      <c r="C75" s="28" t="s">
        <v>0</v>
      </c>
      <c r="D75" s="28"/>
      <c r="E75" s="30">
        <f>SUM(E73:E74)</f>
        <v>12474.580000000002</v>
      </c>
    </row>
    <row r="76" spans="1:10" x14ac:dyDescent="0.2">
      <c r="B76" s="10"/>
      <c r="C76" s="28"/>
      <c r="D76" s="28"/>
      <c r="E76" s="52"/>
    </row>
    <row r="77" spans="1:10" s="6" customFormat="1" ht="13.15" customHeight="1" x14ac:dyDescent="0.2">
      <c r="A77" s="14" t="s">
        <v>6</v>
      </c>
      <c r="B77" s="15" t="s">
        <v>7</v>
      </c>
      <c r="C77" s="15"/>
      <c r="D77" s="31">
        <v>9000</v>
      </c>
      <c r="E77" s="43" t="s">
        <v>139</v>
      </c>
      <c r="F77" s="14" t="s">
        <v>34</v>
      </c>
      <c r="G77" s="15" t="s">
        <v>33</v>
      </c>
      <c r="H77" s="31">
        <v>3948.27</v>
      </c>
      <c r="I77" s="51" t="s">
        <v>139</v>
      </c>
    </row>
    <row r="78" spans="1:10" s="6" customFormat="1" ht="13.15" customHeight="1" x14ac:dyDescent="0.2">
      <c r="A78" s="14" t="s">
        <v>8</v>
      </c>
      <c r="B78" s="15" t="s">
        <v>9</v>
      </c>
      <c r="C78" s="15"/>
      <c r="D78" s="31">
        <v>311.83999999999997</v>
      </c>
      <c r="E78" s="43" t="s">
        <v>139</v>
      </c>
      <c r="F78" s="60" t="s">
        <v>41</v>
      </c>
      <c r="G78" s="15" t="s">
        <v>40</v>
      </c>
      <c r="H78" s="31">
        <v>0</v>
      </c>
      <c r="I78" s="51"/>
    </row>
    <row r="79" spans="1:10" s="6" customFormat="1" ht="13.15" customHeight="1" x14ac:dyDescent="0.2">
      <c r="A79" s="14" t="s">
        <v>27</v>
      </c>
      <c r="B79" s="15" t="s">
        <v>28</v>
      </c>
      <c r="C79" s="15"/>
      <c r="D79" s="31">
        <v>619.53</v>
      </c>
      <c r="E79" s="43" t="s">
        <v>139</v>
      </c>
      <c r="F79" s="60" t="s">
        <v>19</v>
      </c>
      <c r="G79" s="15" t="s">
        <v>20</v>
      </c>
      <c r="H79" s="31">
        <v>500</v>
      </c>
      <c r="I79" s="51" t="s">
        <v>139</v>
      </c>
    </row>
    <row r="80" spans="1:10" s="6" customFormat="1" ht="13.15" customHeight="1" x14ac:dyDescent="0.2">
      <c r="A80" s="14" t="s">
        <v>10</v>
      </c>
      <c r="B80" s="15" t="s">
        <v>35</v>
      </c>
      <c r="C80" s="31"/>
      <c r="D80" s="31">
        <v>5000</v>
      </c>
      <c r="E80" s="43" t="s">
        <v>139</v>
      </c>
      <c r="F80" s="60" t="s">
        <v>6</v>
      </c>
      <c r="G80" s="15" t="s">
        <v>42</v>
      </c>
      <c r="H80" s="31">
        <v>904</v>
      </c>
      <c r="I80" s="51" t="s">
        <v>139</v>
      </c>
    </row>
    <row r="81" spans="1:9" s="6" customFormat="1" ht="13.15" customHeight="1" x14ac:dyDescent="0.2">
      <c r="A81" s="14" t="s">
        <v>10</v>
      </c>
      <c r="B81" s="15" t="s">
        <v>36</v>
      </c>
      <c r="C81" s="31"/>
      <c r="D81" s="31">
        <v>4000</v>
      </c>
      <c r="E81" s="43" t="s">
        <v>139</v>
      </c>
      <c r="F81" s="60" t="s">
        <v>8</v>
      </c>
      <c r="G81" s="15" t="s">
        <v>14</v>
      </c>
      <c r="H81" s="31">
        <v>12000</v>
      </c>
      <c r="I81" s="51" t="s">
        <v>139</v>
      </c>
    </row>
    <row r="82" spans="1:9" s="6" customFormat="1" ht="13.15" customHeight="1" thickBot="1" x14ac:dyDescent="0.25">
      <c r="A82" s="14" t="s">
        <v>10</v>
      </c>
      <c r="B82" s="15" t="s">
        <v>37</v>
      </c>
      <c r="C82" s="31"/>
      <c r="D82" s="31">
        <v>1126.4100000000001</v>
      </c>
      <c r="E82" s="43"/>
      <c r="F82" s="61" t="s">
        <v>16</v>
      </c>
      <c r="G82" s="15" t="s">
        <v>15</v>
      </c>
      <c r="H82" s="32">
        <v>12000</v>
      </c>
      <c r="I82" s="51" t="s">
        <v>139</v>
      </c>
    </row>
    <row r="83" spans="1:9" s="6" customFormat="1" ht="13.15" customHeight="1" thickTop="1" thickBot="1" x14ac:dyDescent="0.25">
      <c r="A83" s="14"/>
      <c r="B83" s="15"/>
      <c r="C83" s="31"/>
      <c r="D83" s="31"/>
      <c r="E83" s="43"/>
      <c r="F83" s="62"/>
      <c r="G83" s="15"/>
      <c r="H83" s="37">
        <f>SUM(H77:H82)+SUM(D77:D84)</f>
        <v>49410.05</v>
      </c>
      <c r="I83" s="51"/>
    </row>
    <row r="84" spans="1:9" s="6" customFormat="1" ht="13.15" customHeight="1" thickBot="1" x14ac:dyDescent="0.25">
      <c r="A84" s="14"/>
      <c r="B84" s="15"/>
      <c r="C84" s="31"/>
      <c r="D84" s="31"/>
      <c r="E84" s="31"/>
      <c r="F84" s="62"/>
      <c r="G84" s="34" t="s">
        <v>4</v>
      </c>
      <c r="H84" s="35">
        <f>E75+H83</f>
        <v>61884.630000000005</v>
      </c>
      <c r="I84" s="37"/>
    </row>
    <row r="85" spans="1:9" s="6" customFormat="1" ht="13.15" customHeight="1" x14ac:dyDescent="0.2">
      <c r="B85" s="14"/>
      <c r="C85" s="15"/>
      <c r="D85" s="8"/>
      <c r="E85" s="31"/>
      <c r="F85" s="63"/>
      <c r="G85" s="8"/>
      <c r="H85" s="8"/>
      <c r="I85" s="37"/>
    </row>
    <row r="86" spans="1:9" s="6" customFormat="1" ht="13.15" customHeight="1" x14ac:dyDescent="0.2">
      <c r="B86" s="14"/>
      <c r="C86" s="15"/>
      <c r="D86" s="7"/>
      <c r="E86" s="8"/>
      <c r="F86" s="63"/>
      <c r="G86" s="8"/>
      <c r="H86" s="8"/>
      <c r="I86" s="37"/>
    </row>
    <row r="87" spans="1:9" s="6" customFormat="1" ht="13.15" customHeight="1" x14ac:dyDescent="0.2">
      <c r="A87" s="8"/>
      <c r="B87" s="9"/>
      <c r="C87" s="8"/>
      <c r="D87" s="7"/>
      <c r="E87" s="8"/>
      <c r="F87" s="63"/>
      <c r="G87" s="8"/>
      <c r="H87" s="8"/>
      <c r="I87" s="37"/>
    </row>
    <row r="88" spans="1:9" s="6" customFormat="1" ht="13.15" customHeight="1" x14ac:dyDescent="0.2">
      <c r="A88" s="8"/>
      <c r="B88" s="9"/>
      <c r="C88" s="7"/>
      <c r="D88" s="7"/>
      <c r="E88" s="8"/>
      <c r="F88" s="63"/>
      <c r="G88" s="8"/>
      <c r="H88" s="8"/>
      <c r="I88" s="37"/>
    </row>
    <row r="89" spans="1:9" s="6" customFormat="1" ht="13.15" customHeight="1" x14ac:dyDescent="0.2">
      <c r="A89" s="8"/>
      <c r="B89" s="9"/>
      <c r="C89" s="7"/>
      <c r="D89" s="7"/>
      <c r="E89" s="8"/>
      <c r="F89" s="63"/>
      <c r="G89" s="8"/>
      <c r="H89" s="8"/>
      <c r="I89" s="37"/>
    </row>
    <row r="90" spans="1:9" s="6" customFormat="1" ht="13.15" customHeight="1" x14ac:dyDescent="0.2">
      <c r="A90" s="8"/>
      <c r="B90" s="9"/>
      <c r="C90" s="7"/>
      <c r="D90" s="7"/>
      <c r="E90" s="8"/>
      <c r="F90" s="63"/>
      <c r="G90" s="8"/>
      <c r="H90" s="8"/>
      <c r="I90" s="37"/>
    </row>
    <row r="91" spans="1:9" s="8" customFormat="1" ht="12" x14ac:dyDescent="0.2">
      <c r="B91" s="9"/>
      <c r="C91" s="7"/>
      <c r="F91" s="63"/>
    </row>
    <row r="92" spans="1:9" s="8" customFormat="1" ht="12" x14ac:dyDescent="0.2">
      <c r="B92" s="9"/>
      <c r="C92" s="7"/>
      <c r="F92" s="63"/>
    </row>
    <row r="93" spans="1:9" s="8" customFormat="1" ht="12" x14ac:dyDescent="0.2">
      <c r="B93" s="9"/>
      <c r="C93" s="7"/>
      <c r="F93" s="63"/>
    </row>
    <row r="94" spans="1:9" s="8" customFormat="1" ht="12" x14ac:dyDescent="0.2">
      <c r="B94" s="9"/>
      <c r="F94" s="63"/>
    </row>
    <row r="95" spans="1:9" s="8" customFormat="1" ht="12" x14ac:dyDescent="0.2">
      <c r="B95" s="9"/>
      <c r="F95" s="63"/>
    </row>
    <row r="96" spans="1:9" s="8" customFormat="1" ht="12" x14ac:dyDescent="0.2">
      <c r="B96" s="9"/>
      <c r="F96" s="63"/>
    </row>
    <row r="97" spans="1:9" s="8" customFormat="1" x14ac:dyDescent="0.2">
      <c r="B97" s="9"/>
      <c r="D97" s="5"/>
      <c r="F97" s="63"/>
    </row>
    <row r="98" spans="1:9" s="8" customFormat="1" x14ac:dyDescent="0.2">
      <c r="B98" s="9"/>
      <c r="D98" s="5"/>
      <c r="F98" s="45"/>
      <c r="G98" s="5"/>
      <c r="H98" s="5"/>
    </row>
    <row r="99" spans="1:9" s="8" customFormat="1" x14ac:dyDescent="0.2">
      <c r="B99" s="9"/>
      <c r="D99" s="5"/>
      <c r="E99" s="5"/>
      <c r="F99" s="45"/>
      <c r="G99" s="5"/>
      <c r="H99" s="5"/>
    </row>
    <row r="100" spans="1:9" s="8" customFormat="1" x14ac:dyDescent="0.2">
      <c r="B100" s="11"/>
      <c r="C100" s="5"/>
      <c r="D100" s="5"/>
      <c r="E100" s="5"/>
      <c r="F100" s="45"/>
      <c r="G100" s="5"/>
      <c r="H100" s="5"/>
    </row>
    <row r="101" spans="1:9" s="8" customFormat="1" x14ac:dyDescent="0.2">
      <c r="B101" s="11"/>
      <c r="C101" s="5"/>
      <c r="D101" s="5"/>
      <c r="E101" s="5"/>
      <c r="F101" s="45"/>
      <c r="G101" s="5"/>
      <c r="H101" s="5"/>
    </row>
    <row r="102" spans="1:9" s="8" customFormat="1" x14ac:dyDescent="0.2">
      <c r="B102" s="11"/>
      <c r="C102" s="5"/>
      <c r="D102" s="5"/>
      <c r="E102" s="5"/>
      <c r="F102" s="45"/>
      <c r="G102" s="5"/>
      <c r="H102" s="5"/>
    </row>
    <row r="103" spans="1:9" s="8" customFormat="1" x14ac:dyDescent="0.2">
      <c r="B103" s="11"/>
      <c r="C103" s="5"/>
      <c r="D103" s="5"/>
      <c r="E103" s="5"/>
      <c r="F103" s="45"/>
      <c r="G103" s="5"/>
      <c r="H103" s="5"/>
    </row>
    <row r="104" spans="1:9" s="8" customFormat="1" x14ac:dyDescent="0.2">
      <c r="A104" s="5"/>
      <c r="B104" s="11"/>
      <c r="C104" s="5"/>
      <c r="D104" s="5"/>
      <c r="E104" s="5"/>
      <c r="F104" s="45"/>
      <c r="G104" s="5"/>
      <c r="H104" s="5"/>
      <c r="I104" s="5"/>
    </row>
    <row r="105" spans="1:9" s="8" customFormat="1" x14ac:dyDescent="0.2">
      <c r="A105" s="5"/>
      <c r="B105" s="11"/>
      <c r="C105" s="5"/>
      <c r="D105" s="5"/>
      <c r="E105" s="5"/>
      <c r="F105" s="45"/>
      <c r="G105" s="5"/>
      <c r="H105" s="5"/>
      <c r="I105" s="5"/>
    </row>
    <row r="106" spans="1:9" s="8" customFormat="1" x14ac:dyDescent="0.2">
      <c r="A106" s="5"/>
      <c r="B106" s="11"/>
      <c r="C106" s="5"/>
      <c r="D106" s="5"/>
      <c r="E106" s="5"/>
      <c r="F106" s="45"/>
      <c r="G106" s="5"/>
      <c r="H106" s="5"/>
      <c r="I106" s="5"/>
    </row>
    <row r="107" spans="1:9" s="8" customFormat="1" x14ac:dyDescent="0.2">
      <c r="A107" s="5"/>
      <c r="B107" s="11"/>
      <c r="C107" s="5"/>
      <c r="D107" s="5"/>
      <c r="E107" s="5"/>
      <c r="F107" s="45"/>
      <c r="G107" s="5"/>
      <c r="H107" s="5"/>
      <c r="I107" s="5"/>
    </row>
  </sheetData>
  <mergeCells count="12">
    <mergeCell ref="E62:F62"/>
    <mergeCell ref="I35:J35"/>
    <mergeCell ref="C42:D42"/>
    <mergeCell ref="E43:F43"/>
    <mergeCell ref="I54:J54"/>
    <mergeCell ref="C61:D61"/>
    <mergeCell ref="E24:F24"/>
    <mergeCell ref="A1:J1"/>
    <mergeCell ref="C4:D4"/>
    <mergeCell ref="E5:F5"/>
    <mergeCell ref="I16:J16"/>
    <mergeCell ref="C23:D23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March '19</vt:lpstr>
      <vt:lpstr>April '19</vt:lpstr>
      <vt:lpstr>May '19</vt:lpstr>
      <vt:lpstr>June '19</vt:lpstr>
      <vt:lpstr>July '19</vt:lpstr>
      <vt:lpstr>August '19</vt:lpstr>
      <vt:lpstr>September '19</vt:lpstr>
      <vt:lpstr>October '19</vt:lpstr>
      <vt:lpstr>November '19</vt:lpstr>
      <vt:lpstr>December '19</vt:lpstr>
      <vt:lpstr>January '20</vt:lpstr>
      <vt:lpstr>February '20</vt:lpstr>
      <vt:lpstr>EMP201</vt:lpstr>
      <vt:lpstr>EMP501 </vt:lpstr>
      <vt:lpstr>Increases</vt:lpstr>
      <vt:lpstr>'April ''19'!Print_Area</vt:lpstr>
      <vt:lpstr>'August ''19'!Print_Area</vt:lpstr>
      <vt:lpstr>'December ''19'!Print_Area</vt:lpstr>
      <vt:lpstr>'EMP201'!Print_Area</vt:lpstr>
      <vt:lpstr>'EMP501 '!Print_Area</vt:lpstr>
      <vt:lpstr>Increases!Print_Area</vt:lpstr>
      <vt:lpstr>'July ''19'!Print_Area</vt:lpstr>
      <vt:lpstr>'June ''19'!Print_Area</vt:lpstr>
      <vt:lpstr>'March ''19'!Print_Area</vt:lpstr>
      <vt:lpstr>'May ''19'!Print_Area</vt:lpstr>
      <vt:lpstr>'November ''19'!Print_Area</vt:lpstr>
      <vt:lpstr>'October ''19'!Print_Area</vt:lpstr>
      <vt:lpstr>'September ''19'!Print_Area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2020-08-19T10:14:56Z</cp:lastPrinted>
  <dcterms:created xsi:type="dcterms:W3CDTF">2006-03-02T06:43:14Z</dcterms:created>
  <dcterms:modified xsi:type="dcterms:W3CDTF">2021-04-15T13:06:31Z</dcterms:modified>
</cp:coreProperties>
</file>