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875" yWindow="9210" windowWidth="4125" windowHeight="1170" tabRatio="967" activeTab="11"/>
  </bookViews>
  <sheets>
    <sheet name="March '16" sheetId="110" r:id="rId1"/>
    <sheet name="April '16" sheetId="111" r:id="rId2"/>
    <sheet name="May '16" sheetId="112" r:id="rId3"/>
    <sheet name="June '16" sheetId="113" r:id="rId4"/>
    <sheet name="July '16" sheetId="114" r:id="rId5"/>
    <sheet name="August '16" sheetId="115" r:id="rId6"/>
    <sheet name="September '16" sheetId="116" r:id="rId7"/>
    <sheet name="October '16" sheetId="117" r:id="rId8"/>
    <sheet name="November '16" sheetId="118" r:id="rId9"/>
    <sheet name="December '16" sheetId="119" r:id="rId10"/>
    <sheet name="January '17" sheetId="120" r:id="rId11"/>
    <sheet name="February '17" sheetId="121" r:id="rId12"/>
    <sheet name="Nikki" sheetId="9" r:id="rId13"/>
  </sheets>
  <definedNames>
    <definedName name="_xlnm.Print_Area" localSheetId="1">'April ''16'!$A$57:$H$85</definedName>
    <definedName name="_xlnm.Print_Area" localSheetId="5">'August ''16'!$A$82:$I$106</definedName>
    <definedName name="_xlnm.Print_Area" localSheetId="9">'December ''16'!$A$24:$H$65</definedName>
    <definedName name="_xlnm.Print_Area" localSheetId="11">'February ''17'!$A$53:$H$76</definedName>
    <definedName name="_xlnm.Print_Area" localSheetId="10">'January ''17'!$A$34:$H$57</definedName>
    <definedName name="_xlnm.Print_Area" localSheetId="4">'July ''16'!$A$62:$H$88</definedName>
    <definedName name="_xlnm.Print_Area" localSheetId="3">'June ''16'!$A$74:$I$100</definedName>
    <definedName name="_xlnm.Print_Area" localSheetId="0">'March ''16'!$A$75:$I$98</definedName>
    <definedName name="_xlnm.Print_Area" localSheetId="2">'May ''16'!$A$57:$H$81</definedName>
    <definedName name="_xlnm.Print_Area" localSheetId="8">'November ''16'!$A$87:$I$111</definedName>
    <definedName name="_xlnm.Print_Area" localSheetId="7">'October ''16'!$A$63:$H$91</definedName>
    <definedName name="_xlnm.Print_Area" localSheetId="6">'September ''16'!$A$63:$H$90</definedName>
  </definedNames>
  <calcPr calcId="145621"/>
</workbook>
</file>

<file path=xl/calcChain.xml><?xml version="1.0" encoding="utf-8"?>
<calcChain xmlns="http://schemas.openxmlformats.org/spreadsheetml/2006/main">
  <c r="J58" i="121" l="1"/>
  <c r="J57" i="121"/>
  <c r="E53" i="119" l="1"/>
  <c r="I589" i="9" l="1"/>
  <c r="I587" i="9"/>
  <c r="I583" i="9"/>
  <c r="I581" i="9"/>
  <c r="I579" i="9"/>
  <c r="I569" i="9"/>
  <c r="I568" i="9"/>
  <c r="E565" i="9"/>
  <c r="I564" i="9"/>
  <c r="I562" i="9"/>
  <c r="E562" i="9"/>
  <c r="E64" i="121" l="1"/>
  <c r="H75" i="121" l="1"/>
  <c r="E47" i="121" l="1"/>
  <c r="E50" i="121" s="1"/>
  <c r="E30" i="121" l="1"/>
  <c r="I537" i="9" l="1"/>
  <c r="I536" i="9"/>
  <c r="I533" i="9"/>
  <c r="I532" i="9"/>
  <c r="I530" i="9"/>
  <c r="I526" i="9"/>
  <c r="I525" i="9"/>
  <c r="I524" i="9"/>
  <c r="I522" i="9"/>
  <c r="I520" i="9"/>
  <c r="I519" i="9"/>
  <c r="I517" i="9"/>
  <c r="I516" i="9"/>
  <c r="I514" i="9"/>
  <c r="I508" i="9"/>
  <c r="I507" i="9"/>
  <c r="I506" i="9"/>
  <c r="I502" i="9"/>
  <c r="E502" i="9"/>
  <c r="I501" i="9"/>
  <c r="E499" i="9"/>
  <c r="E33" i="121" l="1"/>
  <c r="E67" i="121"/>
  <c r="H76" i="121" s="1"/>
  <c r="E13" i="121"/>
  <c r="E16" i="121" s="1"/>
  <c r="I480" i="9" l="1"/>
  <c r="I481" i="9" l="1"/>
  <c r="I477" i="9"/>
  <c r="I476" i="9"/>
  <c r="I475" i="9"/>
  <c r="I474" i="9"/>
  <c r="I472" i="9"/>
  <c r="L467" i="9"/>
  <c r="I467" i="9"/>
  <c r="L464" i="9"/>
  <c r="L463" i="9"/>
  <c r="Q462" i="9"/>
  <c r="I456" i="9"/>
  <c r="I455" i="9"/>
  <c r="L454" i="9"/>
  <c r="E451" i="9"/>
  <c r="L450" i="9"/>
  <c r="I448" i="9"/>
  <c r="E448" i="9"/>
  <c r="E31" i="119" l="1"/>
  <c r="E41" i="119" l="1"/>
  <c r="E40" i="119"/>
  <c r="H56" i="120" l="1"/>
  <c r="E45" i="120"/>
  <c r="E48" i="120" s="1"/>
  <c r="E29" i="120"/>
  <c r="E32" i="120" s="1"/>
  <c r="E13" i="120"/>
  <c r="E16" i="120" s="1"/>
  <c r="E52" i="119"/>
  <c r="H65" i="119"/>
  <c r="E39" i="119"/>
  <c r="E18" i="119"/>
  <c r="E21" i="119" s="1"/>
  <c r="H57" i="120" l="1"/>
  <c r="E42" i="119"/>
  <c r="I429" i="9" l="1"/>
  <c r="I428" i="9"/>
  <c r="I421" i="9"/>
  <c r="I419" i="9"/>
  <c r="I414" i="9"/>
  <c r="I413" i="9"/>
  <c r="I410" i="9"/>
  <c r="I409" i="9"/>
  <c r="I408" i="9"/>
  <c r="I405" i="9"/>
  <c r="I403" i="9"/>
  <c r="L401" i="9"/>
  <c r="E400" i="9"/>
  <c r="E397" i="9"/>
  <c r="I388" i="9" l="1"/>
  <c r="I375" i="9" l="1"/>
  <c r="I374" i="9"/>
  <c r="I373" i="9"/>
  <c r="I359" i="9"/>
  <c r="I358" i="9"/>
  <c r="L343" i="9"/>
  <c r="I343" i="9"/>
  <c r="E342" i="9"/>
  <c r="I339" i="9"/>
  <c r="E339" i="9"/>
  <c r="F67" i="117" l="1"/>
  <c r="G67" i="117" s="1"/>
  <c r="L6" i="9" l="1"/>
  <c r="I6" i="9"/>
  <c r="F35" i="117" l="1"/>
  <c r="E102" i="118" l="1"/>
  <c r="E60" i="118"/>
  <c r="E63" i="118" s="1"/>
  <c r="H110" i="118"/>
  <c r="E81" i="118"/>
  <c r="E84" i="118" s="1"/>
  <c r="E39" i="118"/>
  <c r="E42" i="118" s="1"/>
  <c r="E18" i="118"/>
  <c r="E21" i="118" s="1"/>
  <c r="H111" i="118" l="1"/>
  <c r="G48" i="117"/>
  <c r="G47" i="117"/>
  <c r="G27" i="117"/>
  <c r="G28" i="117"/>
  <c r="H90" i="117" l="1"/>
  <c r="E78" i="117"/>
  <c r="E81" i="117" s="1"/>
  <c r="H91" i="117" s="1"/>
  <c r="E57" i="117"/>
  <c r="E60" i="117" s="1"/>
  <c r="E37" i="117"/>
  <c r="E40" i="117" s="1"/>
  <c r="E17" i="117"/>
  <c r="E20" i="117" s="1"/>
  <c r="I317" i="9" l="1"/>
  <c r="L318" i="9"/>
  <c r="L315" i="9"/>
  <c r="L309" i="9"/>
  <c r="I307" i="9"/>
  <c r="I304" i="9"/>
  <c r="I298" i="9"/>
  <c r="L295" i="9"/>
  <c r="Q295" i="9" s="1"/>
  <c r="E291" i="9"/>
  <c r="E288" i="9"/>
  <c r="H89" i="116" l="1"/>
  <c r="E77" i="116"/>
  <c r="E80" i="116" s="1"/>
  <c r="H90" i="116" s="1"/>
  <c r="E57" i="116"/>
  <c r="E60" i="116" s="1"/>
  <c r="E37" i="116"/>
  <c r="E40" i="116" s="1"/>
  <c r="E17" i="116"/>
  <c r="E20" i="116" s="1"/>
  <c r="I266" i="9" l="1"/>
  <c r="E256" i="9"/>
  <c r="E253" i="9"/>
  <c r="E96" i="115" l="1"/>
  <c r="E36" i="115" l="1"/>
  <c r="L223" i="9" l="1"/>
  <c r="E76" i="115" l="1"/>
  <c r="E79" i="115" s="1"/>
  <c r="H105" i="115"/>
  <c r="H106" i="115" s="1"/>
  <c r="E56" i="115"/>
  <c r="E59" i="115" s="1"/>
  <c r="E39" i="115"/>
  <c r="E16" i="115"/>
  <c r="E19" i="115" s="1"/>
  <c r="I226" i="9" l="1"/>
  <c r="I221" i="9"/>
  <c r="I217" i="9"/>
  <c r="I209" i="9"/>
  <c r="I203" i="9"/>
  <c r="L202" i="9"/>
  <c r="I197" i="9"/>
  <c r="E195" i="9"/>
  <c r="L194" i="9"/>
  <c r="I193" i="9"/>
  <c r="E192" i="9"/>
  <c r="E16" i="114" l="1"/>
  <c r="L167" i="9" l="1"/>
  <c r="L162" i="9"/>
  <c r="E153" i="9"/>
  <c r="I172" i="9" s="1"/>
  <c r="E150" i="9"/>
  <c r="L173" i="9" l="1"/>
  <c r="N172" i="9"/>
  <c r="N171" i="9"/>
  <c r="P171" i="9" s="1"/>
  <c r="J99" i="113" l="1"/>
  <c r="J101" i="113"/>
  <c r="E52" i="113" l="1"/>
  <c r="H87" i="114" l="1"/>
  <c r="E75" i="114"/>
  <c r="E78" i="114" s="1"/>
  <c r="E56" i="114"/>
  <c r="E59" i="114" s="1"/>
  <c r="E37" i="114"/>
  <c r="E40" i="114" s="1"/>
  <c r="E19" i="114"/>
  <c r="H88" i="114" l="1"/>
  <c r="H99" i="113" l="1"/>
  <c r="E123" i="9" l="1"/>
  <c r="L121" i="9"/>
  <c r="E120" i="9"/>
  <c r="H80" i="112" l="1"/>
  <c r="E68" i="113" l="1"/>
  <c r="E71" i="113" s="1"/>
  <c r="E87" i="113"/>
  <c r="E90" i="113" s="1"/>
  <c r="E33" i="113"/>
  <c r="E36" i="113" s="1"/>
  <c r="E16" i="113"/>
  <c r="E15" i="113"/>
  <c r="H100" i="113" l="1"/>
  <c r="J100" i="113"/>
  <c r="E18" i="113"/>
  <c r="I78" i="9" l="1"/>
  <c r="I80" i="9"/>
  <c r="I89" i="9"/>
  <c r="I98" i="9"/>
  <c r="L95" i="9"/>
  <c r="E81" i="9"/>
  <c r="E78" i="9"/>
  <c r="E14" i="112" l="1"/>
  <c r="E68" i="112"/>
  <c r="E71" i="112" s="1"/>
  <c r="E51" i="112"/>
  <c r="E54" i="112" s="1"/>
  <c r="E34" i="112"/>
  <c r="E37" i="112" s="1"/>
  <c r="E15" i="112"/>
  <c r="E17" i="112" l="1"/>
  <c r="H81" i="112"/>
  <c r="E69" i="111" l="1"/>
  <c r="E72" i="111" s="1"/>
  <c r="E51" i="111" l="1"/>
  <c r="L13" i="111" l="1"/>
  <c r="E33" i="111"/>
  <c r="M11" i="111" l="1"/>
  <c r="K10" i="111" l="1"/>
  <c r="K12" i="111" l="1"/>
  <c r="L12" i="111" s="1"/>
  <c r="K11" i="111"/>
  <c r="L11" i="111" s="1"/>
  <c r="K9" i="111"/>
  <c r="L9" i="111" s="1"/>
  <c r="K8" i="111"/>
  <c r="L8" i="111" s="1"/>
  <c r="K7" i="111"/>
  <c r="L7" i="111" s="1"/>
  <c r="L14" i="111" l="1"/>
  <c r="H84" i="111"/>
  <c r="E54" i="111"/>
  <c r="E36" i="111"/>
  <c r="E16" i="111"/>
  <c r="E14" i="111"/>
  <c r="H85" i="111" l="1"/>
  <c r="E18" i="111"/>
  <c r="E40" i="9" l="1"/>
  <c r="L39" i="9"/>
  <c r="E37" i="9"/>
  <c r="H97" i="110" l="1"/>
  <c r="E68" i="110" l="1"/>
  <c r="E72" i="110" s="1"/>
  <c r="I10" i="9" l="1"/>
  <c r="E10" i="9"/>
  <c r="E7" i="9"/>
  <c r="E16" i="110" l="1"/>
  <c r="E86" i="110"/>
  <c r="E88" i="110" s="1"/>
  <c r="H98" i="110" s="1"/>
  <c r="E50" i="110"/>
  <c r="E54" i="110" s="1"/>
  <c r="E32" i="110"/>
  <c r="E36" i="110" s="1"/>
  <c r="E14" i="110"/>
  <c r="E18" i="110" l="1"/>
  <c r="J6" i="9" l="1"/>
  <c r="J7" i="9" s="1"/>
  <c r="J8" i="9" s="1"/>
  <c r="J9" i="9" s="1"/>
  <c r="J10" i="9" s="1"/>
  <c r="J11" i="9" s="1"/>
  <c r="J12" i="9" s="1"/>
  <c r="J13" i="9" s="1"/>
  <c r="J14" i="9" s="1"/>
  <c r="J15" i="9" s="1"/>
  <c r="I31" i="9"/>
  <c r="J16" i="9" l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I36" i="9" l="1"/>
  <c r="I72" i="9" l="1"/>
  <c r="J36" i="9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J50" i="9" s="1"/>
  <c r="J51" i="9" s="1"/>
  <c r="J52" i="9" s="1"/>
  <c r="J53" i="9" s="1"/>
  <c r="J54" i="9" s="1"/>
  <c r="J55" i="9" s="1"/>
  <c r="J56" i="9" s="1"/>
  <c r="J57" i="9" s="1"/>
  <c r="J58" i="9" s="1"/>
  <c r="J59" i="9" s="1"/>
  <c r="J60" i="9" s="1"/>
  <c r="J61" i="9" s="1"/>
  <c r="J62" i="9" s="1"/>
  <c r="J63" i="9" s="1"/>
  <c r="J64" i="9" s="1"/>
  <c r="J65" i="9" s="1"/>
  <c r="J66" i="9" s="1"/>
  <c r="J67" i="9" s="1"/>
  <c r="J68" i="9" s="1"/>
  <c r="J69" i="9" s="1"/>
  <c r="J70" i="9" s="1"/>
  <c r="J71" i="9" s="1"/>
  <c r="I77" i="9" l="1"/>
  <c r="J77" i="9" l="1"/>
  <c r="J78" i="9" s="1"/>
  <c r="J79" i="9" s="1"/>
  <c r="J80" i="9" s="1"/>
  <c r="J81" i="9" s="1"/>
  <c r="J82" i="9" s="1"/>
  <c r="J83" i="9" s="1"/>
  <c r="J84" i="9" s="1"/>
  <c r="J85" i="9" s="1"/>
  <c r="J86" i="9" s="1"/>
  <c r="J87" i="9" s="1"/>
  <c r="J88" i="9" s="1"/>
  <c r="J89" i="9" s="1"/>
  <c r="J90" i="9" s="1"/>
  <c r="J91" i="9" s="1"/>
  <c r="J92" i="9" s="1"/>
  <c r="J93" i="9" s="1"/>
  <c r="I94" i="9" l="1"/>
  <c r="I114" i="9" s="1"/>
  <c r="J94" i="9" l="1"/>
  <c r="J95" i="9" s="1"/>
  <c r="J96" i="9" s="1"/>
  <c r="J97" i="9" s="1"/>
  <c r="J98" i="9" s="1"/>
  <c r="J99" i="9" s="1"/>
  <c r="J100" i="9" s="1"/>
  <c r="J101" i="9" s="1"/>
  <c r="J102" i="9" s="1"/>
  <c r="J103" i="9" s="1"/>
  <c r="J104" i="9" s="1"/>
  <c r="J105" i="9" s="1"/>
  <c r="J106" i="9" s="1"/>
  <c r="J107" i="9" s="1"/>
  <c r="J108" i="9" s="1"/>
  <c r="J109" i="9" s="1"/>
  <c r="J110" i="9" s="1"/>
  <c r="J111" i="9" s="1"/>
  <c r="J112" i="9" s="1"/>
  <c r="J113" i="9" s="1"/>
  <c r="I119" i="9" l="1"/>
  <c r="J119" i="9" l="1"/>
  <c r="J120" i="9" s="1"/>
  <c r="J121" i="9" s="1"/>
  <c r="J122" i="9" s="1"/>
  <c r="J123" i="9" s="1"/>
  <c r="J124" i="9" s="1"/>
  <c r="J125" i="9" s="1"/>
  <c r="J126" i="9" s="1"/>
  <c r="J127" i="9" s="1"/>
  <c r="J128" i="9" s="1"/>
  <c r="J129" i="9" s="1"/>
  <c r="J130" i="9" s="1"/>
  <c r="J131" i="9" s="1"/>
  <c r="J132" i="9" s="1"/>
  <c r="J133" i="9" s="1"/>
  <c r="J134" i="9" s="1"/>
  <c r="J135" i="9" s="1"/>
  <c r="J136" i="9" s="1"/>
  <c r="J137" i="9" s="1"/>
  <c r="J138" i="9" s="1"/>
  <c r="J139" i="9" s="1"/>
  <c r="J140" i="9" s="1"/>
  <c r="J141" i="9" s="1"/>
  <c r="J142" i="9" s="1"/>
  <c r="J143" i="9" s="1"/>
  <c r="I144" i="9"/>
  <c r="I149" i="9" l="1"/>
  <c r="I186" i="9" l="1"/>
  <c r="J149" i="9"/>
  <c r="J150" i="9" s="1"/>
  <c r="J151" i="9" s="1"/>
  <c r="J152" i="9" s="1"/>
  <c r="J153" i="9" s="1"/>
  <c r="J154" i="9" s="1"/>
  <c r="J155" i="9" s="1"/>
  <c r="J156" i="9" s="1"/>
  <c r="J157" i="9" s="1"/>
  <c r="J158" i="9" s="1"/>
  <c r="J159" i="9" s="1"/>
  <c r="J160" i="9" s="1"/>
  <c r="J161" i="9" s="1"/>
  <c r="J162" i="9" s="1"/>
  <c r="J163" i="9" s="1"/>
  <c r="J164" i="9" s="1"/>
  <c r="J165" i="9" s="1"/>
  <c r="J166" i="9" s="1"/>
  <c r="J167" i="9" s="1"/>
  <c r="J168" i="9" s="1"/>
  <c r="J169" i="9" s="1"/>
  <c r="J170" i="9" s="1"/>
  <c r="J171" i="9" s="1"/>
  <c r="J172" i="9" s="1"/>
  <c r="J173" i="9" s="1"/>
  <c r="J174" i="9" s="1"/>
  <c r="J175" i="9" s="1"/>
  <c r="J176" i="9" s="1"/>
  <c r="J177" i="9" s="1"/>
  <c r="J178" i="9" s="1"/>
  <c r="J179" i="9" s="1"/>
  <c r="J180" i="9" l="1"/>
  <c r="J181" i="9" s="1"/>
  <c r="J182" i="9" s="1"/>
  <c r="J183" i="9" s="1"/>
  <c r="J184" i="9" s="1"/>
  <c r="J185" i="9" s="1"/>
  <c r="I191" i="9" s="1"/>
  <c r="J191" i="9" l="1"/>
  <c r="J192" i="9" s="1"/>
  <c r="J193" i="9" s="1"/>
  <c r="J194" i="9" s="1"/>
  <c r="J195" i="9" s="1"/>
  <c r="J196" i="9" s="1"/>
  <c r="J197" i="9" s="1"/>
  <c r="J198" i="9" s="1"/>
  <c r="J199" i="9" s="1"/>
  <c r="J200" i="9" s="1"/>
  <c r="J201" i="9" s="1"/>
  <c r="J202" i="9" s="1"/>
  <c r="J203" i="9" s="1"/>
  <c r="J204" i="9" s="1"/>
  <c r="J205" i="9" s="1"/>
  <c r="J206" i="9" s="1"/>
  <c r="J207" i="9" s="1"/>
  <c r="J208" i="9" s="1"/>
  <c r="J209" i="9" s="1"/>
  <c r="J210" i="9" s="1"/>
  <c r="J211" i="9" s="1"/>
  <c r="J212" i="9" s="1"/>
  <c r="J213" i="9" s="1"/>
  <c r="J214" i="9" s="1"/>
  <c r="J215" i="9" s="1"/>
  <c r="J216" i="9" s="1"/>
  <c r="J217" i="9" s="1"/>
  <c r="J218" i="9" s="1"/>
  <c r="J219" i="9" s="1"/>
  <c r="J220" i="9" s="1"/>
  <c r="J221" i="9" s="1"/>
  <c r="J222" i="9" s="1"/>
  <c r="J223" i="9" s="1"/>
  <c r="J224" i="9" s="1"/>
  <c r="J225" i="9" s="1"/>
  <c r="J226" i="9" s="1"/>
  <c r="J227" i="9" s="1"/>
  <c r="J228" i="9" s="1"/>
  <c r="J229" i="9" s="1"/>
  <c r="J230" i="9" s="1"/>
  <c r="J231" i="9" s="1"/>
  <c r="J232" i="9" s="1"/>
  <c r="J233" i="9" s="1"/>
  <c r="J234" i="9" s="1"/>
  <c r="J235" i="9" s="1"/>
  <c r="J236" i="9" s="1"/>
  <c r="J237" i="9" s="1"/>
  <c r="J238" i="9" s="1"/>
  <c r="J239" i="9" s="1"/>
  <c r="J240" i="9" s="1"/>
  <c r="I247" i="9"/>
  <c r="J241" i="9" l="1"/>
  <c r="J242" i="9" s="1"/>
  <c r="J243" i="9" s="1"/>
  <c r="J244" i="9" s="1"/>
  <c r="J245" i="9" s="1"/>
  <c r="J246" i="9" s="1"/>
  <c r="I252" i="9" l="1"/>
  <c r="I282" i="9" l="1"/>
  <c r="J252" i="9"/>
  <c r="J253" i="9" s="1"/>
  <c r="J254" i="9" s="1"/>
  <c r="J255" i="9" s="1"/>
  <c r="J256" i="9" s="1"/>
  <c r="J257" i="9" s="1"/>
  <c r="J258" i="9" s="1"/>
  <c r="J259" i="9" s="1"/>
  <c r="J260" i="9" s="1"/>
  <c r="J261" i="9" s="1"/>
  <c r="J262" i="9" s="1"/>
  <c r="J263" i="9" s="1"/>
  <c r="J264" i="9" s="1"/>
  <c r="J265" i="9" s="1"/>
  <c r="J266" i="9" s="1"/>
  <c r="J267" i="9" l="1"/>
  <c r="J268" i="9" s="1"/>
  <c r="J269" i="9" s="1"/>
  <c r="J270" i="9" s="1"/>
  <c r="J271" i="9" s="1"/>
  <c r="J272" i="9" s="1"/>
  <c r="J273" i="9" s="1"/>
  <c r="J274" i="9" s="1"/>
  <c r="J275" i="9" s="1"/>
  <c r="J276" i="9" s="1"/>
  <c r="J277" i="9" s="1"/>
  <c r="J278" i="9" s="1"/>
  <c r="J279" i="9" s="1"/>
  <c r="J280" i="9" s="1"/>
  <c r="J281" i="9" s="1"/>
  <c r="I287" i="9" s="1"/>
  <c r="I320" i="9" l="1"/>
  <c r="J287" i="9"/>
  <c r="J288" i="9" s="1"/>
  <c r="J289" i="9" s="1"/>
  <c r="J290" i="9" s="1"/>
  <c r="J291" i="9" s="1"/>
  <c r="J292" i="9" s="1"/>
  <c r="J293" i="9" s="1"/>
  <c r="J294" i="9" s="1"/>
  <c r="J295" i="9" s="1"/>
  <c r="J296" i="9" s="1"/>
  <c r="J297" i="9" s="1"/>
  <c r="J298" i="9" s="1"/>
  <c r="J299" i="9" s="1"/>
  <c r="J300" i="9" s="1"/>
  <c r="J301" i="9" s="1"/>
  <c r="J302" i="9" s="1"/>
  <c r="J303" i="9" s="1"/>
  <c r="J304" i="9" s="1"/>
  <c r="J305" i="9" s="1"/>
  <c r="J306" i="9" s="1"/>
  <c r="J307" i="9" l="1"/>
  <c r="J308" i="9" s="1"/>
  <c r="J309" i="9" s="1"/>
  <c r="J310" i="9" s="1"/>
  <c r="J311" i="9" s="1"/>
  <c r="J312" i="9" s="1"/>
  <c r="J313" i="9" s="1"/>
  <c r="J314" i="9" s="1"/>
  <c r="J315" i="9" s="1"/>
  <c r="J316" i="9" s="1"/>
  <c r="J317" i="9" s="1"/>
  <c r="J318" i="9" s="1"/>
  <c r="J319" i="9" s="1"/>
  <c r="I338" i="9" l="1"/>
  <c r="J338" i="9" l="1"/>
  <c r="J339" i="9" s="1"/>
  <c r="J340" i="9" s="1"/>
  <c r="J341" i="9" s="1"/>
  <c r="J342" i="9" s="1"/>
  <c r="J343" i="9" s="1"/>
  <c r="J344" i="9" s="1"/>
  <c r="J345" i="9" s="1"/>
  <c r="J346" i="9" s="1"/>
  <c r="J347" i="9" s="1"/>
  <c r="J348" i="9" s="1"/>
  <c r="J349" i="9" s="1"/>
  <c r="J350" i="9" s="1"/>
  <c r="J351" i="9" s="1"/>
  <c r="J352" i="9" s="1"/>
  <c r="J353" i="9" s="1"/>
  <c r="J354" i="9" s="1"/>
  <c r="J355" i="9" s="1"/>
  <c r="J356" i="9" s="1"/>
  <c r="J357" i="9" s="1"/>
  <c r="J358" i="9" s="1"/>
  <c r="J359" i="9" s="1"/>
  <c r="J360" i="9" s="1"/>
  <c r="J361" i="9" s="1"/>
  <c r="J362" i="9" s="1"/>
  <c r="J363" i="9" s="1"/>
  <c r="J364" i="9" s="1"/>
  <c r="J365" i="9" s="1"/>
  <c r="J366" i="9" s="1"/>
  <c r="J367" i="9" s="1"/>
  <c r="J368" i="9" s="1"/>
  <c r="J369" i="9" s="1"/>
  <c r="J370" i="9" s="1"/>
  <c r="J371" i="9" s="1"/>
  <c r="J372" i="9" s="1"/>
  <c r="J373" i="9" s="1"/>
  <c r="J374" i="9" s="1"/>
  <c r="J375" i="9" s="1"/>
  <c r="J376" i="9" s="1"/>
  <c r="J377" i="9" s="1"/>
  <c r="J378" i="9" s="1"/>
  <c r="J379" i="9" s="1"/>
  <c r="J380" i="9" s="1"/>
  <c r="J381" i="9" s="1"/>
  <c r="J382" i="9" s="1"/>
  <c r="J383" i="9" s="1"/>
  <c r="J384" i="9" s="1"/>
  <c r="J385" i="9" s="1"/>
  <c r="J386" i="9" s="1"/>
  <c r="J387" i="9" s="1"/>
  <c r="J388" i="9" s="1"/>
  <c r="J389" i="9" s="1"/>
  <c r="J390" i="9" s="1"/>
  <c r="I391" i="9"/>
  <c r="I396" i="9" l="1"/>
  <c r="I442" i="9" l="1"/>
  <c r="J396" i="9"/>
  <c r="J397" i="9" s="1"/>
  <c r="J398" i="9" s="1"/>
  <c r="J399" i="9" s="1"/>
  <c r="J400" i="9" s="1"/>
  <c r="J401" i="9" s="1"/>
  <c r="J402" i="9" s="1"/>
  <c r="J403" i="9" s="1"/>
  <c r="J404" i="9" s="1"/>
  <c r="J405" i="9" s="1"/>
  <c r="J406" i="9" s="1"/>
  <c r="J407" i="9" s="1"/>
  <c r="J408" i="9" s="1"/>
  <c r="J409" i="9" s="1"/>
  <c r="J410" i="9" s="1"/>
  <c r="J411" i="9" s="1"/>
  <c r="J412" i="9" s="1"/>
  <c r="J413" i="9" s="1"/>
  <c r="J414" i="9" s="1"/>
  <c r="J415" i="9" s="1"/>
  <c r="J416" i="9" s="1"/>
  <c r="J417" i="9" s="1"/>
  <c r="J418" i="9" s="1"/>
  <c r="J419" i="9" s="1"/>
  <c r="J420" i="9" s="1"/>
  <c r="J421" i="9" s="1"/>
  <c r="J422" i="9" s="1"/>
  <c r="J423" i="9" s="1"/>
  <c r="J424" i="9" s="1"/>
  <c r="J425" i="9" s="1"/>
  <c r="J426" i="9" s="1"/>
  <c r="J427" i="9" s="1"/>
  <c r="J428" i="9" s="1"/>
  <c r="J429" i="9" s="1"/>
  <c r="J430" i="9" s="1"/>
  <c r="J431" i="9" s="1"/>
  <c r="J432" i="9" l="1"/>
  <c r="J433" i="9" s="1"/>
  <c r="J434" i="9" s="1"/>
  <c r="J435" i="9" s="1"/>
  <c r="J436" i="9" s="1"/>
  <c r="J437" i="9" s="1"/>
  <c r="J438" i="9" s="1"/>
  <c r="J439" i="9" s="1"/>
  <c r="J440" i="9" s="1"/>
  <c r="J441" i="9" s="1"/>
  <c r="I447" i="9" l="1"/>
  <c r="I493" i="9" l="1"/>
  <c r="J447" i="9"/>
  <c r="J448" i="9" s="1"/>
  <c r="J449" i="9" s="1"/>
  <c r="J450" i="9" s="1"/>
  <c r="J451" i="9" s="1"/>
  <c r="J452" i="9" s="1"/>
  <c r="J453" i="9" s="1"/>
  <c r="J454" i="9" s="1"/>
  <c r="J455" i="9" s="1"/>
  <c r="J456" i="9" s="1"/>
  <c r="J457" i="9" s="1"/>
  <c r="J458" i="9" s="1"/>
  <c r="J459" i="9" s="1"/>
  <c r="J460" i="9" s="1"/>
  <c r="J461" i="9" s="1"/>
  <c r="J462" i="9" s="1"/>
  <c r="J463" i="9" s="1"/>
  <c r="J464" i="9" s="1"/>
  <c r="J465" i="9" s="1"/>
  <c r="J466" i="9" s="1"/>
  <c r="J467" i="9" s="1"/>
  <c r="J468" i="9" s="1"/>
  <c r="J469" i="9" s="1"/>
  <c r="J470" i="9" s="1"/>
  <c r="J471" i="9" s="1"/>
  <c r="J472" i="9" s="1"/>
  <c r="J473" i="9" s="1"/>
  <c r="J474" i="9" s="1"/>
  <c r="J475" i="9" s="1"/>
  <c r="J476" i="9" s="1"/>
  <c r="J477" i="9" s="1"/>
  <c r="J478" i="9" s="1"/>
  <c r="J479" i="9" s="1"/>
  <c r="J480" i="9" s="1"/>
  <c r="J481" i="9" s="1"/>
  <c r="J482" i="9" s="1"/>
  <c r="J483" i="9" s="1"/>
  <c r="J484" i="9" s="1"/>
  <c r="J485" i="9" s="1"/>
  <c r="J486" i="9" l="1"/>
  <c r="J487" i="9" s="1"/>
  <c r="J488" i="9" s="1"/>
  <c r="J489" i="9" s="1"/>
  <c r="J490" i="9" s="1"/>
  <c r="J491" i="9" s="1"/>
  <c r="J492" i="9" s="1"/>
  <c r="I498" i="9" s="1"/>
  <c r="L11" i="9"/>
  <c r="M6" i="9"/>
  <c r="I556" i="9" l="1"/>
  <c r="J498" i="9"/>
  <c r="J499" i="9" s="1"/>
  <c r="J500" i="9" s="1"/>
  <c r="J501" i="9" s="1"/>
  <c r="J502" i="9" s="1"/>
  <c r="J503" i="9" s="1"/>
  <c r="J504" i="9" s="1"/>
  <c r="J505" i="9" s="1"/>
  <c r="J506" i="9" s="1"/>
  <c r="J507" i="9" s="1"/>
  <c r="J508" i="9" s="1"/>
  <c r="J509" i="9" s="1"/>
  <c r="J510" i="9" s="1"/>
  <c r="J511" i="9" s="1"/>
  <c r="J512" i="9" s="1"/>
  <c r="J513" i="9" s="1"/>
  <c r="J514" i="9" s="1"/>
  <c r="J515" i="9" s="1"/>
  <c r="J516" i="9" s="1"/>
  <c r="J517" i="9" s="1"/>
  <c r="J518" i="9" s="1"/>
  <c r="J519" i="9" s="1"/>
  <c r="J520" i="9" s="1"/>
  <c r="J521" i="9" s="1"/>
  <c r="J522" i="9" s="1"/>
  <c r="J523" i="9" s="1"/>
  <c r="J524" i="9" s="1"/>
  <c r="J525" i="9" s="1"/>
  <c r="J526" i="9" s="1"/>
  <c r="J527" i="9" s="1"/>
  <c r="J528" i="9" s="1"/>
  <c r="J529" i="9" s="1"/>
  <c r="J530" i="9" s="1"/>
  <c r="J531" i="9" s="1"/>
  <c r="J532" i="9" s="1"/>
  <c r="J533" i="9" s="1"/>
  <c r="J534" i="9" s="1"/>
  <c r="J535" i="9" s="1"/>
  <c r="J536" i="9" s="1"/>
  <c r="J537" i="9" s="1"/>
  <c r="J538" i="9" s="1"/>
  <c r="J539" i="9" s="1"/>
  <c r="J540" i="9" s="1"/>
  <c r="J541" i="9" s="1"/>
  <c r="J542" i="9" s="1"/>
  <c r="J543" i="9" s="1"/>
  <c r="J544" i="9" s="1"/>
  <c r="J545" i="9" s="1"/>
  <c r="J546" i="9" s="1"/>
  <c r="J547" i="9" s="1"/>
  <c r="J548" i="9" s="1"/>
  <c r="J549" i="9" s="1"/>
  <c r="J550" i="9" s="1"/>
  <c r="J551" i="9" s="1"/>
  <c r="J552" i="9" s="1"/>
  <c r="J553" i="9" s="1"/>
  <c r="J554" i="9" s="1"/>
  <c r="J555" i="9" s="1"/>
  <c r="I561" i="9" s="1"/>
  <c r="J493" i="9"/>
  <c r="M7" i="9"/>
  <c r="N6" i="9"/>
  <c r="I606" i="9" l="1"/>
  <c r="J561" i="9"/>
  <c r="J562" i="9" s="1"/>
  <c r="J563" i="9" s="1"/>
  <c r="J564" i="9" s="1"/>
  <c r="J565" i="9" s="1"/>
  <c r="J566" i="9" s="1"/>
  <c r="J567" i="9" s="1"/>
  <c r="J568" i="9" s="1"/>
  <c r="J569" i="9" s="1"/>
  <c r="J570" i="9" s="1"/>
  <c r="J571" i="9" s="1"/>
  <c r="J572" i="9" s="1"/>
  <c r="J573" i="9" s="1"/>
  <c r="J574" i="9" s="1"/>
  <c r="J575" i="9" s="1"/>
  <c r="J576" i="9" s="1"/>
  <c r="J577" i="9" s="1"/>
  <c r="J578" i="9" s="1"/>
  <c r="J579" i="9" s="1"/>
  <c r="J580" i="9" s="1"/>
  <c r="J581" i="9" s="1"/>
  <c r="J582" i="9" s="1"/>
  <c r="J583" i="9" s="1"/>
  <c r="J584" i="9" s="1"/>
  <c r="J585" i="9" s="1"/>
  <c r="J586" i="9" s="1"/>
  <c r="J587" i="9" s="1"/>
  <c r="J588" i="9" s="1"/>
  <c r="J589" i="9" s="1"/>
  <c r="J590" i="9" s="1"/>
  <c r="J591" i="9" s="1"/>
  <c r="J592" i="9" s="1"/>
  <c r="J593" i="9" s="1"/>
  <c r="J594" i="9" s="1"/>
  <c r="J595" i="9" s="1"/>
  <c r="J596" i="9" s="1"/>
  <c r="J597" i="9" s="1"/>
  <c r="J598" i="9" s="1"/>
  <c r="J599" i="9" s="1"/>
  <c r="J600" i="9" s="1"/>
  <c r="N7" i="9"/>
  <c r="M8" i="9"/>
  <c r="J601" i="9" l="1"/>
  <c r="J602" i="9" s="1"/>
  <c r="J603" i="9" s="1"/>
  <c r="J604" i="9" s="1"/>
  <c r="J605" i="9" s="1"/>
  <c r="J606" i="9"/>
  <c r="M9" i="9"/>
  <c r="N8" i="9"/>
  <c r="M10" i="9" l="1"/>
  <c r="L36" i="9" s="1"/>
  <c r="N9" i="9"/>
  <c r="L41" i="9" l="1"/>
  <c r="M36" i="9"/>
  <c r="N10" i="9"/>
  <c r="M37" i="9" l="1"/>
  <c r="N36" i="9"/>
  <c r="M38" i="9" l="1"/>
  <c r="N37" i="9"/>
  <c r="M39" i="9" l="1"/>
  <c r="N38" i="9"/>
  <c r="M40" i="9" l="1"/>
  <c r="L77" i="9" s="1"/>
  <c r="N39" i="9"/>
  <c r="M77" i="9" l="1"/>
  <c r="L100" i="9"/>
  <c r="N40" i="9"/>
  <c r="M78" i="9" l="1"/>
  <c r="N77" i="9"/>
  <c r="M79" i="9" l="1"/>
  <c r="N78" i="9"/>
  <c r="N79" i="9" l="1"/>
  <c r="M80" i="9"/>
  <c r="N80" i="9" l="1"/>
  <c r="M81" i="9"/>
  <c r="N81" i="9" l="1"/>
  <c r="M82" i="9"/>
  <c r="M83" i="9" l="1"/>
  <c r="N82" i="9"/>
  <c r="M84" i="9" l="1"/>
  <c r="N83" i="9"/>
  <c r="M85" i="9" l="1"/>
  <c r="N84" i="9"/>
  <c r="N85" i="9" l="1"/>
  <c r="M86" i="9"/>
  <c r="N86" i="9" l="1"/>
  <c r="M87" i="9"/>
  <c r="M88" i="9" l="1"/>
  <c r="N87" i="9"/>
  <c r="M89" i="9" l="1"/>
  <c r="N88" i="9"/>
  <c r="M90" i="9" l="1"/>
  <c r="N89" i="9"/>
  <c r="M91" i="9" l="1"/>
  <c r="N90" i="9"/>
  <c r="N91" i="9" l="1"/>
  <c r="M92" i="9"/>
  <c r="M93" i="9" l="1"/>
  <c r="N92" i="9"/>
  <c r="M94" i="9" l="1"/>
  <c r="N93" i="9"/>
  <c r="N94" i="9" l="1"/>
  <c r="M95" i="9"/>
  <c r="M96" i="9" l="1"/>
  <c r="N95" i="9"/>
  <c r="M97" i="9" l="1"/>
  <c r="N96" i="9"/>
  <c r="N97" i="9" l="1"/>
  <c r="M98" i="9"/>
  <c r="N98" i="9" l="1"/>
  <c r="M99" i="9"/>
  <c r="L119" i="9" l="1"/>
  <c r="N99" i="9"/>
  <c r="L124" i="9" l="1"/>
  <c r="M119" i="9"/>
  <c r="N119" i="9" l="1"/>
  <c r="M120" i="9"/>
  <c r="N120" i="9" l="1"/>
  <c r="M121" i="9"/>
  <c r="N121" i="9" l="1"/>
  <c r="M122" i="9"/>
  <c r="M123" i="9" l="1"/>
  <c r="L149" i="9" s="1"/>
  <c r="N122" i="9"/>
  <c r="M149" i="9" l="1"/>
  <c r="L154" i="9"/>
  <c r="N123" i="9"/>
  <c r="M150" i="9" l="1"/>
  <c r="N149" i="9"/>
  <c r="N150" i="9" l="1"/>
  <c r="M151" i="9"/>
  <c r="N151" i="9" l="1"/>
  <c r="M152" i="9"/>
  <c r="N152" i="9" l="1"/>
  <c r="M153" i="9"/>
  <c r="L191" i="9" s="1"/>
  <c r="L214" i="9" l="1"/>
  <c r="M191" i="9"/>
  <c r="N153" i="9"/>
  <c r="N191" i="9" l="1"/>
  <c r="M192" i="9"/>
  <c r="M193" i="9" l="1"/>
  <c r="N192" i="9"/>
  <c r="N193" i="9" l="1"/>
  <c r="M194" i="9"/>
  <c r="M195" i="9" l="1"/>
  <c r="N194" i="9"/>
  <c r="N195" i="9" l="1"/>
  <c r="M196" i="9"/>
  <c r="N196" i="9" l="1"/>
  <c r="M197" i="9"/>
  <c r="M198" i="9" l="1"/>
  <c r="N197" i="9"/>
  <c r="M199" i="9" l="1"/>
  <c r="N198" i="9"/>
  <c r="M200" i="9" l="1"/>
  <c r="N199" i="9"/>
  <c r="N200" i="9" l="1"/>
  <c r="M201" i="9"/>
  <c r="M202" i="9" l="1"/>
  <c r="N201" i="9"/>
  <c r="N202" i="9" l="1"/>
  <c r="M203" i="9"/>
  <c r="M204" i="9" l="1"/>
  <c r="N203" i="9"/>
  <c r="M205" i="9" l="1"/>
  <c r="N204" i="9"/>
  <c r="N205" i="9" l="1"/>
  <c r="M206" i="9"/>
  <c r="N206" i="9" l="1"/>
  <c r="M207" i="9"/>
  <c r="N207" i="9" l="1"/>
  <c r="M208" i="9"/>
  <c r="N208" i="9" l="1"/>
  <c r="M209" i="9"/>
  <c r="M210" i="9" l="1"/>
  <c r="N209" i="9"/>
  <c r="N210" i="9" l="1"/>
  <c r="M211" i="9"/>
  <c r="N211" i="9" l="1"/>
  <c r="M212" i="9"/>
  <c r="N212" i="9" l="1"/>
  <c r="M213" i="9"/>
  <c r="L252" i="9" l="1"/>
  <c r="N213" i="9"/>
  <c r="M252" i="9" l="1"/>
  <c r="L258" i="9"/>
  <c r="M253" i="9" l="1"/>
  <c r="N252" i="9"/>
  <c r="M254" i="9" l="1"/>
  <c r="N253" i="9"/>
  <c r="N254" i="9" l="1"/>
  <c r="M255" i="9"/>
  <c r="N255" i="9" l="1"/>
  <c r="M256" i="9"/>
  <c r="N256" i="9" l="1"/>
  <c r="M257" i="9"/>
  <c r="L287" i="9" s="1"/>
  <c r="L333" i="9" l="1"/>
  <c r="M287" i="9"/>
  <c r="N257" i="9"/>
  <c r="M288" i="9" l="1"/>
  <c r="N287" i="9"/>
  <c r="M289" i="9" l="1"/>
  <c r="N288" i="9"/>
  <c r="N289" i="9" l="1"/>
  <c r="M290" i="9"/>
  <c r="N290" i="9" l="1"/>
  <c r="M291" i="9"/>
  <c r="N291" i="9" l="1"/>
  <c r="M292" i="9"/>
  <c r="M293" i="9" l="1"/>
  <c r="N292" i="9"/>
  <c r="M294" i="9" l="1"/>
  <c r="N293" i="9"/>
  <c r="N294" i="9" l="1"/>
  <c r="M295" i="9"/>
  <c r="N295" i="9" l="1"/>
  <c r="M296" i="9"/>
  <c r="N296" i="9" l="1"/>
  <c r="M297" i="9"/>
  <c r="N297" i="9" l="1"/>
  <c r="M298" i="9"/>
  <c r="N298" i="9" l="1"/>
  <c r="M299" i="9"/>
  <c r="M300" i="9" l="1"/>
  <c r="N299" i="9"/>
  <c r="M301" i="9" l="1"/>
  <c r="N300" i="9"/>
  <c r="N301" i="9" l="1"/>
  <c r="M302" i="9"/>
  <c r="N302" i="9" l="1"/>
  <c r="M303" i="9"/>
  <c r="N303" i="9" l="1"/>
  <c r="M304" i="9"/>
  <c r="M305" i="9" l="1"/>
  <c r="N304" i="9"/>
  <c r="M306" i="9" l="1"/>
  <c r="N305" i="9"/>
  <c r="N306" i="9" l="1"/>
  <c r="M307" i="9"/>
  <c r="N307" i="9" l="1"/>
  <c r="M308" i="9"/>
  <c r="N308" i="9" l="1"/>
  <c r="M309" i="9"/>
  <c r="N309" i="9" l="1"/>
  <c r="M310" i="9"/>
  <c r="M311" i="9" l="1"/>
  <c r="N310" i="9"/>
  <c r="M312" i="9" l="1"/>
  <c r="N311" i="9"/>
  <c r="N312" i="9" l="1"/>
  <c r="M313" i="9"/>
  <c r="N313" i="9" l="1"/>
  <c r="M314" i="9"/>
  <c r="N314" i="9" l="1"/>
  <c r="M315" i="9"/>
  <c r="M316" i="9" l="1"/>
  <c r="N315" i="9"/>
  <c r="M317" i="9" l="1"/>
  <c r="N316" i="9"/>
  <c r="N317" i="9" l="1"/>
  <c r="M318" i="9"/>
  <c r="N318" i="9" l="1"/>
  <c r="M319" i="9"/>
  <c r="N319" i="9" l="1"/>
  <c r="M320" i="9"/>
  <c r="N320" i="9" l="1"/>
  <c r="M321" i="9"/>
  <c r="M322" i="9" l="1"/>
  <c r="N321" i="9"/>
  <c r="M323" i="9" l="1"/>
  <c r="N322" i="9"/>
  <c r="M324" i="9" l="1"/>
  <c r="N323" i="9"/>
  <c r="M325" i="9" l="1"/>
  <c r="N324" i="9"/>
  <c r="M326" i="9" l="1"/>
  <c r="N325" i="9"/>
  <c r="M327" i="9" l="1"/>
  <c r="N326" i="9"/>
  <c r="M328" i="9" l="1"/>
  <c r="N327" i="9"/>
  <c r="M329" i="9" l="1"/>
  <c r="N328" i="9"/>
  <c r="M330" i="9" l="1"/>
  <c r="N329" i="9"/>
  <c r="M331" i="9" l="1"/>
  <c r="N330" i="9"/>
  <c r="M332" i="9" l="1"/>
  <c r="L338" i="9" s="1"/>
  <c r="N331" i="9"/>
  <c r="M338" i="9" l="1"/>
  <c r="L344" i="9"/>
  <c r="N332" i="9"/>
  <c r="M339" i="9" l="1"/>
  <c r="N338" i="9"/>
  <c r="M340" i="9" l="1"/>
  <c r="N339" i="9"/>
  <c r="N340" i="9" l="1"/>
  <c r="M341" i="9"/>
  <c r="N341" i="9" l="1"/>
  <c r="M342" i="9"/>
  <c r="M343" i="9" l="1"/>
  <c r="N342" i="9"/>
  <c r="L396" i="9" l="1"/>
  <c r="N343" i="9"/>
  <c r="L403" i="9" l="1"/>
  <c r="M396" i="9"/>
  <c r="N396" i="9" l="1"/>
  <c r="M397" i="9"/>
  <c r="N397" i="9" l="1"/>
  <c r="M398" i="9"/>
  <c r="N398" i="9" l="1"/>
  <c r="M399" i="9"/>
  <c r="M400" i="9" l="1"/>
  <c r="N399" i="9"/>
  <c r="M401" i="9" l="1"/>
  <c r="N400" i="9"/>
  <c r="M402" i="9" l="1"/>
  <c r="L447" i="9" s="1"/>
  <c r="N401" i="9"/>
  <c r="M447" i="9" l="1"/>
  <c r="L474" i="9"/>
  <c r="N402" i="9"/>
  <c r="M448" i="9" l="1"/>
  <c r="N447" i="9"/>
  <c r="M449" i="9" l="1"/>
  <c r="N448" i="9"/>
  <c r="M450" i="9" l="1"/>
  <c r="N449" i="9"/>
  <c r="N450" i="9" l="1"/>
  <c r="M451" i="9"/>
  <c r="M452" i="9" l="1"/>
  <c r="N451" i="9"/>
  <c r="M453" i="9" l="1"/>
  <c r="N452" i="9"/>
  <c r="M454" i="9" l="1"/>
  <c r="N453" i="9"/>
  <c r="N454" i="9" l="1"/>
  <c r="M455" i="9"/>
  <c r="M456" i="9" l="1"/>
  <c r="N455" i="9"/>
  <c r="N456" i="9" l="1"/>
  <c r="M457" i="9"/>
  <c r="M458" i="9" l="1"/>
  <c r="N457" i="9"/>
  <c r="N458" i="9" l="1"/>
  <c r="M459" i="9"/>
  <c r="N459" i="9" l="1"/>
  <c r="M460" i="9"/>
  <c r="N460" i="9" l="1"/>
  <c r="M461" i="9"/>
  <c r="M462" i="9" l="1"/>
  <c r="N461" i="9"/>
  <c r="N462" i="9" l="1"/>
  <c r="M463" i="9"/>
  <c r="M464" i="9" l="1"/>
  <c r="N463" i="9"/>
  <c r="M465" i="9" l="1"/>
  <c r="N464" i="9"/>
  <c r="N465" i="9" l="1"/>
  <c r="M466" i="9"/>
  <c r="N466" i="9" l="1"/>
  <c r="M467" i="9"/>
  <c r="M468" i="9" s="1"/>
  <c r="N468" i="9" l="1"/>
  <c r="M469" i="9"/>
  <c r="N467" i="9"/>
  <c r="N469" i="9" l="1"/>
  <c r="M470" i="9"/>
  <c r="N470" i="9" l="1"/>
  <c r="M471" i="9"/>
  <c r="N471" i="9" l="1"/>
  <c r="M472" i="9"/>
  <c r="N472" i="9" l="1"/>
  <c r="M473" i="9"/>
  <c r="L498" i="9" s="1"/>
  <c r="M498" i="9" l="1"/>
  <c r="L503" i="9"/>
  <c r="N473" i="9"/>
  <c r="N498" i="9" l="1"/>
  <c r="M499" i="9"/>
  <c r="M500" i="9" l="1"/>
  <c r="N499" i="9"/>
  <c r="N500" i="9" l="1"/>
  <c r="M501" i="9"/>
  <c r="M502" i="9" l="1"/>
  <c r="L561" i="9" s="1"/>
  <c r="N501" i="9"/>
  <c r="L571" i="9" l="1"/>
  <c r="M561" i="9"/>
  <c r="N502" i="9"/>
  <c r="N561" i="9" l="1"/>
  <c r="M562" i="9"/>
  <c r="N562" i="9" l="1"/>
  <c r="M563" i="9"/>
  <c r="N563" i="9" l="1"/>
  <c r="M564" i="9"/>
  <c r="M565" i="9" l="1"/>
  <c r="N564" i="9"/>
  <c r="M566" i="9" l="1"/>
  <c r="N565" i="9"/>
  <c r="M567" i="9" l="1"/>
  <c r="N566" i="9"/>
  <c r="N567" i="9" l="1"/>
  <c r="M568" i="9"/>
  <c r="N568" i="9" l="1"/>
  <c r="M569" i="9"/>
  <c r="N569" i="9" l="1"/>
  <c r="M570" i="9"/>
  <c r="N570" i="9" s="1"/>
</calcChain>
</file>

<file path=xl/sharedStrings.xml><?xml version="1.0" encoding="utf-8"?>
<sst xmlns="http://schemas.openxmlformats.org/spreadsheetml/2006/main" count="2802" uniqueCount="506">
  <si>
    <t>TOTAL</t>
  </si>
  <si>
    <t>NAME</t>
  </si>
  <si>
    <t>PAYOUT</t>
  </si>
  <si>
    <t>P004</t>
  </si>
  <si>
    <t>P007</t>
  </si>
  <si>
    <t>Total:</t>
  </si>
  <si>
    <t>Virgin Money:</t>
  </si>
  <si>
    <t>Std Bank:</t>
  </si>
  <si>
    <t>Truworths:</t>
  </si>
  <si>
    <t>Payments:</t>
  </si>
  <si>
    <t>Woolworths:</t>
  </si>
  <si>
    <t>Petty Cash:</t>
  </si>
  <si>
    <t>HENRY RENT</t>
  </si>
  <si>
    <t>D500</t>
  </si>
  <si>
    <t>Nikki (STD Bank):</t>
  </si>
  <si>
    <t>D501</t>
  </si>
  <si>
    <t>D200</t>
  </si>
  <si>
    <t>Danny (Corolla Insurance):</t>
  </si>
  <si>
    <t>D400</t>
  </si>
  <si>
    <t>D401</t>
  </si>
  <si>
    <t>Petro G. (Derick Salary):</t>
  </si>
  <si>
    <t>A001</t>
  </si>
  <si>
    <t>D.D. Geldenhuys</t>
  </si>
  <si>
    <t>MADALA MNISI</t>
  </si>
  <si>
    <t>ANDREW BALLARD</t>
  </si>
  <si>
    <t>JOSEPH MALALE</t>
  </si>
  <si>
    <t>BALANCE</t>
  </si>
  <si>
    <t>HENRY STEYNBERG</t>
  </si>
  <si>
    <t>Dan Salary</t>
  </si>
  <si>
    <t>Leon Salary</t>
  </si>
  <si>
    <t>Virgin Money</t>
  </si>
  <si>
    <t>PREMAC:</t>
  </si>
  <si>
    <t>AVAILABLE</t>
  </si>
  <si>
    <t>Standard Bank</t>
  </si>
  <si>
    <t>Foschini:</t>
  </si>
  <si>
    <t>CDEWTAR01</t>
  </si>
  <si>
    <t>ANDREW RENT</t>
  </si>
  <si>
    <t>Vodacom:</t>
  </si>
  <si>
    <t>D300, D0LB, D302</t>
  </si>
  <si>
    <t>Transfer:</t>
  </si>
  <si>
    <t>Derick Interest:</t>
  </si>
  <si>
    <t>Ouma Monies (Nikki to draw)</t>
  </si>
  <si>
    <t>Nikki (Virgin Money CC):</t>
  </si>
  <si>
    <t>Delmas Spar:</t>
  </si>
  <si>
    <t>Bank Fee:</t>
  </si>
  <si>
    <t>Derick Salary</t>
  </si>
  <si>
    <t>01</t>
  </si>
  <si>
    <t>03</t>
  </si>
  <si>
    <t>Nedbank:</t>
  </si>
  <si>
    <t>DAY</t>
  </si>
  <si>
    <t>30</t>
  </si>
  <si>
    <t>07</t>
  </si>
  <si>
    <t>Balance b/d:</t>
  </si>
  <si>
    <t>MTN:</t>
  </si>
  <si>
    <t>F001</t>
  </si>
  <si>
    <t>F002</t>
  </si>
  <si>
    <t>Trudie Geldenhuys</t>
  </si>
  <si>
    <t>Patricia De Kok</t>
  </si>
  <si>
    <t>Transfer</t>
  </si>
  <si>
    <t>28</t>
  </si>
  <si>
    <t>02</t>
  </si>
  <si>
    <t>Finance Charge</t>
  </si>
  <si>
    <t>Clicks</t>
  </si>
  <si>
    <t>Pick n Pay</t>
  </si>
  <si>
    <t>Petty Cash</t>
  </si>
  <si>
    <t>Delmas Spar</t>
  </si>
  <si>
    <t>ERIC NTULO</t>
  </si>
  <si>
    <t>PLACE</t>
  </si>
  <si>
    <t>DETAILS</t>
  </si>
  <si>
    <t>Pick n Pay:</t>
  </si>
  <si>
    <t>Sasol Delmas:</t>
  </si>
  <si>
    <t>04</t>
  </si>
  <si>
    <t>05</t>
  </si>
  <si>
    <t>PAY WEEK</t>
  </si>
  <si>
    <t>BANK CODE</t>
  </si>
  <si>
    <t>PAY DATE</t>
  </si>
  <si>
    <t>DORA NTULO</t>
  </si>
  <si>
    <t>Nett Pay from Payroll:</t>
  </si>
  <si>
    <t>P014</t>
  </si>
  <si>
    <t>FRANCOIS VD BANK</t>
  </si>
  <si>
    <t>31</t>
  </si>
  <si>
    <t>D-D Life:</t>
  </si>
  <si>
    <t>P001</t>
  </si>
  <si>
    <t>JAMES SMITH</t>
  </si>
  <si>
    <t>P009</t>
  </si>
  <si>
    <t>P003</t>
  </si>
  <si>
    <t>PETTY CASH</t>
  </si>
  <si>
    <t>Edgars:</t>
  </si>
  <si>
    <t>Middelburg Plaza</t>
  </si>
  <si>
    <t>1Life:</t>
  </si>
  <si>
    <t>06</t>
  </si>
  <si>
    <t>Ster Kinekor</t>
  </si>
  <si>
    <t>Outsurance:</t>
  </si>
  <si>
    <t>D300</t>
  </si>
  <si>
    <t>Leon (Tata Insurance):</t>
  </si>
  <si>
    <t>Leon (Toyota Corolla Insurance):</t>
  </si>
  <si>
    <t>P002</t>
  </si>
  <si>
    <t>Credit = R28,000</t>
  </si>
  <si>
    <t>Dora Airtime:</t>
  </si>
  <si>
    <t>Electricity</t>
  </si>
  <si>
    <t>27</t>
  </si>
  <si>
    <t>Airtime:</t>
  </si>
  <si>
    <t>Sasol Delmas</t>
  </si>
  <si>
    <t>Rebel Mini Market</t>
  </si>
  <si>
    <t>P020</t>
  </si>
  <si>
    <t>Ploughman</t>
  </si>
  <si>
    <t>08</t>
  </si>
  <si>
    <t>Clicks Delmas: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</si>
  <si>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July</t>
    </r>
    <r>
      <rPr>
        <sz val="10"/>
        <rFont val="Arial"/>
        <family val="2"/>
      </rPr>
      <t>:</t>
    </r>
  </si>
  <si>
    <t>FEBRUARY 2015</t>
  </si>
  <si>
    <t>Takealot.com</t>
  </si>
  <si>
    <t>Jaco:</t>
  </si>
  <si>
    <t>22</t>
  </si>
  <si>
    <t>KFC Delmas</t>
  </si>
  <si>
    <t>PREMAC</t>
  </si>
  <si>
    <t>23</t>
  </si>
  <si>
    <t>24</t>
  </si>
  <si>
    <t>Sheetstreet:</t>
  </si>
  <si>
    <t>29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</si>
  <si>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Oct</t>
    </r>
    <r>
      <rPr>
        <sz val="10"/>
        <rFont val="Arial"/>
        <family val="2"/>
      </rPr>
      <t>:</t>
    </r>
  </si>
  <si>
    <t>Dora: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</si>
  <si>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Nov</t>
    </r>
    <r>
      <rPr>
        <sz val="10"/>
        <rFont val="Arial"/>
        <family val="2"/>
      </rPr>
      <t>:</t>
    </r>
  </si>
  <si>
    <t>Cash Deposit Fee:</t>
  </si>
  <si>
    <t>Dissiplek:</t>
  </si>
  <si>
    <t>Spur:</t>
  </si>
  <si>
    <t>Dalpark Plaza</t>
  </si>
  <si>
    <t>Angela:</t>
  </si>
  <si>
    <t>Cash Withdrawal:</t>
  </si>
  <si>
    <t>Delmas Spar (PC):</t>
  </si>
  <si>
    <t>Makro</t>
  </si>
  <si>
    <t>Jaco</t>
  </si>
  <si>
    <t>Aunty Lyn:</t>
  </si>
  <si>
    <t>Wimpy:</t>
  </si>
  <si>
    <t>Pick n Pay Delmas</t>
  </si>
  <si>
    <t>Spar</t>
  </si>
  <si>
    <t>Burger King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</si>
  <si>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March</t>
    </r>
    <r>
      <rPr>
        <sz val="10"/>
        <rFont val="Arial"/>
        <family val="2"/>
      </rPr>
      <t>:</t>
    </r>
  </si>
  <si>
    <t>Cash deposit</t>
  </si>
  <si>
    <t>Cash deposit fee</t>
  </si>
  <si>
    <t>Weekend purchases:</t>
  </si>
  <si>
    <t>Transfer to Savings:</t>
  </si>
  <si>
    <t>Debonairs:</t>
  </si>
  <si>
    <t>Delmas Rugby Club: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</si>
  <si>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April</t>
    </r>
    <r>
      <rPr>
        <sz val="10"/>
        <rFont val="Arial"/>
        <family val="2"/>
      </rPr>
      <t>:</t>
    </r>
  </si>
  <si>
    <t>MARCH 2016</t>
  </si>
  <si>
    <t xml:space="preserve"> + Rent</t>
  </si>
  <si>
    <t>Transfer to VM:</t>
  </si>
  <si>
    <t>Aunty Lyn Pills:</t>
  </si>
  <si>
    <t>ü</t>
  </si>
  <si>
    <t>Pick n Pay Liquor:</t>
  </si>
  <si>
    <t>Engen Skystop:</t>
  </si>
  <si>
    <t>6K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</si>
  <si>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Water</t>
    </r>
    <r>
      <rPr>
        <sz val="10"/>
        <rFont val="Arial"/>
        <family val="2"/>
      </rPr>
      <t>:</t>
    </r>
  </si>
  <si>
    <t>Aunty Lyn Smokes:</t>
  </si>
  <si>
    <t>Cash Voucher: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</si>
  <si>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May</t>
    </r>
    <r>
      <rPr>
        <sz val="10"/>
        <rFont val="Arial"/>
        <family val="2"/>
      </rPr>
      <t>:</t>
    </r>
  </si>
  <si>
    <t>Delmas Supaquick:</t>
  </si>
  <si>
    <t>Panarottis</t>
  </si>
  <si>
    <t>APRIL 2016</t>
  </si>
  <si>
    <t>09</t>
  </si>
  <si>
    <t>Rebel Mini Market PC:</t>
  </si>
  <si>
    <t>Norm Ave Pay</t>
  </si>
  <si>
    <t>01/03</t>
  </si>
  <si>
    <t>02/03</t>
  </si>
  <si>
    <t>03/03</t>
  </si>
  <si>
    <t>04/03</t>
  </si>
  <si>
    <t>05/03</t>
  </si>
  <si>
    <t>Difference</t>
  </si>
  <si>
    <t>01/04</t>
  </si>
  <si>
    <t>02/04</t>
  </si>
  <si>
    <t>Loan</t>
  </si>
  <si>
    <t>bidorbuy:</t>
  </si>
  <si>
    <t>St Francis United Church</t>
  </si>
  <si>
    <t>Warren:</t>
  </si>
  <si>
    <t>PREMAC PC:</t>
  </si>
  <si>
    <t>bidorbuy cameras WARREN:</t>
  </si>
  <si>
    <t>bidorbuy dvr (WARREN)</t>
  </si>
  <si>
    <t>Spar Kanonkop:</t>
  </si>
  <si>
    <t>ATM Cash Withdrawal:</t>
  </si>
  <si>
    <t>Spar Kanonkop</t>
  </si>
  <si>
    <t>Fishaways</t>
  </si>
  <si>
    <t>Takealot.com (dog harnesses)</t>
  </si>
  <si>
    <t xml:space="preserve">  - R120</t>
  </si>
  <si>
    <t>Nikki from Dora</t>
  </si>
  <si>
    <t>Insufficient fees:</t>
  </si>
  <si>
    <t>Chantil Present</t>
  </si>
  <si>
    <t>Spar Westwood:</t>
  </si>
  <si>
    <t>Francois Loan</t>
  </si>
  <si>
    <t>MAY 2016</t>
  </si>
  <si>
    <t>10</t>
  </si>
  <si>
    <t>11</t>
  </si>
  <si>
    <t>20106/05/11</t>
  </si>
  <si>
    <t>12</t>
  </si>
  <si>
    <t>13</t>
  </si>
  <si>
    <t>Wesbank</t>
  </si>
  <si>
    <t>1192.02.</t>
  </si>
  <si>
    <t xml:space="preserve"> - R1500 next week</t>
  </si>
  <si>
    <t>JUNE 2016</t>
  </si>
  <si>
    <t>14</t>
  </si>
  <si>
    <t>15</t>
  </si>
  <si>
    <t>16</t>
  </si>
  <si>
    <t>17</t>
  </si>
  <si>
    <t>18</t>
  </si>
  <si>
    <t xml:space="preserve"> - continue…</t>
  </si>
  <si>
    <t>Ouma Monies</t>
  </si>
  <si>
    <t>WILLIAM MAGOSO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</si>
  <si>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June</t>
    </r>
    <r>
      <rPr>
        <sz val="10"/>
        <rFont val="Arial"/>
        <family val="2"/>
      </rPr>
      <t>:</t>
    </r>
  </si>
  <si>
    <t>Builders Express:</t>
  </si>
  <si>
    <t>MacDonalds:</t>
  </si>
  <si>
    <t>Zenex Garage:</t>
  </si>
  <si>
    <t>P015</t>
  </si>
  <si>
    <t>NICO NEL</t>
  </si>
  <si>
    <t>KFC Delmas:</t>
  </si>
  <si>
    <t>Jaco Starter:</t>
  </si>
  <si>
    <t>Atlas Hydraulic:</t>
  </si>
  <si>
    <t>Jaco Lunch:</t>
  </si>
  <si>
    <t>Jaco Doctor Appointment</t>
  </si>
  <si>
    <t>Nikki Hair Appointment</t>
  </si>
  <si>
    <t>Pnp + alcohol</t>
  </si>
  <si>
    <t>Dog bed</t>
  </si>
  <si>
    <t>Sasol Domation</t>
  </si>
  <si>
    <t>OS</t>
  </si>
  <si>
    <t>James</t>
  </si>
  <si>
    <t>Spur</t>
  </si>
  <si>
    <t>Church + Angela Lotto</t>
  </si>
  <si>
    <t>Louie Vet</t>
  </si>
  <si>
    <t>Cash in wallet</t>
  </si>
  <si>
    <t>Premier Glass Works:</t>
  </si>
  <si>
    <t>Minimum Amount Payable</t>
  </si>
  <si>
    <t>Doctor Generator Income</t>
  </si>
  <si>
    <t>JULY 2016</t>
  </si>
  <si>
    <t>19</t>
  </si>
  <si>
    <t>20</t>
  </si>
  <si>
    <t>21</t>
  </si>
  <si>
    <t>Internet Fee</t>
  </si>
  <si>
    <t>Eric Airtime: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</si>
  <si>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Aug</t>
    </r>
    <r>
      <rPr>
        <sz val="10"/>
        <rFont val="Arial"/>
        <family val="2"/>
      </rPr>
      <t>:</t>
    </r>
  </si>
  <si>
    <t>Bobby Beer:</t>
  </si>
  <si>
    <t>Jaco Travel:</t>
  </si>
  <si>
    <t>Jaco gen parts:</t>
  </si>
  <si>
    <t>Discovery Health</t>
  </si>
  <si>
    <t>Dad Martin:</t>
  </si>
  <si>
    <t>Dad Book:</t>
  </si>
  <si>
    <t>Highroad Butchery:</t>
  </si>
  <si>
    <t>Alpha + Sasol:</t>
  </si>
  <si>
    <t>Sasol:</t>
  </si>
  <si>
    <t>Sammy Marks Museum:</t>
  </si>
  <si>
    <t>Sms fee:</t>
  </si>
  <si>
    <t>Diamond Plaza</t>
  </si>
  <si>
    <t>Sasol Dalpark</t>
  </si>
  <si>
    <t>442.30</t>
  </si>
  <si>
    <t>Entrytime - Running Tickets</t>
  </si>
  <si>
    <t>Capital Craft:</t>
  </si>
  <si>
    <t>Garsfontein Petrol:</t>
  </si>
  <si>
    <t>Alpha Slaghuis + Butchery</t>
  </si>
  <si>
    <t>Brenthurst Auto</t>
  </si>
  <si>
    <t>Twin A Electrical</t>
  </si>
  <si>
    <t>Born 2 Care:</t>
  </si>
  <si>
    <t>Fly SAFAir.co.za:</t>
  </si>
  <si>
    <t>PnP PC:</t>
  </si>
  <si>
    <t>Jaco National Park:</t>
  </si>
  <si>
    <t>Jaco Mother:</t>
  </si>
  <si>
    <t>Ouma</t>
  </si>
  <si>
    <t>Meat Mecca</t>
  </si>
  <si>
    <t>Jaco Petrol</t>
  </si>
  <si>
    <t>Shell Delmas</t>
  </si>
  <si>
    <t>Alzu</t>
  </si>
  <si>
    <t>Cash Fee:</t>
  </si>
  <si>
    <t>AUGUST 2016</t>
  </si>
  <si>
    <t>Wimpy Delmas:</t>
  </si>
  <si>
    <t>The Farmstall - Jaco</t>
  </si>
  <si>
    <t>25</t>
  </si>
  <si>
    <t>26</t>
  </si>
  <si>
    <t>Sasol Lambton</t>
  </si>
  <si>
    <t>Teller Withdrawal Fee:</t>
  </si>
  <si>
    <t>P012</t>
  </si>
  <si>
    <t>JP LABUSCHAGNE</t>
  </si>
  <si>
    <t>Jaco / R&amp;R: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</si>
  <si>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Sep</t>
    </r>
    <r>
      <rPr>
        <sz val="10"/>
        <rFont val="Arial"/>
        <family val="2"/>
      </rPr>
      <t>:</t>
    </r>
  </si>
  <si>
    <t>R5.5 - Oct</t>
  </si>
  <si>
    <t>Jaco - Opel car parts:</t>
  </si>
  <si>
    <t>K90 Service Station:</t>
  </si>
  <si>
    <t>Overdraft Interest</t>
  </si>
  <si>
    <t>Opel Corsa Monies</t>
  </si>
  <si>
    <t>NICOLE POTGIETER</t>
  </si>
  <si>
    <t>Cartridge Hyper:</t>
  </si>
  <si>
    <t>Ekurhuleni Fines:</t>
  </si>
  <si>
    <t>A Potgieter (B2C):</t>
  </si>
  <si>
    <t>SEPTEMBER 2016</t>
  </si>
  <si>
    <t>Flour Girl Tuisnywerheid</t>
  </si>
  <si>
    <t>Boskroeg</t>
  </si>
  <si>
    <t>Delmas Apteek</t>
  </si>
  <si>
    <t>Franks fruit and veg</t>
  </si>
  <si>
    <t>Jaco - R&amp;R Generators</t>
  </si>
  <si>
    <t>EasyPay - Electricity</t>
  </si>
  <si>
    <t>Aragan Secret Oil</t>
  </si>
  <si>
    <t>Cruser Battery</t>
  </si>
  <si>
    <t>ATM Cash Withdrawal</t>
  </si>
  <si>
    <t>Birthday Weekend</t>
  </si>
  <si>
    <t>Caltex Anzac Motors</t>
  </si>
  <si>
    <t>Takealot.com - Aragan Secret + Wilbur Smith book</t>
  </si>
  <si>
    <t>Just batteries</t>
  </si>
  <si>
    <t>PC to be refunded</t>
  </si>
  <si>
    <t>Alpha Slaghuis</t>
  </si>
  <si>
    <t>Zadok Filling Station</t>
  </si>
  <si>
    <t>ACFL God's Plan for Preg Book</t>
  </si>
  <si>
    <t>iTickets - Bethel Music</t>
  </si>
  <si>
    <t>Tonie's Mag and Wheel</t>
  </si>
  <si>
    <t>De Hoek Toll Plaza</t>
  </si>
  <si>
    <t>Cash Withdrawal Fee</t>
  </si>
  <si>
    <t>John Dory's</t>
  </si>
  <si>
    <t>Jaco Purchases - R&amp;R</t>
  </si>
  <si>
    <t>Wildtuin trip tolls</t>
  </si>
  <si>
    <t>WWC 2017:</t>
  </si>
  <si>
    <t>Groupon - JM Straightening Brush</t>
  </si>
  <si>
    <t>eBay - Dell Computer parts</t>
  </si>
  <si>
    <t>R&amp;R Generators:</t>
  </si>
  <si>
    <t>Dara Airtime + Fees:</t>
  </si>
  <si>
    <t>Petrol:</t>
  </si>
  <si>
    <t>Hinterland Delmas:</t>
  </si>
  <si>
    <t>Weekend Meat + drink PNP:</t>
  </si>
  <si>
    <t>Bidorbuy.co.za:</t>
  </si>
  <si>
    <t>MacDonalds</t>
  </si>
  <si>
    <t>Replacement Card Fee</t>
  </si>
  <si>
    <t>RnR Generators:</t>
  </si>
  <si>
    <t>Outsurance Refund:</t>
  </si>
  <si>
    <t>LS Electronics Refund:</t>
  </si>
  <si>
    <t>OCTOBER 2016</t>
  </si>
  <si>
    <t>32</t>
  </si>
  <si>
    <t>33</t>
  </si>
  <si>
    <t>34</t>
  </si>
  <si>
    <t>35</t>
  </si>
  <si>
    <t>V+N Motors PC:</t>
  </si>
  <si>
    <t>Alpha Slaghuis:</t>
  </si>
  <si>
    <t>Expert PC - Refund</t>
  </si>
  <si>
    <t>Ebay - Packard Bell Hinge</t>
  </si>
  <si>
    <t>Jaco Fine:</t>
  </si>
  <si>
    <t>RIAAN GROBLER</t>
  </si>
  <si>
    <t>P017</t>
  </si>
  <si>
    <t>Caltex Linksfield:</t>
  </si>
  <si>
    <t>Zandre Gift:</t>
  </si>
  <si>
    <t>Bright Cellular:</t>
  </si>
  <si>
    <t>NOVEMBER 2016</t>
  </si>
  <si>
    <t>36</t>
  </si>
  <si>
    <t>37</t>
  </si>
  <si>
    <t>38</t>
  </si>
  <si>
    <t>39</t>
  </si>
  <si>
    <t>40</t>
  </si>
  <si>
    <t>Takealot.com - GOT Monopoly</t>
  </si>
  <si>
    <t>Frank Fruit &amp; Veg:</t>
  </si>
  <si>
    <t>Spar Ogies:</t>
  </si>
  <si>
    <t>Altas Petrol:</t>
  </si>
  <si>
    <t>Battery Centre:</t>
  </si>
  <si>
    <t>SAPO/Airtime - PC:</t>
  </si>
  <si>
    <t>B-Sure IT Solutions:</t>
  </si>
  <si>
    <t>K91 Jaco Lunch:</t>
  </si>
  <si>
    <t>PETTY CASH:</t>
  </si>
  <si>
    <t>PnP:</t>
  </si>
  <si>
    <t>Hair Creations:</t>
  </si>
  <si>
    <t>Clicks:</t>
  </si>
  <si>
    <t>Crazy Store:</t>
  </si>
  <si>
    <t>Ludwig's Roses:</t>
  </si>
  <si>
    <t>GT Electronics PC:</t>
  </si>
  <si>
    <t>Lakeside Petrol:</t>
  </si>
  <si>
    <t>Cash + Fee:</t>
  </si>
  <si>
    <t>Chicken Licken + Kodak:</t>
  </si>
  <si>
    <t>Andrew Airtme PC:</t>
  </si>
  <si>
    <t>P006</t>
  </si>
  <si>
    <t>BAREND FULTON</t>
  </si>
  <si>
    <t>P005</t>
  </si>
  <si>
    <t>Ma Alida:</t>
  </si>
  <si>
    <t>Spar Jaco:</t>
  </si>
  <si>
    <t>Caltex:</t>
  </si>
  <si>
    <t>Jaco MCD:</t>
  </si>
  <si>
    <t>Weekend Purchases:</t>
  </si>
  <si>
    <t>Delmas Kersmark</t>
  </si>
  <si>
    <t>Matrix Benoni:</t>
  </si>
  <si>
    <t>Hospital Week Purchases:</t>
  </si>
  <si>
    <t>Evander Plaza</t>
  </si>
  <si>
    <t>Zebra Country Lodge:</t>
  </si>
  <si>
    <t>Cullinan Weekend Purchases:</t>
  </si>
  <si>
    <t>Topprint PC:</t>
  </si>
  <si>
    <t>S van der Vyver SPA:</t>
  </si>
  <si>
    <t>Vodacom Airtime:</t>
  </si>
  <si>
    <t>Overdraft Interest:</t>
  </si>
  <si>
    <t>Safair:</t>
  </si>
  <si>
    <t>CUM Books:</t>
  </si>
  <si>
    <t>Ploughman:</t>
  </si>
  <si>
    <t>Investment</t>
  </si>
  <si>
    <t>Living Assistance</t>
  </si>
  <si>
    <t>PETRO</t>
  </si>
  <si>
    <t>JC Geldenhuys money</t>
  </si>
  <si>
    <t>Steers Pongola</t>
  </si>
  <si>
    <t>LiquorShop and Station Cash Butchery</t>
  </si>
  <si>
    <t>Caltex Pongola</t>
  </si>
  <si>
    <t>St Francis / Cum Books:</t>
  </si>
  <si>
    <t>Bonus:</t>
  </si>
  <si>
    <t>DECEMBER 2016</t>
  </si>
  <si>
    <t>41</t>
  </si>
  <si>
    <t>42</t>
  </si>
  <si>
    <t>BONUSES</t>
  </si>
  <si>
    <t>Nicole Potgieter</t>
  </si>
  <si>
    <t>Danny Geldenhuys</t>
  </si>
  <si>
    <t>Leon Geldenhuys</t>
  </si>
  <si>
    <t>DD Geldenhuys</t>
  </si>
  <si>
    <t>END DECEMBER PAYMENTS</t>
  </si>
  <si>
    <t>46</t>
  </si>
  <si>
    <t>JANUARY 2017</t>
  </si>
  <si>
    <t>47</t>
  </si>
  <si>
    <t>48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</si>
  <si>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Jan</t>
    </r>
    <r>
      <rPr>
        <sz val="10"/>
        <rFont val="Arial"/>
        <family val="2"/>
      </rPr>
      <t>:</t>
    </r>
  </si>
  <si>
    <t>Jaco KFC:</t>
  </si>
  <si>
    <t>Jaco Petrol:</t>
  </si>
  <si>
    <t>D302</t>
  </si>
  <si>
    <t>Juliana (Bakkie payment)</t>
  </si>
  <si>
    <t>Chris Solar Lights</t>
  </si>
  <si>
    <t>MTN Data: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</si>
  <si>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Dec</t>
    </r>
    <r>
      <rPr>
        <sz val="10"/>
        <rFont val="Arial"/>
        <family val="2"/>
      </rPr>
      <t>:</t>
    </r>
  </si>
  <si>
    <t>406.63</t>
  </si>
  <si>
    <t>KFC, McD + Liquor Shop:</t>
  </si>
  <si>
    <t>Dad CC Chanel + Josh pres:</t>
  </si>
  <si>
    <t>215.00</t>
  </si>
  <si>
    <t>Oscar Fine:</t>
  </si>
  <si>
    <t>Jaco Chris Solar Panel:</t>
  </si>
  <si>
    <t>Jaco Cash:</t>
  </si>
  <si>
    <t>Sherwood Gardens Bravecto:</t>
  </si>
  <si>
    <t>Jaco / Martin:</t>
  </si>
  <si>
    <t>Middelburg John Dory's:</t>
  </si>
  <si>
    <t>Petrol</t>
  </si>
  <si>
    <t>Cash deposit Fee</t>
  </si>
  <si>
    <t>Roman's Pizza</t>
  </si>
  <si>
    <t>Liquor Shop</t>
  </si>
  <si>
    <t>Benn's Pharmacy</t>
  </si>
  <si>
    <t>Parkdene Petrol</t>
  </si>
  <si>
    <t>Hardrock Café</t>
  </si>
  <si>
    <t>Tolls to Pongola</t>
  </si>
  <si>
    <t>MTN Airtime:</t>
  </si>
  <si>
    <t>Cah withdrawal and fee</t>
  </si>
  <si>
    <t>Gautrain</t>
  </si>
  <si>
    <t>Anzac Motors</t>
  </si>
  <si>
    <t>Caltex Petrol</t>
  </si>
  <si>
    <t>Decopage Adult</t>
  </si>
  <si>
    <t>Rose Tulee:</t>
  </si>
  <si>
    <t>Liquor City:</t>
  </si>
  <si>
    <t>OR Tanbo Spur:</t>
  </si>
  <si>
    <t>KFC Brakpan</t>
  </si>
  <si>
    <t>VC Spar</t>
  </si>
  <si>
    <t>Service Station</t>
  </si>
  <si>
    <t>Cash Withdrawal and fee</t>
  </si>
  <si>
    <t>JANUARY 2016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</si>
  <si>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Feb</t>
    </r>
    <r>
      <rPr>
        <sz val="10"/>
        <rFont val="Arial"/>
        <family val="2"/>
      </rPr>
      <t>:</t>
    </r>
  </si>
  <si>
    <t>Shell:</t>
  </si>
  <si>
    <t>James Cash:</t>
  </si>
  <si>
    <t>Petrol Donation:</t>
  </si>
  <si>
    <t>Juliana (Bakkie insurance)</t>
  </si>
  <si>
    <t>412.99</t>
  </si>
  <si>
    <t>IS Generators:</t>
  </si>
  <si>
    <t>Jaco Brickor:</t>
  </si>
  <si>
    <t>Bronwyn:</t>
  </si>
  <si>
    <t>Week purchases Pnp etc:</t>
  </si>
  <si>
    <t>cash:</t>
  </si>
  <si>
    <t>Rudi Beytell:</t>
  </si>
  <si>
    <t>BP Jaco:</t>
  </si>
  <si>
    <t>Rose Tulee - Jaco:</t>
  </si>
  <si>
    <t>Pick n Pay (Tersia visit):</t>
  </si>
  <si>
    <t>Boskroeg:</t>
  </si>
  <si>
    <t>Jaco MacDonalds + Shell:</t>
  </si>
  <si>
    <t>Cash:</t>
  </si>
  <si>
    <t xml:space="preserve">Jaco: </t>
  </si>
  <si>
    <t>Weekend Purchases (Bernice + Dirk)</t>
  </si>
  <si>
    <t>Norman's Hardware:</t>
  </si>
  <si>
    <t>Makro PC:</t>
  </si>
  <si>
    <t>Jump Rope Mr P Sport:</t>
  </si>
  <si>
    <t>D303</t>
  </si>
  <si>
    <t>Weekend Purchases (Girls + Parents)</t>
  </si>
  <si>
    <t>bidorbuy - borescopes:</t>
  </si>
  <si>
    <t>Ma Lida:</t>
  </si>
  <si>
    <t>Pick n Pay + LiquorValu</t>
  </si>
  <si>
    <t>Teller Cash Withdrawal Fee:</t>
  </si>
  <si>
    <t>FEBRUARY 2017</t>
  </si>
  <si>
    <t>49</t>
  </si>
  <si>
    <t>50</t>
  </si>
  <si>
    <t>51</t>
  </si>
  <si>
    <t>52</t>
  </si>
  <si>
    <r>
      <rPr>
        <sz val="10"/>
        <rFont val="Arial"/>
        <family val="2"/>
      </rPr>
      <t xml:space="preserve">Tsitsikama </t>
    </r>
    <r>
      <rPr>
        <sz val="10"/>
        <color rgb="FFFF0000"/>
        <rFont val="Arial"/>
        <family val="2"/>
      </rPr>
      <t>Mar</t>
    </r>
    <r>
      <rPr>
        <sz val="10"/>
        <rFont val="Arial"/>
        <family val="2"/>
      </rPr>
      <t>:</t>
    </r>
  </si>
  <si>
    <t>KFC</t>
  </si>
  <si>
    <t>Car Service Parts:</t>
  </si>
  <si>
    <t>Oupa Mike:</t>
  </si>
  <si>
    <t>Steelmate:</t>
  </si>
  <si>
    <t>BP Rietfontein:</t>
  </si>
  <si>
    <t>Ridgeback:</t>
  </si>
  <si>
    <t>Burger King:</t>
  </si>
  <si>
    <t>210</t>
  </si>
  <si>
    <t>Rebel Mini Market + PnP:</t>
  </si>
  <si>
    <t>Angela Electricity:</t>
  </si>
  <si>
    <t>Leandra Toll Plaza</t>
  </si>
  <si>
    <t>Ster-kinekor</t>
  </si>
  <si>
    <t>BP SaltLake:</t>
  </si>
  <si>
    <t>RnR Generators</t>
  </si>
  <si>
    <t>Sasol North:</t>
  </si>
  <si>
    <t>Liza:</t>
  </si>
  <si>
    <t>Dawie weekend purchases:</t>
  </si>
  <si>
    <t>Premac</t>
  </si>
  <si>
    <t>KFC:</t>
  </si>
  <si>
    <t>H Steynberg</t>
  </si>
  <si>
    <t>F vd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</si>
</sst>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&quot;R&quot;\ #,##0.00"/>
    <numFmt numFmtId="165" formatCode="hh:mm:ss;@"/>
    <numFmt numFmtId="166" formatCode="[$$-C09]#,##0"/>
    <numFmt numFmtId="167" formatCode="_ [$R-1C09]\ * #,##0.00_ ;_ [$R-1C09]\ * \-#,##0.00_ ;_ [$R-1C09]\ * &quot;-&quot;??_ ;_ @_ "/>
    <numFmt numFmtId="168" formatCode="[$$-C09]#,##0.000"/>
    <numFmt numFmtId="169" formatCode="[$$-C09]#,##0.00"/>
    <numFmt numFmtId="170" formatCode="_ * #,##0_ ;_ * \-#,##0_ ;_ * &quot;-&quot;??_ ;_ @_ "/>
  </numFmts>
  <fonts count="5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4"/>
      <color indexed="8"/>
      <name val="Arial"/>
      <family val="2"/>
    </font>
    <font>
      <b/>
      <i/>
      <sz val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i/>
      <sz val="10"/>
      <color rgb="FFFF33CC"/>
      <name val="Arial"/>
      <family val="2"/>
    </font>
    <font>
      <sz val="9"/>
      <color rgb="FFFF0000"/>
      <name val="Arial"/>
      <family val="2"/>
    </font>
    <font>
      <b/>
      <i/>
      <sz val="10"/>
      <color rgb="FFFF33CC"/>
      <name val="Arial"/>
      <family val="2"/>
    </font>
    <font>
      <b/>
      <i/>
      <sz val="16"/>
      <color theme="1" tint="0.499984740745262"/>
      <name val="Arial"/>
      <family val="2"/>
    </font>
    <font>
      <b/>
      <i/>
      <sz val="8"/>
      <color theme="1" tint="0.34998626667073579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sz val="10"/>
      <color rgb="FF7030A0"/>
      <name val="Arial"/>
      <family val="2"/>
    </font>
    <font>
      <i/>
      <sz val="22"/>
      <color indexed="8"/>
      <name val="Arial Black"/>
      <family val="2"/>
    </font>
    <font>
      <i/>
      <sz val="10"/>
      <color rgb="FFFF00FF"/>
      <name val="Arial"/>
      <family val="2"/>
    </font>
    <font>
      <sz val="10"/>
      <color rgb="FF000000"/>
      <name val="Arial"/>
      <family val="2"/>
    </font>
    <font>
      <sz val="10"/>
      <name val="Wingdings"/>
      <charset val="2"/>
    </font>
    <font>
      <b/>
      <u val="singleAccounting"/>
      <sz val="1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sz val="9"/>
      <color rgb="FFFF0000"/>
      <name val="Wingdings"/>
      <charset val="2"/>
    </font>
    <font>
      <u/>
      <sz val="10"/>
      <name val="Arial"/>
      <family val="2"/>
    </font>
    <font>
      <b/>
      <i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7A3C3D"/>
      <name val="Arial"/>
      <family val="2"/>
    </font>
    <font>
      <b/>
      <i/>
      <sz val="12"/>
      <color theme="1" tint="0.499984740745262"/>
      <name val="Arial"/>
      <family val="2"/>
    </font>
    <font>
      <b/>
      <sz val="9"/>
      <name val="Wingdings"/>
      <charset val="2"/>
    </font>
    <font>
      <sz val="10"/>
      <name val="Calibri"/>
      <family val="2"/>
    </font>
    <font>
      <sz val="8"/>
      <name val="Arial"/>
      <family val="2"/>
    </font>
    <font>
      <i/>
      <sz val="10"/>
      <color rgb="FF0070C0"/>
      <name val="Arial"/>
      <family val="2"/>
    </font>
    <font>
      <i/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gray0625">
        <fgColor theme="4"/>
        <bgColor auto="1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166" fontId="0" fillId="0" borderId="0"/>
    <xf numFmtId="44" fontId="1" fillId="0" borderId="0" applyFont="0" applyFill="0" applyBorder="0" applyAlignment="0" applyProtection="0"/>
    <xf numFmtId="166" fontId="1" fillId="0" borderId="0"/>
    <xf numFmtId="166" fontId="2" fillId="0" borderId="0"/>
    <xf numFmtId="166" fontId="2" fillId="0" borderId="0"/>
    <xf numFmtId="43" fontId="30" fillId="0" borderId="0" applyFont="0" applyFill="0" applyBorder="0" applyAlignment="0" applyProtection="0"/>
  </cellStyleXfs>
  <cellXfs count="425">
    <xf numFmtId="166" fontId="0" fillId="0" borderId="0" xfId="0"/>
    <xf numFmtId="166" fontId="2" fillId="0" borderId="0" xfId="3"/>
    <xf numFmtId="166" fontId="3" fillId="0" borderId="0" xfId="3" applyFont="1" applyFill="1" applyBorder="1" applyAlignment="1">
      <alignment horizontal="center"/>
    </xf>
    <xf numFmtId="15" fontId="6" fillId="0" borderId="0" xfId="2" applyNumberFormat="1" applyFont="1" applyBorder="1"/>
    <xf numFmtId="166" fontId="1" fillId="0" borderId="0" xfId="2" applyBorder="1"/>
    <xf numFmtId="166" fontId="1" fillId="0" borderId="0" xfId="2"/>
    <xf numFmtId="166" fontId="4" fillId="0" borderId="0" xfId="2" applyFont="1" applyAlignment="1">
      <alignment horizontal="center"/>
    </xf>
    <xf numFmtId="166" fontId="1" fillId="0" borderId="0" xfId="2" applyAlignment="1">
      <alignment vertical="center"/>
    </xf>
    <xf numFmtId="166" fontId="9" fillId="0" borderId="0" xfId="2" applyFont="1" applyAlignment="1">
      <alignment horizontal="center"/>
    </xf>
    <xf numFmtId="166" fontId="6" fillId="0" borderId="0" xfId="2" applyFont="1"/>
    <xf numFmtId="166" fontId="6" fillId="0" borderId="0" xfId="2" applyFont="1" applyAlignment="1">
      <alignment horizontal="center"/>
    </xf>
    <xf numFmtId="166" fontId="7" fillId="0" borderId="0" xfId="2" applyFont="1" applyBorder="1" applyAlignment="1">
      <alignment horizontal="center"/>
    </xf>
    <xf numFmtId="166" fontId="1" fillId="0" borderId="0" xfId="2" applyAlignment="1">
      <alignment horizontal="center"/>
    </xf>
    <xf numFmtId="166" fontId="6" fillId="0" borderId="0" xfId="2" applyFont="1" applyBorder="1" applyAlignment="1">
      <alignment horizontal="center"/>
    </xf>
    <xf numFmtId="44" fontId="0" fillId="0" borderId="0" xfId="1" applyFont="1"/>
    <xf numFmtId="44" fontId="0" fillId="0" borderId="7" xfId="1" applyFont="1" applyBorder="1"/>
    <xf numFmtId="166" fontId="8" fillId="0" borderId="0" xfId="0" applyFont="1"/>
    <xf numFmtId="166" fontId="7" fillId="0" borderId="0" xfId="0" applyFont="1"/>
    <xf numFmtId="166" fontId="0" fillId="0" borderId="0" xfId="0" applyBorder="1"/>
    <xf numFmtId="166" fontId="0" fillId="0" borderId="0" xfId="0" applyAlignment="1">
      <alignment horizontal="right"/>
    </xf>
    <xf numFmtId="44" fontId="0" fillId="0" borderId="0" xfId="1" applyFont="1" applyBorder="1"/>
    <xf numFmtId="166" fontId="7" fillId="0" borderId="0" xfId="2" applyFont="1" applyBorder="1"/>
    <xf numFmtId="4" fontId="9" fillId="0" borderId="0" xfId="2" applyNumberFormat="1" applyFont="1" applyBorder="1"/>
    <xf numFmtId="44" fontId="7" fillId="0" borderId="0" xfId="1" applyFont="1" applyFill="1" applyBorder="1"/>
    <xf numFmtId="166" fontId="8" fillId="0" borderId="0" xfId="0" applyFont="1" applyBorder="1"/>
    <xf numFmtId="44" fontId="0" fillId="0" borderId="0" xfId="0" applyNumberFormat="1" applyBorder="1"/>
    <xf numFmtId="166" fontId="7" fillId="0" borderId="0" xfId="0" applyFont="1" applyBorder="1"/>
    <xf numFmtId="44" fontId="4" fillId="0" borderId="0" xfId="1" applyFont="1" applyBorder="1"/>
    <xf numFmtId="44" fontId="1" fillId="0" borderId="0" xfId="1" applyFont="1" applyBorder="1"/>
    <xf numFmtId="166" fontId="1" fillId="0" borderId="18" xfId="2" applyFont="1" applyBorder="1" applyAlignment="1">
      <alignment horizontal="center"/>
    </xf>
    <xf numFmtId="44" fontId="1" fillId="0" borderId="7" xfId="1" applyFont="1" applyBorder="1"/>
    <xf numFmtId="44" fontId="1" fillId="0" borderId="0" xfId="1" applyFont="1" applyBorder="1" applyAlignment="1">
      <alignment horizontal="center"/>
    </xf>
    <xf numFmtId="166" fontId="7" fillId="0" borderId="0" xfId="2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left" vertical="center"/>
    </xf>
    <xf numFmtId="2" fontId="13" fillId="0" borderId="0" xfId="2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0" xfId="0" applyNumberFormat="1" applyBorder="1" applyAlignment="1">
      <alignment vertical="center"/>
    </xf>
    <xf numFmtId="44" fontId="1" fillId="0" borderId="10" xfId="1" applyFont="1" applyBorder="1"/>
    <xf numFmtId="44" fontId="1" fillId="0" borderId="12" xfId="1" applyFont="1" applyBorder="1" applyAlignment="1">
      <alignment horizontal="left"/>
    </xf>
    <xf numFmtId="44" fontId="1" fillId="0" borderId="8" xfId="1" applyFont="1" applyBorder="1" applyAlignment="1">
      <alignment horizontal="left"/>
    </xf>
    <xf numFmtId="166" fontId="1" fillId="0" borderId="18" xfId="2" applyFont="1" applyBorder="1"/>
    <xf numFmtId="166" fontId="3" fillId="0" borderId="0" xfId="3" quotePrefix="1" applyFont="1" applyFill="1" applyBorder="1" applyAlignment="1">
      <alignment horizontal="center"/>
    </xf>
    <xf numFmtId="166" fontId="0" fillId="0" borderId="7" xfId="0" applyBorder="1"/>
    <xf numFmtId="166" fontId="15" fillId="0" borderId="0" xfId="0" applyFont="1"/>
    <xf numFmtId="166" fontId="1" fillId="0" borderId="5" xfId="2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166" fontId="9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166" fontId="15" fillId="0" borderId="0" xfId="0" applyFont="1" applyBorder="1"/>
    <xf numFmtId="166" fontId="0" fillId="0" borderId="0" xfId="0" applyBorder="1" applyAlignment="1">
      <alignment horizontal="left" indent="1"/>
    </xf>
    <xf numFmtId="4" fontId="0" fillId="0" borderId="0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1" applyNumberFormat="1" applyFont="1" applyBorder="1"/>
    <xf numFmtId="166" fontId="7" fillId="0" borderId="0" xfId="0" applyFont="1" applyBorder="1" applyAlignment="1">
      <alignment horizontal="left" indent="1"/>
    </xf>
    <xf numFmtId="44" fontId="1" fillId="0" borderId="0" xfId="1" applyFont="1" applyBorder="1" applyAlignment="1">
      <alignment horizontal="right"/>
    </xf>
    <xf numFmtId="44" fontId="16" fillId="0" borderId="0" xfId="0" applyNumberFormat="1" applyFont="1" applyBorder="1"/>
    <xf numFmtId="166" fontId="0" fillId="0" borderId="0" xfId="0" applyAlignment="1">
      <alignment horizontal="center"/>
    </xf>
    <xf numFmtId="166" fontId="1" fillId="0" borderId="0" xfId="0" applyFont="1" applyBorder="1"/>
    <xf numFmtId="166" fontId="1" fillId="0" borderId="0" xfId="0" applyFont="1" applyFill="1" applyBorder="1"/>
    <xf numFmtId="166" fontId="1" fillId="0" borderId="0" xfId="0" applyFont="1" applyAlignment="1">
      <alignment horizontal="right"/>
    </xf>
    <xf numFmtId="44" fontId="6" fillId="0" borderId="0" xfId="1" applyFont="1" applyBorder="1" applyAlignment="1">
      <alignment horizontal="center"/>
    </xf>
    <xf numFmtId="17" fontId="1" fillId="0" borderId="0" xfId="0" quotePrefix="1" applyNumberFormat="1" applyFont="1" applyBorder="1" applyAlignment="1">
      <alignment horizontal="right"/>
    </xf>
    <xf numFmtId="166" fontId="1" fillId="0" borderId="17" xfId="2" applyFont="1" applyBorder="1" applyAlignment="1">
      <alignment horizontal="center"/>
    </xf>
    <xf numFmtId="166" fontId="1" fillId="0" borderId="6" xfId="2" applyFont="1" applyBorder="1" applyAlignment="1">
      <alignment horizontal="center"/>
    </xf>
    <xf numFmtId="166" fontId="0" fillId="0" borderId="7" xfId="0" applyBorder="1" applyAlignment="1">
      <alignment horizontal="right"/>
    </xf>
    <xf numFmtId="166" fontId="0" fillId="0" borderId="7" xfId="0" applyBorder="1" applyAlignment="1">
      <alignment horizontal="center"/>
    </xf>
    <xf numFmtId="44" fontId="1" fillId="0" borderId="0" xfId="1" applyFont="1" applyBorder="1" applyAlignment="1">
      <alignment horizontal="left"/>
    </xf>
    <xf numFmtId="44" fontId="1" fillId="0" borderId="0" xfId="1" applyFont="1" applyBorder="1" applyAlignment="1">
      <alignment vertical="center"/>
    </xf>
    <xf numFmtId="44" fontId="1" fillId="0" borderId="0" xfId="1" applyFont="1" applyFill="1" applyBorder="1"/>
    <xf numFmtId="166" fontId="1" fillId="0" borderId="18" xfId="2" applyFont="1" applyBorder="1" applyAlignment="1"/>
    <xf numFmtId="166" fontId="7" fillId="0" borderId="0" xfId="2" applyFont="1" applyBorder="1" applyAlignment="1">
      <alignment horizontal="right" vertical="center"/>
    </xf>
    <xf numFmtId="44" fontId="1" fillId="0" borderId="11" xfId="1" applyFont="1" applyBorder="1"/>
    <xf numFmtId="44" fontId="1" fillId="0" borderId="7" xfId="1" applyFont="1" applyBorder="1" applyAlignment="1">
      <alignment horizontal="right"/>
    </xf>
    <xf numFmtId="44" fontId="0" fillId="0" borderId="8" xfId="1" applyFont="1" applyBorder="1"/>
    <xf numFmtId="44" fontId="1" fillId="0" borderId="11" xfId="1" applyFont="1" applyFill="1" applyBorder="1"/>
    <xf numFmtId="49" fontId="1" fillId="0" borderId="0" xfId="0" applyNumberFormat="1" applyFont="1" applyBorder="1" applyAlignment="1">
      <alignment horizontal="right" vertical="center"/>
    </xf>
    <xf numFmtId="166" fontId="1" fillId="0" borderId="17" xfId="2" applyFont="1" applyBorder="1"/>
    <xf numFmtId="44" fontId="17" fillId="0" borderId="0" xfId="1" applyFont="1" applyBorder="1"/>
    <xf numFmtId="166" fontId="1" fillId="0" borderId="0" xfId="0" applyFont="1" applyBorder="1" applyAlignment="1">
      <alignment horizontal="right"/>
    </xf>
    <xf numFmtId="166" fontId="0" fillId="0" borderId="0" xfId="0" applyAlignment="1">
      <alignment horizontal="center"/>
    </xf>
    <xf numFmtId="44" fontId="0" fillId="0" borderId="0" xfId="1" applyFont="1" applyBorder="1" applyAlignment="1">
      <alignment horizontal="center"/>
    </xf>
    <xf numFmtId="44" fontId="21" fillId="0" borderId="0" xfId="1" applyFont="1" applyBorder="1"/>
    <xf numFmtId="49" fontId="0" fillId="0" borderId="0" xfId="0" applyNumberFormat="1" applyAlignment="1">
      <alignment horizontal="center"/>
    </xf>
    <xf numFmtId="49" fontId="0" fillId="0" borderId="7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right" vertical="center"/>
    </xf>
    <xf numFmtId="165" fontId="0" fillId="0" borderId="0" xfId="0" applyNumberForma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 vertical="center"/>
    </xf>
    <xf numFmtId="165" fontId="1" fillId="0" borderId="7" xfId="0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right"/>
    </xf>
    <xf numFmtId="44" fontId="24" fillId="0" borderId="0" xfId="1" applyFont="1" applyBorder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" fillId="0" borderId="0" xfId="0" quotePrefix="1" applyNumberFormat="1" applyFont="1" applyBorder="1" applyAlignment="1">
      <alignment horizontal="center"/>
    </xf>
    <xf numFmtId="166" fontId="26" fillId="0" borderId="0" xfId="2" quotePrefix="1" applyFont="1"/>
    <xf numFmtId="166" fontId="1" fillId="0" borderId="0" xfId="2" applyFont="1" applyBorder="1" applyAlignment="1">
      <alignment horizontal="center"/>
    </xf>
    <xf numFmtId="44" fontId="27" fillId="0" borderId="0" xfId="1" applyFont="1" applyBorder="1" applyAlignment="1">
      <alignment horizontal="left"/>
    </xf>
    <xf numFmtId="166" fontId="4" fillId="0" borderId="0" xfId="2" applyFont="1" applyBorder="1" applyAlignment="1">
      <alignment horizontal="center"/>
    </xf>
    <xf numFmtId="166" fontId="16" fillId="0" borderId="0" xfId="0" applyFont="1" applyFill="1"/>
    <xf numFmtId="49" fontId="1" fillId="0" borderId="7" xfId="0" applyNumberFormat="1" applyFont="1" applyBorder="1" applyAlignment="1">
      <alignment horizontal="center" vertical="center"/>
    </xf>
    <xf numFmtId="166" fontId="0" fillId="0" borderId="0" xfId="0" applyFill="1" applyBorder="1"/>
    <xf numFmtId="166" fontId="0" fillId="2" borderId="0" xfId="0" applyFill="1"/>
    <xf numFmtId="44" fontId="0" fillId="2" borderId="0" xfId="1" applyFont="1" applyFill="1"/>
    <xf numFmtId="166" fontId="0" fillId="2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6" fontId="0" fillId="2" borderId="0" xfId="0" applyFill="1" applyBorder="1"/>
    <xf numFmtId="166" fontId="7" fillId="2" borderId="0" xfId="0" applyFont="1" applyFill="1" applyBorder="1"/>
    <xf numFmtId="44" fontId="0" fillId="2" borderId="0" xfId="1" applyFont="1" applyFill="1" applyBorder="1"/>
    <xf numFmtId="166" fontId="7" fillId="0" borderId="0" xfId="0" applyFont="1" applyAlignment="1">
      <alignment vertical="top"/>
    </xf>
    <xf numFmtId="166" fontId="28" fillId="0" borderId="0" xfId="0" applyFont="1" applyAlignment="1">
      <alignment vertical="center"/>
    </xf>
    <xf numFmtId="44" fontId="1" fillId="0" borderId="21" xfId="1" applyFont="1" applyFill="1" applyBorder="1" applyAlignment="1">
      <alignment vertical="center"/>
    </xf>
    <xf numFmtId="44" fontId="29" fillId="0" borderId="7" xfId="0" applyNumberFormat="1" applyFont="1" applyBorder="1" applyAlignment="1">
      <alignment horizontal="left" indent="1"/>
    </xf>
    <xf numFmtId="166" fontId="0" fillId="0" borderId="0" xfId="0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166" fontId="0" fillId="0" borderId="0" xfId="1" applyNumberFormat="1" applyFont="1" applyAlignment="1">
      <alignment horizontal="left" vertical="center"/>
    </xf>
    <xf numFmtId="166" fontId="0" fillId="2" borderId="0" xfId="0" applyNumberFormat="1" applyFill="1" applyAlignment="1">
      <alignment horizontal="left" vertical="center"/>
    </xf>
    <xf numFmtId="166" fontId="0" fillId="0" borderId="0" xfId="0" applyNumberFormat="1" applyBorder="1" applyAlignment="1">
      <alignment horizontal="left" vertical="center"/>
    </xf>
    <xf numFmtId="166" fontId="29" fillId="0" borderId="7" xfId="0" applyNumberFormat="1" applyFont="1" applyBorder="1" applyAlignment="1">
      <alignment horizontal="left" vertical="center" indent="1"/>
    </xf>
    <xf numFmtId="166" fontId="0" fillId="0" borderId="7" xfId="1" applyNumberFormat="1" applyFont="1" applyBorder="1" applyAlignment="1">
      <alignment horizontal="left" vertical="center"/>
    </xf>
    <xf numFmtId="166" fontId="1" fillId="0" borderId="0" xfId="0" applyFont="1" applyAlignment="1">
      <alignment horizontal="left"/>
    </xf>
    <xf numFmtId="166" fontId="1" fillId="0" borderId="0" xfId="0" applyFont="1" applyBorder="1" applyAlignment="1">
      <alignment horizontal="left"/>
    </xf>
    <xf numFmtId="44" fontId="1" fillId="0" borderId="7" xfId="1" applyFont="1" applyFill="1" applyBorder="1"/>
    <xf numFmtId="166" fontId="31" fillId="0" borderId="0" xfId="2" applyFont="1" applyBorder="1" applyAlignment="1">
      <alignment horizontal="right" vertical="center"/>
    </xf>
    <xf numFmtId="166" fontId="9" fillId="0" borderId="0" xfId="2" applyFont="1" applyBorder="1" applyAlignment="1">
      <alignment horizontal="center"/>
    </xf>
    <xf numFmtId="166" fontId="1" fillId="0" borderId="19" xfId="2" applyFont="1" applyBorder="1"/>
    <xf numFmtId="166" fontId="7" fillId="0" borderId="16" xfId="2" applyFont="1" applyBorder="1" applyAlignment="1">
      <alignment horizontal="center"/>
    </xf>
    <xf numFmtId="166" fontId="9" fillId="0" borderId="16" xfId="2" applyFont="1" applyBorder="1" applyAlignment="1">
      <alignment horizontal="center"/>
    </xf>
    <xf numFmtId="166" fontId="1" fillId="3" borderId="0" xfId="2" applyFill="1"/>
    <xf numFmtId="166" fontId="7" fillId="3" borderId="0" xfId="2" applyFont="1" applyFill="1" applyBorder="1" applyAlignment="1">
      <alignment horizontal="center"/>
    </xf>
    <xf numFmtId="166" fontId="7" fillId="3" borderId="0" xfId="2" applyFont="1" applyFill="1" applyBorder="1"/>
    <xf numFmtId="4" fontId="9" fillId="3" borderId="0" xfId="2" applyNumberFormat="1" applyFont="1" applyFill="1" applyBorder="1"/>
    <xf numFmtId="166" fontId="1" fillId="0" borderId="0" xfId="2" applyFont="1" applyBorder="1" applyAlignment="1">
      <alignment horizontal="left"/>
    </xf>
    <xf numFmtId="166" fontId="26" fillId="0" borderId="0" xfId="2" quotePrefix="1" applyFont="1" applyBorder="1"/>
    <xf numFmtId="166" fontId="1" fillId="0" borderId="6" xfId="2" applyFont="1" applyBorder="1" applyAlignment="1"/>
    <xf numFmtId="166" fontId="11" fillId="0" borderId="0" xfId="2" applyFont="1" applyBorder="1" applyAlignment="1">
      <alignment horizontal="right" indent="1"/>
    </xf>
    <xf numFmtId="43" fontId="2" fillId="0" borderId="13" xfId="5" applyFont="1" applyFill="1" applyBorder="1" applyAlignment="1">
      <alignment horizontal="right"/>
    </xf>
    <xf numFmtId="43" fontId="2" fillId="0" borderId="4" xfId="5" applyFont="1" applyFill="1" applyBorder="1" applyAlignment="1">
      <alignment horizontal="right"/>
    </xf>
    <xf numFmtId="43" fontId="2" fillId="0" borderId="22" xfId="5" applyFont="1" applyFill="1" applyBorder="1" applyAlignment="1">
      <alignment horizontal="right"/>
    </xf>
    <xf numFmtId="43" fontId="7" fillId="0" borderId="14" xfId="5" applyFont="1" applyBorder="1"/>
    <xf numFmtId="43" fontId="2" fillId="0" borderId="5" xfId="5" applyFont="1" applyFill="1" applyBorder="1" applyAlignment="1">
      <alignment horizontal="right"/>
    </xf>
    <xf numFmtId="43" fontId="1" fillId="0" borderId="0" xfId="1" applyNumberFormat="1" applyFont="1" applyBorder="1" applyAlignment="1">
      <alignment vertical="center"/>
    </xf>
    <xf numFmtId="43" fontId="1" fillId="0" borderId="23" xfId="1" applyNumberFormat="1" applyFont="1" applyBorder="1" applyAlignment="1">
      <alignment vertical="center"/>
    </xf>
    <xf numFmtId="166" fontId="33" fillId="0" borderId="0" xfId="2" applyFont="1" applyBorder="1" applyAlignment="1">
      <alignment horizontal="left" vertical="center" indent="1"/>
    </xf>
    <xf numFmtId="4" fontId="9" fillId="0" borderId="0" xfId="2" applyNumberFormat="1" applyFont="1" applyBorder="1" applyAlignment="1">
      <alignment vertical="center"/>
    </xf>
    <xf numFmtId="2" fontId="12" fillId="0" borderId="0" xfId="2" applyNumberFormat="1" applyFont="1" applyAlignment="1">
      <alignment horizontal="left" vertical="center"/>
    </xf>
    <xf numFmtId="2" fontId="11" fillId="0" borderId="0" xfId="2" applyNumberFormat="1" applyFont="1" applyBorder="1" applyAlignment="1">
      <alignment horizontal="right" vertical="center" indent="1"/>
    </xf>
    <xf numFmtId="44" fontId="7" fillId="0" borderId="2" xfId="1" applyFont="1" applyBorder="1" applyAlignment="1">
      <alignment horizontal="center" vertical="center"/>
    </xf>
    <xf numFmtId="44" fontId="34" fillId="0" borderId="7" xfId="1" applyFont="1" applyBorder="1"/>
    <xf numFmtId="49" fontId="10" fillId="0" borderId="0" xfId="3" applyNumberFormat="1" applyFont="1" applyAlignment="1"/>
    <xf numFmtId="166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6" fontId="11" fillId="0" borderId="0" xfId="0" applyFont="1" applyAlignment="1">
      <alignment horizontal="right"/>
    </xf>
    <xf numFmtId="2" fontId="21" fillId="0" borderId="0" xfId="0" applyNumberFormat="1" applyFont="1" applyAlignment="1">
      <alignment horizontal="right"/>
    </xf>
    <xf numFmtId="44" fontId="1" fillId="0" borderId="12" xfId="1" applyFont="1" applyBorder="1"/>
    <xf numFmtId="44" fontId="34" fillId="0" borderId="0" xfId="1" applyFont="1" applyBorder="1"/>
    <xf numFmtId="166" fontId="1" fillId="0" borderId="19" xfId="2" applyFont="1" applyBorder="1" applyAlignment="1">
      <alignment horizontal="center"/>
    </xf>
    <xf numFmtId="44" fontId="1" fillId="0" borderId="8" xfId="1" applyFont="1" applyBorder="1"/>
    <xf numFmtId="166" fontId="1" fillId="0" borderId="3" xfId="2" applyFont="1" applyBorder="1" applyAlignment="1">
      <alignment horizontal="center"/>
    </xf>
    <xf numFmtId="44" fontId="36" fillId="0" borderId="0" xfId="0" applyNumberFormat="1" applyFont="1" applyBorder="1" applyAlignment="1">
      <alignment horizontal="left" vertical="center"/>
    </xf>
    <xf numFmtId="43" fontId="7" fillId="0" borderId="0" xfId="5" applyFont="1" applyBorder="1"/>
    <xf numFmtId="44" fontId="21" fillId="0" borderId="7" xfId="1" applyFont="1" applyBorder="1"/>
    <xf numFmtId="166" fontId="0" fillId="0" borderId="7" xfId="0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166" fontId="32" fillId="0" borderId="0" xfId="2" quotePrefix="1" applyFont="1" applyAlignment="1">
      <alignment horizontal="center" vertical="center"/>
    </xf>
    <xf numFmtId="43" fontId="1" fillId="0" borderId="0" xfId="5" applyFont="1" applyBorder="1"/>
    <xf numFmtId="43" fontId="1" fillId="0" borderId="0" xfId="2" applyNumberFormat="1" applyBorder="1"/>
    <xf numFmtId="166" fontId="11" fillId="0" borderId="0" xfId="2" applyFont="1" applyBorder="1" applyAlignment="1">
      <alignment horizontal="left" indent="6"/>
    </xf>
    <xf numFmtId="166" fontId="22" fillId="0" borderId="0" xfId="0" quotePrefix="1" applyFont="1" applyAlignment="1">
      <alignment horizontal="right"/>
    </xf>
    <xf numFmtId="166" fontId="33" fillId="0" borderId="0" xfId="2" quotePrefix="1" applyFont="1" applyBorder="1" applyAlignment="1">
      <alignment horizontal="left" vertical="center" indent="1"/>
    </xf>
    <xf numFmtId="44" fontId="37" fillId="0" borderId="12" xfId="1" applyFont="1" applyBorder="1"/>
    <xf numFmtId="44" fontId="27" fillId="0" borderId="0" xfId="0" applyNumberFormat="1" applyFont="1"/>
    <xf numFmtId="44" fontId="20" fillId="0" borderId="0" xfId="1" applyFont="1"/>
    <xf numFmtId="43" fontId="2" fillId="0" borderId="24" xfId="5" applyFont="1" applyFill="1" applyBorder="1" applyAlignment="1">
      <alignment horizontal="right"/>
    </xf>
    <xf numFmtId="43" fontId="2" fillId="0" borderId="25" xfId="5" applyFont="1" applyFill="1" applyBorder="1" applyAlignment="1">
      <alignment horizontal="right"/>
    </xf>
    <xf numFmtId="166" fontId="1" fillId="0" borderId="26" xfId="2" applyFont="1" applyBorder="1"/>
    <xf numFmtId="166" fontId="1" fillId="0" borderId="24" xfId="2" applyFont="1" applyBorder="1"/>
    <xf numFmtId="166" fontId="1" fillId="0" borderId="25" xfId="2" applyFont="1" applyBorder="1"/>
    <xf numFmtId="166" fontId="38" fillId="0" borderId="0" xfId="2" applyFont="1"/>
    <xf numFmtId="43" fontId="38" fillId="0" borderId="0" xfId="1" applyNumberFormat="1" applyFont="1" applyBorder="1" applyAlignment="1">
      <alignment horizontal="right" vertical="center" indent="3"/>
    </xf>
    <xf numFmtId="43" fontId="2" fillId="0" borderId="27" xfId="5" applyFont="1" applyFill="1" applyBorder="1" applyAlignment="1">
      <alignment horizontal="right"/>
    </xf>
    <xf numFmtId="166" fontId="1" fillId="0" borderId="28" xfId="2" applyFont="1" applyBorder="1" applyAlignment="1">
      <alignment horizontal="center"/>
    </xf>
    <xf numFmtId="166" fontId="1" fillId="0" borderId="28" xfId="2" applyFont="1" applyBorder="1"/>
    <xf numFmtId="166" fontId="1" fillId="0" borderId="29" xfId="2" applyFont="1" applyBorder="1"/>
    <xf numFmtId="2" fontId="11" fillId="0" borderId="0" xfId="0" applyNumberFormat="1" applyFont="1" applyBorder="1" applyAlignment="1">
      <alignment horizontal="right"/>
    </xf>
    <xf numFmtId="166" fontId="1" fillId="0" borderId="0" xfId="2" quotePrefix="1"/>
    <xf numFmtId="166" fontId="11" fillId="0" borderId="0" xfId="0" quotePrefix="1" applyFont="1" applyAlignment="1">
      <alignment horizontal="right"/>
    </xf>
    <xf numFmtId="166" fontId="1" fillId="0" borderId="0" xfId="2" applyFont="1" applyAlignment="1">
      <alignment horizontal="center"/>
    </xf>
    <xf numFmtId="166" fontId="1" fillId="0" borderId="9" xfId="2" applyFont="1" applyBorder="1" applyAlignment="1">
      <alignment horizontal="center"/>
    </xf>
    <xf numFmtId="166" fontId="1" fillId="0" borderId="9" xfId="2" applyFont="1" applyBorder="1"/>
    <xf numFmtId="44" fontId="7" fillId="0" borderId="0" xfId="1" applyFont="1" applyFill="1" applyBorder="1" applyAlignment="1">
      <alignment horizontal="right"/>
    </xf>
    <xf numFmtId="44" fontId="14" fillId="0" borderId="0" xfId="1" applyFont="1" applyFill="1" applyBorder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66" fontId="0" fillId="0" borderId="0" xfId="0" applyBorder="1" applyAlignment="1">
      <alignment horizontal="center"/>
    </xf>
    <xf numFmtId="165" fontId="16" fillId="0" borderId="0" xfId="0" applyNumberFormat="1" applyFont="1" applyBorder="1" applyAlignment="1">
      <alignment horizontal="right" vertical="center"/>
    </xf>
    <xf numFmtId="44" fontId="1" fillId="0" borderId="0" xfId="0" applyNumberFormat="1" applyFont="1" applyBorder="1" applyAlignment="1">
      <alignment vertical="center"/>
    </xf>
    <xf numFmtId="44" fontId="1" fillId="0" borderId="0" xfId="1" applyFont="1" applyBorder="1" applyAlignment="1"/>
    <xf numFmtId="166" fontId="0" fillId="0" borderId="0" xfId="0" applyFill="1" applyAlignment="1">
      <alignment vertical="center"/>
    </xf>
    <xf numFmtId="44" fontId="21" fillId="0" borderId="0" xfId="1" applyFont="1" applyFill="1" applyBorder="1" applyAlignment="1">
      <alignment horizontal="right" vertical="center"/>
    </xf>
    <xf numFmtId="44" fontId="1" fillId="0" borderId="0" xfId="1" applyFont="1" applyFill="1" applyBorder="1" applyAlignment="1">
      <alignment vertical="center"/>
    </xf>
    <xf numFmtId="2" fontId="1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166" fontId="1" fillId="0" borderId="0" xfId="0" applyFont="1" applyAlignment="1">
      <alignment horizontal="right" vertical="center"/>
    </xf>
    <xf numFmtId="166" fontId="0" fillId="0" borderId="0" xfId="0" applyAlignment="1">
      <alignment vertical="center"/>
    </xf>
    <xf numFmtId="44" fontId="0" fillId="0" borderId="0" xfId="1" applyFont="1" applyBorder="1" applyAlignment="1">
      <alignment vertical="center"/>
    </xf>
    <xf numFmtId="166" fontId="15" fillId="0" borderId="0" xfId="0" applyFont="1" applyBorder="1" applyAlignment="1">
      <alignment vertical="center"/>
    </xf>
    <xf numFmtId="166" fontId="0" fillId="0" borderId="0" xfId="0" applyBorder="1" applyAlignment="1">
      <alignment vertical="center"/>
    </xf>
    <xf numFmtId="44" fontId="0" fillId="0" borderId="0" xfId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4" fontId="1" fillId="0" borderId="8" xfId="1" applyFont="1" applyBorder="1" applyAlignment="1">
      <alignment vertical="center"/>
    </xf>
    <xf numFmtId="44" fontId="1" fillId="0" borderId="11" xfId="1" applyFont="1" applyFill="1" applyBorder="1" applyAlignment="1">
      <alignment vertical="center"/>
    </xf>
    <xf numFmtId="166" fontId="1" fillId="0" borderId="0" xfId="0" quotePrefix="1" applyFont="1"/>
    <xf numFmtId="43" fontId="38" fillId="0" borderId="0" xfId="1" applyNumberFormat="1" applyFont="1" applyBorder="1" applyAlignment="1">
      <alignment horizontal="right" vertical="center"/>
    </xf>
    <xf numFmtId="166" fontId="1" fillId="0" borderId="0" xfId="2" applyFont="1" applyBorder="1" applyAlignment="1">
      <alignment horizontal="left" vertical="center"/>
    </xf>
    <xf numFmtId="43" fontId="1" fillId="0" borderId="0" xfId="5" applyFont="1" applyBorder="1" applyAlignment="1">
      <alignment horizontal="left" vertical="center"/>
    </xf>
    <xf numFmtId="44" fontId="37" fillId="0" borderId="0" xfId="1" applyFont="1" applyBorder="1"/>
    <xf numFmtId="44" fontId="41" fillId="0" borderId="0" xfId="1" applyFont="1" applyBorder="1"/>
    <xf numFmtId="44" fontId="37" fillId="0" borderId="8" xfId="1" applyFont="1" applyBorder="1" applyAlignment="1">
      <alignment horizontal="left"/>
    </xf>
    <xf numFmtId="44" fontId="21" fillId="0" borderId="0" xfId="1" applyFont="1" applyBorder="1" applyAlignment="1">
      <alignment horizontal="left"/>
    </xf>
    <xf numFmtId="44" fontId="40" fillId="0" borderId="0" xfId="0" applyNumberFormat="1" applyFont="1" applyBorder="1" applyAlignment="1">
      <alignment vertical="center"/>
    </xf>
    <xf numFmtId="14" fontId="14" fillId="0" borderId="0" xfId="1" applyNumberFormat="1" applyFont="1" applyFill="1" applyBorder="1" applyAlignment="1">
      <alignment horizontal="right"/>
    </xf>
    <xf numFmtId="44" fontId="16" fillId="0" borderId="0" xfId="1" quotePrefix="1" applyFont="1" applyFill="1" applyBorder="1"/>
    <xf numFmtId="44" fontId="16" fillId="0" borderId="0" xfId="1" applyFont="1" applyBorder="1" applyAlignment="1">
      <alignment horizontal="left"/>
    </xf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166" fontId="7" fillId="0" borderId="16" xfId="2" applyFont="1" applyBorder="1" applyAlignment="1">
      <alignment horizontal="center"/>
    </xf>
    <xf numFmtId="166" fontId="1" fillId="0" borderId="2" xfId="2" applyFont="1" applyBorder="1"/>
    <xf numFmtId="43" fontId="2" fillId="0" borderId="30" xfId="5" applyFont="1" applyFill="1" applyBorder="1" applyAlignment="1">
      <alignment horizontal="right"/>
    </xf>
    <xf numFmtId="43" fontId="1" fillId="0" borderId="0" xfId="5" quotePrefix="1" applyFont="1" applyBorder="1"/>
    <xf numFmtId="2" fontId="21" fillId="0" borderId="0" xfId="0" applyNumberFormat="1" applyFont="1"/>
    <xf numFmtId="166" fontId="42" fillId="0" borderId="0" xfId="2" quotePrefix="1" applyFont="1"/>
    <xf numFmtId="0" fontId="9" fillId="0" borderId="0" xfId="1" applyNumberFormat="1" applyFont="1" applyBorder="1" applyAlignment="1">
      <alignment horizontal="left" vertical="center"/>
    </xf>
    <xf numFmtId="44" fontId="16" fillId="0" borderId="0" xfId="1" applyFont="1" applyBorder="1"/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3" fontId="10" fillId="0" borderId="0" xfId="5" applyFont="1" applyAlignment="1"/>
    <xf numFmtId="43" fontId="9" fillId="3" borderId="0" xfId="5" applyFont="1" applyFill="1" applyBorder="1"/>
    <xf numFmtId="43" fontId="9" fillId="0" borderId="0" xfId="5" applyFont="1" applyBorder="1"/>
    <xf numFmtId="43" fontId="4" fillId="0" borderId="0" xfId="5" applyFont="1" applyAlignment="1">
      <alignment horizontal="center"/>
    </xf>
    <xf numFmtId="43" fontId="1" fillId="0" borderId="0" xfId="5" applyFont="1"/>
    <xf numFmtId="43" fontId="9" fillId="0" borderId="0" xfId="5" applyFont="1" applyBorder="1" applyAlignment="1">
      <alignment vertical="center"/>
    </xf>
    <xf numFmtId="43" fontId="1" fillId="0" borderId="0" xfId="5" applyFont="1" applyAlignment="1">
      <alignment vertical="center"/>
    </xf>
    <xf numFmtId="43" fontId="6" fillId="0" borderId="0" xfId="5" applyFont="1"/>
    <xf numFmtId="49" fontId="1" fillId="0" borderId="0" xfId="2" applyNumberFormat="1" applyBorder="1"/>
    <xf numFmtId="49" fontId="9" fillId="3" borderId="0" xfId="2" applyNumberFormat="1" applyFont="1" applyFill="1" applyBorder="1"/>
    <xf numFmtId="49" fontId="9" fillId="0" borderId="0" xfId="2" applyNumberFormat="1" applyFont="1" applyBorder="1"/>
    <xf numFmtId="49" fontId="4" fillId="0" borderId="0" xfId="2" applyNumberFormat="1" applyFont="1" applyBorder="1" applyAlignment="1">
      <alignment horizontal="center"/>
    </xf>
    <xf numFmtId="49" fontId="1" fillId="0" borderId="0" xfId="2" applyNumberFormat="1"/>
    <xf numFmtId="49" fontId="4" fillId="0" borderId="0" xfId="2" applyNumberFormat="1" applyFont="1" applyAlignment="1">
      <alignment horizontal="center"/>
    </xf>
    <xf numFmtId="49" fontId="9" fillId="0" borderId="0" xfId="2" applyNumberFormat="1" applyFont="1" applyBorder="1" applyAlignment="1">
      <alignment vertical="center"/>
    </xf>
    <xf numFmtId="49" fontId="12" fillId="0" borderId="0" xfId="2" applyNumberFormat="1" applyFont="1" applyAlignment="1">
      <alignment horizontal="left" vertical="center"/>
    </xf>
    <xf numFmtId="49" fontId="6" fillId="0" borderId="0" xfId="2" applyNumberFormat="1" applyFont="1"/>
    <xf numFmtId="49" fontId="1" fillId="0" borderId="0" xfId="2" applyNumberFormat="1" applyBorder="1" applyAlignment="1">
      <alignment horizontal="right"/>
    </xf>
    <xf numFmtId="43" fontId="6" fillId="0" borderId="0" xfId="5" applyFont="1" applyBorder="1" applyAlignment="1">
      <alignment horizontal="center"/>
    </xf>
    <xf numFmtId="43" fontId="1" fillId="0" borderId="7" xfId="5" applyFont="1" applyBorder="1" applyAlignment="1">
      <alignment horizontal="center"/>
    </xf>
    <xf numFmtId="49" fontId="43" fillId="0" borderId="0" xfId="2" applyNumberFormat="1" applyFont="1" applyBorder="1" applyAlignment="1">
      <alignment horizontal="right"/>
    </xf>
    <xf numFmtId="43" fontId="4" fillId="0" borderId="1" xfId="5" applyFont="1" applyBorder="1" applyAlignment="1">
      <alignment horizontal="center"/>
    </xf>
    <xf numFmtId="166" fontId="1" fillId="0" borderId="31" xfId="2" applyFont="1" applyBorder="1" applyAlignment="1">
      <alignment horizontal="center"/>
    </xf>
    <xf numFmtId="43" fontId="1" fillId="0" borderId="32" xfId="5" applyFont="1" applyBorder="1"/>
    <xf numFmtId="43" fontId="1" fillId="0" borderId="31" xfId="5" applyFont="1" applyBorder="1"/>
    <xf numFmtId="166" fontId="1" fillId="0" borderId="33" xfId="2" applyFont="1" applyBorder="1" applyAlignment="1">
      <alignment horizontal="center"/>
    </xf>
    <xf numFmtId="166" fontId="1" fillId="0" borderId="33" xfId="2" applyFont="1" applyBorder="1"/>
    <xf numFmtId="166" fontId="1" fillId="0" borderId="34" xfId="2" applyFont="1" applyBorder="1"/>
    <xf numFmtId="166" fontId="1" fillId="0" borderId="35" xfId="2" applyFont="1" applyBorder="1" applyAlignment="1">
      <alignment horizontal="center"/>
    </xf>
    <xf numFmtId="166" fontId="1" fillId="0" borderId="35" xfId="2" applyFont="1" applyBorder="1"/>
    <xf numFmtId="43" fontId="2" fillId="0" borderId="37" xfId="5" applyFont="1" applyFill="1" applyBorder="1" applyAlignment="1">
      <alignment horizontal="right"/>
    </xf>
    <xf numFmtId="43" fontId="2" fillId="0" borderId="36" xfId="5" applyFont="1" applyFill="1" applyBorder="1" applyAlignment="1">
      <alignment horizontal="right"/>
    </xf>
    <xf numFmtId="166" fontId="1" fillId="0" borderId="37" xfId="2" applyFont="1" applyBorder="1" applyAlignment="1">
      <alignment horizontal="center"/>
    </xf>
    <xf numFmtId="166" fontId="1" fillId="0" borderId="19" xfId="2" applyFont="1" applyBorder="1" applyAlignment="1"/>
    <xf numFmtId="166" fontId="1" fillId="0" borderId="39" xfId="2" applyFont="1" applyBorder="1" applyAlignment="1">
      <alignment horizontal="center"/>
    </xf>
    <xf numFmtId="166" fontId="1" fillId="0" borderId="39" xfId="2" applyFont="1" applyBorder="1" applyAlignment="1">
      <alignment horizontal="left"/>
    </xf>
    <xf numFmtId="166" fontId="1" fillId="0" borderId="38" xfId="2" applyFont="1" applyBorder="1" applyAlignment="1">
      <alignment horizontal="left"/>
    </xf>
    <xf numFmtId="43" fontId="1" fillId="0" borderId="16" xfId="5" applyFont="1" applyBorder="1"/>
    <xf numFmtId="166" fontId="1" fillId="0" borderId="16" xfId="2" applyFont="1" applyBorder="1" applyAlignment="1">
      <alignment horizontal="center"/>
    </xf>
    <xf numFmtId="166" fontId="1" fillId="0" borderId="16" xfId="2" applyFont="1" applyBorder="1" applyAlignment="1">
      <alignment horizontal="left"/>
    </xf>
    <xf numFmtId="166" fontId="1" fillId="0" borderId="29" xfId="2" applyFont="1" applyBorder="1" applyAlignment="1">
      <alignment horizontal="left"/>
    </xf>
    <xf numFmtId="43" fontId="2" fillId="0" borderId="14" xfId="5" applyFont="1" applyFill="1" applyBorder="1" applyAlignment="1">
      <alignment horizontal="right"/>
    </xf>
    <xf numFmtId="166" fontId="21" fillId="0" borderId="0" xfId="0" applyNumberFormat="1" applyFont="1" applyBorder="1" applyAlignment="1">
      <alignment horizontal="left" vertical="center"/>
    </xf>
    <xf numFmtId="44" fontId="7" fillId="0" borderId="0" xfId="1" applyFont="1" applyBorder="1"/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vertical="center"/>
    </xf>
    <xf numFmtId="44" fontId="16" fillId="0" borderId="0" xfId="0" applyNumberFormat="1" applyFont="1" applyBorder="1" applyAlignment="1">
      <alignment vertical="center"/>
    </xf>
    <xf numFmtId="166" fontId="1" fillId="0" borderId="39" xfId="2" applyFont="1" applyBorder="1"/>
    <xf numFmtId="166" fontId="1" fillId="0" borderId="38" xfId="2" applyFont="1" applyBorder="1"/>
    <xf numFmtId="44" fontId="17" fillId="0" borderId="11" xfId="1" applyFont="1" applyBorder="1"/>
    <xf numFmtId="2" fontId="11" fillId="0" borderId="7" xfId="0" applyNumberFormat="1" applyFont="1" applyBorder="1" applyAlignment="1">
      <alignment horizontal="right" vertical="center"/>
    </xf>
    <xf numFmtId="44" fontId="27" fillId="0" borderId="7" xfId="0" applyNumberFormat="1" applyFont="1" applyBorder="1"/>
    <xf numFmtId="166" fontId="11" fillId="0" borderId="0" xfId="2" applyFont="1" applyBorder="1" applyAlignment="1">
      <alignment horizontal="left"/>
    </xf>
    <xf numFmtId="44" fontId="1" fillId="0" borderId="1" xfId="0" applyNumberFormat="1" applyFont="1" applyBorder="1" applyAlignment="1">
      <alignment vertical="center"/>
    </xf>
    <xf numFmtId="44" fontId="21" fillId="0" borderId="0" xfId="1" applyFont="1" applyBorder="1" applyAlignment="1">
      <alignment horizontal="center"/>
    </xf>
    <xf numFmtId="44" fontId="11" fillId="0" borderId="0" xfId="1" applyFont="1" applyBorder="1" applyAlignment="1">
      <alignment horizontal="left"/>
    </xf>
    <xf numFmtId="166" fontId="16" fillId="0" borderId="0" xfId="2" quotePrefix="1" applyFont="1"/>
    <xf numFmtId="2" fontId="21" fillId="0" borderId="0" xfId="0" quotePrefix="1" applyNumberFormat="1" applyFont="1"/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166" fontId="1" fillId="0" borderId="0" xfId="2" applyFont="1" applyBorder="1"/>
    <xf numFmtId="166" fontId="1" fillId="0" borderId="15" xfId="2" applyFont="1" applyBorder="1"/>
    <xf numFmtId="166" fontId="1" fillId="0" borderId="40" xfId="2" applyFont="1" applyBorder="1"/>
    <xf numFmtId="44" fontId="39" fillId="0" borderId="0" xfId="0" applyNumberFormat="1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44" fontId="7" fillId="0" borderId="0" xfId="0" applyNumberFormat="1" applyFont="1" applyBorder="1" applyAlignment="1">
      <alignment vertical="center"/>
    </xf>
    <xf numFmtId="44" fontId="2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right" vertical="center"/>
    </xf>
    <xf numFmtId="166" fontId="1" fillId="0" borderId="0" xfId="0" applyFont="1" applyBorder="1" applyAlignment="1">
      <alignment horizontal="left" vertical="center"/>
    </xf>
    <xf numFmtId="44" fontId="1" fillId="0" borderId="0" xfId="0" applyNumberFormat="1" applyFont="1" applyBorder="1" applyAlignment="1">
      <alignment horizontal="left" vertical="center"/>
    </xf>
    <xf numFmtId="167" fontId="1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Border="1" applyAlignment="1">
      <alignment vertical="center"/>
    </xf>
    <xf numFmtId="44" fontId="7" fillId="0" borderId="7" xfId="0" applyNumberFormat="1" applyFont="1" applyBorder="1" applyAlignment="1">
      <alignment vertical="center"/>
    </xf>
    <xf numFmtId="43" fontId="1" fillId="0" borderId="1" xfId="5" applyFont="1" applyBorder="1" applyAlignment="1">
      <alignment vertical="center"/>
    </xf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44" fontId="19" fillId="0" borderId="0" xfId="1" applyFont="1" applyBorder="1"/>
    <xf numFmtId="166" fontId="1" fillId="0" borderId="0" xfId="2" applyFont="1" applyBorder="1" applyAlignment="1">
      <alignment horizontal="left" indent="1"/>
    </xf>
    <xf numFmtId="44" fontId="44" fillId="0" borderId="7" xfId="0" applyNumberFormat="1" applyFont="1" applyBorder="1"/>
    <xf numFmtId="44" fontId="1" fillId="0" borderId="7" xfId="1" applyFont="1" applyBorder="1" applyAlignment="1"/>
    <xf numFmtId="166" fontId="23" fillId="0" borderId="0" xfId="0" applyFont="1" applyBorder="1" applyAlignment="1">
      <alignment horizontal="center" vertical="center" wrapText="1"/>
    </xf>
    <xf numFmtId="44" fontId="45" fillId="0" borderId="0" xfId="0" applyNumberFormat="1" applyFont="1" applyBorder="1" applyAlignment="1">
      <alignment vertical="center"/>
    </xf>
    <xf numFmtId="44" fontId="7" fillId="0" borderId="0" xfId="1" applyFont="1" applyBorder="1" applyAlignment="1">
      <alignment horizontal="left"/>
    </xf>
    <xf numFmtId="14" fontId="21" fillId="0" borderId="0" xfId="0" applyNumberFormat="1" applyFont="1" applyBorder="1" applyAlignment="1">
      <alignment horizontal="right" vertical="center"/>
    </xf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44" fontId="19" fillId="0" borderId="11" xfId="1" applyFont="1" applyBorder="1"/>
    <xf numFmtId="44" fontId="21" fillId="0" borderId="0" xfId="1" applyFont="1" applyBorder="1" applyAlignment="1"/>
    <xf numFmtId="14" fontId="21" fillId="0" borderId="0" xfId="0" applyNumberFormat="1" applyFont="1" applyBorder="1" applyAlignment="1">
      <alignment vertical="center"/>
    </xf>
    <xf numFmtId="43" fontId="38" fillId="0" borderId="0" xfId="1" applyNumberFormat="1" applyFon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13" fontId="1" fillId="0" borderId="0" xfId="0" quotePrefix="1" applyNumberFormat="1" applyFont="1" applyBorder="1" applyAlignment="1">
      <alignment horizontal="center" vertical="center"/>
    </xf>
    <xf numFmtId="44" fontId="11" fillId="0" borderId="0" xfId="1" applyFont="1" applyBorder="1" applyAlignment="1">
      <alignment horizontal="right"/>
    </xf>
    <xf numFmtId="44" fontId="11" fillId="0" borderId="0" xfId="0" applyNumberFormat="1" applyFont="1" applyBorder="1" applyAlignment="1">
      <alignment vertical="center"/>
    </xf>
    <xf numFmtId="166" fontId="0" fillId="0" borderId="0" xfId="1" applyNumberFormat="1" applyFont="1" applyBorder="1" applyAlignment="1">
      <alignment horizontal="left" vertical="center"/>
    </xf>
    <xf numFmtId="166" fontId="1" fillId="0" borderId="7" xfId="0" applyNumberFormat="1" applyFont="1" applyBorder="1" applyAlignment="1">
      <alignment horizontal="left" vertical="center"/>
    </xf>
    <xf numFmtId="166" fontId="1" fillId="0" borderId="7" xfId="0" applyFont="1" applyBorder="1" applyAlignment="1">
      <alignment horizontal="left"/>
    </xf>
    <xf numFmtId="14" fontId="1" fillId="0" borderId="0" xfId="0" applyNumberFormat="1" applyFont="1" applyBorder="1" applyAlignment="1">
      <alignment vertical="center"/>
    </xf>
    <xf numFmtId="166" fontId="46" fillId="0" borderId="0" xfId="0" applyFont="1" applyAlignment="1">
      <alignment vertical="center"/>
    </xf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43" fontId="26" fillId="0" borderId="0" xfId="5" quotePrefix="1" applyFont="1"/>
    <xf numFmtId="43" fontId="26" fillId="0" borderId="0" xfId="5" quotePrefix="1" applyFont="1" applyBorder="1"/>
    <xf numFmtId="43" fontId="1" fillId="0" borderId="0" xfId="5" quotePrefix="1" applyFont="1"/>
    <xf numFmtId="43" fontId="42" fillId="0" borderId="0" xfId="5" quotePrefix="1" applyFont="1"/>
    <xf numFmtId="43" fontId="7" fillId="0" borderId="0" xfId="5" applyFont="1" applyBorder="1" applyAlignment="1">
      <alignment horizontal="center" vertical="center"/>
    </xf>
    <xf numFmtId="43" fontId="7" fillId="0" borderId="0" xfId="5" applyFont="1" applyBorder="1" applyAlignment="1">
      <alignment horizontal="right" vertical="center"/>
    </xf>
    <xf numFmtId="43" fontId="13" fillId="0" borderId="0" xfId="5" applyFont="1" applyBorder="1" applyAlignment="1">
      <alignment vertical="center"/>
    </xf>
    <xf numFmtId="0" fontId="1" fillId="0" borderId="0" xfId="5" applyNumberFormat="1" applyFont="1" applyAlignment="1">
      <alignment horizontal="left" indent="1"/>
    </xf>
    <xf numFmtId="2" fontId="1" fillId="0" borderId="0" xfId="5" applyNumberFormat="1" applyFont="1" applyAlignment="1">
      <alignment horizontal="left" indent="1"/>
    </xf>
    <xf numFmtId="0" fontId="1" fillId="0" borderId="0" xfId="2" applyNumberFormat="1" applyAlignment="1">
      <alignment horizontal="left" indent="1"/>
    </xf>
    <xf numFmtId="166" fontId="1" fillId="0" borderId="6" xfId="2" applyFont="1" applyBorder="1"/>
    <xf numFmtId="166" fontId="1" fillId="0" borderId="14" xfId="2" applyFont="1" applyBorder="1" applyAlignment="1">
      <alignment horizontal="center"/>
    </xf>
    <xf numFmtId="2" fontId="1" fillId="0" borderId="0" xfId="2" applyNumberFormat="1" applyAlignment="1">
      <alignment horizontal="left" indent="1"/>
    </xf>
    <xf numFmtId="166" fontId="1" fillId="0" borderId="0" xfId="2" applyAlignment="1">
      <alignment horizontal="left" indent="1"/>
    </xf>
    <xf numFmtId="43" fontId="6" fillId="0" borderId="0" xfId="5" quotePrefix="1" applyFont="1"/>
    <xf numFmtId="43" fontId="6" fillId="0" borderId="0" xfId="5" quotePrefix="1" applyNumberFormat="1" applyFont="1"/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44" fontId="1" fillId="0" borderId="12" xfId="1" applyFont="1" applyBorder="1" applyAlignment="1">
      <alignment vertical="center"/>
    </xf>
    <xf numFmtId="44" fontId="39" fillId="0" borderId="0" xfId="1" applyFont="1" applyFill="1" applyBorder="1" applyAlignment="1">
      <alignment vertical="center"/>
    </xf>
    <xf numFmtId="166" fontId="1" fillId="0" borderId="0" xfId="2" quotePrefix="1" applyAlignment="1">
      <alignment horizontal="left" indent="1"/>
    </xf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166" fontId="47" fillId="0" borderId="0" xfId="2" applyFont="1"/>
    <xf numFmtId="4" fontId="9" fillId="0" borderId="2" xfId="2" applyNumberFormat="1" applyFont="1" applyBorder="1"/>
    <xf numFmtId="4" fontId="9" fillId="0" borderId="7" xfId="2" applyNumberFormat="1" applyFont="1" applyBorder="1"/>
    <xf numFmtId="166" fontId="1" fillId="0" borderId="0" xfId="2" applyFill="1"/>
    <xf numFmtId="166" fontId="7" fillId="0" borderId="0" xfId="2" applyFont="1" applyFill="1" applyBorder="1" applyAlignment="1">
      <alignment horizontal="center"/>
    </xf>
    <xf numFmtId="166" fontId="7" fillId="0" borderId="0" xfId="2" applyFont="1" applyFill="1" applyBorder="1"/>
    <xf numFmtId="4" fontId="9" fillId="0" borderId="0" xfId="2" applyNumberFormat="1" applyFont="1" applyFill="1" applyBorder="1"/>
    <xf numFmtId="168" fontId="6" fillId="0" borderId="0" xfId="0" quotePrefix="1" applyNumberFormat="1" applyFont="1" applyAlignment="1">
      <alignment horizontal="left"/>
    </xf>
    <xf numFmtId="4" fontId="48" fillId="0" borderId="0" xfId="2" applyNumberFormat="1" applyFont="1" applyBorder="1"/>
    <xf numFmtId="169" fontId="26" fillId="0" borderId="0" xfId="2" quotePrefix="1" applyNumberFormat="1" applyFont="1" applyBorder="1"/>
    <xf numFmtId="44" fontId="19" fillId="0" borderId="0" xfId="1" applyFont="1" applyFill="1" applyBorder="1"/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4" fontId="17" fillId="0" borderId="11" xfId="1" applyFont="1" applyFill="1" applyBorder="1" applyAlignment="1">
      <alignment vertical="center"/>
    </xf>
    <xf numFmtId="44" fontId="17" fillId="0" borderId="21" xfId="1" applyFont="1" applyFill="1" applyBorder="1" applyAlignment="1">
      <alignment vertical="center"/>
    </xf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44" fontId="16" fillId="0" borderId="0" xfId="1" applyFont="1" applyFill="1" applyBorder="1"/>
    <xf numFmtId="166" fontId="1" fillId="0" borderId="41" xfId="2" applyFont="1" applyBorder="1"/>
    <xf numFmtId="43" fontId="2" fillId="0" borderId="42" xfId="5" applyFont="1" applyFill="1" applyBorder="1" applyAlignment="1">
      <alignment horizontal="right"/>
    </xf>
    <xf numFmtId="166" fontId="1" fillId="0" borderId="43" xfId="2" applyFont="1" applyBorder="1"/>
    <xf numFmtId="166" fontId="1" fillId="0" borderId="44" xfId="2" applyFont="1" applyBorder="1"/>
    <xf numFmtId="166" fontId="1" fillId="0" borderId="7" xfId="2" applyFont="1" applyBorder="1"/>
    <xf numFmtId="166" fontId="1" fillId="0" borderId="20" xfId="2" applyFont="1" applyBorder="1"/>
    <xf numFmtId="166" fontId="1" fillId="0" borderId="4" xfId="2" applyFont="1" applyBorder="1" applyAlignment="1">
      <alignment horizontal="center"/>
    </xf>
    <xf numFmtId="166" fontId="1" fillId="0" borderId="42" xfId="2" applyFont="1" applyBorder="1" applyAlignment="1">
      <alignment horizontal="center"/>
    </xf>
    <xf numFmtId="44" fontId="17" fillId="0" borderId="11" xfId="1" applyFont="1" applyFill="1" applyBorder="1"/>
    <xf numFmtId="44" fontId="17" fillId="0" borderId="0" xfId="1" applyFont="1" applyFill="1" applyBorder="1"/>
    <xf numFmtId="43" fontId="1" fillId="0" borderId="0" xfId="5" applyFont="1" applyAlignment="1">
      <alignment horizontal="left"/>
    </xf>
    <xf numFmtId="170" fontId="1" fillId="0" borderId="0" xfId="5" applyNumberFormat="1" applyFont="1" applyAlignment="1">
      <alignment horizontal="left"/>
    </xf>
    <xf numFmtId="43" fontId="0" fillId="0" borderId="0" xfId="5" applyFont="1" applyBorder="1" applyAlignment="1">
      <alignment horizontal="left" vertical="center"/>
    </xf>
    <xf numFmtId="170" fontId="0" fillId="0" borderId="0" xfId="5" applyNumberFormat="1" applyFont="1" applyBorder="1" applyAlignment="1">
      <alignment horizontal="left" vertical="center"/>
    </xf>
    <xf numFmtId="166" fontId="21" fillId="0" borderId="0" xfId="0" applyNumberFormat="1" applyFont="1" applyBorder="1" applyAlignment="1">
      <alignment horizontal="right" vertical="center"/>
    </xf>
    <xf numFmtId="166" fontId="21" fillId="0" borderId="0" xfId="0" applyNumberFormat="1" applyFont="1" applyBorder="1" applyAlignment="1">
      <alignment horizontal="right" vertical="center" indent="1"/>
    </xf>
    <xf numFmtId="166" fontId="49" fillId="0" borderId="0" xfId="0" applyNumberFormat="1" applyFont="1" applyBorder="1" applyAlignment="1">
      <alignment horizontal="right" vertical="center" indent="1"/>
    </xf>
    <xf numFmtId="164" fontId="50" fillId="0" borderId="0" xfId="0" applyNumberFormat="1" applyFont="1" applyBorder="1" applyAlignment="1">
      <alignment horizontal="right" vertical="center"/>
    </xf>
    <xf numFmtId="44" fontId="51" fillId="0" borderId="0" xfId="1" applyFont="1" applyBorder="1"/>
    <xf numFmtId="44" fontId="52" fillId="0" borderId="0" xfId="1" applyFont="1" applyBorder="1"/>
    <xf numFmtId="44" fontId="52" fillId="0" borderId="0" xfId="1" applyFont="1" applyFill="1" applyBorder="1"/>
    <xf numFmtId="44" fontId="7" fillId="0" borderId="0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14" fontId="33" fillId="0" borderId="0" xfId="2" applyNumberFormat="1" applyFont="1" applyBorder="1" applyAlignment="1">
      <alignment horizontal="center" vertical="top"/>
    </xf>
    <xf numFmtId="166" fontId="1" fillId="0" borderId="0" xfId="2" applyFont="1" applyBorder="1" applyAlignment="1">
      <alignment horizontal="center" vertical="center" wrapText="1"/>
    </xf>
    <xf numFmtId="166" fontId="33" fillId="0" borderId="0" xfId="2" applyFont="1" applyBorder="1" applyAlignment="1">
      <alignment horizontal="center" vertical="top"/>
    </xf>
    <xf numFmtId="166" fontId="5" fillId="0" borderId="0" xfId="3" applyFont="1" applyBorder="1" applyAlignment="1">
      <alignment horizontal="center" vertical="center" wrapText="1"/>
    </xf>
    <xf numFmtId="49" fontId="35" fillId="0" borderId="0" xfId="3" applyNumberFormat="1" applyFont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166" fontId="7" fillId="0" borderId="0" xfId="0" applyFont="1" applyBorder="1" applyAlignment="1">
      <alignment horizontal="center" vertical="center" wrapText="1"/>
    </xf>
    <xf numFmtId="166" fontId="7" fillId="0" borderId="7" xfId="0" applyFont="1" applyBorder="1" applyAlignment="1">
      <alignment horizontal="center" vertical="center" wrapText="1"/>
    </xf>
    <xf numFmtId="166" fontId="23" fillId="0" borderId="0" xfId="0" applyFont="1" applyBorder="1" applyAlignment="1">
      <alignment horizontal="center" vertical="center" wrapText="1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33CC"/>
      <color rgb="FFFF00FF"/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490822" y="896410"/>
          <a:ext cx="145122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83946</xdr:rowOff>
    </xdr:from>
    <xdr:to>
      <xdr:col>0</xdr:col>
      <xdr:colOff>463786</xdr:colOff>
      <xdr:row>30</xdr:row>
      <xdr:rowOff>0</xdr:rowOff>
    </xdr:to>
    <xdr:sp macro="" textlink="">
      <xdr:nvSpPr>
        <xdr:cNvPr id="3" name="TextBox 2"/>
        <xdr:cNvSpPr txBox="1"/>
      </xdr:nvSpPr>
      <xdr:spPr>
        <a:xfrm rot="4938974">
          <a:off x="-557896" y="4087816"/>
          <a:ext cx="160607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37</xdr:row>
      <xdr:rowOff>82654</xdr:rowOff>
    </xdr:from>
    <xdr:to>
      <xdr:col>0</xdr:col>
      <xdr:colOff>483022</xdr:colOff>
      <xdr:row>49</xdr:row>
      <xdr:rowOff>0</xdr:rowOff>
    </xdr:to>
    <xdr:sp macro="" textlink="">
      <xdr:nvSpPr>
        <xdr:cNvPr id="4" name="TextBox 3"/>
        <xdr:cNvSpPr txBox="1"/>
      </xdr:nvSpPr>
      <xdr:spPr>
        <a:xfrm rot="4938974">
          <a:off x="-682537" y="7992776"/>
          <a:ext cx="189383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73</xdr:row>
      <xdr:rowOff>83990</xdr:rowOff>
    </xdr:from>
    <xdr:to>
      <xdr:col>0</xdr:col>
      <xdr:colOff>463120</xdr:colOff>
      <xdr:row>84</xdr:row>
      <xdr:rowOff>0</xdr:rowOff>
    </xdr:to>
    <xdr:sp macro="" textlink="">
      <xdr:nvSpPr>
        <xdr:cNvPr id="5" name="TextBox 4"/>
        <xdr:cNvSpPr txBox="1"/>
      </xdr:nvSpPr>
      <xdr:spPr>
        <a:xfrm rot="4938974">
          <a:off x="-553581" y="10959929"/>
          <a:ext cx="159611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98</xdr:row>
      <xdr:rowOff>0</xdr:rowOff>
    </xdr:from>
    <xdr:to>
      <xdr:col>0</xdr:col>
      <xdr:colOff>463120</xdr:colOff>
      <xdr:row>98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437287</xdr:colOff>
      <xdr:row>67</xdr:row>
      <xdr:rowOff>3071</xdr:rowOff>
    </xdr:to>
    <xdr:sp macro="" textlink="">
      <xdr:nvSpPr>
        <xdr:cNvPr id="9" name="TextBox 8"/>
        <xdr:cNvSpPr txBox="1"/>
      </xdr:nvSpPr>
      <xdr:spPr>
        <a:xfrm rot="4938974">
          <a:off x="-716342" y="9965117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89</xdr:row>
      <xdr:rowOff>0</xdr:rowOff>
    </xdr:from>
    <xdr:to>
      <xdr:col>0</xdr:col>
      <xdr:colOff>537855</xdr:colOff>
      <xdr:row>89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23168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89</xdr:row>
      <xdr:rowOff>0</xdr:rowOff>
    </xdr:from>
    <xdr:to>
      <xdr:col>0</xdr:col>
      <xdr:colOff>463120</xdr:colOff>
      <xdr:row>89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2354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437287</xdr:colOff>
      <xdr:row>89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2354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437287</xdr:colOff>
      <xdr:row>89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2354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0</xdr:rowOff>
    </xdr:to>
    <xdr:sp macro="" textlink="">
      <xdr:nvSpPr>
        <xdr:cNvPr id="2" name="TextBox 1"/>
        <xdr:cNvSpPr txBox="1"/>
      </xdr:nvSpPr>
      <xdr:spPr>
        <a:xfrm rot="4938974">
          <a:off x="-532514" y="938102"/>
          <a:ext cx="153460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22</xdr:row>
      <xdr:rowOff>0</xdr:rowOff>
    </xdr:from>
    <xdr:to>
      <xdr:col>0</xdr:col>
      <xdr:colOff>463786</xdr:colOff>
      <xdr:row>22</xdr:row>
      <xdr:rowOff>0</xdr:rowOff>
    </xdr:to>
    <xdr:sp macro="" textlink="">
      <xdr:nvSpPr>
        <xdr:cNvPr id="3" name="TextBox 2"/>
        <xdr:cNvSpPr txBox="1"/>
      </xdr:nvSpPr>
      <xdr:spPr>
        <a:xfrm rot="4938974">
          <a:off x="245143" y="3534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22</xdr:row>
      <xdr:rowOff>82654</xdr:rowOff>
    </xdr:from>
    <xdr:to>
      <xdr:col>0</xdr:col>
      <xdr:colOff>483022</xdr:colOff>
      <xdr:row>35</xdr:row>
      <xdr:rowOff>0</xdr:rowOff>
    </xdr:to>
    <xdr:sp macro="" textlink="">
      <xdr:nvSpPr>
        <xdr:cNvPr id="4" name="TextBox 3"/>
        <xdr:cNvSpPr txBox="1"/>
      </xdr:nvSpPr>
      <xdr:spPr>
        <a:xfrm rot="4938974">
          <a:off x="-746807" y="4628046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58</xdr:row>
      <xdr:rowOff>0</xdr:rowOff>
    </xdr:from>
    <xdr:to>
      <xdr:col>0</xdr:col>
      <xdr:colOff>463120</xdr:colOff>
      <xdr:row>58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6783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66</xdr:row>
      <xdr:rowOff>0</xdr:rowOff>
    </xdr:from>
    <xdr:to>
      <xdr:col>0</xdr:col>
      <xdr:colOff>463120</xdr:colOff>
      <xdr:row>66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8240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0</xdr:col>
      <xdr:colOff>437287</xdr:colOff>
      <xdr:row>66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8240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0</xdr:col>
      <xdr:colOff>437287</xdr:colOff>
      <xdr:row>66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8240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437287</xdr:colOff>
      <xdr:row>57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6621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58</xdr:row>
      <xdr:rowOff>0</xdr:rowOff>
    </xdr:from>
    <xdr:to>
      <xdr:col>0</xdr:col>
      <xdr:colOff>537855</xdr:colOff>
      <xdr:row>58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67459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58</xdr:row>
      <xdr:rowOff>0</xdr:rowOff>
    </xdr:from>
    <xdr:to>
      <xdr:col>0</xdr:col>
      <xdr:colOff>463120</xdr:colOff>
      <xdr:row>58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6783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437287</xdr:colOff>
      <xdr:row>58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6783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437287</xdr:colOff>
      <xdr:row>58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6783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-532514" y="938102"/>
          <a:ext cx="153460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12</xdr:row>
      <xdr:rowOff>0</xdr:rowOff>
    </xdr:to>
    <xdr:sp macro="" textlink="">
      <xdr:nvSpPr>
        <xdr:cNvPr id="4" name="TextBox 3"/>
        <xdr:cNvSpPr txBox="1"/>
      </xdr:nvSpPr>
      <xdr:spPr>
        <a:xfrm rot="4938974">
          <a:off x="-746807" y="4628046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49</xdr:row>
      <xdr:rowOff>0</xdr:rowOff>
    </xdr:from>
    <xdr:to>
      <xdr:col>0</xdr:col>
      <xdr:colOff>463120</xdr:colOff>
      <xdr:row>49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6783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58</xdr:row>
      <xdr:rowOff>0</xdr:rowOff>
    </xdr:from>
    <xdr:to>
      <xdr:col>0</xdr:col>
      <xdr:colOff>463120</xdr:colOff>
      <xdr:row>58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8240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437287</xdr:colOff>
      <xdr:row>58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8240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437287</xdr:colOff>
      <xdr:row>58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8240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49</xdr:row>
      <xdr:rowOff>0</xdr:rowOff>
    </xdr:from>
    <xdr:to>
      <xdr:col>0</xdr:col>
      <xdr:colOff>537855</xdr:colOff>
      <xdr:row>49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67459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49</xdr:row>
      <xdr:rowOff>0</xdr:rowOff>
    </xdr:from>
    <xdr:to>
      <xdr:col>0</xdr:col>
      <xdr:colOff>463120</xdr:colOff>
      <xdr:row>49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6783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437287</xdr:colOff>
      <xdr:row>49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6783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437287</xdr:colOff>
      <xdr:row>49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6783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44</xdr:row>
      <xdr:rowOff>0</xdr:rowOff>
    </xdr:to>
    <xdr:sp macro="" textlink="">
      <xdr:nvSpPr>
        <xdr:cNvPr id="14" name="TextBox 13"/>
        <xdr:cNvSpPr txBox="1"/>
      </xdr:nvSpPr>
      <xdr:spPr>
        <a:xfrm rot="4938974">
          <a:off x="-954467" y="11670092"/>
          <a:ext cx="23462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437287</xdr:colOff>
      <xdr:row>49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1038656" y="15192806"/>
          <a:ext cx="2514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17</xdr:row>
      <xdr:rowOff>0</xdr:rowOff>
    </xdr:from>
    <xdr:to>
      <xdr:col>0</xdr:col>
      <xdr:colOff>463786</xdr:colOff>
      <xdr:row>17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6972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28</xdr:row>
      <xdr:rowOff>0</xdr:rowOff>
    </xdr:to>
    <xdr:sp macro="" textlink="">
      <xdr:nvSpPr>
        <xdr:cNvPr id="17" name="TextBox 16"/>
        <xdr:cNvSpPr txBox="1"/>
      </xdr:nvSpPr>
      <xdr:spPr>
        <a:xfrm rot="4938974">
          <a:off x="-792542" y="8069642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12</xdr:row>
      <xdr:rowOff>0</xdr:rowOff>
    </xdr:to>
    <xdr:sp macro="" textlink="">
      <xdr:nvSpPr>
        <xdr:cNvPr id="3" name="TextBox 2"/>
        <xdr:cNvSpPr txBox="1"/>
      </xdr:nvSpPr>
      <xdr:spPr>
        <a:xfrm rot="4938974">
          <a:off x="-588109" y="1024369"/>
          <a:ext cx="17049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94301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94301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94301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68</xdr:row>
      <xdr:rowOff>0</xdr:rowOff>
    </xdr:from>
    <xdr:to>
      <xdr:col>0</xdr:col>
      <xdr:colOff>537855</xdr:colOff>
      <xdr:row>68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79353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2" name="TextBox 11"/>
        <xdr:cNvSpPr txBox="1"/>
      </xdr:nvSpPr>
      <xdr:spPr>
        <a:xfrm rot="4938974">
          <a:off x="-633844" y="6282169"/>
          <a:ext cx="17049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34</xdr:row>
      <xdr:rowOff>0</xdr:rowOff>
    </xdr:from>
    <xdr:to>
      <xdr:col>0</xdr:col>
      <xdr:colOff>463786</xdr:colOff>
      <xdr:row>34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2715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437287</xdr:colOff>
      <xdr:row>47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633844" y="3653269"/>
          <a:ext cx="17049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17</xdr:row>
      <xdr:rowOff>2048</xdr:rowOff>
    </xdr:from>
    <xdr:to>
      <xdr:col>0</xdr:col>
      <xdr:colOff>555242</xdr:colOff>
      <xdr:row>27</xdr:row>
      <xdr:rowOff>47058</xdr:rowOff>
    </xdr:to>
    <xdr:sp macro="" textlink="">
      <xdr:nvSpPr>
        <xdr:cNvPr id="16" name="TextBox 15"/>
        <xdr:cNvSpPr txBox="1"/>
      </xdr:nvSpPr>
      <xdr:spPr>
        <a:xfrm rot="4938974" flipH="1">
          <a:off x="-495531" y="3549234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83946</xdr:rowOff>
    </xdr:from>
    <xdr:to>
      <xdr:col>0</xdr:col>
      <xdr:colOff>463786</xdr:colOff>
      <xdr:row>30</xdr:row>
      <xdr:rowOff>0</xdr:rowOff>
    </xdr:to>
    <xdr:sp macro="" textlink="">
      <xdr:nvSpPr>
        <xdr:cNvPr id="3" name="TextBox 2"/>
        <xdr:cNvSpPr txBox="1"/>
      </xdr:nvSpPr>
      <xdr:spPr>
        <a:xfrm rot="4938974">
          <a:off x="-603472" y="3971467"/>
          <a:ext cx="16972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37</xdr:row>
      <xdr:rowOff>82654</xdr:rowOff>
    </xdr:from>
    <xdr:to>
      <xdr:col>0</xdr:col>
      <xdr:colOff>483022</xdr:colOff>
      <xdr:row>49</xdr:row>
      <xdr:rowOff>0</xdr:rowOff>
    </xdr:to>
    <xdr:sp macro="" textlink="">
      <xdr:nvSpPr>
        <xdr:cNvPr id="4" name="TextBox 3"/>
        <xdr:cNvSpPr txBox="1"/>
      </xdr:nvSpPr>
      <xdr:spPr>
        <a:xfrm rot="4938974">
          <a:off x="-670607" y="7009296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5" name="TextBox 4"/>
        <xdr:cNvSpPr txBox="1"/>
      </xdr:nvSpPr>
      <xdr:spPr>
        <a:xfrm rot="4938974">
          <a:off x="-604116" y="12829739"/>
          <a:ext cx="169718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85</xdr:row>
      <xdr:rowOff>0</xdr:rowOff>
    </xdr:from>
    <xdr:to>
      <xdr:col>0</xdr:col>
      <xdr:colOff>463120</xdr:colOff>
      <xdr:row>85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5983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5983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5983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9" name="TextBox 8"/>
        <xdr:cNvSpPr txBox="1"/>
      </xdr:nvSpPr>
      <xdr:spPr>
        <a:xfrm rot="4938974">
          <a:off x="-716342" y="9965117"/>
          <a:ext cx="18699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76</xdr:row>
      <xdr:rowOff>0</xdr:rowOff>
    </xdr:from>
    <xdr:to>
      <xdr:col>0</xdr:col>
      <xdr:colOff>537855</xdr:colOff>
      <xdr:row>76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44885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4526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4526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4526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0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83946</xdr:rowOff>
    </xdr:from>
    <xdr:to>
      <xdr:col>0</xdr:col>
      <xdr:colOff>463786</xdr:colOff>
      <xdr:row>31</xdr:row>
      <xdr:rowOff>0</xdr:rowOff>
    </xdr:to>
    <xdr:sp macro="" textlink="">
      <xdr:nvSpPr>
        <xdr:cNvPr id="3" name="TextBox 2"/>
        <xdr:cNvSpPr txBox="1"/>
      </xdr:nvSpPr>
      <xdr:spPr>
        <a:xfrm rot="4938974">
          <a:off x="-603472" y="3971467"/>
          <a:ext cx="169722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38</xdr:row>
      <xdr:rowOff>82654</xdr:rowOff>
    </xdr:from>
    <xdr:to>
      <xdr:col>0</xdr:col>
      <xdr:colOff>483022</xdr:colOff>
      <xdr:row>49</xdr:row>
      <xdr:rowOff>0</xdr:rowOff>
    </xdr:to>
    <xdr:sp macro="" textlink="">
      <xdr:nvSpPr>
        <xdr:cNvPr id="4" name="TextBox 3"/>
        <xdr:cNvSpPr txBox="1"/>
      </xdr:nvSpPr>
      <xdr:spPr>
        <a:xfrm rot="4938974">
          <a:off x="-665844" y="7014058"/>
          <a:ext cx="18604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3849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3849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3849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9" name="TextBox 8"/>
        <xdr:cNvSpPr txBox="1"/>
      </xdr:nvSpPr>
      <xdr:spPr>
        <a:xfrm rot="4938974">
          <a:off x="-962456" y="10220756"/>
          <a:ext cx="23622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0</xdr:rowOff>
    </xdr:to>
    <xdr:sp macro="" textlink="">
      <xdr:nvSpPr>
        <xdr:cNvPr id="2" name="TextBox 1"/>
        <xdr:cNvSpPr txBox="1"/>
      </xdr:nvSpPr>
      <xdr:spPr>
        <a:xfrm rot="4938974">
          <a:off x="-532514" y="938102"/>
          <a:ext cx="153460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83946</xdr:rowOff>
    </xdr:from>
    <xdr:to>
      <xdr:col>0</xdr:col>
      <xdr:colOff>463786</xdr:colOff>
      <xdr:row>29</xdr:row>
      <xdr:rowOff>0</xdr:rowOff>
    </xdr:to>
    <xdr:sp macro="" textlink="">
      <xdr:nvSpPr>
        <xdr:cNvPr id="3" name="TextBox 2"/>
        <xdr:cNvSpPr txBox="1"/>
      </xdr:nvSpPr>
      <xdr:spPr>
        <a:xfrm rot="4938974">
          <a:off x="-522509" y="4223879"/>
          <a:ext cx="153530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37</xdr:row>
      <xdr:rowOff>82654</xdr:rowOff>
    </xdr:from>
    <xdr:to>
      <xdr:col>0</xdr:col>
      <xdr:colOff>483022</xdr:colOff>
      <xdr:row>48</xdr:row>
      <xdr:rowOff>0</xdr:rowOff>
    </xdr:to>
    <xdr:sp macro="" textlink="">
      <xdr:nvSpPr>
        <xdr:cNvPr id="4" name="TextBox 3"/>
        <xdr:cNvSpPr txBox="1"/>
      </xdr:nvSpPr>
      <xdr:spPr>
        <a:xfrm rot="4938974">
          <a:off x="-584882" y="7104546"/>
          <a:ext cx="16985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91</xdr:row>
      <xdr:rowOff>0</xdr:rowOff>
    </xdr:from>
    <xdr:to>
      <xdr:col>0</xdr:col>
      <xdr:colOff>463120</xdr:colOff>
      <xdr:row>91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1754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100</xdr:row>
      <xdr:rowOff>0</xdr:rowOff>
    </xdr:from>
    <xdr:to>
      <xdr:col>0</xdr:col>
      <xdr:colOff>463120</xdr:colOff>
      <xdr:row>100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437287</xdr:colOff>
      <xdr:row>100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437287</xdr:colOff>
      <xdr:row>100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9" name="TextBox 8"/>
        <xdr:cNvSpPr txBox="1"/>
      </xdr:nvSpPr>
      <xdr:spPr>
        <a:xfrm rot="4938974">
          <a:off x="-881494" y="10149319"/>
          <a:ext cx="22002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91</xdr:row>
      <xdr:rowOff>0</xdr:rowOff>
    </xdr:from>
    <xdr:to>
      <xdr:col>0</xdr:col>
      <xdr:colOff>537855</xdr:colOff>
      <xdr:row>91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17167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91</xdr:row>
      <xdr:rowOff>0</xdr:rowOff>
    </xdr:from>
    <xdr:to>
      <xdr:col>0</xdr:col>
      <xdr:colOff>463120</xdr:colOff>
      <xdr:row>91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1754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437287</xdr:colOff>
      <xdr:row>91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1754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437287</xdr:colOff>
      <xdr:row>91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1754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437287</xdr:colOff>
      <xdr:row>66</xdr:row>
      <xdr:rowOff>3071</xdr:rowOff>
    </xdr:to>
    <xdr:sp macro="" textlink="">
      <xdr:nvSpPr>
        <xdr:cNvPr id="14" name="TextBox 13"/>
        <xdr:cNvSpPr txBox="1"/>
      </xdr:nvSpPr>
      <xdr:spPr>
        <a:xfrm rot="4938974">
          <a:off x="-630617" y="9898442"/>
          <a:ext cx="16985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0</xdr:rowOff>
    </xdr:to>
    <xdr:sp macro="" textlink="">
      <xdr:nvSpPr>
        <xdr:cNvPr id="2" name="TextBox 1"/>
        <xdr:cNvSpPr txBox="1"/>
      </xdr:nvSpPr>
      <xdr:spPr>
        <a:xfrm rot="4938974">
          <a:off x="-532514" y="938102"/>
          <a:ext cx="153460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22</xdr:row>
      <xdr:rowOff>0</xdr:rowOff>
    </xdr:from>
    <xdr:to>
      <xdr:col>0</xdr:col>
      <xdr:colOff>463786</xdr:colOff>
      <xdr:row>22</xdr:row>
      <xdr:rowOff>0</xdr:rowOff>
    </xdr:to>
    <xdr:sp macro="" textlink="">
      <xdr:nvSpPr>
        <xdr:cNvPr id="3" name="TextBox 2"/>
        <xdr:cNvSpPr txBox="1"/>
      </xdr:nvSpPr>
      <xdr:spPr>
        <a:xfrm rot="4938974">
          <a:off x="-522509" y="3900029"/>
          <a:ext cx="153530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22</xdr:row>
      <xdr:rowOff>82654</xdr:rowOff>
    </xdr:from>
    <xdr:to>
      <xdr:col>0</xdr:col>
      <xdr:colOff>483022</xdr:colOff>
      <xdr:row>33</xdr:row>
      <xdr:rowOff>0</xdr:rowOff>
    </xdr:to>
    <xdr:sp macro="" textlink="">
      <xdr:nvSpPr>
        <xdr:cNvPr id="4" name="TextBox 3"/>
        <xdr:cNvSpPr txBox="1"/>
      </xdr:nvSpPr>
      <xdr:spPr>
        <a:xfrm rot="4938974">
          <a:off x="-584882" y="6942621"/>
          <a:ext cx="16985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79</xdr:row>
      <xdr:rowOff>0</xdr:rowOff>
    </xdr:from>
    <xdr:to>
      <xdr:col>0</xdr:col>
      <xdr:colOff>463120</xdr:colOff>
      <xdr:row>79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5030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88</xdr:row>
      <xdr:rowOff>0</xdr:rowOff>
    </xdr:from>
    <xdr:to>
      <xdr:col>0</xdr:col>
      <xdr:colOff>463120</xdr:colOff>
      <xdr:row>88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6488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6488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6488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9" name="TextBox 8"/>
        <xdr:cNvSpPr txBox="1"/>
      </xdr:nvSpPr>
      <xdr:spPr>
        <a:xfrm rot="4938974">
          <a:off x="-881494" y="13425919"/>
          <a:ext cx="22002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79</xdr:row>
      <xdr:rowOff>0</xdr:rowOff>
    </xdr:from>
    <xdr:to>
      <xdr:col>0</xdr:col>
      <xdr:colOff>537855</xdr:colOff>
      <xdr:row>79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49933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79</xdr:row>
      <xdr:rowOff>0</xdr:rowOff>
    </xdr:from>
    <xdr:to>
      <xdr:col>0</xdr:col>
      <xdr:colOff>463120</xdr:colOff>
      <xdr:row>79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5030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5030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5030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437287</xdr:colOff>
      <xdr:row>54</xdr:row>
      <xdr:rowOff>3071</xdr:rowOff>
    </xdr:to>
    <xdr:sp macro="" textlink="">
      <xdr:nvSpPr>
        <xdr:cNvPr id="14" name="TextBox 13"/>
        <xdr:cNvSpPr txBox="1"/>
      </xdr:nvSpPr>
      <xdr:spPr>
        <a:xfrm rot="4938974">
          <a:off x="-792542" y="10222292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0</xdr:rowOff>
    </xdr:to>
    <xdr:sp macro="" textlink="">
      <xdr:nvSpPr>
        <xdr:cNvPr id="2" name="TextBox 1"/>
        <xdr:cNvSpPr txBox="1"/>
      </xdr:nvSpPr>
      <xdr:spPr>
        <a:xfrm rot="4938974">
          <a:off x="-532514" y="938102"/>
          <a:ext cx="153460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0</xdr:rowOff>
    </xdr:from>
    <xdr:to>
      <xdr:col>0</xdr:col>
      <xdr:colOff>463786</xdr:colOff>
      <xdr:row>20</xdr:row>
      <xdr:rowOff>0</xdr:rowOff>
    </xdr:to>
    <xdr:sp macro="" textlink="">
      <xdr:nvSpPr>
        <xdr:cNvPr id="3" name="TextBox 2"/>
        <xdr:cNvSpPr txBox="1"/>
      </xdr:nvSpPr>
      <xdr:spPr>
        <a:xfrm rot="4938974">
          <a:off x="245143" y="3534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20</xdr:row>
      <xdr:rowOff>82654</xdr:rowOff>
    </xdr:from>
    <xdr:to>
      <xdr:col>0</xdr:col>
      <xdr:colOff>483022</xdr:colOff>
      <xdr:row>32</xdr:row>
      <xdr:rowOff>0</xdr:rowOff>
    </xdr:to>
    <xdr:sp macro="" textlink="">
      <xdr:nvSpPr>
        <xdr:cNvPr id="4" name="TextBox 3"/>
        <xdr:cNvSpPr txBox="1"/>
      </xdr:nvSpPr>
      <xdr:spPr>
        <a:xfrm rot="4938974">
          <a:off x="-584882" y="4466121"/>
          <a:ext cx="16985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97</xdr:row>
      <xdr:rowOff>0</xdr:rowOff>
    </xdr:from>
    <xdr:to>
      <xdr:col>0</xdr:col>
      <xdr:colOff>463120</xdr:colOff>
      <xdr:row>97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2878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106</xdr:row>
      <xdr:rowOff>0</xdr:rowOff>
    </xdr:from>
    <xdr:to>
      <xdr:col>0</xdr:col>
      <xdr:colOff>463120</xdr:colOff>
      <xdr:row>106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4335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437287</xdr:colOff>
      <xdr:row>106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4335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437287</xdr:colOff>
      <xdr:row>106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4335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95</xdr:row>
      <xdr:rowOff>0</xdr:rowOff>
    </xdr:to>
    <xdr:sp macro="" textlink="">
      <xdr:nvSpPr>
        <xdr:cNvPr id="9" name="TextBox 8"/>
        <xdr:cNvSpPr txBox="1"/>
      </xdr:nvSpPr>
      <xdr:spPr>
        <a:xfrm rot="4938974">
          <a:off x="-1043419" y="11111344"/>
          <a:ext cx="25241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97</xdr:row>
      <xdr:rowOff>0</xdr:rowOff>
    </xdr:from>
    <xdr:to>
      <xdr:col>0</xdr:col>
      <xdr:colOff>537855</xdr:colOff>
      <xdr:row>97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28407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97</xdr:row>
      <xdr:rowOff>0</xdr:rowOff>
    </xdr:from>
    <xdr:to>
      <xdr:col>0</xdr:col>
      <xdr:colOff>463120</xdr:colOff>
      <xdr:row>97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2878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2878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2878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437287</xdr:colOff>
      <xdr:row>54</xdr:row>
      <xdr:rowOff>3071</xdr:rowOff>
    </xdr:to>
    <xdr:sp macro="" textlink="">
      <xdr:nvSpPr>
        <xdr:cNvPr id="14" name="TextBox 13"/>
        <xdr:cNvSpPr txBox="1"/>
      </xdr:nvSpPr>
      <xdr:spPr>
        <a:xfrm rot="4938974">
          <a:off x="-792542" y="7745792"/>
          <a:ext cx="202237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1043419" y="11111344"/>
          <a:ext cx="25241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0</xdr:rowOff>
    </xdr:to>
    <xdr:sp macro="" textlink="">
      <xdr:nvSpPr>
        <xdr:cNvPr id="2" name="TextBox 1"/>
        <xdr:cNvSpPr txBox="1"/>
      </xdr:nvSpPr>
      <xdr:spPr>
        <a:xfrm rot="4938974">
          <a:off x="-532514" y="938102"/>
          <a:ext cx="153460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0</xdr:rowOff>
    </xdr:from>
    <xdr:to>
      <xdr:col>0</xdr:col>
      <xdr:colOff>463786</xdr:colOff>
      <xdr:row>21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5143" y="3210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21</xdr:row>
      <xdr:rowOff>82654</xdr:rowOff>
    </xdr:from>
    <xdr:to>
      <xdr:col>0</xdr:col>
      <xdr:colOff>483022</xdr:colOff>
      <xdr:row>33</xdr:row>
      <xdr:rowOff>0</xdr:rowOff>
    </xdr:to>
    <xdr:sp macro="" textlink="">
      <xdr:nvSpPr>
        <xdr:cNvPr id="4" name="TextBox 3"/>
        <xdr:cNvSpPr txBox="1"/>
      </xdr:nvSpPr>
      <xdr:spPr>
        <a:xfrm rot="4938974">
          <a:off x="-665844" y="4223233"/>
          <a:ext cx="18604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5811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90</xdr:row>
      <xdr:rowOff>0</xdr:rowOff>
    </xdr:from>
    <xdr:to>
      <xdr:col>0</xdr:col>
      <xdr:colOff>463120</xdr:colOff>
      <xdr:row>90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7269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437287</xdr:colOff>
      <xdr:row>90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7269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437287</xdr:colOff>
      <xdr:row>90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7269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80</xdr:row>
      <xdr:rowOff>0</xdr:rowOff>
    </xdr:from>
    <xdr:to>
      <xdr:col>0</xdr:col>
      <xdr:colOff>437287</xdr:colOff>
      <xdr:row>80</xdr:row>
      <xdr:rowOff>0</xdr:rowOff>
    </xdr:to>
    <xdr:sp macro="" textlink="">
      <xdr:nvSpPr>
        <xdr:cNvPr id="9" name="TextBox 8"/>
        <xdr:cNvSpPr txBox="1"/>
      </xdr:nvSpPr>
      <xdr:spPr>
        <a:xfrm rot="4938974">
          <a:off x="-957694" y="14302219"/>
          <a:ext cx="23526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81</xdr:row>
      <xdr:rowOff>0</xdr:rowOff>
    </xdr:from>
    <xdr:to>
      <xdr:col>0</xdr:col>
      <xdr:colOff>537855</xdr:colOff>
      <xdr:row>81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57744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5811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5811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5811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437287</xdr:colOff>
      <xdr:row>55</xdr:row>
      <xdr:rowOff>3071</xdr:rowOff>
    </xdr:to>
    <xdr:sp macro="" textlink="">
      <xdr:nvSpPr>
        <xdr:cNvPr id="14" name="TextBox 13"/>
        <xdr:cNvSpPr txBox="1"/>
      </xdr:nvSpPr>
      <xdr:spPr>
        <a:xfrm rot="4938974">
          <a:off x="-873504" y="7664829"/>
          <a:ext cx="21842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1124381" y="11192306"/>
          <a:ext cx="268605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0</xdr:rowOff>
    </xdr:to>
    <xdr:sp macro="" textlink="">
      <xdr:nvSpPr>
        <xdr:cNvPr id="2" name="TextBox 1"/>
        <xdr:cNvSpPr txBox="1"/>
      </xdr:nvSpPr>
      <xdr:spPr>
        <a:xfrm rot="4938974">
          <a:off x="-532514" y="938102"/>
          <a:ext cx="153460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0</xdr:rowOff>
    </xdr:from>
    <xdr:to>
      <xdr:col>0</xdr:col>
      <xdr:colOff>463786</xdr:colOff>
      <xdr:row>21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5143" y="3372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21</xdr:row>
      <xdr:rowOff>82654</xdr:rowOff>
    </xdr:from>
    <xdr:to>
      <xdr:col>0</xdr:col>
      <xdr:colOff>483022</xdr:colOff>
      <xdr:row>33</xdr:row>
      <xdr:rowOff>0</xdr:rowOff>
    </xdr:to>
    <xdr:sp macro="" textlink="">
      <xdr:nvSpPr>
        <xdr:cNvPr id="4" name="TextBox 3"/>
        <xdr:cNvSpPr txBox="1"/>
      </xdr:nvSpPr>
      <xdr:spPr>
        <a:xfrm rot="4938974">
          <a:off x="-665844" y="4385158"/>
          <a:ext cx="18604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82</xdr:row>
      <xdr:rowOff>0</xdr:rowOff>
    </xdr:from>
    <xdr:to>
      <xdr:col>0</xdr:col>
      <xdr:colOff>463120</xdr:colOff>
      <xdr:row>82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3202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91</xdr:row>
      <xdr:rowOff>0</xdr:rowOff>
    </xdr:from>
    <xdr:to>
      <xdr:col>0</xdr:col>
      <xdr:colOff>463120</xdr:colOff>
      <xdr:row>91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465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437287</xdr:colOff>
      <xdr:row>91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465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437287</xdr:colOff>
      <xdr:row>91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465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3040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82</xdr:row>
      <xdr:rowOff>0</xdr:rowOff>
    </xdr:from>
    <xdr:to>
      <xdr:col>0</xdr:col>
      <xdr:colOff>537855</xdr:colOff>
      <xdr:row>82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31645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82</xdr:row>
      <xdr:rowOff>0</xdr:rowOff>
    </xdr:from>
    <xdr:to>
      <xdr:col>0</xdr:col>
      <xdr:colOff>463120</xdr:colOff>
      <xdr:row>82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3202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3202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3202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437287</xdr:colOff>
      <xdr:row>55</xdr:row>
      <xdr:rowOff>3071</xdr:rowOff>
    </xdr:to>
    <xdr:sp macro="" textlink="">
      <xdr:nvSpPr>
        <xdr:cNvPr id="14" name="TextBox 13"/>
        <xdr:cNvSpPr txBox="1"/>
      </xdr:nvSpPr>
      <xdr:spPr>
        <a:xfrm rot="4938974">
          <a:off x="-873504" y="7826754"/>
          <a:ext cx="21842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1124381" y="11354231"/>
          <a:ext cx="268605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0</xdr:rowOff>
    </xdr:to>
    <xdr:sp macro="" textlink="">
      <xdr:nvSpPr>
        <xdr:cNvPr id="2" name="TextBox 1"/>
        <xdr:cNvSpPr txBox="1"/>
      </xdr:nvSpPr>
      <xdr:spPr>
        <a:xfrm rot="4938974">
          <a:off x="-532514" y="938102"/>
          <a:ext cx="153460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22</xdr:row>
      <xdr:rowOff>0</xdr:rowOff>
    </xdr:from>
    <xdr:to>
      <xdr:col>0</xdr:col>
      <xdr:colOff>463786</xdr:colOff>
      <xdr:row>22</xdr:row>
      <xdr:rowOff>0</xdr:rowOff>
    </xdr:to>
    <xdr:sp macro="" textlink="">
      <xdr:nvSpPr>
        <xdr:cNvPr id="3" name="TextBox 2"/>
        <xdr:cNvSpPr txBox="1"/>
      </xdr:nvSpPr>
      <xdr:spPr>
        <a:xfrm rot="4938974">
          <a:off x="245143" y="3372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22</xdr:row>
      <xdr:rowOff>82654</xdr:rowOff>
    </xdr:from>
    <xdr:to>
      <xdr:col>0</xdr:col>
      <xdr:colOff>483022</xdr:colOff>
      <xdr:row>35</xdr:row>
      <xdr:rowOff>0</xdr:rowOff>
    </xdr:to>
    <xdr:sp macro="" textlink="">
      <xdr:nvSpPr>
        <xdr:cNvPr id="4" name="TextBox 3"/>
        <xdr:cNvSpPr txBox="1"/>
      </xdr:nvSpPr>
      <xdr:spPr>
        <a:xfrm rot="4938974">
          <a:off x="-665844" y="4385158"/>
          <a:ext cx="18604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103</xdr:row>
      <xdr:rowOff>0</xdr:rowOff>
    </xdr:from>
    <xdr:to>
      <xdr:col>0</xdr:col>
      <xdr:colOff>463120</xdr:colOff>
      <xdr:row>103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3202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112</xdr:row>
      <xdr:rowOff>0</xdr:rowOff>
    </xdr:from>
    <xdr:to>
      <xdr:col>0</xdr:col>
      <xdr:colOff>463120</xdr:colOff>
      <xdr:row>112</xdr:row>
      <xdr:rowOff>0</xdr:rowOff>
    </xdr:to>
    <xdr:sp macro="" textlink="">
      <xdr:nvSpPr>
        <xdr:cNvPr id="6" name="TextBox 5"/>
        <xdr:cNvSpPr txBox="1"/>
      </xdr:nvSpPr>
      <xdr:spPr>
        <a:xfrm rot="4938974">
          <a:off x="244477" y="1465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437287</xdr:colOff>
      <xdr:row>112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465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437287</xdr:colOff>
      <xdr:row>112</xdr:row>
      <xdr:rowOff>0</xdr:rowOff>
    </xdr:to>
    <xdr:sp macro="" textlink="">
      <xdr:nvSpPr>
        <xdr:cNvPr id="8" name="TextBox 7"/>
        <xdr:cNvSpPr txBox="1"/>
      </xdr:nvSpPr>
      <xdr:spPr>
        <a:xfrm rot="4938974">
          <a:off x="218644" y="1465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437287</xdr:colOff>
      <xdr:row>102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3040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103</xdr:row>
      <xdr:rowOff>0</xdr:rowOff>
    </xdr:from>
    <xdr:to>
      <xdr:col>0</xdr:col>
      <xdr:colOff>537855</xdr:colOff>
      <xdr:row>103</xdr:row>
      <xdr:rowOff>0</xdr:rowOff>
    </xdr:to>
    <xdr:sp macro="" textlink="">
      <xdr:nvSpPr>
        <xdr:cNvPr id="10" name="TextBox 9"/>
        <xdr:cNvSpPr txBox="1"/>
      </xdr:nvSpPr>
      <xdr:spPr>
        <a:xfrm rot="4938974">
          <a:off x="281698" y="131645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103</xdr:row>
      <xdr:rowOff>0</xdr:rowOff>
    </xdr:from>
    <xdr:to>
      <xdr:col>0</xdr:col>
      <xdr:colOff>463120</xdr:colOff>
      <xdr:row>103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44477" y="13202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437287</xdr:colOff>
      <xdr:row>103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3202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437287</xdr:colOff>
      <xdr:row>103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3202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79</xdr:row>
      <xdr:rowOff>3071</xdr:rowOff>
    </xdr:to>
    <xdr:sp macro="" textlink="">
      <xdr:nvSpPr>
        <xdr:cNvPr id="14" name="TextBox 13"/>
        <xdr:cNvSpPr txBox="1"/>
      </xdr:nvSpPr>
      <xdr:spPr>
        <a:xfrm rot="4938974">
          <a:off x="-873504" y="7826754"/>
          <a:ext cx="21842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86</xdr:row>
      <xdr:rowOff>0</xdr:rowOff>
    </xdr:from>
    <xdr:to>
      <xdr:col>0</xdr:col>
      <xdr:colOff>437287</xdr:colOff>
      <xdr:row>101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1124381" y="11354231"/>
          <a:ext cx="268605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43</xdr:row>
      <xdr:rowOff>0</xdr:rowOff>
    </xdr:from>
    <xdr:to>
      <xdr:col>0</xdr:col>
      <xdr:colOff>463786</xdr:colOff>
      <xdr:row>43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3372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437287</xdr:colOff>
      <xdr:row>56</xdr:row>
      <xdr:rowOff>3071</xdr:rowOff>
    </xdr:to>
    <xdr:sp macro="" textlink="">
      <xdr:nvSpPr>
        <xdr:cNvPr id="17" name="TextBox 16"/>
        <xdr:cNvSpPr txBox="1"/>
      </xdr:nvSpPr>
      <xdr:spPr>
        <a:xfrm rot="4938974">
          <a:off x="-711579" y="7664829"/>
          <a:ext cx="186044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20"/>
  <sheetViews>
    <sheetView topLeftCell="A52" workbookViewId="0">
      <selection activeCell="H21" sqref="H2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8" t="s">
        <v>144</v>
      </c>
      <c r="B1" s="418"/>
      <c r="C1" s="418"/>
      <c r="D1" s="418"/>
      <c r="E1" s="418"/>
      <c r="F1" s="418"/>
      <c r="G1" s="418"/>
      <c r="H1" s="418"/>
      <c r="I1" s="148"/>
      <c r="J1" s="148"/>
      <c r="K1" s="148"/>
      <c r="L1" s="148"/>
      <c r="M1" s="148"/>
    </row>
    <row r="2" spans="1:13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19.5" customHeight="1" x14ac:dyDescent="0.2">
      <c r="A3" s="163"/>
      <c r="B3" s="122" t="s">
        <v>73</v>
      </c>
      <c r="C3" s="168" t="s">
        <v>46</v>
      </c>
      <c r="D3" s="142"/>
      <c r="E3" s="22"/>
      <c r="F3" s="22"/>
      <c r="G3" s="22"/>
      <c r="H3" s="22"/>
      <c r="I3" s="22"/>
      <c r="J3" s="22"/>
      <c r="K3" s="22"/>
      <c r="L3" s="22"/>
      <c r="M3" s="5"/>
    </row>
    <row r="4" spans="1:13" ht="19.5" customHeight="1" x14ac:dyDescent="0.2">
      <c r="B4" s="122" t="s">
        <v>75</v>
      </c>
      <c r="C4" s="414">
        <v>42431</v>
      </c>
      <c r="D4" s="416"/>
      <c r="E4" s="22"/>
      <c r="F4" s="22"/>
      <c r="G4" s="22"/>
      <c r="H4" s="22"/>
      <c r="I4" s="22"/>
      <c r="J4" s="22"/>
      <c r="K4" s="22"/>
      <c r="L4" s="22"/>
      <c r="M4" s="5"/>
    </row>
    <row r="5" spans="1:13" ht="4.5" customHeight="1" x14ac:dyDescent="0.45">
      <c r="B5" s="2"/>
      <c r="C5" s="41"/>
      <c r="D5" s="41"/>
      <c r="E5" s="415"/>
      <c r="F5" s="417"/>
      <c r="G5" s="3"/>
      <c r="H5" s="4"/>
      <c r="I5" s="4"/>
      <c r="J5" s="4"/>
      <c r="K5" s="4"/>
      <c r="L5" s="13"/>
      <c r="M5" s="4"/>
    </row>
    <row r="6" spans="1:13" s="6" customFormat="1" ht="13.5" thickBot="1" x14ac:dyDescent="0.25">
      <c r="B6" s="123" t="s">
        <v>74</v>
      </c>
      <c r="C6" s="125" t="s">
        <v>1</v>
      </c>
      <c r="D6" s="125"/>
      <c r="E6" s="126" t="s">
        <v>2</v>
      </c>
      <c r="G6" s="123"/>
      <c r="H6" s="123"/>
      <c r="I6" s="97"/>
      <c r="J6" s="97"/>
    </row>
    <row r="7" spans="1:13" x14ac:dyDescent="0.2">
      <c r="B7" s="62" t="s">
        <v>82</v>
      </c>
      <c r="C7" s="76" t="s">
        <v>27</v>
      </c>
      <c r="D7" s="174"/>
      <c r="E7" s="172">
        <v>1004.96</v>
      </c>
      <c r="G7" s="164"/>
      <c r="H7" s="165"/>
      <c r="I7" s="4"/>
      <c r="J7" s="4"/>
      <c r="M7" s="5"/>
    </row>
    <row r="8" spans="1:13" x14ac:dyDescent="0.2">
      <c r="B8" s="155" t="s">
        <v>96</v>
      </c>
      <c r="C8" s="124" t="s">
        <v>24</v>
      </c>
      <c r="D8" s="175"/>
      <c r="E8" s="172">
        <v>1522.4</v>
      </c>
      <c r="G8" s="228" t="s">
        <v>145</v>
      </c>
      <c r="H8" s="165"/>
      <c r="I8" s="4"/>
      <c r="J8" s="4"/>
      <c r="M8" s="5"/>
    </row>
    <row r="9" spans="1:13" x14ac:dyDescent="0.2">
      <c r="B9" s="155" t="s">
        <v>85</v>
      </c>
      <c r="C9" s="124" t="s">
        <v>76</v>
      </c>
      <c r="D9" s="175"/>
      <c r="E9" s="172">
        <v>752.24</v>
      </c>
      <c r="G9" s="164"/>
      <c r="H9" s="165"/>
      <c r="I9" s="4"/>
      <c r="J9" s="4"/>
      <c r="M9" s="5"/>
    </row>
    <row r="10" spans="1:13" x14ac:dyDescent="0.2">
      <c r="B10" s="155" t="s">
        <v>3</v>
      </c>
      <c r="C10" s="124" t="s">
        <v>25</v>
      </c>
      <c r="D10" s="175"/>
      <c r="E10" s="172">
        <v>937.04</v>
      </c>
      <c r="G10" s="164"/>
      <c r="H10" s="165"/>
      <c r="I10" s="4"/>
      <c r="J10" s="4"/>
      <c r="M10" s="5"/>
    </row>
    <row r="11" spans="1:13" x14ac:dyDescent="0.2">
      <c r="B11" s="29" t="s">
        <v>4</v>
      </c>
      <c r="C11" s="40" t="s">
        <v>23</v>
      </c>
      <c r="D11" s="176"/>
      <c r="E11" s="173">
        <v>827.03</v>
      </c>
      <c r="G11" s="164"/>
      <c r="H11" s="165"/>
      <c r="I11" s="4"/>
      <c r="J11" s="4"/>
      <c r="M11" s="5"/>
    </row>
    <row r="12" spans="1:13" x14ac:dyDescent="0.2">
      <c r="B12" s="29" t="s">
        <v>84</v>
      </c>
      <c r="C12" s="40" t="s">
        <v>83</v>
      </c>
      <c r="D12" s="176"/>
      <c r="E12" s="173">
        <v>792</v>
      </c>
      <c r="F12" s="94"/>
      <c r="G12" s="164"/>
      <c r="H12" s="165"/>
      <c r="I12" s="4"/>
      <c r="J12" s="4"/>
      <c r="M12" s="5"/>
    </row>
    <row r="13" spans="1:13" ht="13.5" thickBot="1" x14ac:dyDescent="0.25">
      <c r="B13" s="180" t="s">
        <v>78</v>
      </c>
      <c r="C13" s="181" t="s">
        <v>79</v>
      </c>
      <c r="D13" s="182"/>
      <c r="E13" s="179">
        <v>990</v>
      </c>
      <c r="F13" s="94"/>
      <c r="G13" s="4"/>
      <c r="H13" s="165"/>
      <c r="I13" s="4"/>
      <c r="J13" s="4"/>
      <c r="M13" s="5"/>
    </row>
    <row r="14" spans="1:13" s="4" customFormat="1" ht="13.5" thickBot="1" x14ac:dyDescent="0.25">
      <c r="B14" s="95"/>
      <c r="C14" s="131"/>
      <c r="D14" s="131"/>
      <c r="E14" s="135">
        <f>SUM(E7:E13)</f>
        <v>6825.67</v>
      </c>
      <c r="F14" s="132"/>
      <c r="H14" s="165"/>
    </row>
    <row r="15" spans="1:13" x14ac:dyDescent="0.2">
      <c r="B15" s="157" t="s">
        <v>85</v>
      </c>
      <c r="C15" s="76" t="s">
        <v>66</v>
      </c>
      <c r="D15" s="76"/>
      <c r="E15" s="136">
        <v>500</v>
      </c>
      <c r="G15" s="4"/>
      <c r="H15" s="165"/>
      <c r="I15" s="4"/>
      <c r="J15" s="4"/>
      <c r="M15" s="5"/>
    </row>
    <row r="16" spans="1:13" x14ac:dyDescent="0.2">
      <c r="B16" s="44" t="s">
        <v>104</v>
      </c>
      <c r="C16" s="69" t="s">
        <v>12</v>
      </c>
      <c r="D16" s="69"/>
      <c r="E16" s="139">
        <f>4200/4</f>
        <v>1050</v>
      </c>
      <c r="G16" s="4"/>
      <c r="H16" s="165"/>
      <c r="I16" s="4"/>
      <c r="J16" s="4"/>
      <c r="M16" s="5"/>
    </row>
    <row r="17" spans="1:13" ht="13.5" thickBot="1" x14ac:dyDescent="0.25">
      <c r="B17" s="63" t="s">
        <v>35</v>
      </c>
      <c r="C17" s="133" t="s">
        <v>36</v>
      </c>
      <c r="D17" s="133"/>
      <c r="E17" s="137">
        <v>1000</v>
      </c>
      <c r="G17" s="4"/>
      <c r="H17" s="165"/>
      <c r="I17" s="4"/>
      <c r="J17" s="4"/>
      <c r="M17" s="5"/>
    </row>
    <row r="18" spans="1:13" ht="13.5" thickBot="1" x14ac:dyDescent="0.25">
      <c r="B18" s="11"/>
      <c r="C18" s="134" t="s">
        <v>0</v>
      </c>
      <c r="D18" s="134"/>
      <c r="E18" s="138">
        <f>SUM(E14:E17)</f>
        <v>9375.67</v>
      </c>
      <c r="G18" s="166"/>
      <c r="H18" s="165"/>
      <c r="I18" s="4"/>
      <c r="J18" s="4"/>
      <c r="M18" s="5"/>
    </row>
    <row r="19" spans="1:13" ht="12.75" customHeight="1" x14ac:dyDescent="0.2">
      <c r="B19" s="11"/>
      <c r="C19" s="21"/>
      <c r="D19" s="21"/>
      <c r="E19" s="22"/>
      <c r="F19" s="22"/>
      <c r="G19" s="22"/>
      <c r="H19" s="22"/>
      <c r="I19" s="22"/>
      <c r="J19" s="22"/>
      <c r="K19" s="22"/>
      <c r="L19" s="22"/>
      <c r="M19" s="22"/>
    </row>
    <row r="20" spans="1:13" s="127" customFormat="1" ht="6.75" customHeight="1" x14ac:dyDescent="0.2">
      <c r="B20" s="128"/>
      <c r="C20" s="129"/>
      <c r="D20" s="129"/>
      <c r="E20" s="130"/>
      <c r="F20" s="130"/>
      <c r="G20" s="130"/>
      <c r="H20" s="130"/>
      <c r="I20" s="130"/>
      <c r="J20" s="130"/>
      <c r="K20" s="130"/>
      <c r="L20" s="130"/>
      <c r="M20" s="130"/>
    </row>
    <row r="21" spans="1:13" ht="19.5" customHeight="1" x14ac:dyDescent="0.2">
      <c r="A21" s="163"/>
      <c r="B21" s="122" t="s">
        <v>73</v>
      </c>
      <c r="C21" s="168" t="s">
        <v>60</v>
      </c>
      <c r="D21" s="168"/>
      <c r="E21" s="22"/>
      <c r="F21" s="22"/>
      <c r="G21" s="22"/>
      <c r="H21" s="22"/>
      <c r="I21" s="22"/>
      <c r="J21" s="22"/>
      <c r="K21" s="22"/>
      <c r="L21" s="22"/>
      <c r="M21" s="5"/>
    </row>
    <row r="22" spans="1:13" ht="19.5" customHeight="1" x14ac:dyDescent="0.2">
      <c r="B22" s="122" t="s">
        <v>75</v>
      </c>
      <c r="C22" s="414">
        <v>42438</v>
      </c>
      <c r="D22" s="416"/>
      <c r="E22" s="22"/>
      <c r="F22" s="22"/>
      <c r="G22" s="22"/>
      <c r="H22" s="22"/>
      <c r="I22" s="22"/>
      <c r="J22" s="22"/>
      <c r="K22" s="22"/>
      <c r="L22" s="22"/>
      <c r="M22" s="5"/>
    </row>
    <row r="23" spans="1:13" ht="4.5" customHeight="1" x14ac:dyDescent="0.45">
      <c r="B23" s="2"/>
      <c r="C23" s="41"/>
      <c r="D23" s="41"/>
      <c r="E23" s="415"/>
      <c r="F23" s="417"/>
      <c r="G23" s="3"/>
      <c r="H23" s="4"/>
      <c r="I23" s="4"/>
      <c r="J23" s="4"/>
      <c r="K23" s="4"/>
      <c r="L23" s="13"/>
      <c r="M23" s="4"/>
    </row>
    <row r="24" spans="1:13" s="6" customFormat="1" ht="13.5" thickBot="1" x14ac:dyDescent="0.25">
      <c r="B24" s="123" t="s">
        <v>74</v>
      </c>
      <c r="C24" s="125" t="s">
        <v>1</v>
      </c>
      <c r="D24" s="125"/>
      <c r="E24" s="126" t="s">
        <v>2</v>
      </c>
      <c r="G24" s="97"/>
      <c r="H24" s="97"/>
      <c r="I24" s="97"/>
      <c r="J24" s="97"/>
    </row>
    <row r="25" spans="1:13" x14ac:dyDescent="0.2">
      <c r="B25" s="62" t="s">
        <v>82</v>
      </c>
      <c r="C25" s="76" t="s">
        <v>27</v>
      </c>
      <c r="D25" s="174"/>
      <c r="E25" s="172">
        <v>1329.23</v>
      </c>
      <c r="G25" s="184"/>
      <c r="M25" s="5"/>
    </row>
    <row r="26" spans="1:13" x14ac:dyDescent="0.2">
      <c r="B26" s="155" t="s">
        <v>96</v>
      </c>
      <c r="C26" s="124" t="s">
        <v>24</v>
      </c>
      <c r="D26" s="175"/>
      <c r="E26" s="172">
        <v>1222.99</v>
      </c>
      <c r="M26" s="5"/>
    </row>
    <row r="27" spans="1:13" x14ac:dyDescent="0.2">
      <c r="B27" s="155" t="s">
        <v>85</v>
      </c>
      <c r="C27" s="124" t="s">
        <v>76</v>
      </c>
      <c r="D27" s="175"/>
      <c r="E27" s="172">
        <v>602.24</v>
      </c>
      <c r="M27" s="5"/>
    </row>
    <row r="28" spans="1:13" x14ac:dyDescent="0.2">
      <c r="B28" s="155" t="s">
        <v>3</v>
      </c>
      <c r="C28" s="124" t="s">
        <v>25</v>
      </c>
      <c r="D28" s="175"/>
      <c r="E28" s="172">
        <v>937.04</v>
      </c>
      <c r="M28" s="5"/>
    </row>
    <row r="29" spans="1:13" x14ac:dyDescent="0.2">
      <c r="B29" s="29" t="s">
        <v>4</v>
      </c>
      <c r="C29" s="40" t="s">
        <v>23</v>
      </c>
      <c r="D29" s="176"/>
      <c r="E29" s="173">
        <v>827.03</v>
      </c>
      <c r="M29" s="5"/>
    </row>
    <row r="30" spans="1:13" x14ac:dyDescent="0.2">
      <c r="B30" s="29" t="s">
        <v>84</v>
      </c>
      <c r="C30" s="40" t="s">
        <v>83</v>
      </c>
      <c r="D30" s="176"/>
      <c r="E30" s="173">
        <v>792</v>
      </c>
      <c r="F30" s="94"/>
      <c r="M30" s="5"/>
    </row>
    <row r="31" spans="1:13" ht="13.5" thickBot="1" x14ac:dyDescent="0.25">
      <c r="B31" s="180" t="s">
        <v>78</v>
      </c>
      <c r="C31" s="181" t="s">
        <v>79</v>
      </c>
      <c r="D31" s="182"/>
      <c r="E31" s="179">
        <v>990</v>
      </c>
      <c r="F31" s="94"/>
      <c r="M31" s="5"/>
    </row>
    <row r="32" spans="1:13" s="4" customFormat="1" ht="13.5" thickBot="1" x14ac:dyDescent="0.25">
      <c r="B32" s="95"/>
      <c r="C32" s="131"/>
      <c r="D32" s="131"/>
      <c r="E32" s="135">
        <f>SUM(E25:E31)</f>
        <v>6700.53</v>
      </c>
      <c r="F32" s="132"/>
    </row>
    <row r="33" spans="1:13" x14ac:dyDescent="0.2">
      <c r="B33" s="157" t="s">
        <v>85</v>
      </c>
      <c r="C33" s="76" t="s">
        <v>66</v>
      </c>
      <c r="D33" s="76"/>
      <c r="E33" s="136">
        <v>500</v>
      </c>
      <c r="M33" s="5"/>
    </row>
    <row r="34" spans="1:13" x14ac:dyDescent="0.2">
      <c r="B34" s="44" t="s">
        <v>104</v>
      </c>
      <c r="C34" s="69" t="s">
        <v>12</v>
      </c>
      <c r="D34" s="69"/>
      <c r="E34" s="139">
        <v>1050</v>
      </c>
      <c r="M34" s="5"/>
    </row>
    <row r="35" spans="1:13" ht="13.5" thickBot="1" x14ac:dyDescent="0.25">
      <c r="B35" s="63" t="s">
        <v>35</v>
      </c>
      <c r="C35" s="133" t="s">
        <v>36</v>
      </c>
      <c r="D35" s="133"/>
      <c r="E35" s="137">
        <v>1000</v>
      </c>
      <c r="M35" s="5"/>
    </row>
    <row r="36" spans="1:13" ht="13.5" thickBot="1" x14ac:dyDescent="0.25">
      <c r="B36" s="11"/>
      <c r="C36" s="134" t="s">
        <v>0</v>
      </c>
      <c r="D36" s="134"/>
      <c r="E36" s="138">
        <f>SUM(E32:E35)</f>
        <v>9250.5299999999988</v>
      </c>
      <c r="M36" s="5"/>
    </row>
    <row r="37" spans="1:13" x14ac:dyDescent="0.2">
      <c r="B37" s="11"/>
      <c r="C37" s="134"/>
      <c r="D37" s="134"/>
      <c r="E37" s="159"/>
      <c r="M37" s="5"/>
    </row>
    <row r="38" spans="1:13" s="127" customFormat="1" ht="6.75" customHeight="1" x14ac:dyDescent="0.2">
      <c r="B38" s="128"/>
      <c r="C38" s="129"/>
      <c r="D38" s="129"/>
      <c r="E38" s="130"/>
      <c r="F38" s="130"/>
      <c r="G38" s="130"/>
      <c r="H38" s="130"/>
      <c r="I38" s="130"/>
      <c r="J38" s="130"/>
      <c r="K38" s="130"/>
      <c r="L38" s="130"/>
      <c r="M38" s="130"/>
    </row>
    <row r="39" spans="1:13" ht="19.5" customHeight="1" x14ac:dyDescent="0.2">
      <c r="A39" s="163"/>
      <c r="B39" s="122" t="s">
        <v>73</v>
      </c>
      <c r="C39" s="168" t="s">
        <v>47</v>
      </c>
      <c r="D39" s="142"/>
      <c r="E39" s="22"/>
      <c r="F39" s="22"/>
      <c r="G39" s="22"/>
      <c r="H39" s="22"/>
      <c r="I39" s="22"/>
      <c r="J39" s="22"/>
      <c r="K39" s="22"/>
      <c r="L39" s="22"/>
      <c r="M39" s="5"/>
    </row>
    <row r="40" spans="1:13" ht="19.5" customHeight="1" x14ac:dyDescent="0.2">
      <c r="B40" s="122" t="s">
        <v>75</v>
      </c>
      <c r="C40" s="414">
        <v>42445</v>
      </c>
      <c r="D40" s="414"/>
      <c r="E40" s="22"/>
      <c r="F40" s="22"/>
      <c r="G40" s="22"/>
      <c r="H40" s="22"/>
      <c r="I40" s="22"/>
      <c r="J40" s="22"/>
      <c r="K40" s="22"/>
      <c r="L40" s="22"/>
      <c r="M40" s="5"/>
    </row>
    <row r="41" spans="1:13" ht="4.5" customHeight="1" x14ac:dyDescent="0.45">
      <c r="B41" s="2"/>
      <c r="C41" s="41"/>
      <c r="D41" s="41"/>
      <c r="E41" s="415"/>
      <c r="F41" s="415"/>
      <c r="G41" s="3"/>
      <c r="H41" s="4"/>
      <c r="I41" s="4"/>
      <c r="J41" s="4"/>
      <c r="K41" s="4"/>
      <c r="L41" s="13"/>
      <c r="M41" s="4"/>
    </row>
    <row r="42" spans="1:13" s="6" customFormat="1" ht="13.5" thickBot="1" x14ac:dyDescent="0.25">
      <c r="B42" s="123" t="s">
        <v>74</v>
      </c>
      <c r="C42" s="125" t="s">
        <v>1</v>
      </c>
      <c r="D42" s="125"/>
      <c r="E42" s="126" t="s">
        <v>2</v>
      </c>
    </row>
    <row r="43" spans="1:13" x14ac:dyDescent="0.2">
      <c r="B43" s="62" t="s">
        <v>82</v>
      </c>
      <c r="C43" s="76" t="s">
        <v>27</v>
      </c>
      <c r="D43" s="174"/>
      <c r="E43" s="172">
        <v>1261</v>
      </c>
      <c r="M43" s="5"/>
    </row>
    <row r="44" spans="1:13" x14ac:dyDescent="0.2">
      <c r="B44" s="155" t="s">
        <v>96</v>
      </c>
      <c r="C44" s="124" t="s">
        <v>24</v>
      </c>
      <c r="D44" s="175"/>
      <c r="E44" s="172">
        <v>1191.0999999999999</v>
      </c>
      <c r="M44" s="5"/>
    </row>
    <row r="45" spans="1:13" x14ac:dyDescent="0.2">
      <c r="B45" s="155" t="s">
        <v>85</v>
      </c>
      <c r="C45" s="124" t="s">
        <v>76</v>
      </c>
      <c r="D45" s="175"/>
      <c r="E45" s="172">
        <v>752.24</v>
      </c>
      <c r="M45" s="5"/>
    </row>
    <row r="46" spans="1:13" x14ac:dyDescent="0.2">
      <c r="B46" s="155" t="s">
        <v>3</v>
      </c>
      <c r="C46" s="124" t="s">
        <v>25</v>
      </c>
      <c r="D46" s="175"/>
      <c r="E46" s="172">
        <v>937.04</v>
      </c>
      <c r="M46" s="5"/>
    </row>
    <row r="47" spans="1:13" x14ac:dyDescent="0.2">
      <c r="B47" s="29" t="s">
        <v>4</v>
      </c>
      <c r="C47" s="40" t="s">
        <v>23</v>
      </c>
      <c r="D47" s="176"/>
      <c r="E47" s="173">
        <v>827.03</v>
      </c>
      <c r="M47" s="5"/>
    </row>
    <row r="48" spans="1:13" x14ac:dyDescent="0.2">
      <c r="B48" s="29" t="s">
        <v>84</v>
      </c>
      <c r="C48" s="40" t="s">
        <v>83</v>
      </c>
      <c r="D48" s="176"/>
      <c r="E48" s="173">
        <v>792</v>
      </c>
      <c r="F48" s="94"/>
      <c r="M48" s="5"/>
    </row>
    <row r="49" spans="1:13" ht="13.5" thickBot="1" x14ac:dyDescent="0.25">
      <c r="B49" s="180" t="s">
        <v>78</v>
      </c>
      <c r="C49" s="181" t="s">
        <v>79</v>
      </c>
      <c r="D49" s="182"/>
      <c r="E49" s="179">
        <v>990</v>
      </c>
      <c r="F49" s="94"/>
      <c r="M49" s="5"/>
    </row>
    <row r="50" spans="1:13" s="4" customFormat="1" ht="13.5" thickBot="1" x14ac:dyDescent="0.25">
      <c r="B50" s="95"/>
      <c r="C50" s="131"/>
      <c r="D50" s="131"/>
      <c r="E50" s="135">
        <f>SUM(E43:E49)</f>
        <v>6750.41</v>
      </c>
      <c r="F50" s="132"/>
    </row>
    <row r="51" spans="1:13" x14ac:dyDescent="0.2">
      <c r="B51" s="157" t="s">
        <v>85</v>
      </c>
      <c r="C51" s="76" t="s">
        <v>66</v>
      </c>
      <c r="D51" s="76"/>
      <c r="E51" s="136">
        <v>500</v>
      </c>
      <c r="M51" s="5"/>
    </row>
    <row r="52" spans="1:13" x14ac:dyDescent="0.2">
      <c r="B52" s="44" t="s">
        <v>104</v>
      </c>
      <c r="C52" s="69" t="s">
        <v>12</v>
      </c>
      <c r="D52" s="69"/>
      <c r="E52" s="139">
        <v>1050</v>
      </c>
      <c r="M52" s="5"/>
    </row>
    <row r="53" spans="1:13" ht="13.5" thickBot="1" x14ac:dyDescent="0.25">
      <c r="B53" s="63" t="s">
        <v>35</v>
      </c>
      <c r="C53" s="133" t="s">
        <v>36</v>
      </c>
      <c r="D53" s="133"/>
      <c r="E53" s="137">
        <v>1000</v>
      </c>
      <c r="M53" s="5"/>
    </row>
    <row r="54" spans="1:13" ht="13.5" thickBot="1" x14ac:dyDescent="0.25">
      <c r="B54" s="11"/>
      <c r="C54" s="134" t="s">
        <v>0</v>
      </c>
      <c r="D54" s="134"/>
      <c r="E54" s="138">
        <f>SUM(E50:E53)</f>
        <v>9300.41</v>
      </c>
      <c r="M54" s="5"/>
    </row>
    <row r="55" spans="1:13" ht="12.75" customHeight="1" x14ac:dyDescent="0.2">
      <c r="B55" s="11"/>
      <c r="C55" s="21"/>
      <c r="D55" s="21"/>
      <c r="E55" s="22"/>
      <c r="F55" s="22"/>
      <c r="G55" s="22"/>
      <c r="H55" s="22"/>
      <c r="I55" s="22"/>
      <c r="J55" s="22"/>
      <c r="K55" s="22"/>
      <c r="L55" s="22"/>
      <c r="M55" s="22"/>
    </row>
    <row r="56" spans="1:13" s="127" customFormat="1" ht="6.75" customHeight="1" x14ac:dyDescent="0.2">
      <c r="B56" s="128"/>
      <c r="C56" s="129"/>
      <c r="D56" s="129"/>
      <c r="E56" s="130"/>
      <c r="F56" s="130"/>
      <c r="G56" s="130"/>
      <c r="H56" s="130"/>
      <c r="I56" s="130"/>
      <c r="J56" s="130"/>
      <c r="K56" s="130"/>
      <c r="L56" s="130"/>
      <c r="M56" s="130"/>
    </row>
    <row r="57" spans="1:13" ht="19.5" customHeight="1" x14ac:dyDescent="0.2">
      <c r="A57" s="163"/>
      <c r="B57" s="122" t="s">
        <v>73</v>
      </c>
      <c r="C57" s="168" t="s">
        <v>71</v>
      </c>
      <c r="D57" s="142"/>
      <c r="E57" s="22"/>
      <c r="F57" s="22"/>
      <c r="G57" s="22"/>
      <c r="H57" s="22"/>
      <c r="I57" s="22"/>
      <c r="J57" s="22"/>
      <c r="K57" s="22"/>
      <c r="L57" s="22"/>
      <c r="M57" s="5"/>
    </row>
    <row r="58" spans="1:13" ht="19.5" customHeight="1" x14ac:dyDescent="0.2">
      <c r="B58" s="122" t="s">
        <v>75</v>
      </c>
      <c r="C58" s="414">
        <v>42452</v>
      </c>
      <c r="D58" s="414"/>
      <c r="E58" s="22"/>
      <c r="F58" s="22"/>
      <c r="G58" s="22"/>
      <c r="H58" s="22"/>
      <c r="I58" s="22"/>
      <c r="J58" s="22"/>
      <c r="K58" s="22"/>
      <c r="L58" s="22"/>
      <c r="M58" s="5"/>
    </row>
    <row r="59" spans="1:13" ht="4.5" customHeight="1" x14ac:dyDescent="0.45">
      <c r="B59" s="2"/>
      <c r="C59" s="41"/>
      <c r="D59" s="41"/>
      <c r="E59" s="415"/>
      <c r="F59" s="415"/>
      <c r="G59" s="3"/>
      <c r="H59" s="4"/>
      <c r="I59" s="4"/>
      <c r="J59" s="4"/>
      <c r="K59" s="4"/>
      <c r="L59" s="13"/>
      <c r="M59" s="4"/>
    </row>
    <row r="60" spans="1:13" s="6" customFormat="1" ht="13.5" thickBot="1" x14ac:dyDescent="0.25">
      <c r="B60" s="123" t="s">
        <v>74</v>
      </c>
      <c r="C60" s="225" t="s">
        <v>1</v>
      </c>
      <c r="D60" s="225"/>
      <c r="E60" s="126" t="s">
        <v>2</v>
      </c>
    </row>
    <row r="61" spans="1:13" x14ac:dyDescent="0.2">
      <c r="B61" s="62" t="s">
        <v>82</v>
      </c>
      <c r="C61" s="76" t="s">
        <v>27</v>
      </c>
      <c r="D61" s="174"/>
      <c r="E61" s="172">
        <v>2335.21</v>
      </c>
      <c r="M61" s="5"/>
    </row>
    <row r="62" spans="1:13" x14ac:dyDescent="0.2">
      <c r="B62" s="155" t="s">
        <v>96</v>
      </c>
      <c r="C62" s="124" t="s">
        <v>24</v>
      </c>
      <c r="D62" s="175"/>
      <c r="E62" s="172">
        <v>1191.1199999999999</v>
      </c>
      <c r="M62" s="5"/>
    </row>
    <row r="63" spans="1:13" x14ac:dyDescent="0.2">
      <c r="B63" s="155" t="s">
        <v>85</v>
      </c>
      <c r="C63" s="124" t="s">
        <v>76</v>
      </c>
      <c r="D63" s="175"/>
      <c r="E63" s="172">
        <v>752.24</v>
      </c>
      <c r="M63" s="5"/>
    </row>
    <row r="64" spans="1:13" x14ac:dyDescent="0.2">
      <c r="B64" s="155" t="s">
        <v>3</v>
      </c>
      <c r="C64" s="124" t="s">
        <v>25</v>
      </c>
      <c r="D64" s="175"/>
      <c r="E64" s="172">
        <v>937.04</v>
      </c>
      <c r="M64" s="5"/>
    </row>
    <row r="65" spans="1:13" x14ac:dyDescent="0.2">
      <c r="B65" s="29" t="s">
        <v>4</v>
      </c>
      <c r="C65" s="40" t="s">
        <v>23</v>
      </c>
      <c r="D65" s="176"/>
      <c r="E65" s="173">
        <v>927.03</v>
      </c>
      <c r="M65" s="5"/>
    </row>
    <row r="66" spans="1:13" x14ac:dyDescent="0.2">
      <c r="B66" s="29" t="s">
        <v>84</v>
      </c>
      <c r="C66" s="40" t="s">
        <v>83</v>
      </c>
      <c r="D66" s="176"/>
      <c r="E66" s="173">
        <v>792</v>
      </c>
      <c r="F66" s="230" t="s">
        <v>148</v>
      </c>
      <c r="M66" s="5"/>
    </row>
    <row r="67" spans="1:13" ht="13.5" thickBot="1" x14ac:dyDescent="0.25">
      <c r="B67" s="180" t="s">
        <v>78</v>
      </c>
      <c r="C67" s="181" t="s">
        <v>79</v>
      </c>
      <c r="D67" s="182"/>
      <c r="E67" s="179">
        <v>990</v>
      </c>
      <c r="F67" s="94"/>
      <c r="M67" s="5"/>
    </row>
    <row r="68" spans="1:13" s="4" customFormat="1" ht="13.5" thickBot="1" x14ac:dyDescent="0.25">
      <c r="B68" s="95"/>
      <c r="C68" s="131"/>
      <c r="D68" s="131"/>
      <c r="E68" s="135">
        <f>SUM(E61:E67)</f>
        <v>7924.6399999999994</v>
      </c>
      <c r="F68" s="132"/>
    </row>
    <row r="69" spans="1:13" x14ac:dyDescent="0.2">
      <c r="B69" s="157" t="s">
        <v>85</v>
      </c>
      <c r="C69" s="76" t="s">
        <v>66</v>
      </c>
      <c r="D69" s="76"/>
      <c r="E69" s="136">
        <v>500</v>
      </c>
      <c r="M69" s="5"/>
    </row>
    <row r="70" spans="1:13" x14ac:dyDescent="0.2">
      <c r="B70" s="44" t="s">
        <v>104</v>
      </c>
      <c r="C70" s="69" t="s">
        <v>12</v>
      </c>
      <c r="D70" s="69"/>
      <c r="E70" s="139">
        <v>1050</v>
      </c>
      <c r="M70" s="5"/>
    </row>
    <row r="71" spans="1:13" ht="13.5" thickBot="1" x14ac:dyDescent="0.25">
      <c r="B71" s="63" t="s">
        <v>35</v>
      </c>
      <c r="C71" s="133" t="s">
        <v>36</v>
      </c>
      <c r="D71" s="133"/>
      <c r="E71" s="137">
        <v>1000</v>
      </c>
      <c r="M71" s="5"/>
    </row>
    <row r="72" spans="1:13" ht="13.5" thickBot="1" x14ac:dyDescent="0.25">
      <c r="B72" s="11"/>
      <c r="C72" s="134" t="s">
        <v>0</v>
      </c>
      <c r="D72" s="134"/>
      <c r="E72" s="138">
        <f>SUM(E68:E71)</f>
        <v>10474.64</v>
      </c>
      <c r="M72" s="5"/>
    </row>
    <row r="73" spans="1:13" ht="12.75" customHeight="1" x14ac:dyDescent="0.2">
      <c r="B73" s="11"/>
      <c r="C73" s="21"/>
      <c r="D73" s="21"/>
      <c r="E73" s="22"/>
      <c r="F73" s="22"/>
      <c r="G73" s="22"/>
      <c r="H73" s="22"/>
      <c r="I73" s="22"/>
      <c r="J73" s="22"/>
      <c r="K73" s="22"/>
      <c r="L73" s="22"/>
      <c r="M73" s="22"/>
    </row>
    <row r="74" spans="1:13" s="127" customFormat="1" ht="6.75" customHeight="1" x14ac:dyDescent="0.2">
      <c r="B74" s="128"/>
      <c r="C74" s="129"/>
      <c r="D74" s="129"/>
      <c r="E74" s="130"/>
      <c r="F74" s="130"/>
      <c r="G74" s="130"/>
      <c r="H74" s="130"/>
      <c r="I74" s="130"/>
      <c r="J74" s="130"/>
      <c r="K74" s="130"/>
      <c r="L74" s="130"/>
      <c r="M74" s="130"/>
    </row>
    <row r="75" spans="1:13" ht="19.5" customHeight="1" x14ac:dyDescent="0.2">
      <c r="A75" s="163"/>
      <c r="B75" s="122" t="s">
        <v>73</v>
      </c>
      <c r="C75" s="168" t="s">
        <v>72</v>
      </c>
      <c r="D75" s="142"/>
      <c r="E75" s="22"/>
      <c r="F75" s="22"/>
      <c r="G75" s="22"/>
      <c r="H75" s="22"/>
      <c r="I75" s="22"/>
      <c r="J75" s="22"/>
      <c r="K75" s="22"/>
      <c r="L75" s="22"/>
      <c r="M75" s="5"/>
    </row>
    <row r="76" spans="1:13" ht="19.5" customHeight="1" x14ac:dyDescent="0.2">
      <c r="B76" s="122" t="s">
        <v>75</v>
      </c>
      <c r="C76" s="414">
        <v>42459</v>
      </c>
      <c r="D76" s="416"/>
      <c r="E76" s="22"/>
      <c r="F76" s="22"/>
      <c r="G76" s="22"/>
      <c r="H76" s="22"/>
      <c r="I76" s="22"/>
      <c r="J76" s="22"/>
      <c r="K76" s="22"/>
      <c r="L76" s="22"/>
      <c r="M76" s="5"/>
    </row>
    <row r="77" spans="1:13" ht="4.5" customHeight="1" x14ac:dyDescent="0.45">
      <c r="B77" s="2"/>
      <c r="C77" s="41"/>
      <c r="D77" s="41"/>
      <c r="E77" s="415"/>
      <c r="F77" s="417"/>
      <c r="G77" s="3"/>
      <c r="H77" s="4"/>
      <c r="I77" s="4"/>
      <c r="J77" s="4"/>
      <c r="K77" s="4"/>
      <c r="L77" s="13"/>
      <c r="M77" s="4"/>
    </row>
    <row r="78" spans="1:13" s="6" customFormat="1" ht="13.5" thickBot="1" x14ac:dyDescent="0.25">
      <c r="A78" s="186"/>
      <c r="B78" s="123" t="s">
        <v>74</v>
      </c>
      <c r="C78" s="125" t="s">
        <v>1</v>
      </c>
      <c r="D78" s="125"/>
      <c r="E78" s="126" t="s">
        <v>2</v>
      </c>
      <c r="F78" s="186"/>
      <c r="G78" s="186"/>
      <c r="H78" s="186"/>
    </row>
    <row r="79" spans="1:13" x14ac:dyDescent="0.2">
      <c r="B79" s="62" t="s">
        <v>82</v>
      </c>
      <c r="C79" s="76" t="s">
        <v>27</v>
      </c>
      <c r="D79" s="174"/>
      <c r="E79" s="172">
        <v>1361</v>
      </c>
      <c r="M79" s="5"/>
    </row>
    <row r="80" spans="1:13" x14ac:dyDescent="0.2">
      <c r="B80" s="155" t="s">
        <v>96</v>
      </c>
      <c r="C80" s="124" t="s">
        <v>24</v>
      </c>
      <c r="D80" s="175"/>
      <c r="E80" s="172">
        <v>1327.64</v>
      </c>
      <c r="M80" s="5"/>
    </row>
    <row r="81" spans="1:13" x14ac:dyDescent="0.2">
      <c r="B81" s="155" t="s">
        <v>85</v>
      </c>
      <c r="C81" s="124" t="s">
        <v>76</v>
      </c>
      <c r="D81" s="175"/>
      <c r="E81" s="172">
        <v>652.24</v>
      </c>
      <c r="F81" s="184"/>
      <c r="M81" s="5"/>
    </row>
    <row r="82" spans="1:13" x14ac:dyDescent="0.2">
      <c r="B82" s="155" t="s">
        <v>3</v>
      </c>
      <c r="C82" s="124" t="s">
        <v>25</v>
      </c>
      <c r="D82" s="175"/>
      <c r="E82" s="172">
        <v>937.04</v>
      </c>
      <c r="F82" s="177"/>
      <c r="M82" s="5"/>
    </row>
    <row r="83" spans="1:13" x14ac:dyDescent="0.2">
      <c r="B83" s="29" t="s">
        <v>4</v>
      </c>
      <c r="C83" s="40" t="s">
        <v>23</v>
      </c>
      <c r="D83" s="176"/>
      <c r="E83" s="173">
        <v>927.03</v>
      </c>
      <c r="M83" s="5"/>
    </row>
    <row r="84" spans="1:13" x14ac:dyDescent="0.2">
      <c r="B84" s="29" t="s">
        <v>84</v>
      </c>
      <c r="C84" s="40" t="s">
        <v>83</v>
      </c>
      <c r="D84" s="176"/>
      <c r="E84" s="173">
        <v>866.25</v>
      </c>
      <c r="F84" s="94"/>
      <c r="M84" s="5"/>
    </row>
    <row r="85" spans="1:13" ht="13.5" thickBot="1" x14ac:dyDescent="0.25">
      <c r="B85" s="180" t="s">
        <v>78</v>
      </c>
      <c r="C85" s="181" t="s">
        <v>79</v>
      </c>
      <c r="D85" s="182"/>
      <c r="E85" s="179">
        <v>990</v>
      </c>
      <c r="F85" s="94"/>
      <c r="M85" s="5"/>
    </row>
    <row r="86" spans="1:13" s="4" customFormat="1" ht="13.5" thickBot="1" x14ac:dyDescent="0.25">
      <c r="B86" s="95"/>
      <c r="C86" s="131"/>
      <c r="D86" s="131"/>
      <c r="E86" s="135">
        <f>SUM(E79:E85)</f>
        <v>7061.2</v>
      </c>
      <c r="F86" s="132"/>
    </row>
    <row r="87" spans="1:13" ht="13.5" thickBot="1" x14ac:dyDescent="0.25">
      <c r="B87" s="187" t="s">
        <v>85</v>
      </c>
      <c r="C87" s="188" t="s">
        <v>66</v>
      </c>
      <c r="D87" s="226"/>
      <c r="E87" s="227">
        <v>500</v>
      </c>
      <c r="M87" s="5"/>
    </row>
    <row r="88" spans="1:13" ht="13.5" thickBot="1" x14ac:dyDescent="0.25">
      <c r="B88" s="11"/>
      <c r="C88" s="134" t="s">
        <v>0</v>
      </c>
      <c r="D88" s="134"/>
      <c r="E88" s="138">
        <f>SUM(E86:E87)</f>
        <v>7561.2</v>
      </c>
      <c r="M88" s="5"/>
    </row>
    <row r="89" spans="1:13" ht="12.75" customHeight="1" x14ac:dyDescent="0.2">
      <c r="B89" s="11"/>
      <c r="C89" s="134"/>
      <c r="D89" s="134"/>
      <c r="E89" s="159"/>
      <c r="I89" s="22"/>
      <c r="J89" s="22"/>
      <c r="K89" s="22"/>
      <c r="L89" s="22"/>
      <c r="M89" s="22"/>
    </row>
    <row r="90" spans="1:13" s="7" customFormat="1" ht="13.15" customHeight="1" x14ac:dyDescent="0.2">
      <c r="A90" s="32" t="s">
        <v>13</v>
      </c>
      <c r="B90" s="33" t="s">
        <v>14</v>
      </c>
      <c r="C90" s="33"/>
      <c r="D90" s="140">
        <v>9000</v>
      </c>
      <c r="E90" s="178"/>
      <c r="F90" s="32"/>
      <c r="G90" s="33" t="s">
        <v>40</v>
      </c>
      <c r="H90" s="140">
        <v>5000</v>
      </c>
      <c r="I90" s="140"/>
      <c r="J90" s="143"/>
      <c r="K90" s="143"/>
      <c r="L90" s="143"/>
      <c r="M90" s="143"/>
    </row>
    <row r="91" spans="1:13" s="7" customFormat="1" ht="13.15" customHeight="1" x14ac:dyDescent="0.2">
      <c r="A91" s="32" t="s">
        <v>15</v>
      </c>
      <c r="B91" s="33" t="s">
        <v>42</v>
      </c>
      <c r="C91" s="33"/>
      <c r="D91" s="140"/>
      <c r="E91" s="178"/>
      <c r="F91" s="32" t="s">
        <v>21</v>
      </c>
      <c r="G91" s="33" t="s">
        <v>22</v>
      </c>
      <c r="H91" s="140">
        <v>5000</v>
      </c>
      <c r="I91" s="211"/>
      <c r="J91" s="143"/>
      <c r="K91" s="143"/>
      <c r="L91" s="143"/>
      <c r="M91" s="143"/>
    </row>
    <row r="92" spans="1:13" s="7" customFormat="1" ht="13.15" customHeight="1" x14ac:dyDescent="0.2">
      <c r="A92" s="32" t="s">
        <v>16</v>
      </c>
      <c r="B92" s="33" t="s">
        <v>17</v>
      </c>
      <c r="C92" s="33"/>
      <c r="D92" s="140">
        <v>311.83999999999997</v>
      </c>
      <c r="E92" s="140"/>
      <c r="F92" s="32" t="s">
        <v>15</v>
      </c>
      <c r="G92" s="33" t="s">
        <v>41</v>
      </c>
      <c r="H92" s="140">
        <v>1020</v>
      </c>
      <c r="I92" s="143"/>
      <c r="J92" s="143"/>
      <c r="K92" s="143"/>
      <c r="L92" s="143"/>
      <c r="M92" s="143"/>
    </row>
    <row r="93" spans="1:13" s="7" customFormat="1" ht="13.15" customHeight="1" x14ac:dyDescent="0.2">
      <c r="A93" s="32" t="s">
        <v>93</v>
      </c>
      <c r="B93" s="33" t="s">
        <v>94</v>
      </c>
      <c r="C93" s="33"/>
      <c r="D93" s="140">
        <v>472.63</v>
      </c>
      <c r="E93" s="140"/>
      <c r="F93" s="32" t="s">
        <v>54</v>
      </c>
      <c r="G93" s="33" t="s">
        <v>56</v>
      </c>
      <c r="H93" s="140">
        <v>500</v>
      </c>
      <c r="I93" s="211"/>
      <c r="J93" s="144"/>
    </row>
    <row r="94" spans="1:13" s="7" customFormat="1" ht="13.15" customHeight="1" x14ac:dyDescent="0.2">
      <c r="A94" s="32" t="s">
        <v>93</v>
      </c>
      <c r="B94" s="33" t="s">
        <v>95</v>
      </c>
      <c r="C94" s="33"/>
      <c r="D94" s="140">
        <v>86.94</v>
      </c>
      <c r="E94" s="140"/>
      <c r="F94" s="32" t="s">
        <v>55</v>
      </c>
      <c r="G94" s="33" t="s">
        <v>57</v>
      </c>
      <c r="H94" s="140">
        <v>500</v>
      </c>
      <c r="I94" s="211"/>
      <c r="J94" s="144"/>
    </row>
    <row r="95" spans="1:13" s="7" customFormat="1" ht="13.15" customHeight="1" x14ac:dyDescent="0.2">
      <c r="A95" s="32" t="s">
        <v>19</v>
      </c>
      <c r="B95" s="33" t="s">
        <v>20</v>
      </c>
      <c r="C95" s="140"/>
      <c r="D95" s="140">
        <v>8000</v>
      </c>
      <c r="E95" s="178" t="s">
        <v>148</v>
      </c>
      <c r="F95" s="32" t="s">
        <v>16</v>
      </c>
      <c r="G95" s="33" t="s">
        <v>28</v>
      </c>
      <c r="H95" s="140">
        <v>12000</v>
      </c>
      <c r="I95" s="231" t="s">
        <v>151</v>
      </c>
      <c r="J95" s="144"/>
    </row>
    <row r="96" spans="1:13" s="7" customFormat="1" ht="13.15" customHeight="1" thickBot="1" x14ac:dyDescent="0.25">
      <c r="A96" s="32" t="s">
        <v>18</v>
      </c>
      <c r="B96" s="33" t="s">
        <v>45</v>
      </c>
      <c r="C96" s="140"/>
      <c r="D96" s="140">
        <v>1000</v>
      </c>
      <c r="E96" s="140"/>
      <c r="F96" s="70" t="s">
        <v>38</v>
      </c>
      <c r="G96" s="33" t="s">
        <v>29</v>
      </c>
      <c r="H96" s="141">
        <v>11000</v>
      </c>
      <c r="I96" s="67"/>
      <c r="J96" s="144"/>
    </row>
    <row r="97" spans="1:13" s="7" customFormat="1" ht="13.15" customHeight="1" thickTop="1" thickBot="1" x14ac:dyDescent="0.25">
      <c r="B97" s="212"/>
      <c r="C97" s="33"/>
      <c r="D97" s="213"/>
      <c r="E97" s="140"/>
      <c r="F97" s="34"/>
      <c r="G97" s="33"/>
      <c r="H97" s="162">
        <f>SUM(H90:H96)+SUM(D90:D97)</f>
        <v>53891.41</v>
      </c>
      <c r="I97" s="162"/>
      <c r="J97" s="144"/>
    </row>
    <row r="98" spans="1:13" s="7" customFormat="1" ht="13.15" customHeight="1" thickBot="1" x14ac:dyDescent="0.25">
      <c r="B98" s="32"/>
      <c r="C98" s="33"/>
      <c r="D98" s="9"/>
      <c r="E98" s="140"/>
      <c r="F98" s="34"/>
      <c r="G98" s="145" t="s">
        <v>5</v>
      </c>
      <c r="H98" s="146">
        <f>E88+H97</f>
        <v>61452.61</v>
      </c>
      <c r="I98" s="162"/>
      <c r="J98" s="144"/>
    </row>
    <row r="99" spans="1:13" s="7" customFormat="1" ht="13.15" customHeight="1" x14ac:dyDescent="0.2">
      <c r="B99" s="32"/>
      <c r="C99" s="33"/>
      <c r="D99" s="8"/>
      <c r="E99" s="9"/>
      <c r="F99" s="9"/>
      <c r="G99" s="9"/>
      <c r="H99" s="9"/>
      <c r="I99" s="162"/>
      <c r="J99" s="144"/>
    </row>
    <row r="100" spans="1:13" s="7" customFormat="1" ht="13.15" customHeight="1" x14ac:dyDescent="0.2">
      <c r="A100" s="9"/>
      <c r="B100" s="10"/>
      <c r="C100" s="9"/>
      <c r="D100" s="8"/>
      <c r="E100" s="9"/>
      <c r="F100" s="9"/>
      <c r="G100" s="9"/>
      <c r="H100" s="9"/>
      <c r="I100" s="162"/>
      <c r="J100" s="144"/>
    </row>
    <row r="101" spans="1:13" s="7" customFormat="1" ht="13.15" customHeight="1" x14ac:dyDescent="0.2">
      <c r="A101" s="9"/>
      <c r="B101" s="10"/>
      <c r="C101" s="8"/>
      <c r="D101" s="8"/>
      <c r="E101" s="9"/>
      <c r="F101" s="9"/>
      <c r="G101" s="9"/>
      <c r="H101" s="9"/>
      <c r="I101" s="162"/>
      <c r="J101" s="144"/>
    </row>
    <row r="102" spans="1:13" s="7" customFormat="1" ht="13.15" customHeight="1" x14ac:dyDescent="0.2">
      <c r="A102" s="9"/>
      <c r="B102" s="10"/>
      <c r="C102" s="8"/>
      <c r="D102" s="8"/>
      <c r="E102" s="9"/>
      <c r="F102" s="9"/>
      <c r="G102" s="9"/>
      <c r="H102" s="9"/>
      <c r="I102" s="162"/>
      <c r="J102" s="144"/>
    </row>
    <row r="103" spans="1:13" s="7" customFormat="1" ht="13.15" customHeight="1" x14ac:dyDescent="0.2">
      <c r="A103" s="9"/>
      <c r="B103" s="10"/>
      <c r="C103" s="8"/>
      <c r="D103" s="8"/>
      <c r="E103" s="9"/>
      <c r="F103" s="9"/>
      <c r="G103" s="9"/>
      <c r="H103" s="9"/>
      <c r="I103" s="162"/>
      <c r="J103" s="144"/>
    </row>
    <row r="104" spans="1:13" s="9" customFormat="1" ht="12" x14ac:dyDescent="0.2">
      <c r="B104" s="10"/>
      <c r="C104" s="8"/>
      <c r="M104" s="10"/>
    </row>
    <row r="105" spans="1:13" s="9" customFormat="1" ht="12" x14ac:dyDescent="0.2">
      <c r="B105" s="10"/>
      <c r="C105" s="8"/>
      <c r="M105" s="10"/>
    </row>
    <row r="106" spans="1:13" s="9" customFormat="1" ht="12" x14ac:dyDescent="0.2">
      <c r="B106" s="10"/>
      <c r="C106" s="8"/>
      <c r="M106" s="10"/>
    </row>
    <row r="107" spans="1:13" s="9" customFormat="1" ht="12" x14ac:dyDescent="0.2">
      <c r="B107" s="10"/>
      <c r="M107" s="10"/>
    </row>
    <row r="108" spans="1:13" s="9" customFormat="1" ht="12" x14ac:dyDescent="0.2">
      <c r="B108" s="10"/>
      <c r="M108" s="10"/>
    </row>
    <row r="109" spans="1:13" s="9" customFormat="1" ht="12" x14ac:dyDescent="0.2">
      <c r="B109" s="10"/>
      <c r="M109" s="10"/>
    </row>
    <row r="110" spans="1:13" s="9" customFormat="1" x14ac:dyDescent="0.2">
      <c r="B110" s="10"/>
      <c r="D110" s="5"/>
      <c r="M110" s="10"/>
    </row>
    <row r="111" spans="1:13" s="9" customFormat="1" x14ac:dyDescent="0.2">
      <c r="B111" s="10"/>
      <c r="D111" s="5"/>
      <c r="M111" s="10"/>
    </row>
    <row r="112" spans="1:13" s="9" customFormat="1" x14ac:dyDescent="0.2">
      <c r="B112" s="10"/>
      <c r="D112" s="5"/>
      <c r="E112" s="5"/>
      <c r="F112" s="5"/>
      <c r="G112" s="5"/>
      <c r="H112" s="5"/>
      <c r="M112" s="10"/>
    </row>
    <row r="113" spans="1:13" s="9" customFormat="1" x14ac:dyDescent="0.2">
      <c r="B113" s="12"/>
      <c r="C113" s="5"/>
      <c r="D113" s="5"/>
      <c r="E113" s="5"/>
      <c r="F113" s="5"/>
      <c r="G113" s="5"/>
      <c r="H113" s="5"/>
      <c r="M113" s="10"/>
    </row>
    <row r="114" spans="1:13" s="9" customFormat="1" x14ac:dyDescent="0.2">
      <c r="B114" s="12"/>
      <c r="C114" s="5"/>
      <c r="D114" s="5"/>
      <c r="E114" s="5"/>
      <c r="F114" s="5"/>
      <c r="G114" s="5"/>
      <c r="H114" s="5"/>
      <c r="M114" s="10"/>
    </row>
    <row r="115" spans="1:13" s="9" customFormat="1" x14ac:dyDescent="0.2">
      <c r="B115" s="12"/>
      <c r="C115" s="5"/>
      <c r="D115" s="5"/>
      <c r="E115" s="5"/>
      <c r="F115" s="5"/>
      <c r="G115" s="5"/>
      <c r="H115" s="5"/>
      <c r="M115" s="10"/>
    </row>
    <row r="116" spans="1:13" s="9" customFormat="1" x14ac:dyDescent="0.2">
      <c r="B116" s="12"/>
      <c r="C116" s="5"/>
      <c r="D116" s="5"/>
      <c r="E116" s="5"/>
      <c r="F116" s="5"/>
      <c r="G116" s="5"/>
      <c r="H116" s="5"/>
      <c r="M116" s="10"/>
    </row>
    <row r="117" spans="1:13" s="9" customFormat="1" x14ac:dyDescent="0.2">
      <c r="A117" s="5"/>
      <c r="B117" s="1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0"/>
    </row>
    <row r="118" spans="1:13" s="9" customFormat="1" x14ac:dyDescent="0.2">
      <c r="A118" s="5"/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</row>
    <row r="119" spans="1:13" s="9" customFormat="1" x14ac:dyDescent="0.2">
      <c r="A119" s="5"/>
      <c r="B119" s="1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0"/>
    </row>
    <row r="120" spans="1:13" s="9" customFormat="1" x14ac:dyDescent="0.2">
      <c r="A120" s="5"/>
      <c r="B120" s="1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0"/>
    </row>
  </sheetData>
  <mergeCells count="11">
    <mergeCell ref="C40:D40"/>
    <mergeCell ref="E41:F41"/>
    <mergeCell ref="C76:D76"/>
    <mergeCell ref="E77:F77"/>
    <mergeCell ref="A1:H1"/>
    <mergeCell ref="C4:D4"/>
    <mergeCell ref="E5:F5"/>
    <mergeCell ref="C22:D22"/>
    <mergeCell ref="E23:F23"/>
    <mergeCell ref="C58:D58"/>
    <mergeCell ref="E59:F59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16" zoomScaleNormal="100" workbookViewId="0">
      <selection activeCell="G51" sqref="G5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9.8554687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418" t="s">
        <v>397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398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42711</v>
      </c>
      <c r="D4" s="416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7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G6" s="123"/>
      <c r="H6" s="123"/>
      <c r="I6" s="97"/>
    </row>
    <row r="7" spans="1:9" x14ac:dyDescent="0.2">
      <c r="B7" s="62" t="s">
        <v>82</v>
      </c>
      <c r="C7" s="76" t="s">
        <v>27</v>
      </c>
      <c r="D7" s="174"/>
      <c r="E7" s="172">
        <v>1919.89</v>
      </c>
      <c r="F7" s="294"/>
      <c r="G7" s="164"/>
      <c r="H7" s="165"/>
      <c r="I7" s="4"/>
    </row>
    <row r="8" spans="1:9" x14ac:dyDescent="0.2">
      <c r="B8" s="155" t="s">
        <v>96</v>
      </c>
      <c r="C8" s="124" t="s">
        <v>24</v>
      </c>
      <c r="D8" s="175"/>
      <c r="E8" s="172">
        <v>1628.81</v>
      </c>
      <c r="F8" s="358"/>
      <c r="G8" s="228"/>
      <c r="H8" s="165"/>
      <c r="I8" s="4"/>
    </row>
    <row r="9" spans="1:9" x14ac:dyDescent="0.2">
      <c r="B9" s="155" t="s">
        <v>85</v>
      </c>
      <c r="C9" s="124" t="s">
        <v>76</v>
      </c>
      <c r="D9" s="175"/>
      <c r="E9" s="172">
        <v>752.24</v>
      </c>
      <c r="G9" s="294"/>
      <c r="H9" s="165"/>
      <c r="I9" s="4"/>
    </row>
    <row r="10" spans="1:9" x14ac:dyDescent="0.2">
      <c r="B10" s="155" t="s">
        <v>3</v>
      </c>
      <c r="C10" s="124" t="s">
        <v>25</v>
      </c>
      <c r="D10" s="175"/>
      <c r="E10" s="172">
        <v>937.04</v>
      </c>
      <c r="G10" s="294"/>
      <c r="H10" s="165"/>
      <c r="I10" s="4"/>
    </row>
    <row r="11" spans="1:9" x14ac:dyDescent="0.2">
      <c r="B11" s="29" t="s">
        <v>369</v>
      </c>
      <c r="C11" s="40" t="s">
        <v>23</v>
      </c>
      <c r="D11" s="176"/>
      <c r="E11" s="173">
        <v>927.03</v>
      </c>
      <c r="G11" s="164"/>
      <c r="H11" s="165"/>
      <c r="I11" s="4"/>
    </row>
    <row r="12" spans="1:9" x14ac:dyDescent="0.2">
      <c r="B12" s="29" t="s">
        <v>367</v>
      </c>
      <c r="C12" s="40" t="s">
        <v>368</v>
      </c>
      <c r="D12" s="176"/>
      <c r="E12" s="173">
        <v>792</v>
      </c>
      <c r="G12" s="164"/>
      <c r="H12" s="165"/>
      <c r="I12" s="4"/>
    </row>
    <row r="13" spans="1:9" x14ac:dyDescent="0.2">
      <c r="B13" s="29" t="s">
        <v>275</v>
      </c>
      <c r="C13" s="40" t="s">
        <v>276</v>
      </c>
      <c r="D13" s="176"/>
      <c r="E13" s="173">
        <v>792</v>
      </c>
    </row>
    <row r="14" spans="1:9" x14ac:dyDescent="0.2">
      <c r="B14" s="29" t="s">
        <v>78</v>
      </c>
      <c r="C14" s="40" t="s">
        <v>79</v>
      </c>
      <c r="D14" s="176"/>
      <c r="E14" s="135">
        <v>1509.75</v>
      </c>
      <c r="F14" s="94"/>
      <c r="G14" s="4"/>
      <c r="H14" s="165"/>
      <c r="I14" s="4"/>
    </row>
    <row r="15" spans="1:9" x14ac:dyDescent="0.2">
      <c r="B15" s="29" t="s">
        <v>210</v>
      </c>
      <c r="C15" s="40" t="s">
        <v>211</v>
      </c>
      <c r="D15" s="300"/>
      <c r="E15" s="139">
        <v>792</v>
      </c>
      <c r="F15" s="94"/>
    </row>
    <row r="16" spans="1:9" x14ac:dyDescent="0.2">
      <c r="B16" s="261" t="s">
        <v>338</v>
      </c>
      <c r="C16" s="262" t="s">
        <v>337</v>
      </c>
      <c r="D16" s="299"/>
      <c r="E16" s="135">
        <v>792</v>
      </c>
      <c r="F16" s="94"/>
      <c r="G16" s="4"/>
      <c r="H16" s="165"/>
      <c r="I16" s="4"/>
    </row>
    <row r="17" spans="1:9" ht="13.5" thickBot="1" x14ac:dyDescent="0.25">
      <c r="B17" s="264" t="s">
        <v>85</v>
      </c>
      <c r="C17" s="265" t="s">
        <v>205</v>
      </c>
      <c r="D17" s="265"/>
      <c r="E17" s="137">
        <v>792</v>
      </c>
      <c r="G17" s="4"/>
      <c r="H17" s="165"/>
      <c r="I17" s="4"/>
    </row>
    <row r="18" spans="1:9" ht="14.25" thickTop="1" thickBot="1" x14ac:dyDescent="0.25">
      <c r="B18" s="270"/>
      <c r="C18" s="285"/>
      <c r="D18" s="286"/>
      <c r="E18" s="267">
        <f>SUM(E7:E17)</f>
        <v>11634.759999999998</v>
      </c>
      <c r="G18" s="4"/>
      <c r="H18" s="165"/>
      <c r="I18" s="4"/>
    </row>
    <row r="19" spans="1:9" x14ac:dyDescent="0.2">
      <c r="B19" s="268" t="s">
        <v>104</v>
      </c>
      <c r="C19" s="269" t="s">
        <v>12</v>
      </c>
      <c r="D19" s="269"/>
      <c r="E19" s="139">
        <v>1125</v>
      </c>
      <c r="G19" s="4"/>
      <c r="H19" s="165"/>
      <c r="I19" s="4"/>
    </row>
    <row r="20" spans="1:9" ht="13.5" thickBot="1" x14ac:dyDescent="0.25">
      <c r="B20" s="63" t="s">
        <v>35</v>
      </c>
      <c r="C20" s="133" t="s">
        <v>36</v>
      </c>
      <c r="D20" s="133"/>
      <c r="E20" s="137">
        <v>1050</v>
      </c>
      <c r="G20" s="4"/>
      <c r="H20" s="165"/>
      <c r="I20" s="4"/>
    </row>
    <row r="21" spans="1:9" ht="13.5" thickBot="1" x14ac:dyDescent="0.25">
      <c r="B21" s="11"/>
      <c r="C21" s="134" t="s">
        <v>0</v>
      </c>
      <c r="D21" s="134"/>
      <c r="E21" s="138">
        <f>SUM(E18:E20)</f>
        <v>13809.759999999998</v>
      </c>
      <c r="G21" s="166"/>
      <c r="H21" s="165"/>
      <c r="I21" s="4"/>
    </row>
    <row r="22" spans="1:9" x14ac:dyDescent="0.2">
      <c r="B22" s="11"/>
      <c r="C22" s="134"/>
      <c r="D22" s="134"/>
      <c r="E22" s="159"/>
      <c r="G22" s="166"/>
      <c r="H22" s="165"/>
      <c r="I22" s="4"/>
    </row>
    <row r="23" spans="1:9" s="127" customFormat="1" ht="6.75" customHeight="1" x14ac:dyDescent="0.2">
      <c r="B23" s="128"/>
      <c r="C23" s="129"/>
      <c r="D23" s="129"/>
      <c r="E23" s="130"/>
      <c r="F23" s="130"/>
      <c r="G23" s="130"/>
      <c r="H23" s="130"/>
      <c r="I23" s="130"/>
    </row>
    <row r="24" spans="1:9" ht="19.5" customHeight="1" x14ac:dyDescent="0.2">
      <c r="A24" s="163"/>
      <c r="B24" s="122" t="s">
        <v>73</v>
      </c>
      <c r="C24" s="168" t="s">
        <v>399</v>
      </c>
      <c r="D24" s="142"/>
      <c r="E24" s="22"/>
      <c r="F24" s="22"/>
      <c r="G24" s="22"/>
      <c r="H24" s="22"/>
      <c r="I24" s="22"/>
    </row>
    <row r="25" spans="1:9" ht="19.5" customHeight="1" x14ac:dyDescent="0.2">
      <c r="B25" s="122" t="s">
        <v>75</v>
      </c>
      <c r="C25" s="414">
        <v>42718</v>
      </c>
      <c r="D25" s="414"/>
      <c r="E25" s="22"/>
      <c r="F25" s="22"/>
      <c r="G25" s="22"/>
      <c r="H25" s="22"/>
      <c r="I25" s="22"/>
    </row>
    <row r="26" spans="1:9" ht="4.5" customHeight="1" x14ac:dyDescent="0.45">
      <c r="B26" s="2"/>
      <c r="C26" s="41"/>
      <c r="D26" s="41"/>
      <c r="E26" s="415"/>
      <c r="F26" s="415"/>
      <c r="G26" s="3"/>
      <c r="H26" s="4"/>
      <c r="I26" s="4"/>
    </row>
    <row r="27" spans="1:9" s="6" customFormat="1" ht="13.5" thickBot="1" x14ac:dyDescent="0.25">
      <c r="B27" s="123" t="s">
        <v>74</v>
      </c>
      <c r="C27" s="225" t="s">
        <v>1</v>
      </c>
      <c r="D27" s="225"/>
      <c r="E27" s="126" t="s">
        <v>2</v>
      </c>
    </row>
    <row r="28" spans="1:9" x14ac:dyDescent="0.2">
      <c r="B28" s="62" t="s">
        <v>82</v>
      </c>
      <c r="C28" s="76" t="s">
        <v>27</v>
      </c>
      <c r="D28" s="174"/>
      <c r="E28" s="172">
        <v>16716.8</v>
      </c>
      <c r="F28" s="240"/>
      <c r="G28" s="354"/>
    </row>
    <row r="29" spans="1:9" x14ac:dyDescent="0.2">
      <c r="B29" s="155" t="s">
        <v>96</v>
      </c>
      <c r="C29" s="124" t="s">
        <v>24</v>
      </c>
      <c r="D29" s="175"/>
      <c r="E29" s="172">
        <v>12682.18</v>
      </c>
      <c r="F29" s="358"/>
      <c r="G29" s="354"/>
    </row>
    <row r="30" spans="1:9" x14ac:dyDescent="0.2">
      <c r="B30" s="155" t="s">
        <v>85</v>
      </c>
      <c r="C30" s="124" t="s">
        <v>76</v>
      </c>
      <c r="D30" s="175"/>
      <c r="E30" s="172">
        <v>6670.43</v>
      </c>
      <c r="F30" s="184"/>
    </row>
    <row r="31" spans="1:9" x14ac:dyDescent="0.2">
      <c r="B31" s="155" t="s">
        <v>3</v>
      </c>
      <c r="C31" s="124" t="s">
        <v>25</v>
      </c>
      <c r="D31" s="175"/>
      <c r="E31" s="172">
        <f>8665.28-500</f>
        <v>8165.2800000000007</v>
      </c>
      <c r="F31" s="184"/>
    </row>
    <row r="32" spans="1:9" x14ac:dyDescent="0.2">
      <c r="B32" s="29" t="s">
        <v>369</v>
      </c>
      <c r="C32" s="40" t="s">
        <v>23</v>
      </c>
      <c r="D32" s="176"/>
      <c r="E32" s="173">
        <v>8136.84</v>
      </c>
    </row>
    <row r="33" spans="1:9" x14ac:dyDescent="0.2">
      <c r="B33" s="29" t="s">
        <v>367</v>
      </c>
      <c r="C33" s="40" t="s">
        <v>368</v>
      </c>
      <c r="D33" s="176"/>
      <c r="E33" s="173">
        <v>2301.15</v>
      </c>
      <c r="G33" s="164"/>
      <c r="H33" s="165"/>
      <c r="I33" s="4"/>
    </row>
    <row r="34" spans="1:9" x14ac:dyDescent="0.2">
      <c r="B34" s="29" t="s">
        <v>275</v>
      </c>
      <c r="C34" s="40" t="s">
        <v>276</v>
      </c>
      <c r="D34" s="176"/>
      <c r="E34" s="173">
        <v>3223.83</v>
      </c>
    </row>
    <row r="35" spans="1:9" x14ac:dyDescent="0.2">
      <c r="B35" s="261" t="s">
        <v>78</v>
      </c>
      <c r="C35" s="124" t="s">
        <v>79</v>
      </c>
      <c r="D35" s="263"/>
      <c r="E35" s="135">
        <v>9238.25</v>
      </c>
      <c r="F35" s="94"/>
    </row>
    <row r="36" spans="1:9" x14ac:dyDescent="0.2">
      <c r="B36" s="29" t="s">
        <v>210</v>
      </c>
      <c r="C36" s="40" t="s">
        <v>211</v>
      </c>
      <c r="D36" s="300"/>
      <c r="E36" s="139">
        <v>4216.3999999999996</v>
      </c>
      <c r="F36" s="94"/>
    </row>
    <row r="37" spans="1:9" x14ac:dyDescent="0.2">
      <c r="B37" s="29" t="s">
        <v>338</v>
      </c>
      <c r="C37" s="40" t="s">
        <v>337</v>
      </c>
      <c r="D37" s="176"/>
      <c r="E37" s="266">
        <v>1859.03</v>
      </c>
      <c r="F37" s="94"/>
    </row>
    <row r="38" spans="1:9" ht="13.5" thickBot="1" x14ac:dyDescent="0.25">
      <c r="B38" s="180" t="s">
        <v>85</v>
      </c>
      <c r="C38" s="181" t="s">
        <v>205</v>
      </c>
      <c r="D38" s="182"/>
      <c r="E38" s="137">
        <v>4464.55</v>
      </c>
      <c r="F38" s="94"/>
    </row>
    <row r="39" spans="1:9" s="4" customFormat="1" ht="13.5" thickBot="1" x14ac:dyDescent="0.25">
      <c r="B39" s="274"/>
      <c r="C39" s="275"/>
      <c r="D39" s="276"/>
      <c r="E39" s="277">
        <f>SUM(E28:E38)</f>
        <v>77674.740000000005</v>
      </c>
      <c r="F39" s="379"/>
    </row>
    <row r="40" spans="1:9" x14ac:dyDescent="0.2">
      <c r="B40" s="44" t="s">
        <v>104</v>
      </c>
      <c r="C40" s="69" t="s">
        <v>12</v>
      </c>
      <c r="D40" s="69"/>
      <c r="E40" s="139">
        <f>1125*4</f>
        <v>4500</v>
      </c>
      <c r="F40" s="378" t="s">
        <v>148</v>
      </c>
    </row>
    <row r="41" spans="1:9" ht="13.5" thickBot="1" x14ac:dyDescent="0.25">
      <c r="B41" s="63" t="s">
        <v>35</v>
      </c>
      <c r="C41" s="133" t="s">
        <v>36</v>
      </c>
      <c r="D41" s="133"/>
      <c r="E41" s="137">
        <f>1050*4</f>
        <v>4200</v>
      </c>
      <c r="F41" s="378" t="s">
        <v>148</v>
      </c>
    </row>
    <row r="42" spans="1:9" ht="13.5" thickBot="1" x14ac:dyDescent="0.25">
      <c r="B42" s="11"/>
      <c r="C42" s="134" t="s">
        <v>0</v>
      </c>
      <c r="D42" s="134"/>
      <c r="E42" s="138">
        <f>SUM(E39:E41)</f>
        <v>86374.74</v>
      </c>
    </row>
    <row r="43" spans="1:9" ht="12.75" customHeight="1" x14ac:dyDescent="0.2">
      <c r="B43" s="11"/>
      <c r="C43" s="21"/>
      <c r="D43" s="21"/>
      <c r="E43" s="22"/>
      <c r="F43" s="22"/>
      <c r="G43" s="22"/>
      <c r="H43" s="22"/>
      <c r="I43" s="22"/>
    </row>
    <row r="44" spans="1:9" s="127" customFormat="1" ht="6.75" customHeight="1" x14ac:dyDescent="0.2">
      <c r="B44" s="128"/>
      <c r="C44" s="129"/>
      <c r="D44" s="129"/>
      <c r="E44" s="130"/>
      <c r="F44" s="130"/>
      <c r="G44" s="130"/>
      <c r="H44" s="130"/>
      <c r="I44" s="130"/>
    </row>
    <row r="45" spans="1:9" ht="12.95" customHeight="1" x14ac:dyDescent="0.2">
      <c r="A45" s="370" t="s">
        <v>400</v>
      </c>
      <c r="B45" s="11"/>
      <c r="C45" s="21"/>
      <c r="D45" s="21"/>
      <c r="E45" s="22"/>
      <c r="F45" s="22"/>
      <c r="G45" s="22"/>
      <c r="H45" s="22"/>
      <c r="I45" s="22"/>
    </row>
    <row r="46" spans="1:9" s="127" customFormat="1" ht="6.75" customHeight="1" x14ac:dyDescent="0.2">
      <c r="B46" s="128"/>
      <c r="C46" s="129"/>
      <c r="D46" s="129"/>
      <c r="E46" s="130"/>
      <c r="F46" s="130"/>
      <c r="G46" s="130"/>
      <c r="H46" s="130"/>
      <c r="I46" s="130"/>
    </row>
    <row r="47" spans="1:9" s="373" customFormat="1" ht="6.75" customHeight="1" x14ac:dyDescent="0.2">
      <c r="B47" s="374"/>
      <c r="C47" s="375"/>
      <c r="D47" s="375"/>
      <c r="E47" s="376"/>
      <c r="F47" s="376"/>
      <c r="G47" s="376"/>
      <c r="H47" s="376"/>
      <c r="I47" s="376"/>
    </row>
    <row r="48" spans="1:9" ht="12.75" customHeight="1" x14ac:dyDescent="0.2">
      <c r="B48" s="11" t="s">
        <v>13</v>
      </c>
      <c r="C48" s="299" t="s">
        <v>401</v>
      </c>
      <c r="D48" s="21"/>
      <c r="E48" s="22">
        <v>9000</v>
      </c>
      <c r="F48" s="378" t="s">
        <v>148</v>
      </c>
      <c r="G48" s="22"/>
      <c r="H48" s="22"/>
      <c r="I48" s="22"/>
    </row>
    <row r="49" spans="1:9" ht="12.75" customHeight="1" x14ac:dyDescent="0.2">
      <c r="B49" s="11" t="s">
        <v>16</v>
      </c>
      <c r="C49" s="299" t="s">
        <v>402</v>
      </c>
      <c r="D49" s="21"/>
      <c r="E49" s="22">
        <v>12000</v>
      </c>
      <c r="F49" s="378" t="s">
        <v>148</v>
      </c>
      <c r="G49" s="22"/>
      <c r="H49" s="22"/>
      <c r="I49" s="22"/>
    </row>
    <row r="50" spans="1:9" ht="12.75" customHeight="1" x14ac:dyDescent="0.2">
      <c r="B50" s="11" t="s">
        <v>93</v>
      </c>
      <c r="C50" s="299" t="s">
        <v>403</v>
      </c>
      <c r="D50" s="21"/>
      <c r="E50" s="22">
        <v>11000</v>
      </c>
      <c r="F50" s="378" t="s">
        <v>148</v>
      </c>
      <c r="G50" s="22"/>
      <c r="H50" s="22"/>
      <c r="I50" s="22"/>
    </row>
    <row r="51" spans="1:9" ht="12.75" customHeight="1" x14ac:dyDescent="0.2">
      <c r="B51" s="11" t="s">
        <v>21</v>
      </c>
      <c r="C51" s="299" t="s">
        <v>404</v>
      </c>
      <c r="D51" s="21"/>
      <c r="E51" s="372">
        <v>5000</v>
      </c>
      <c r="F51" s="22"/>
      <c r="G51" s="22"/>
      <c r="H51" s="22"/>
      <c r="I51" s="22"/>
    </row>
    <row r="52" spans="1:9" ht="12.75" customHeight="1" thickBot="1" x14ac:dyDescent="0.25">
      <c r="B52" s="11"/>
      <c r="C52" s="299"/>
      <c r="D52" s="21"/>
      <c r="E52" s="22">
        <f>SUM(E48:E51)</f>
        <v>37000</v>
      </c>
      <c r="F52" s="22"/>
      <c r="G52" s="22"/>
      <c r="H52" s="22"/>
      <c r="I52" s="22"/>
    </row>
    <row r="53" spans="1:9" ht="12.75" customHeight="1" thickBot="1" x14ac:dyDescent="0.25">
      <c r="B53" s="11"/>
      <c r="C53" s="299"/>
      <c r="D53" s="21"/>
      <c r="E53" s="371">
        <f>E52+E42</f>
        <v>123374.74</v>
      </c>
      <c r="F53" s="22"/>
      <c r="G53" s="22"/>
      <c r="H53" s="22"/>
      <c r="I53" s="22"/>
    </row>
    <row r="54" spans="1:9" ht="12.75" customHeight="1" x14ac:dyDescent="0.2">
      <c r="B54" s="11"/>
      <c r="C54" s="21"/>
      <c r="D54" s="21"/>
      <c r="E54" s="22"/>
      <c r="F54" s="22"/>
      <c r="G54" s="22"/>
      <c r="H54" s="22"/>
      <c r="I54" s="22"/>
    </row>
    <row r="55" spans="1:9" s="127" customFormat="1" ht="6.75" customHeight="1" x14ac:dyDescent="0.2">
      <c r="B55" s="128"/>
      <c r="C55" s="129"/>
      <c r="D55" s="129"/>
      <c r="E55" s="130"/>
      <c r="F55" s="130"/>
      <c r="G55" s="130"/>
      <c r="H55" s="130"/>
      <c r="I55" s="130"/>
    </row>
    <row r="56" spans="1:9" ht="12.95" customHeight="1" x14ac:dyDescent="0.2">
      <c r="A56" s="370" t="s">
        <v>405</v>
      </c>
      <c r="B56" s="11"/>
      <c r="C56" s="21"/>
      <c r="D56" s="21"/>
      <c r="E56" s="22"/>
      <c r="F56" s="22"/>
      <c r="G56" s="22"/>
      <c r="H56" s="22"/>
      <c r="I56" s="22"/>
    </row>
    <row r="57" spans="1:9" s="127" customFormat="1" ht="6.75" customHeight="1" x14ac:dyDescent="0.2">
      <c r="B57" s="128"/>
      <c r="C57" s="129"/>
      <c r="D57" s="129"/>
      <c r="E57" s="130"/>
      <c r="F57" s="130"/>
      <c r="G57" s="130"/>
      <c r="H57" s="130"/>
      <c r="I57" s="130"/>
    </row>
    <row r="58" spans="1:9" ht="6.75" customHeight="1" x14ac:dyDescent="0.2">
      <c r="B58" s="11"/>
      <c r="C58" s="21"/>
      <c r="D58" s="21"/>
      <c r="E58" s="22"/>
      <c r="F58" s="22"/>
      <c r="G58" s="22"/>
      <c r="H58" s="22"/>
      <c r="I58" s="22"/>
    </row>
    <row r="59" spans="1:9" s="7" customFormat="1" ht="13.15" customHeight="1" x14ac:dyDescent="0.2">
      <c r="A59" s="32" t="s">
        <v>13</v>
      </c>
      <c r="B59" s="33" t="s">
        <v>14</v>
      </c>
      <c r="C59" s="33"/>
      <c r="D59" s="140">
        <v>9000</v>
      </c>
      <c r="E59" s="178"/>
      <c r="F59" s="32" t="s">
        <v>21</v>
      </c>
      <c r="G59" s="33" t="s">
        <v>22</v>
      </c>
      <c r="H59" s="140">
        <v>5000</v>
      </c>
      <c r="I59" s="330"/>
    </row>
    <row r="60" spans="1:9" s="7" customFormat="1" ht="13.15" customHeight="1" x14ac:dyDescent="0.2">
      <c r="A60" s="32" t="s">
        <v>16</v>
      </c>
      <c r="B60" s="33" t="s">
        <v>17</v>
      </c>
      <c r="C60" s="33"/>
      <c r="D60" s="140">
        <v>311.83999999999997</v>
      </c>
      <c r="E60" s="178"/>
      <c r="F60" s="32" t="s">
        <v>15</v>
      </c>
      <c r="G60" s="33" t="s">
        <v>41</v>
      </c>
      <c r="H60" s="140">
        <v>1020</v>
      </c>
      <c r="I60" s="330"/>
    </row>
    <row r="61" spans="1:9" s="7" customFormat="1" ht="13.15" customHeight="1" x14ac:dyDescent="0.2">
      <c r="A61" s="32" t="s">
        <v>93</v>
      </c>
      <c r="B61" s="33" t="s">
        <v>94</v>
      </c>
      <c r="C61" s="33"/>
      <c r="D61" s="140">
        <v>472.63</v>
      </c>
      <c r="E61" s="178"/>
      <c r="F61" s="32" t="s">
        <v>54</v>
      </c>
      <c r="G61" s="33" t="s">
        <v>56</v>
      </c>
      <c r="H61" s="140">
        <v>500</v>
      </c>
      <c r="I61" s="330"/>
    </row>
    <row r="62" spans="1:9" s="7" customFormat="1" ht="13.15" customHeight="1" x14ac:dyDescent="0.2">
      <c r="A62" s="32" t="s">
        <v>390</v>
      </c>
      <c r="B62" s="33" t="s">
        <v>388</v>
      </c>
      <c r="C62" s="140"/>
      <c r="D62" s="140">
        <v>5000</v>
      </c>
      <c r="E62" s="178"/>
      <c r="F62" s="32" t="s">
        <v>55</v>
      </c>
      <c r="G62" s="33" t="s">
        <v>57</v>
      </c>
      <c r="H62" s="140">
        <v>500</v>
      </c>
      <c r="I62" s="330"/>
    </row>
    <row r="63" spans="1:9" s="7" customFormat="1" ht="13.15" customHeight="1" x14ac:dyDescent="0.2">
      <c r="A63" s="32" t="s">
        <v>390</v>
      </c>
      <c r="B63" s="33" t="s">
        <v>389</v>
      </c>
      <c r="C63" s="140"/>
      <c r="D63" s="140">
        <v>4000</v>
      </c>
      <c r="E63" s="178"/>
      <c r="F63" s="32" t="s">
        <v>16</v>
      </c>
      <c r="G63" s="33" t="s">
        <v>28</v>
      </c>
      <c r="H63" s="140">
        <v>12000</v>
      </c>
      <c r="I63" s="330"/>
    </row>
    <row r="64" spans="1:9" s="7" customFormat="1" ht="13.15" customHeight="1" thickBot="1" x14ac:dyDescent="0.25">
      <c r="A64" s="32" t="s">
        <v>413</v>
      </c>
      <c r="B64" s="33" t="s">
        <v>414</v>
      </c>
      <c r="C64" s="140"/>
      <c r="D64" s="140">
        <v>3970.94</v>
      </c>
      <c r="E64" s="178"/>
      <c r="F64" s="70" t="s">
        <v>38</v>
      </c>
      <c r="G64" s="33" t="s">
        <v>29</v>
      </c>
      <c r="H64" s="141">
        <v>11000</v>
      </c>
      <c r="I64" s="330"/>
    </row>
    <row r="65" spans="1:9" s="7" customFormat="1" ht="13.15" customHeight="1" thickTop="1" x14ac:dyDescent="0.2">
      <c r="A65" s="32"/>
      <c r="B65" s="33"/>
      <c r="C65" s="140"/>
      <c r="D65" s="140"/>
      <c r="E65" s="140"/>
      <c r="F65" s="34"/>
      <c r="G65" s="33"/>
      <c r="H65" s="162">
        <f>SUM(H59:H64)+SUM(D59:D65)</f>
        <v>52775.41</v>
      </c>
      <c r="I65" s="330"/>
    </row>
    <row r="66" spans="1:9" s="7" customFormat="1" ht="13.15" customHeight="1" x14ac:dyDescent="0.2">
      <c r="B66" s="32"/>
      <c r="C66" s="33"/>
      <c r="D66" s="9"/>
      <c r="E66" s="140"/>
      <c r="F66" s="9"/>
      <c r="G66" s="9"/>
      <c r="H66" s="9"/>
      <c r="I66" s="162"/>
    </row>
    <row r="67" spans="1:9" s="7" customFormat="1" ht="13.15" customHeight="1" x14ac:dyDescent="0.2">
      <c r="B67" s="32"/>
      <c r="C67" s="33"/>
      <c r="D67" s="8"/>
      <c r="E67" s="9"/>
      <c r="F67" s="9"/>
      <c r="G67" s="9"/>
      <c r="H67" s="9"/>
      <c r="I67" s="162"/>
    </row>
    <row r="68" spans="1:9" s="7" customFormat="1" ht="13.15" customHeight="1" x14ac:dyDescent="0.2">
      <c r="A68" s="9"/>
      <c r="B68" s="10"/>
      <c r="C68" s="9"/>
      <c r="D68" s="8"/>
      <c r="E68" s="9"/>
      <c r="F68" s="9"/>
      <c r="G68" s="9"/>
      <c r="H68" s="9"/>
      <c r="I68" s="162"/>
    </row>
    <row r="69" spans="1:9" s="7" customFormat="1" ht="13.15" customHeight="1" x14ac:dyDescent="0.2">
      <c r="A69" s="9"/>
      <c r="B69" s="10"/>
      <c r="C69" s="8"/>
      <c r="D69" s="8"/>
      <c r="E69" s="9"/>
      <c r="F69" s="9"/>
      <c r="G69" s="9"/>
      <c r="H69" s="9"/>
      <c r="I69" s="162"/>
    </row>
    <row r="70" spans="1:9" s="7" customFormat="1" ht="13.15" customHeight="1" x14ac:dyDescent="0.2">
      <c r="A70" s="9"/>
      <c r="B70" s="10"/>
      <c r="C70" s="8"/>
      <c r="D70" s="8"/>
      <c r="E70" s="9"/>
      <c r="F70" s="9"/>
      <c r="G70" s="9"/>
      <c r="H70" s="9"/>
      <c r="I70" s="162"/>
    </row>
    <row r="71" spans="1:9" s="7" customFormat="1" ht="13.15" customHeight="1" x14ac:dyDescent="0.2">
      <c r="A71" s="9"/>
      <c r="B71" s="10"/>
      <c r="C71" s="8"/>
      <c r="D71" s="8"/>
      <c r="E71" s="9"/>
      <c r="F71" s="9"/>
      <c r="G71" s="9"/>
      <c r="H71" s="9"/>
      <c r="I71" s="162"/>
    </row>
    <row r="72" spans="1:9" s="9" customFormat="1" ht="12" x14ac:dyDescent="0.2">
      <c r="B72" s="10"/>
      <c r="C72" s="8"/>
    </row>
    <row r="73" spans="1:9" s="9" customFormat="1" ht="12" x14ac:dyDescent="0.2">
      <c r="B73" s="10"/>
      <c r="C73" s="8"/>
    </row>
    <row r="74" spans="1:9" s="9" customFormat="1" ht="12" x14ac:dyDescent="0.2">
      <c r="B74" s="10"/>
      <c r="C74" s="8"/>
    </row>
    <row r="75" spans="1:9" s="9" customFormat="1" ht="12" x14ac:dyDescent="0.2">
      <c r="B75" s="10"/>
    </row>
    <row r="76" spans="1:9" s="9" customFormat="1" ht="12" x14ac:dyDescent="0.2">
      <c r="B76" s="10"/>
    </row>
    <row r="77" spans="1:9" s="9" customFormat="1" ht="12" x14ac:dyDescent="0.2">
      <c r="B77" s="10"/>
    </row>
    <row r="78" spans="1:9" s="9" customFormat="1" x14ac:dyDescent="0.2">
      <c r="B78" s="10"/>
      <c r="D78" s="5"/>
    </row>
    <row r="79" spans="1:9" s="9" customFormat="1" x14ac:dyDescent="0.2">
      <c r="B79" s="10"/>
      <c r="D79" s="5"/>
      <c r="F79" s="5"/>
      <c r="G79" s="5"/>
      <c r="H79" s="5"/>
    </row>
    <row r="80" spans="1:9" s="9" customFormat="1" x14ac:dyDescent="0.2">
      <c r="B80" s="10"/>
      <c r="D80" s="5"/>
      <c r="E80" s="5"/>
      <c r="F80" s="5"/>
      <c r="G80" s="5"/>
      <c r="H80" s="5"/>
    </row>
    <row r="81" spans="1:9" s="9" customFormat="1" x14ac:dyDescent="0.2">
      <c r="B81" s="12"/>
      <c r="C81" s="5"/>
      <c r="D81" s="5"/>
      <c r="E81" s="5"/>
      <c r="F81" s="5"/>
      <c r="G81" s="5"/>
      <c r="H81" s="5"/>
    </row>
    <row r="82" spans="1:9" s="9" customFormat="1" x14ac:dyDescent="0.2">
      <c r="B82" s="12"/>
      <c r="C82" s="5"/>
      <c r="D82" s="5"/>
      <c r="E82" s="5"/>
      <c r="F82" s="5"/>
      <c r="G82" s="5"/>
      <c r="H82" s="5"/>
    </row>
    <row r="83" spans="1:9" s="9" customFormat="1" x14ac:dyDescent="0.2">
      <c r="B83" s="12"/>
      <c r="C83" s="5"/>
      <c r="D83" s="5"/>
      <c r="E83" s="5"/>
      <c r="F83" s="5"/>
      <c r="G83" s="5"/>
      <c r="H83" s="5"/>
    </row>
    <row r="84" spans="1:9" s="9" customFormat="1" x14ac:dyDescent="0.2">
      <c r="B84" s="12"/>
      <c r="C84" s="5"/>
      <c r="D84" s="5"/>
      <c r="E84" s="5"/>
      <c r="F84" s="5"/>
      <c r="G84" s="5"/>
      <c r="H84" s="5"/>
    </row>
    <row r="85" spans="1:9" s="9" customFormat="1" x14ac:dyDescent="0.2">
      <c r="A85" s="5"/>
      <c r="B85" s="12"/>
      <c r="C85" s="5"/>
      <c r="D85" s="5"/>
      <c r="E85" s="5"/>
      <c r="F85" s="5"/>
      <c r="G85" s="5"/>
      <c r="H85" s="5"/>
      <c r="I85" s="5"/>
    </row>
    <row r="86" spans="1:9" s="9" customFormat="1" x14ac:dyDescent="0.2">
      <c r="A86" s="5"/>
      <c r="B86" s="12"/>
      <c r="C86" s="5"/>
      <c r="D86" s="5"/>
      <c r="E86" s="5"/>
      <c r="F86" s="5"/>
      <c r="G86" s="5"/>
      <c r="H86" s="5"/>
      <c r="I86" s="5"/>
    </row>
    <row r="87" spans="1:9" s="9" customFormat="1" x14ac:dyDescent="0.2">
      <c r="A87" s="5"/>
      <c r="B87" s="12"/>
      <c r="C87" s="5"/>
      <c r="D87" s="5"/>
      <c r="E87" s="5"/>
      <c r="F87" s="5"/>
      <c r="G87" s="5"/>
      <c r="H87" s="5"/>
      <c r="I87" s="5"/>
    </row>
    <row r="88" spans="1:9" s="9" customFormat="1" x14ac:dyDescent="0.2">
      <c r="A88" s="5"/>
      <c r="B88" s="12"/>
      <c r="C88" s="5"/>
      <c r="D88" s="5"/>
      <c r="E88" s="5"/>
      <c r="F88" s="5"/>
      <c r="G88" s="5"/>
      <c r="H88" s="5"/>
      <c r="I88" s="5"/>
    </row>
  </sheetData>
  <mergeCells count="5">
    <mergeCell ref="A1:H1"/>
    <mergeCell ref="C4:D4"/>
    <mergeCell ref="E5:F5"/>
    <mergeCell ref="C25:D25"/>
    <mergeCell ref="E26:F26"/>
  </mergeCells>
  <printOptions horizontalCentered="1"/>
  <pageMargins left="0.23622047244094491" right="0.23622047244094491" top="3.8976377952755907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19" zoomScaleNormal="100" workbookViewId="0">
      <selection activeCell="A57" sqref="A57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9.8554687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418" t="s">
        <v>407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406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42380</v>
      </c>
      <c r="D4" s="414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5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</row>
    <row r="7" spans="1:9" x14ac:dyDescent="0.2">
      <c r="B7" s="62" t="s">
        <v>82</v>
      </c>
      <c r="C7" s="76" t="s">
        <v>27</v>
      </c>
      <c r="D7" s="174"/>
      <c r="E7" s="172">
        <v>2910.39</v>
      </c>
      <c r="F7" s="240"/>
      <c r="G7" s="354"/>
    </row>
    <row r="8" spans="1:9" x14ac:dyDescent="0.2">
      <c r="B8" s="155" t="s">
        <v>96</v>
      </c>
      <c r="C8" s="124" t="s">
        <v>24</v>
      </c>
      <c r="D8" s="175"/>
      <c r="E8" s="172">
        <v>1738.06</v>
      </c>
      <c r="F8" s="358"/>
      <c r="G8" s="354"/>
    </row>
    <row r="9" spans="1:9" x14ac:dyDescent="0.2">
      <c r="B9" s="155" t="s">
        <v>85</v>
      </c>
      <c r="C9" s="124" t="s">
        <v>76</v>
      </c>
      <c r="D9" s="175"/>
      <c r="E9" s="172">
        <v>752.24</v>
      </c>
    </row>
    <row r="10" spans="1:9" x14ac:dyDescent="0.2">
      <c r="B10" s="155" t="s">
        <v>3</v>
      </c>
      <c r="C10" s="124" t="s">
        <v>25</v>
      </c>
      <c r="D10" s="175"/>
      <c r="E10" s="172">
        <v>937.04</v>
      </c>
    </row>
    <row r="11" spans="1:9" x14ac:dyDescent="0.2">
      <c r="B11" s="29" t="s">
        <v>369</v>
      </c>
      <c r="C11" s="40" t="s">
        <v>23</v>
      </c>
      <c r="D11" s="176"/>
      <c r="E11" s="173">
        <v>927.03</v>
      </c>
    </row>
    <row r="12" spans="1:9" ht="13.5" thickBot="1" x14ac:dyDescent="0.25">
      <c r="B12" s="264" t="s">
        <v>78</v>
      </c>
      <c r="C12" s="265" t="s">
        <v>79</v>
      </c>
      <c r="D12" s="301"/>
      <c r="E12" s="137">
        <v>2270.81</v>
      </c>
      <c r="F12" s="94"/>
    </row>
    <row r="13" spans="1:9" s="4" customFormat="1" ht="13.5" thickBot="1" x14ac:dyDescent="0.25">
      <c r="B13" s="274"/>
      <c r="C13" s="275"/>
      <c r="D13" s="276"/>
      <c r="E13" s="277">
        <f>SUM(E7:E12)</f>
        <v>9535.57</v>
      </c>
      <c r="F13" s="132"/>
    </row>
    <row r="14" spans="1:9" x14ac:dyDescent="0.2">
      <c r="B14" s="44" t="s">
        <v>104</v>
      </c>
      <c r="C14" s="69" t="s">
        <v>12</v>
      </c>
      <c r="D14" s="69"/>
      <c r="E14" s="139">
        <v>1125</v>
      </c>
    </row>
    <row r="15" spans="1:9" ht="13.5" thickBot="1" x14ac:dyDescent="0.25">
      <c r="B15" s="63" t="s">
        <v>35</v>
      </c>
      <c r="C15" s="133" t="s">
        <v>36</v>
      </c>
      <c r="D15" s="133"/>
      <c r="E15" s="137">
        <v>1050</v>
      </c>
    </row>
    <row r="16" spans="1:9" ht="13.5" thickBot="1" x14ac:dyDescent="0.25">
      <c r="B16" s="11"/>
      <c r="C16" s="134" t="s">
        <v>0</v>
      </c>
      <c r="D16" s="134"/>
      <c r="E16" s="138">
        <f>SUM(E13:E15)</f>
        <v>11710.57</v>
      </c>
    </row>
    <row r="17" spans="1:9" ht="12.75" customHeight="1" x14ac:dyDescent="0.2">
      <c r="B17" s="11"/>
      <c r="C17" s="21"/>
      <c r="D17" s="21"/>
      <c r="E17" s="22"/>
      <c r="F17" s="22"/>
      <c r="G17" s="22"/>
      <c r="H17" s="22"/>
      <c r="I17" s="22"/>
    </row>
    <row r="18" spans="1:9" s="127" customFormat="1" ht="6.75" customHeight="1" x14ac:dyDescent="0.2">
      <c r="B18" s="128"/>
      <c r="C18" s="129"/>
      <c r="D18" s="129"/>
      <c r="E18" s="130"/>
      <c r="F18" s="130"/>
      <c r="G18" s="130"/>
      <c r="H18" s="130"/>
      <c r="I18" s="130"/>
    </row>
    <row r="19" spans="1:9" ht="19.5" customHeight="1" x14ac:dyDescent="0.2">
      <c r="A19" s="163"/>
      <c r="B19" s="122" t="s">
        <v>73</v>
      </c>
      <c r="C19" s="168" t="s">
        <v>408</v>
      </c>
      <c r="D19" s="142"/>
      <c r="E19" s="22"/>
      <c r="F19" s="22"/>
      <c r="G19" s="22"/>
      <c r="H19" s="22"/>
      <c r="I19" s="22"/>
    </row>
    <row r="20" spans="1:9" ht="19.5" customHeight="1" x14ac:dyDescent="0.2">
      <c r="B20" s="122" t="s">
        <v>75</v>
      </c>
      <c r="C20" s="414">
        <v>42753</v>
      </c>
      <c r="D20" s="414"/>
      <c r="E20" s="22"/>
      <c r="F20" s="22"/>
      <c r="G20" s="22"/>
      <c r="H20" s="22"/>
      <c r="I20" s="22"/>
    </row>
    <row r="21" spans="1:9" ht="4.5" customHeight="1" x14ac:dyDescent="0.45">
      <c r="B21" s="2"/>
      <c r="C21" s="41"/>
      <c r="D21" s="41"/>
      <c r="E21" s="415"/>
      <c r="F21" s="415"/>
      <c r="G21" s="3"/>
      <c r="H21" s="4"/>
      <c r="I21" s="4"/>
    </row>
    <row r="22" spans="1:9" s="6" customFormat="1" ht="13.5" thickBot="1" x14ac:dyDescent="0.25">
      <c r="B22" s="123" t="s">
        <v>74</v>
      </c>
      <c r="C22" s="225" t="s">
        <v>1</v>
      </c>
      <c r="D22" s="225"/>
      <c r="E22" s="126" t="s">
        <v>2</v>
      </c>
    </row>
    <row r="23" spans="1:9" x14ac:dyDescent="0.2">
      <c r="B23" s="62" t="s">
        <v>82</v>
      </c>
      <c r="C23" s="76" t="s">
        <v>27</v>
      </c>
      <c r="D23" s="174"/>
      <c r="E23" s="172">
        <v>1443.6</v>
      </c>
      <c r="F23" s="240"/>
      <c r="G23" s="354"/>
    </row>
    <row r="24" spans="1:9" x14ac:dyDescent="0.2">
      <c r="B24" s="155" t="s">
        <v>96</v>
      </c>
      <c r="C24" s="124" t="s">
        <v>24</v>
      </c>
      <c r="D24" s="175"/>
      <c r="E24" s="172">
        <v>1192.23</v>
      </c>
      <c r="F24" s="358"/>
      <c r="G24" s="354"/>
    </row>
    <row r="25" spans="1:9" x14ac:dyDescent="0.2">
      <c r="B25" s="155" t="s">
        <v>85</v>
      </c>
      <c r="C25" s="124" t="s">
        <v>76</v>
      </c>
      <c r="D25" s="175"/>
      <c r="E25" s="172">
        <v>652.24</v>
      </c>
      <c r="F25" s="358"/>
    </row>
    <row r="26" spans="1:9" x14ac:dyDescent="0.2">
      <c r="B26" s="155" t="s">
        <v>3</v>
      </c>
      <c r="C26" s="124" t="s">
        <v>25</v>
      </c>
      <c r="D26" s="175"/>
      <c r="E26" s="172">
        <v>937.04</v>
      </c>
    </row>
    <row r="27" spans="1:9" x14ac:dyDescent="0.2">
      <c r="B27" s="29" t="s">
        <v>369</v>
      </c>
      <c r="C27" s="40" t="s">
        <v>23</v>
      </c>
      <c r="D27" s="176"/>
      <c r="E27" s="173">
        <v>927.03</v>
      </c>
    </row>
    <row r="28" spans="1:9" ht="13.5" thickBot="1" x14ac:dyDescent="0.25">
      <c r="B28" s="264" t="s">
        <v>78</v>
      </c>
      <c r="C28" s="265" t="s">
        <v>79</v>
      </c>
      <c r="D28" s="301"/>
      <c r="E28" s="137">
        <v>990</v>
      </c>
      <c r="F28" s="94"/>
    </row>
    <row r="29" spans="1:9" s="4" customFormat="1" ht="13.5" thickBot="1" x14ac:dyDescent="0.25">
      <c r="B29" s="274"/>
      <c r="C29" s="275"/>
      <c r="D29" s="276"/>
      <c r="E29" s="277">
        <f>SUM(E23:E28)</f>
        <v>6142.1399999999994</v>
      </c>
      <c r="F29" s="132"/>
    </row>
    <row r="30" spans="1:9" x14ac:dyDescent="0.2">
      <c r="B30" s="44" t="s">
        <v>104</v>
      </c>
      <c r="C30" s="69" t="s">
        <v>12</v>
      </c>
      <c r="D30" s="69"/>
      <c r="E30" s="139">
        <v>1125</v>
      </c>
    </row>
    <row r="31" spans="1:9" ht="13.5" thickBot="1" x14ac:dyDescent="0.25">
      <c r="B31" s="63" t="s">
        <v>35</v>
      </c>
      <c r="C31" s="133" t="s">
        <v>36</v>
      </c>
      <c r="D31" s="133"/>
      <c r="E31" s="137">
        <v>1050</v>
      </c>
    </row>
    <row r="32" spans="1:9" ht="13.5" thickBot="1" x14ac:dyDescent="0.25">
      <c r="B32" s="11"/>
      <c r="C32" s="134" t="s">
        <v>0</v>
      </c>
      <c r="D32" s="134"/>
      <c r="E32" s="138">
        <f>SUM(E29:E31)</f>
        <v>8317.14</v>
      </c>
    </row>
    <row r="33" spans="1:9" ht="12.75" customHeight="1" x14ac:dyDescent="0.2">
      <c r="B33" s="11"/>
      <c r="C33" s="21"/>
      <c r="D33" s="21"/>
      <c r="E33" s="22"/>
      <c r="F33" s="22"/>
      <c r="G33" s="22"/>
      <c r="H33" s="22"/>
      <c r="I33" s="22"/>
    </row>
    <row r="34" spans="1:9" s="127" customFormat="1" ht="6.75" customHeight="1" x14ac:dyDescent="0.2">
      <c r="B34" s="128"/>
      <c r="C34" s="129"/>
      <c r="D34" s="129"/>
      <c r="E34" s="130"/>
      <c r="F34" s="130"/>
      <c r="G34" s="130"/>
      <c r="H34" s="130"/>
      <c r="I34" s="130"/>
    </row>
    <row r="35" spans="1:9" ht="19.5" customHeight="1" x14ac:dyDescent="0.2">
      <c r="A35" s="163"/>
      <c r="B35" s="122" t="s">
        <v>73</v>
      </c>
      <c r="C35" s="168" t="s">
        <v>409</v>
      </c>
      <c r="D35" s="142"/>
      <c r="E35" s="22"/>
      <c r="F35" s="22"/>
      <c r="G35" s="22"/>
      <c r="H35" s="22"/>
      <c r="I35" s="22"/>
    </row>
    <row r="36" spans="1:9" ht="19.5" customHeight="1" x14ac:dyDescent="0.2">
      <c r="B36" s="122" t="s">
        <v>75</v>
      </c>
      <c r="C36" s="414">
        <v>42760</v>
      </c>
      <c r="D36" s="414"/>
      <c r="E36" s="22"/>
      <c r="F36" s="22"/>
      <c r="G36" s="22"/>
      <c r="H36" s="22"/>
      <c r="I36" s="22"/>
    </row>
    <row r="37" spans="1:9" ht="4.5" customHeight="1" x14ac:dyDescent="0.45">
      <c r="B37" s="2"/>
      <c r="C37" s="41"/>
      <c r="D37" s="41"/>
      <c r="E37" s="415"/>
      <c r="F37" s="415"/>
      <c r="G37" s="3"/>
      <c r="H37" s="4"/>
      <c r="I37" s="4"/>
    </row>
    <row r="38" spans="1:9" s="6" customFormat="1" ht="13.5" thickBot="1" x14ac:dyDescent="0.25">
      <c r="B38" s="123" t="s">
        <v>74</v>
      </c>
      <c r="C38" s="225" t="s">
        <v>1</v>
      </c>
      <c r="D38" s="225"/>
      <c r="E38" s="126" t="s">
        <v>2</v>
      </c>
    </row>
    <row r="39" spans="1:9" x14ac:dyDescent="0.2">
      <c r="B39" s="62" t="s">
        <v>82</v>
      </c>
      <c r="C39" s="76" t="s">
        <v>27</v>
      </c>
      <c r="D39" s="174"/>
      <c r="E39" s="172">
        <v>1443.61</v>
      </c>
      <c r="F39" s="347"/>
      <c r="G39" s="357"/>
    </row>
    <row r="40" spans="1:9" x14ac:dyDescent="0.2">
      <c r="B40" s="155" t="s">
        <v>96</v>
      </c>
      <c r="C40" s="124" t="s">
        <v>24</v>
      </c>
      <c r="D40" s="175"/>
      <c r="E40" s="172">
        <v>1192.29</v>
      </c>
      <c r="F40" s="358"/>
      <c r="G40" s="357"/>
    </row>
    <row r="41" spans="1:9" x14ac:dyDescent="0.2">
      <c r="B41" s="155" t="s">
        <v>85</v>
      </c>
      <c r="C41" s="124" t="s">
        <v>76</v>
      </c>
      <c r="D41" s="175"/>
      <c r="E41" s="172">
        <v>652.24</v>
      </c>
    </row>
    <row r="42" spans="1:9" x14ac:dyDescent="0.2">
      <c r="B42" s="29" t="s">
        <v>3</v>
      </c>
      <c r="C42" s="40" t="s">
        <v>25</v>
      </c>
      <c r="D42" s="176"/>
      <c r="E42" s="172">
        <v>937.04</v>
      </c>
      <c r="F42" s="184"/>
    </row>
    <row r="43" spans="1:9" x14ac:dyDescent="0.2">
      <c r="B43" s="29" t="s">
        <v>369</v>
      </c>
      <c r="C43" s="40" t="s">
        <v>23</v>
      </c>
      <c r="D43" s="176"/>
      <c r="E43" s="173">
        <v>927.03</v>
      </c>
    </row>
    <row r="44" spans="1:9" ht="13.5" thickBot="1" x14ac:dyDescent="0.25">
      <c r="B44" s="180" t="s">
        <v>78</v>
      </c>
      <c r="C44" s="181" t="s">
        <v>79</v>
      </c>
      <c r="D44" s="182"/>
      <c r="E44" s="137">
        <v>990</v>
      </c>
      <c r="F44" s="94"/>
    </row>
    <row r="45" spans="1:9" s="4" customFormat="1" ht="13.5" thickBot="1" x14ac:dyDescent="0.25">
      <c r="B45" s="274"/>
      <c r="C45" s="275"/>
      <c r="D45" s="276"/>
      <c r="E45" s="277">
        <f>SUM(E39:E44)</f>
        <v>6142.2099999999991</v>
      </c>
      <c r="F45" s="132"/>
    </row>
    <row r="46" spans="1:9" x14ac:dyDescent="0.2">
      <c r="B46" s="44" t="s">
        <v>104</v>
      </c>
      <c r="C46" s="69" t="s">
        <v>12</v>
      </c>
      <c r="D46" s="69"/>
      <c r="E46" s="139">
        <v>1125</v>
      </c>
    </row>
    <row r="47" spans="1:9" ht="13.5" thickBot="1" x14ac:dyDescent="0.25">
      <c r="B47" s="63" t="s">
        <v>35</v>
      </c>
      <c r="C47" s="133" t="s">
        <v>36</v>
      </c>
      <c r="D47" s="133"/>
      <c r="E47" s="137">
        <v>1050</v>
      </c>
    </row>
    <row r="48" spans="1:9" ht="13.5" thickBot="1" x14ac:dyDescent="0.25">
      <c r="B48" s="11"/>
      <c r="C48" s="134" t="s">
        <v>0</v>
      </c>
      <c r="D48" s="134"/>
      <c r="E48" s="138">
        <f>SUM(E45:E47)</f>
        <v>8317.2099999999991</v>
      </c>
    </row>
    <row r="49" spans="1:9" ht="12.75" customHeight="1" x14ac:dyDescent="0.2">
      <c r="B49" s="11"/>
      <c r="C49" s="21"/>
      <c r="D49" s="21"/>
      <c r="E49" s="22"/>
      <c r="F49" s="22"/>
      <c r="G49" s="22"/>
      <c r="H49" s="22"/>
      <c r="I49" s="22"/>
    </row>
    <row r="50" spans="1:9" s="7" customFormat="1" ht="13.15" customHeight="1" x14ac:dyDescent="0.2">
      <c r="A50" s="32" t="s">
        <v>13</v>
      </c>
      <c r="B50" s="33" t="s">
        <v>14</v>
      </c>
      <c r="C50" s="33"/>
      <c r="D50" s="140">
        <v>9000</v>
      </c>
      <c r="E50" s="178"/>
      <c r="F50" s="32" t="s">
        <v>21</v>
      </c>
      <c r="G50" s="33" t="s">
        <v>22</v>
      </c>
      <c r="H50" s="140">
        <v>5000</v>
      </c>
      <c r="I50" s="330"/>
    </row>
    <row r="51" spans="1:9" s="7" customFormat="1" ht="13.15" customHeight="1" x14ac:dyDescent="0.2">
      <c r="A51" s="32" t="s">
        <v>16</v>
      </c>
      <c r="B51" s="33" t="s">
        <v>17</v>
      </c>
      <c r="C51" s="33"/>
      <c r="D51" s="140">
        <v>311.83999999999997</v>
      </c>
      <c r="E51" s="178"/>
      <c r="F51" s="32" t="s">
        <v>15</v>
      </c>
      <c r="G51" s="33" t="s">
        <v>41</v>
      </c>
      <c r="H51" s="140">
        <v>1020</v>
      </c>
      <c r="I51" s="330"/>
    </row>
    <row r="52" spans="1:9" s="7" customFormat="1" ht="13.15" customHeight="1" x14ac:dyDescent="0.2">
      <c r="A52" s="32" t="s">
        <v>93</v>
      </c>
      <c r="B52" s="33" t="s">
        <v>94</v>
      </c>
      <c r="C52" s="33"/>
      <c r="D52" s="140">
        <v>472.63</v>
      </c>
      <c r="E52" s="178"/>
      <c r="F52" s="32" t="s">
        <v>54</v>
      </c>
      <c r="G52" s="33" t="s">
        <v>56</v>
      </c>
      <c r="H52" s="140">
        <v>500</v>
      </c>
      <c r="I52" s="330"/>
    </row>
    <row r="53" spans="1:9" s="7" customFormat="1" ht="13.15" customHeight="1" x14ac:dyDescent="0.2">
      <c r="A53" s="32" t="s">
        <v>390</v>
      </c>
      <c r="B53" s="33" t="s">
        <v>388</v>
      </c>
      <c r="C53" s="140"/>
      <c r="D53" s="140">
        <v>5000</v>
      </c>
      <c r="E53" s="178"/>
      <c r="F53" s="32" t="s">
        <v>55</v>
      </c>
      <c r="G53" s="33" t="s">
        <v>57</v>
      </c>
      <c r="H53" s="140">
        <v>500</v>
      </c>
      <c r="I53" s="330"/>
    </row>
    <row r="54" spans="1:9" s="7" customFormat="1" ht="13.15" customHeight="1" x14ac:dyDescent="0.2">
      <c r="A54" s="32" t="s">
        <v>390</v>
      </c>
      <c r="B54" s="33" t="s">
        <v>389</v>
      </c>
      <c r="C54" s="140"/>
      <c r="D54" s="140">
        <v>4000</v>
      </c>
      <c r="E54" s="178"/>
      <c r="F54" s="32" t="s">
        <v>16</v>
      </c>
      <c r="G54" s="33" t="s">
        <v>28</v>
      </c>
      <c r="H54" s="140">
        <v>12000</v>
      </c>
      <c r="I54" s="330"/>
    </row>
    <row r="55" spans="1:9" s="7" customFormat="1" ht="13.15" customHeight="1" thickBot="1" x14ac:dyDescent="0.25">
      <c r="A55" s="32" t="s">
        <v>473</v>
      </c>
      <c r="B55" s="33" t="s">
        <v>414</v>
      </c>
      <c r="C55" s="140"/>
      <c r="D55" s="140">
        <v>3970.94</v>
      </c>
      <c r="E55" s="178"/>
      <c r="F55" s="70" t="s">
        <v>38</v>
      </c>
      <c r="G55" s="33" t="s">
        <v>29</v>
      </c>
      <c r="H55" s="141">
        <v>11000</v>
      </c>
      <c r="I55" s="330"/>
    </row>
    <row r="56" spans="1:9" s="7" customFormat="1" ht="13.15" customHeight="1" thickTop="1" thickBot="1" x14ac:dyDescent="0.25">
      <c r="A56" s="32" t="s">
        <v>473</v>
      </c>
      <c r="B56" s="33" t="s">
        <v>454</v>
      </c>
      <c r="C56" s="140"/>
      <c r="D56" s="140">
        <v>952.87</v>
      </c>
      <c r="E56" s="140"/>
      <c r="F56" s="34"/>
      <c r="G56" s="33"/>
      <c r="H56" s="162">
        <f>SUM(H50:H55)+SUM(D50:D57)</f>
        <v>53728.28</v>
      </c>
      <c r="I56" s="330"/>
    </row>
    <row r="57" spans="1:9" s="7" customFormat="1" ht="13.15" customHeight="1" thickBot="1" x14ac:dyDescent="0.25">
      <c r="B57" s="212"/>
      <c r="C57" s="33"/>
      <c r="D57" s="213"/>
      <c r="E57" s="140"/>
      <c r="F57" s="34"/>
      <c r="G57" s="145" t="s">
        <v>5</v>
      </c>
      <c r="H57" s="146">
        <f>E48+H56</f>
        <v>62045.49</v>
      </c>
      <c r="I57" s="162"/>
    </row>
    <row r="58" spans="1:9" s="7" customFormat="1" ht="13.15" customHeight="1" x14ac:dyDescent="0.2">
      <c r="B58" s="32"/>
      <c r="C58" s="33"/>
      <c r="D58" s="9"/>
      <c r="E58" s="140"/>
      <c r="F58" s="9"/>
      <c r="G58" s="9"/>
      <c r="H58" s="9"/>
      <c r="I58" s="162"/>
    </row>
    <row r="59" spans="1:9" s="7" customFormat="1" ht="13.15" customHeight="1" x14ac:dyDescent="0.2">
      <c r="B59" s="32"/>
      <c r="C59" s="33"/>
      <c r="D59" s="8"/>
      <c r="E59" s="9"/>
      <c r="F59" s="9"/>
      <c r="G59" s="9"/>
      <c r="H59" s="9"/>
      <c r="I59" s="162"/>
    </row>
    <row r="60" spans="1:9" s="7" customFormat="1" ht="13.15" customHeight="1" x14ac:dyDescent="0.2">
      <c r="A60" s="9"/>
      <c r="B60" s="10"/>
      <c r="C60" s="9"/>
      <c r="D60" s="8"/>
      <c r="E60" s="9"/>
      <c r="F60" s="9"/>
      <c r="G60" s="9"/>
      <c r="H60" s="9"/>
      <c r="I60" s="162"/>
    </row>
    <row r="61" spans="1:9" s="7" customFormat="1" ht="13.15" customHeight="1" x14ac:dyDescent="0.2">
      <c r="A61" s="9"/>
      <c r="B61" s="10"/>
      <c r="C61" s="8"/>
      <c r="D61" s="8"/>
      <c r="E61" s="9"/>
      <c r="F61" s="9"/>
      <c r="G61" s="9"/>
      <c r="H61" s="9"/>
      <c r="I61" s="162"/>
    </row>
    <row r="62" spans="1:9" s="7" customFormat="1" ht="13.15" customHeight="1" x14ac:dyDescent="0.2">
      <c r="A62" s="9"/>
      <c r="B62" s="10"/>
      <c r="C62" s="8"/>
      <c r="D62" s="8"/>
      <c r="E62" s="9"/>
      <c r="F62" s="9"/>
      <c r="G62" s="9"/>
      <c r="H62" s="9"/>
      <c r="I62" s="162"/>
    </row>
    <row r="63" spans="1:9" s="7" customFormat="1" ht="13.15" customHeight="1" x14ac:dyDescent="0.2">
      <c r="A63" s="9"/>
      <c r="B63" s="10"/>
      <c r="C63" s="8"/>
      <c r="D63" s="8"/>
      <c r="E63" s="9"/>
      <c r="F63" s="9"/>
      <c r="G63" s="9"/>
      <c r="H63" s="9"/>
      <c r="I63" s="162"/>
    </row>
    <row r="64" spans="1:9" s="9" customFormat="1" ht="12" x14ac:dyDescent="0.2">
      <c r="B64" s="10"/>
      <c r="C64" s="8"/>
    </row>
    <row r="65" spans="1:9" s="9" customFormat="1" ht="12" x14ac:dyDescent="0.2">
      <c r="B65" s="10"/>
      <c r="C65" s="8"/>
    </row>
    <row r="66" spans="1:9" s="9" customFormat="1" ht="12" x14ac:dyDescent="0.2">
      <c r="B66" s="10"/>
      <c r="C66" s="8"/>
    </row>
    <row r="67" spans="1:9" s="9" customFormat="1" ht="12" x14ac:dyDescent="0.2">
      <c r="B67" s="10"/>
    </row>
    <row r="68" spans="1:9" s="9" customFormat="1" ht="12" x14ac:dyDescent="0.2">
      <c r="B68" s="10"/>
    </row>
    <row r="69" spans="1:9" s="9" customFormat="1" ht="12" x14ac:dyDescent="0.2">
      <c r="B69" s="10"/>
    </row>
    <row r="70" spans="1:9" s="9" customFormat="1" x14ac:dyDescent="0.2">
      <c r="B70" s="10"/>
      <c r="D70" s="5"/>
    </row>
    <row r="71" spans="1:9" s="9" customFormat="1" x14ac:dyDescent="0.2">
      <c r="B71" s="10"/>
      <c r="D71" s="5"/>
      <c r="F71" s="5"/>
      <c r="G71" s="5"/>
      <c r="H71" s="5"/>
    </row>
    <row r="72" spans="1:9" s="9" customFormat="1" x14ac:dyDescent="0.2">
      <c r="B72" s="10"/>
      <c r="D72" s="5"/>
      <c r="E72" s="5"/>
      <c r="F72" s="5"/>
      <c r="G72" s="5"/>
      <c r="H72" s="5"/>
    </row>
    <row r="73" spans="1:9" s="9" customFormat="1" x14ac:dyDescent="0.2">
      <c r="B73" s="12"/>
      <c r="C73" s="5"/>
      <c r="D73" s="5"/>
      <c r="E73" s="5"/>
      <c r="F73" s="5"/>
      <c r="G73" s="5"/>
      <c r="H73" s="5"/>
    </row>
    <row r="74" spans="1:9" s="9" customFormat="1" x14ac:dyDescent="0.2">
      <c r="B74" s="12"/>
      <c r="C74" s="5"/>
      <c r="D74" s="5"/>
      <c r="E74" s="5"/>
      <c r="F74" s="5"/>
      <c r="G74" s="5"/>
      <c r="H74" s="5"/>
    </row>
    <row r="75" spans="1:9" s="9" customFormat="1" x14ac:dyDescent="0.2">
      <c r="B75" s="12"/>
      <c r="C75" s="5"/>
      <c r="D75" s="5"/>
      <c r="E75" s="5"/>
      <c r="F75" s="5"/>
      <c r="G75" s="5"/>
      <c r="H75" s="5"/>
    </row>
    <row r="76" spans="1:9" s="9" customFormat="1" x14ac:dyDescent="0.2">
      <c r="B76" s="12"/>
      <c r="C76" s="5"/>
      <c r="D76" s="5"/>
      <c r="E76" s="5"/>
      <c r="F76" s="5"/>
      <c r="G76" s="5"/>
      <c r="H76" s="5"/>
    </row>
    <row r="77" spans="1:9" s="9" customFormat="1" x14ac:dyDescent="0.2">
      <c r="A77" s="5"/>
      <c r="B77" s="12"/>
      <c r="C77" s="5"/>
      <c r="D77" s="5"/>
      <c r="E77" s="5"/>
      <c r="F77" s="5"/>
      <c r="G77" s="5"/>
      <c r="H77" s="5"/>
      <c r="I77" s="5"/>
    </row>
    <row r="78" spans="1:9" s="9" customFormat="1" x14ac:dyDescent="0.2">
      <c r="A78" s="5"/>
      <c r="B78" s="12"/>
      <c r="C78" s="5"/>
      <c r="D78" s="5"/>
      <c r="E78" s="5"/>
      <c r="F78" s="5"/>
      <c r="G78" s="5"/>
      <c r="H78" s="5"/>
      <c r="I78" s="5"/>
    </row>
    <row r="79" spans="1:9" s="9" customFormat="1" x14ac:dyDescent="0.2">
      <c r="A79" s="5"/>
      <c r="B79" s="12"/>
      <c r="C79" s="5"/>
      <c r="D79" s="5"/>
      <c r="E79" s="5"/>
      <c r="F79" s="5"/>
      <c r="G79" s="5"/>
      <c r="H79" s="5"/>
      <c r="I79" s="5"/>
    </row>
    <row r="80" spans="1:9" s="9" customFormat="1" x14ac:dyDescent="0.2">
      <c r="A80" s="5"/>
      <c r="B80" s="12"/>
      <c r="C80" s="5"/>
      <c r="D80" s="5"/>
      <c r="E80" s="5"/>
      <c r="F80" s="5"/>
      <c r="G80" s="5"/>
      <c r="H80" s="5"/>
      <c r="I80" s="5"/>
    </row>
  </sheetData>
  <mergeCells count="7">
    <mergeCell ref="E21:F21"/>
    <mergeCell ref="C36:D36"/>
    <mergeCell ref="E37:F37"/>
    <mergeCell ref="A1:H1"/>
    <mergeCell ref="C4:D4"/>
    <mergeCell ref="E5:F5"/>
    <mergeCell ref="C20:D2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topLeftCell="A34" zoomScaleNormal="100" workbookViewId="0">
      <selection activeCell="J58" sqref="J5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9.8554687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5" style="5" customWidth="1"/>
    <col min="11" max="16384" width="8.85546875" style="5"/>
  </cols>
  <sheetData>
    <row r="1" spans="1:9" s="1" customFormat="1" ht="24" customHeight="1" x14ac:dyDescent="0.25">
      <c r="A1" s="418" t="s">
        <v>479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480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42767</v>
      </c>
      <c r="D4" s="414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5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</row>
    <row r="7" spans="1:9" x14ac:dyDescent="0.2">
      <c r="B7" s="62" t="s">
        <v>82</v>
      </c>
      <c r="C7" s="76" t="s">
        <v>27</v>
      </c>
      <c r="D7" s="174"/>
      <c r="E7" s="172">
        <v>1443.63</v>
      </c>
      <c r="F7" s="240"/>
      <c r="G7" s="354"/>
    </row>
    <row r="8" spans="1:9" x14ac:dyDescent="0.2">
      <c r="B8" s="155" t="s">
        <v>96</v>
      </c>
      <c r="C8" s="124" t="s">
        <v>24</v>
      </c>
      <c r="D8" s="175"/>
      <c r="E8" s="172">
        <v>1192.1300000000001</v>
      </c>
      <c r="F8" s="358"/>
      <c r="G8" s="354"/>
    </row>
    <row r="9" spans="1:9" x14ac:dyDescent="0.2">
      <c r="B9" s="155" t="s">
        <v>85</v>
      </c>
      <c r="C9" s="124" t="s">
        <v>76</v>
      </c>
      <c r="D9" s="175"/>
      <c r="E9" s="172">
        <v>752.24</v>
      </c>
    </row>
    <row r="10" spans="1:9" x14ac:dyDescent="0.2">
      <c r="B10" s="155" t="s">
        <v>3</v>
      </c>
      <c r="C10" s="124" t="s">
        <v>25</v>
      </c>
      <c r="D10" s="175"/>
      <c r="E10" s="172">
        <v>937.04</v>
      </c>
    </row>
    <row r="11" spans="1:9" x14ac:dyDescent="0.2">
      <c r="B11" s="29" t="s">
        <v>369</v>
      </c>
      <c r="C11" s="40" t="s">
        <v>23</v>
      </c>
      <c r="D11" s="176"/>
      <c r="E11" s="173">
        <v>927.03</v>
      </c>
    </row>
    <row r="12" spans="1:9" ht="13.5" thickBot="1" x14ac:dyDescent="0.25">
      <c r="B12" s="264" t="s">
        <v>78</v>
      </c>
      <c r="C12" s="265" t="s">
        <v>79</v>
      </c>
      <c r="D12" s="301"/>
      <c r="E12" s="137">
        <v>990</v>
      </c>
      <c r="F12" s="94"/>
    </row>
    <row r="13" spans="1:9" s="4" customFormat="1" ht="13.5" thickBot="1" x14ac:dyDescent="0.25">
      <c r="B13" s="274"/>
      <c r="C13" s="275"/>
      <c r="D13" s="276"/>
      <c r="E13" s="277">
        <f>SUM(E7:E12)</f>
        <v>6242.07</v>
      </c>
      <c r="F13" s="132"/>
    </row>
    <row r="14" spans="1:9" x14ac:dyDescent="0.2">
      <c r="B14" s="44" t="s">
        <v>104</v>
      </c>
      <c r="C14" s="69" t="s">
        <v>12</v>
      </c>
      <c r="D14" s="69"/>
      <c r="E14" s="139">
        <v>1125</v>
      </c>
    </row>
    <row r="15" spans="1:9" ht="13.5" thickBot="1" x14ac:dyDescent="0.25">
      <c r="B15" s="63" t="s">
        <v>35</v>
      </c>
      <c r="C15" s="133" t="s">
        <v>36</v>
      </c>
      <c r="D15" s="133"/>
      <c r="E15" s="137">
        <v>1050</v>
      </c>
    </row>
    <row r="16" spans="1:9" ht="13.5" thickBot="1" x14ac:dyDescent="0.25">
      <c r="B16" s="11"/>
      <c r="C16" s="134" t="s">
        <v>0</v>
      </c>
      <c r="D16" s="134"/>
      <c r="E16" s="138">
        <f>SUM(E13:E15)</f>
        <v>8417.07</v>
      </c>
    </row>
    <row r="17" spans="1:9" ht="12.75" customHeight="1" x14ac:dyDescent="0.2">
      <c r="B17" s="11"/>
      <c r="C17" s="21"/>
      <c r="D17" s="21"/>
      <c r="E17" s="22"/>
      <c r="F17" s="22"/>
      <c r="G17" s="22"/>
      <c r="H17" s="22"/>
      <c r="I17" s="22"/>
    </row>
    <row r="18" spans="1:9" s="127" customFormat="1" ht="6.75" customHeight="1" x14ac:dyDescent="0.2">
      <c r="B18" s="128"/>
      <c r="C18" s="129"/>
      <c r="D18" s="129"/>
      <c r="E18" s="130"/>
      <c r="F18" s="130"/>
      <c r="G18" s="130"/>
      <c r="H18" s="130"/>
      <c r="I18" s="130"/>
    </row>
    <row r="19" spans="1:9" ht="19.5" customHeight="1" x14ac:dyDescent="0.2">
      <c r="A19" s="163"/>
      <c r="B19" s="122" t="s">
        <v>73</v>
      </c>
      <c r="C19" s="168" t="s">
        <v>481</v>
      </c>
      <c r="D19" s="142"/>
      <c r="E19" s="22"/>
      <c r="F19" s="22"/>
      <c r="G19" s="22"/>
      <c r="H19" s="22"/>
      <c r="I19" s="22"/>
    </row>
    <row r="20" spans="1:9" ht="19.5" customHeight="1" x14ac:dyDescent="0.2">
      <c r="B20" s="122" t="s">
        <v>75</v>
      </c>
      <c r="C20" s="414">
        <v>42774</v>
      </c>
      <c r="D20" s="414"/>
      <c r="E20" s="22"/>
      <c r="F20" s="22"/>
      <c r="G20" s="22"/>
      <c r="H20" s="22"/>
      <c r="I20" s="22"/>
    </row>
    <row r="21" spans="1:9" ht="4.5" customHeight="1" x14ac:dyDescent="0.45">
      <c r="B21" s="2"/>
      <c r="C21" s="41"/>
      <c r="D21" s="41"/>
      <c r="E21" s="415"/>
      <c r="F21" s="415"/>
      <c r="G21" s="3"/>
      <c r="H21" s="4"/>
      <c r="I21" s="4"/>
    </row>
    <row r="22" spans="1:9" s="6" customFormat="1" ht="13.5" thickBot="1" x14ac:dyDescent="0.25">
      <c r="B22" s="123" t="s">
        <v>74</v>
      </c>
      <c r="C22" s="225" t="s">
        <v>1</v>
      </c>
      <c r="D22" s="225"/>
      <c r="E22" s="126" t="s">
        <v>2</v>
      </c>
    </row>
    <row r="23" spans="1:9" x14ac:dyDescent="0.2">
      <c r="B23" s="396" t="s">
        <v>82</v>
      </c>
      <c r="C23" s="393" t="s">
        <v>27</v>
      </c>
      <c r="D23" s="174"/>
      <c r="E23" s="172">
        <v>1510.29</v>
      </c>
      <c r="F23" s="240"/>
      <c r="G23" s="354"/>
    </row>
    <row r="24" spans="1:9" x14ac:dyDescent="0.2">
      <c r="B24" s="268" t="s">
        <v>96</v>
      </c>
      <c r="C24" s="394" t="s">
        <v>24</v>
      </c>
      <c r="D24" s="175"/>
      <c r="E24" s="172">
        <v>1359.27</v>
      </c>
      <c r="F24" s="358"/>
      <c r="G24" s="354"/>
    </row>
    <row r="25" spans="1:9" x14ac:dyDescent="0.2">
      <c r="B25" s="268" t="s">
        <v>85</v>
      </c>
      <c r="C25" s="394" t="s">
        <v>76</v>
      </c>
      <c r="D25" s="175"/>
      <c r="E25" s="172">
        <v>702.51</v>
      </c>
    </row>
    <row r="26" spans="1:9" x14ac:dyDescent="0.2">
      <c r="B26" s="268" t="s">
        <v>3</v>
      </c>
      <c r="C26" s="394" t="s">
        <v>25</v>
      </c>
      <c r="D26" s="175"/>
      <c r="E26" s="172">
        <v>1037.57</v>
      </c>
    </row>
    <row r="27" spans="1:9" x14ac:dyDescent="0.2">
      <c r="B27" s="44" t="s">
        <v>369</v>
      </c>
      <c r="C27" s="300" t="s">
        <v>23</v>
      </c>
      <c r="D27" s="176"/>
      <c r="E27" s="173">
        <v>977.3</v>
      </c>
    </row>
    <row r="28" spans="1:9" x14ac:dyDescent="0.2">
      <c r="B28" s="397" t="s">
        <v>78</v>
      </c>
      <c r="C28" s="395" t="s">
        <v>79</v>
      </c>
      <c r="D28" s="390"/>
      <c r="E28" s="391">
        <v>1098.9000000000001</v>
      </c>
      <c r="F28" s="94"/>
    </row>
    <row r="29" spans="1:9" ht="13.5" thickBot="1" x14ac:dyDescent="0.25">
      <c r="B29" s="63" t="s">
        <v>85</v>
      </c>
      <c r="C29" s="392" t="s">
        <v>205</v>
      </c>
      <c r="D29" s="301"/>
      <c r="E29" s="137">
        <v>316.8</v>
      </c>
      <c r="F29" s="94"/>
    </row>
    <row r="30" spans="1:9" s="4" customFormat="1" ht="13.5" thickBot="1" x14ac:dyDescent="0.25">
      <c r="B30" s="274"/>
      <c r="C30" s="275"/>
      <c r="D30" s="276"/>
      <c r="E30" s="277">
        <f>SUM(E23:E29)</f>
        <v>7002.64</v>
      </c>
      <c r="F30" s="132"/>
    </row>
    <row r="31" spans="1:9" x14ac:dyDescent="0.2">
      <c r="B31" s="44" t="s">
        <v>104</v>
      </c>
      <c r="C31" s="69" t="s">
        <v>12</v>
      </c>
      <c r="D31" s="69"/>
      <c r="E31" s="139">
        <v>1125</v>
      </c>
    </row>
    <row r="32" spans="1:9" ht="13.5" thickBot="1" x14ac:dyDescent="0.25">
      <c r="B32" s="63" t="s">
        <v>35</v>
      </c>
      <c r="C32" s="133" t="s">
        <v>36</v>
      </c>
      <c r="D32" s="133"/>
      <c r="E32" s="137">
        <v>1050</v>
      </c>
    </row>
    <row r="33" spans="1:9" ht="13.5" thickBot="1" x14ac:dyDescent="0.25">
      <c r="B33" s="11"/>
      <c r="C33" s="134" t="s">
        <v>0</v>
      </c>
      <c r="D33" s="134"/>
      <c r="E33" s="138">
        <f>SUM(E30:E32)</f>
        <v>9177.64</v>
      </c>
    </row>
    <row r="34" spans="1:9" ht="12.75" customHeight="1" x14ac:dyDescent="0.2">
      <c r="B34" s="11"/>
      <c r="C34" s="21"/>
      <c r="D34" s="21"/>
      <c r="E34" s="22"/>
      <c r="F34" s="22"/>
      <c r="G34" s="22"/>
      <c r="H34" s="22"/>
      <c r="I34" s="22"/>
    </row>
    <row r="35" spans="1:9" s="127" customFormat="1" ht="6.75" customHeight="1" x14ac:dyDescent="0.2">
      <c r="B35" s="128"/>
      <c r="C35" s="129"/>
      <c r="D35" s="129"/>
      <c r="E35" s="130"/>
      <c r="F35" s="130"/>
      <c r="G35" s="130"/>
      <c r="H35" s="130"/>
      <c r="I35" s="130"/>
    </row>
    <row r="36" spans="1:9" ht="19.5" customHeight="1" x14ac:dyDescent="0.2">
      <c r="A36" s="163"/>
      <c r="B36" s="122" t="s">
        <v>73</v>
      </c>
      <c r="C36" s="168" t="s">
        <v>482</v>
      </c>
      <c r="D36" s="142"/>
      <c r="E36" s="22"/>
      <c r="F36" s="22"/>
      <c r="G36" s="22"/>
      <c r="H36" s="22"/>
      <c r="I36" s="22"/>
    </row>
    <row r="37" spans="1:9" ht="19.5" customHeight="1" x14ac:dyDescent="0.2">
      <c r="B37" s="122" t="s">
        <v>75</v>
      </c>
      <c r="C37" s="414">
        <v>42781</v>
      </c>
      <c r="D37" s="414"/>
      <c r="E37" s="22"/>
      <c r="F37" s="22"/>
      <c r="G37" s="22"/>
      <c r="H37" s="22"/>
      <c r="I37" s="22"/>
    </row>
    <row r="38" spans="1:9" ht="4.5" customHeight="1" x14ac:dyDescent="0.45">
      <c r="B38" s="2"/>
      <c r="C38" s="41"/>
      <c r="D38" s="41"/>
      <c r="E38" s="415"/>
      <c r="F38" s="415"/>
      <c r="G38" s="3"/>
      <c r="H38" s="4"/>
      <c r="I38" s="4"/>
    </row>
    <row r="39" spans="1:9" s="6" customFormat="1" ht="13.5" thickBot="1" x14ac:dyDescent="0.25">
      <c r="B39" s="123" t="s">
        <v>74</v>
      </c>
      <c r="C39" s="225" t="s">
        <v>1</v>
      </c>
      <c r="D39" s="225"/>
      <c r="E39" s="126" t="s">
        <v>2</v>
      </c>
    </row>
    <row r="40" spans="1:9" x14ac:dyDescent="0.2">
      <c r="B40" s="62" t="s">
        <v>82</v>
      </c>
      <c r="C40" s="76" t="s">
        <v>27</v>
      </c>
      <c r="D40" s="174"/>
      <c r="E40" s="172">
        <v>1510.47</v>
      </c>
      <c r="F40" s="240"/>
      <c r="G40" s="354"/>
    </row>
    <row r="41" spans="1:9" x14ac:dyDescent="0.2">
      <c r="B41" s="155" t="s">
        <v>96</v>
      </c>
      <c r="C41" s="124" t="s">
        <v>24</v>
      </c>
      <c r="D41" s="175"/>
      <c r="E41" s="172">
        <v>1242.43</v>
      </c>
      <c r="F41" s="358"/>
      <c r="G41" s="354"/>
    </row>
    <row r="42" spans="1:9" x14ac:dyDescent="0.2">
      <c r="B42" s="155" t="s">
        <v>85</v>
      </c>
      <c r="C42" s="124" t="s">
        <v>76</v>
      </c>
      <c r="D42" s="175"/>
      <c r="E42" s="172">
        <v>702.51</v>
      </c>
      <c r="F42" s="358"/>
    </row>
    <row r="43" spans="1:9" x14ac:dyDescent="0.2">
      <c r="B43" s="155" t="s">
        <v>3</v>
      </c>
      <c r="C43" s="124" t="s">
        <v>25</v>
      </c>
      <c r="D43" s="175"/>
      <c r="E43" s="172">
        <v>1037.57</v>
      </c>
    </row>
    <row r="44" spans="1:9" x14ac:dyDescent="0.2">
      <c r="B44" s="29" t="s">
        <v>369</v>
      </c>
      <c r="C44" s="40" t="s">
        <v>23</v>
      </c>
      <c r="D44" s="176"/>
      <c r="E44" s="173">
        <v>977.3</v>
      </c>
    </row>
    <row r="45" spans="1:9" x14ac:dyDescent="0.2">
      <c r="B45" s="397" t="s">
        <v>78</v>
      </c>
      <c r="C45" s="395" t="s">
        <v>79</v>
      </c>
      <c r="D45" s="390"/>
      <c r="E45" s="391">
        <v>1098.9000000000001</v>
      </c>
      <c r="F45" s="94"/>
    </row>
    <row r="46" spans="1:9" ht="13.5" thickBot="1" x14ac:dyDescent="0.25">
      <c r="B46" s="63" t="s">
        <v>85</v>
      </c>
      <c r="C46" s="392" t="s">
        <v>205</v>
      </c>
      <c r="D46" s="301"/>
      <c r="E46" s="137">
        <v>792</v>
      </c>
      <c r="F46" s="94"/>
    </row>
    <row r="47" spans="1:9" s="4" customFormat="1" ht="13.5" thickBot="1" x14ac:dyDescent="0.25">
      <c r="B47" s="274"/>
      <c r="C47" s="275"/>
      <c r="D47" s="276"/>
      <c r="E47" s="277">
        <f>SUM(E40:E46)</f>
        <v>7361.18</v>
      </c>
      <c r="F47" s="132"/>
    </row>
    <row r="48" spans="1:9" x14ac:dyDescent="0.2">
      <c r="B48" s="44" t="s">
        <v>104</v>
      </c>
      <c r="C48" s="69" t="s">
        <v>12</v>
      </c>
      <c r="D48" s="69"/>
      <c r="E48" s="139">
        <v>1125</v>
      </c>
    </row>
    <row r="49" spans="1:11" ht="13.5" thickBot="1" x14ac:dyDescent="0.25">
      <c r="B49" s="63" t="s">
        <v>35</v>
      </c>
      <c r="C49" s="133" t="s">
        <v>36</v>
      </c>
      <c r="D49" s="133"/>
      <c r="E49" s="137">
        <v>1050</v>
      </c>
    </row>
    <row r="50" spans="1:11" ht="13.5" thickBot="1" x14ac:dyDescent="0.25">
      <c r="B50" s="11"/>
      <c r="C50" s="134" t="s">
        <v>0</v>
      </c>
      <c r="D50" s="134"/>
      <c r="E50" s="138">
        <f>SUM(E47:E49)</f>
        <v>9536.18</v>
      </c>
    </row>
    <row r="51" spans="1:11" ht="12.75" customHeight="1" x14ac:dyDescent="0.2">
      <c r="B51" s="11"/>
      <c r="C51" s="21"/>
      <c r="D51" s="21"/>
      <c r="E51" s="22"/>
      <c r="F51" s="22"/>
      <c r="G51" s="22"/>
      <c r="H51" s="22"/>
      <c r="I51" s="22"/>
    </row>
    <row r="52" spans="1:11" s="127" customFormat="1" ht="6.75" customHeight="1" x14ac:dyDescent="0.2">
      <c r="B52" s="128"/>
      <c r="C52" s="129"/>
      <c r="D52" s="129"/>
      <c r="E52" s="130"/>
      <c r="F52" s="130"/>
      <c r="G52" s="130"/>
      <c r="H52" s="130"/>
      <c r="I52" s="130"/>
    </row>
    <row r="53" spans="1:11" ht="19.5" customHeight="1" x14ac:dyDescent="0.2">
      <c r="A53" s="163"/>
      <c r="B53" s="122" t="s">
        <v>73</v>
      </c>
      <c r="C53" s="168" t="s">
        <v>483</v>
      </c>
      <c r="D53" s="142"/>
      <c r="E53" s="22"/>
      <c r="F53" s="22"/>
      <c r="G53" s="22"/>
      <c r="H53" s="22"/>
      <c r="I53" s="22"/>
    </row>
    <row r="54" spans="1:11" ht="19.5" customHeight="1" x14ac:dyDescent="0.2">
      <c r="B54" s="122" t="s">
        <v>75</v>
      </c>
      <c r="C54" s="414">
        <v>42788</v>
      </c>
      <c r="D54" s="414"/>
      <c r="E54" s="22"/>
      <c r="F54" s="22"/>
      <c r="G54" s="22"/>
      <c r="H54" s="22"/>
      <c r="I54" s="22"/>
    </row>
    <row r="55" spans="1:11" ht="4.5" customHeight="1" x14ac:dyDescent="0.45">
      <c r="B55" s="2"/>
      <c r="C55" s="41"/>
      <c r="D55" s="41"/>
      <c r="E55" s="415"/>
      <c r="F55" s="415"/>
      <c r="G55" s="3"/>
      <c r="H55" s="4"/>
      <c r="I55" s="4"/>
    </row>
    <row r="56" spans="1:11" s="6" customFormat="1" ht="13.5" thickBot="1" x14ac:dyDescent="0.25">
      <c r="B56" s="123" t="s">
        <v>74</v>
      </c>
      <c r="C56" s="225" t="s">
        <v>1</v>
      </c>
      <c r="D56" s="225"/>
      <c r="E56" s="126" t="s">
        <v>2</v>
      </c>
    </row>
    <row r="57" spans="1:11" x14ac:dyDescent="0.2">
      <c r="B57" s="62" t="s">
        <v>82</v>
      </c>
      <c r="C57" s="76" t="s">
        <v>27</v>
      </c>
      <c r="D57" s="174"/>
      <c r="E57" s="172">
        <v>1523.97</v>
      </c>
      <c r="F57" s="347"/>
      <c r="G57" s="357"/>
      <c r="J57" s="240">
        <f>'March ''16'!E7+'March ''16'!E25+'March ''16'!E16+'March ''16'!E34+'March ''16'!E43+'March ''16'!E52+'March ''16'!E61+'March ''16'!E70+'March ''16'!E79+'April ''16'!E7+'April ''16'!E16+'April ''16'!E25+'April ''16'!E34+'April ''16'!E43+'April ''16'!E52+'April ''16'!E61+'April ''16'!E70+'May ''16'!E7+'May ''16'!E15+'May ''16'!E27+'May ''16'!E35+'May ''16'!E44+'May ''16'!E52+'May ''16'!E61+'May ''16'!E69+'June ''16'!E7+'June ''16'!E16+'June ''16'!E25+'June ''16'!E34+'June ''16'!E43+'June ''16'!E59+'June ''16'!E69+'June ''16'!E78+'June ''16'!E88+'July ''16'!E7+'July ''16'!E17+'July ''16'!E28+'July ''16'!E38+'July ''16'!E47+'July ''16'!E57+'July ''16'!E66+'July ''16'!E76+'August ''16'!E7+'August ''16'!E17+'August ''16'!E26+'August ''16'!E37+'August ''16'!E46+'August ''16'!E57+'August ''16'!E66+'August ''16'!E77+'August ''16'!E86+'September ''16'!E7+'September ''16'!E18+'September ''16'!E27+'September ''16'!E38+'September ''16'!E47+'September ''16'!E58+'September ''16'!E67+'September ''16'!E78+'October ''16'!E7+'October ''16'!E18+'October ''16'!E27+'October ''16'!E38+'October ''16'!E47+'October ''16'!E58+'October ''16'!E67+'October ''16'!E79+'November ''16'!E7+'November ''16'!E19+'November ''16'!E28+'November ''16'!E40+'November ''16'!E49+'November ''16'!E61+'November ''16'!E70+'November ''16'!E82+'November ''16'!E91+'December ''16'!E7+'December ''16'!E19+'December ''16'!E28+'December ''16'!E40+'January ''17'!E7+'January ''17'!E23+'January ''17'!E39+'January ''17'!E14+'January ''17'!E30+'January ''17'!E46+'February ''17'!E7+'February ''17'!E14+'February ''17'!E23+'February ''17'!E31+'February ''17'!E40+'February ''17'!E48+'February ''17'!E57+'February ''17'!E65</f>
        <v>166478.02000000002</v>
      </c>
      <c r="K57" s="5" t="s">
        <v>504</v>
      </c>
    </row>
    <row r="58" spans="1:11" x14ac:dyDescent="0.2">
      <c r="B58" s="155" t="s">
        <v>96</v>
      </c>
      <c r="C58" s="124" t="s">
        <v>24</v>
      </c>
      <c r="D58" s="175"/>
      <c r="E58" s="172">
        <v>1242.3399999999999</v>
      </c>
      <c r="F58" s="358"/>
      <c r="G58" s="357"/>
      <c r="J58" s="240">
        <f>'March ''16'!E13+'March ''16'!E31+'March ''16'!E49+'March ''16'!E67+'March ''16'!E85+'April ''16'!E13+'April ''16'!E31+'April ''16'!E49+'April ''16'!E67+'May ''16'!E12+'May ''16'!E32+'May ''16'!E49+'May ''16'!E66+'June ''16'!E12+'June ''16'!E30+'June ''16'!E48+'June ''16'!E64+'June ''16'!E83+'July ''16'!E12+'July ''16'!E33+'July ''16'!E52+'July ''16'!E71+'August ''16'!E12+'August ''16'!E32+'August ''16'!E52+'August ''16'!E72+'August ''16'!E92+'September ''16'!E13+'September ''16'!E33+'September ''16'!E53+'September ''16'!E73+'October ''16'!E13+'October ''16'!E33+'October ''16'!E53+'October ''16'!E74+'November ''16'!E14+'November ''16'!E35+'November ''16'!E56+'November ''16'!E77+'November ''16'!E98+'December ''16'!E14+'December ''16'!E35+'January ''17'!E12+'January ''17'!E28+'January ''17'!E44+'February ''17'!E12+'February ''17'!E28+'February ''17'!E45+'February ''17'!E62</f>
        <v>61073.97</v>
      </c>
      <c r="K58" s="5" t="s">
        <v>505</v>
      </c>
    </row>
    <row r="59" spans="1:11" x14ac:dyDescent="0.2">
      <c r="B59" s="155" t="s">
        <v>85</v>
      </c>
      <c r="C59" s="124" t="s">
        <v>76</v>
      </c>
      <c r="D59" s="175"/>
      <c r="E59" s="172">
        <v>702.51</v>
      </c>
    </row>
    <row r="60" spans="1:11" x14ac:dyDescent="0.2">
      <c r="B60" s="29" t="s">
        <v>3</v>
      </c>
      <c r="C60" s="40" t="s">
        <v>25</v>
      </c>
      <c r="D60" s="176"/>
      <c r="E60" s="172">
        <v>1037.57</v>
      </c>
      <c r="F60" s="184"/>
    </row>
    <row r="61" spans="1:11" x14ac:dyDescent="0.2">
      <c r="B61" s="29" t="s">
        <v>369</v>
      </c>
      <c r="C61" s="40" t="s">
        <v>23</v>
      </c>
      <c r="D61" s="176"/>
      <c r="E61" s="173">
        <v>977.3</v>
      </c>
    </row>
    <row r="62" spans="1:11" x14ac:dyDescent="0.2">
      <c r="B62" s="397" t="s">
        <v>78</v>
      </c>
      <c r="C62" s="395" t="s">
        <v>79</v>
      </c>
      <c r="D62" s="390"/>
      <c r="E62" s="391">
        <v>1098.9000000000001</v>
      </c>
      <c r="F62" s="94"/>
    </row>
    <row r="63" spans="1:11" ht="13.5" thickBot="1" x14ac:dyDescent="0.25">
      <c r="B63" s="63" t="s">
        <v>85</v>
      </c>
      <c r="C63" s="392" t="s">
        <v>205</v>
      </c>
      <c r="D63" s="301"/>
      <c r="E63" s="137">
        <v>792</v>
      </c>
      <c r="F63" s="94"/>
    </row>
    <row r="64" spans="1:11" s="4" customFormat="1" ht="13.5" thickBot="1" x14ac:dyDescent="0.25">
      <c r="B64" s="274"/>
      <c r="C64" s="275"/>
      <c r="D64" s="276"/>
      <c r="E64" s="277">
        <f>SUM(E57:E63)</f>
        <v>7374.59</v>
      </c>
      <c r="F64" s="132"/>
    </row>
    <row r="65" spans="1:9" x14ac:dyDescent="0.2">
      <c r="B65" s="44" t="s">
        <v>104</v>
      </c>
      <c r="C65" s="69" t="s">
        <v>12</v>
      </c>
      <c r="D65" s="69"/>
      <c r="E65" s="139">
        <v>1125</v>
      </c>
    </row>
    <row r="66" spans="1:9" ht="13.5" thickBot="1" x14ac:dyDescent="0.25">
      <c r="B66" s="63" t="s">
        <v>35</v>
      </c>
      <c r="C66" s="133" t="s">
        <v>36</v>
      </c>
      <c r="D66" s="133"/>
      <c r="E66" s="137">
        <v>1050</v>
      </c>
    </row>
    <row r="67" spans="1:9" ht="13.5" thickBot="1" x14ac:dyDescent="0.25">
      <c r="B67" s="11"/>
      <c r="C67" s="134" t="s">
        <v>0</v>
      </c>
      <c r="D67" s="134"/>
      <c r="E67" s="138">
        <f>SUM(E64:E66)</f>
        <v>9549.59</v>
      </c>
    </row>
    <row r="68" spans="1:9" ht="12.75" customHeight="1" x14ac:dyDescent="0.2">
      <c r="B68" s="11"/>
      <c r="C68" s="21"/>
      <c r="D68" s="21"/>
      <c r="E68" s="22"/>
      <c r="F68" s="22"/>
      <c r="G68" s="22"/>
      <c r="H68" s="22"/>
      <c r="I68" s="22"/>
    </row>
    <row r="69" spans="1:9" s="7" customFormat="1" ht="13.15" customHeight="1" x14ac:dyDescent="0.2">
      <c r="A69" s="32" t="s">
        <v>13</v>
      </c>
      <c r="B69" s="33" t="s">
        <v>14</v>
      </c>
      <c r="C69" s="33"/>
      <c r="D69" s="140">
        <v>9000</v>
      </c>
      <c r="E69" s="178"/>
      <c r="F69" s="32" t="s">
        <v>21</v>
      </c>
      <c r="G69" s="33" t="s">
        <v>22</v>
      </c>
      <c r="H69" s="140">
        <v>5000</v>
      </c>
      <c r="I69" s="330"/>
    </row>
    <row r="70" spans="1:9" s="7" customFormat="1" ht="13.15" customHeight="1" x14ac:dyDescent="0.2">
      <c r="A70" s="32" t="s">
        <v>16</v>
      </c>
      <c r="B70" s="33" t="s">
        <v>17</v>
      </c>
      <c r="C70" s="33"/>
      <c r="D70" s="140">
        <v>311.83999999999997</v>
      </c>
      <c r="E70" s="178"/>
      <c r="F70" s="32" t="s">
        <v>15</v>
      </c>
      <c r="G70" s="33" t="s">
        <v>41</v>
      </c>
      <c r="H70" s="140">
        <v>1020</v>
      </c>
      <c r="I70" s="330"/>
    </row>
    <row r="71" spans="1:9" s="7" customFormat="1" ht="13.15" customHeight="1" x14ac:dyDescent="0.2">
      <c r="A71" s="32" t="s">
        <v>93</v>
      </c>
      <c r="B71" s="33" t="s">
        <v>94</v>
      </c>
      <c r="C71" s="33"/>
      <c r="D71" s="140">
        <v>472.63</v>
      </c>
      <c r="E71" s="178"/>
      <c r="F71" s="32" t="s">
        <v>54</v>
      </c>
      <c r="G71" s="33" t="s">
        <v>56</v>
      </c>
      <c r="H71" s="140">
        <v>500</v>
      </c>
      <c r="I71" s="330"/>
    </row>
    <row r="72" spans="1:9" s="7" customFormat="1" ht="13.15" customHeight="1" x14ac:dyDescent="0.2">
      <c r="A72" s="32" t="s">
        <v>390</v>
      </c>
      <c r="B72" s="33" t="s">
        <v>388</v>
      </c>
      <c r="C72" s="140"/>
      <c r="D72" s="140">
        <v>5000</v>
      </c>
      <c r="E72" s="178"/>
      <c r="F72" s="32" t="s">
        <v>55</v>
      </c>
      <c r="G72" s="33" t="s">
        <v>57</v>
      </c>
      <c r="H72" s="140">
        <v>500</v>
      </c>
      <c r="I72" s="330"/>
    </row>
    <row r="73" spans="1:9" s="7" customFormat="1" ht="13.15" customHeight="1" x14ac:dyDescent="0.2">
      <c r="A73" s="32" t="s">
        <v>390</v>
      </c>
      <c r="B73" s="33" t="s">
        <v>389</v>
      </c>
      <c r="C73" s="140"/>
      <c r="D73" s="140">
        <v>4000</v>
      </c>
      <c r="E73" s="178"/>
      <c r="F73" s="32" t="s">
        <v>16</v>
      </c>
      <c r="G73" s="33" t="s">
        <v>28</v>
      </c>
      <c r="H73" s="140">
        <v>12000</v>
      </c>
      <c r="I73" s="330"/>
    </row>
    <row r="74" spans="1:9" s="7" customFormat="1" ht="13.15" customHeight="1" thickBot="1" x14ac:dyDescent="0.25">
      <c r="A74" s="32" t="s">
        <v>473</v>
      </c>
      <c r="B74" s="33" t="s">
        <v>414</v>
      </c>
      <c r="C74" s="140"/>
      <c r="D74" s="140">
        <v>3970.94</v>
      </c>
      <c r="E74" s="178"/>
      <c r="F74" s="70" t="s">
        <v>38</v>
      </c>
      <c r="G74" s="33" t="s">
        <v>29</v>
      </c>
      <c r="H74" s="141">
        <v>11000</v>
      </c>
      <c r="I74" s="330"/>
    </row>
    <row r="75" spans="1:9" s="7" customFormat="1" ht="13.15" customHeight="1" thickTop="1" thickBot="1" x14ac:dyDescent="0.25">
      <c r="A75" s="32" t="s">
        <v>473</v>
      </c>
      <c r="B75" s="33" t="s">
        <v>454</v>
      </c>
      <c r="C75" s="140"/>
      <c r="D75" s="140">
        <v>952.87</v>
      </c>
      <c r="E75" s="140"/>
      <c r="F75" s="34"/>
      <c r="G75" s="33"/>
      <c r="H75" s="162">
        <f>SUM(H69:H74)+SUM(D69:D76)</f>
        <v>53728.28</v>
      </c>
      <c r="I75" s="330"/>
    </row>
    <row r="76" spans="1:9" s="7" customFormat="1" ht="13.15" customHeight="1" thickBot="1" x14ac:dyDescent="0.25">
      <c r="B76" s="212"/>
      <c r="C76" s="33"/>
      <c r="D76" s="213"/>
      <c r="E76" s="140"/>
      <c r="F76" s="34"/>
      <c r="G76" s="145" t="s">
        <v>5</v>
      </c>
      <c r="H76" s="146">
        <f>E67+H75</f>
        <v>63277.869999999995</v>
      </c>
      <c r="I76" s="162"/>
    </row>
    <row r="77" spans="1:9" s="7" customFormat="1" ht="13.15" customHeight="1" x14ac:dyDescent="0.2">
      <c r="B77" s="32"/>
      <c r="C77" s="33"/>
      <c r="D77" s="9"/>
      <c r="E77" s="140"/>
      <c r="F77" s="9"/>
      <c r="G77" s="9"/>
      <c r="H77" s="9"/>
      <c r="I77" s="162"/>
    </row>
    <row r="78" spans="1:9" s="7" customFormat="1" ht="13.15" customHeight="1" x14ac:dyDescent="0.2">
      <c r="B78" s="32"/>
      <c r="C78" s="33"/>
      <c r="D78" s="8"/>
      <c r="E78" s="9"/>
      <c r="F78" s="9"/>
      <c r="G78" s="9"/>
      <c r="H78" s="9"/>
      <c r="I78" s="162"/>
    </row>
    <row r="79" spans="1:9" s="7" customFormat="1" ht="13.15" customHeight="1" x14ac:dyDescent="0.2">
      <c r="A79" s="9"/>
      <c r="B79" s="10"/>
      <c r="C79" s="9"/>
      <c r="D79" s="8"/>
      <c r="E79" s="9"/>
      <c r="F79" s="9"/>
      <c r="G79" s="9"/>
      <c r="H79" s="9"/>
      <c r="I79" s="162"/>
    </row>
    <row r="80" spans="1:9" s="7" customFormat="1" ht="13.15" customHeight="1" x14ac:dyDescent="0.2">
      <c r="A80" s="9"/>
      <c r="B80" s="10"/>
      <c r="C80" s="8"/>
      <c r="D80" s="8"/>
      <c r="E80" s="9"/>
      <c r="F80" s="9"/>
      <c r="G80" s="9"/>
      <c r="H80" s="9"/>
      <c r="I80" s="162"/>
    </row>
    <row r="81" spans="1:9" s="7" customFormat="1" ht="13.15" customHeight="1" x14ac:dyDescent="0.2">
      <c r="A81" s="9"/>
      <c r="B81" s="10"/>
      <c r="C81" s="8"/>
      <c r="D81" s="8"/>
      <c r="E81" s="9"/>
      <c r="F81" s="9"/>
      <c r="G81" s="9"/>
      <c r="H81" s="9"/>
      <c r="I81" s="162"/>
    </row>
    <row r="82" spans="1:9" s="7" customFormat="1" ht="13.15" customHeight="1" x14ac:dyDescent="0.2">
      <c r="A82" s="9"/>
      <c r="B82" s="10"/>
      <c r="C82" s="8"/>
      <c r="D82" s="8"/>
      <c r="E82" s="9"/>
      <c r="F82" s="9"/>
      <c r="G82" s="9"/>
      <c r="H82" s="9"/>
      <c r="I82" s="162"/>
    </row>
    <row r="83" spans="1:9" s="9" customFormat="1" ht="12" x14ac:dyDescent="0.2">
      <c r="B83" s="10"/>
      <c r="C83" s="8"/>
    </row>
    <row r="84" spans="1:9" s="9" customFormat="1" ht="12" x14ac:dyDescent="0.2">
      <c r="B84" s="10"/>
      <c r="C84" s="8"/>
    </row>
    <row r="85" spans="1:9" s="9" customFormat="1" ht="12" x14ac:dyDescent="0.2">
      <c r="B85" s="10"/>
      <c r="C85" s="8"/>
    </row>
    <row r="86" spans="1:9" s="9" customFormat="1" ht="12" x14ac:dyDescent="0.2">
      <c r="B86" s="10"/>
    </row>
    <row r="87" spans="1:9" s="9" customFormat="1" ht="12" x14ac:dyDescent="0.2">
      <c r="B87" s="10"/>
    </row>
    <row r="88" spans="1:9" s="9" customFormat="1" ht="12" x14ac:dyDescent="0.2">
      <c r="B88" s="10"/>
    </row>
    <row r="89" spans="1:9" s="9" customFormat="1" x14ac:dyDescent="0.2">
      <c r="B89" s="10"/>
      <c r="D89" s="5"/>
    </row>
    <row r="90" spans="1:9" s="9" customFormat="1" x14ac:dyDescent="0.2">
      <c r="B90" s="10"/>
      <c r="D90" s="5"/>
      <c r="F90" s="5"/>
      <c r="G90" s="5"/>
      <c r="H90" s="5"/>
    </row>
    <row r="91" spans="1:9" s="9" customFormat="1" x14ac:dyDescent="0.2">
      <c r="B91" s="10"/>
      <c r="D91" s="5"/>
      <c r="E91" s="5"/>
      <c r="F91" s="5"/>
      <c r="G91" s="5"/>
      <c r="H91" s="5"/>
    </row>
    <row r="92" spans="1:9" s="9" customFormat="1" x14ac:dyDescent="0.2">
      <c r="B92" s="12"/>
      <c r="C92" s="5"/>
      <c r="D92" s="5"/>
      <c r="E92" s="5"/>
      <c r="F92" s="5"/>
      <c r="G92" s="5"/>
      <c r="H92" s="5"/>
    </row>
    <row r="93" spans="1:9" s="9" customFormat="1" x14ac:dyDescent="0.2">
      <c r="B93" s="12"/>
      <c r="C93" s="5"/>
      <c r="D93" s="5"/>
      <c r="E93" s="5"/>
      <c r="F93" s="5"/>
      <c r="G93" s="5"/>
      <c r="H93" s="5"/>
    </row>
    <row r="94" spans="1:9" s="9" customFormat="1" x14ac:dyDescent="0.2">
      <c r="B94" s="12"/>
      <c r="C94" s="5"/>
      <c r="D94" s="5"/>
      <c r="E94" s="5"/>
      <c r="F94" s="5"/>
      <c r="G94" s="5"/>
      <c r="H94" s="5"/>
    </row>
    <row r="95" spans="1:9" s="9" customFormat="1" x14ac:dyDescent="0.2">
      <c r="B95" s="12"/>
      <c r="C95" s="5"/>
      <c r="D95" s="5"/>
      <c r="E95" s="5"/>
      <c r="F95" s="5"/>
      <c r="G95" s="5"/>
      <c r="H95" s="5"/>
    </row>
    <row r="96" spans="1:9" s="9" customFormat="1" x14ac:dyDescent="0.2">
      <c r="A96" s="5"/>
      <c r="B96" s="12"/>
      <c r="C96" s="5"/>
      <c r="D96" s="5"/>
      <c r="E96" s="5"/>
      <c r="F96" s="5"/>
      <c r="G96" s="5"/>
      <c r="H96" s="5"/>
      <c r="I96" s="5"/>
    </row>
    <row r="97" spans="1:9" s="9" customFormat="1" x14ac:dyDescent="0.2">
      <c r="A97" s="5"/>
      <c r="B97" s="12"/>
      <c r="C97" s="5"/>
      <c r="D97" s="5"/>
      <c r="E97" s="5"/>
      <c r="F97" s="5"/>
      <c r="G97" s="5"/>
      <c r="H97" s="5"/>
      <c r="I97" s="5"/>
    </row>
    <row r="98" spans="1:9" s="9" customFormat="1" x14ac:dyDescent="0.2">
      <c r="A98" s="5"/>
      <c r="B98" s="12"/>
      <c r="C98" s="5"/>
      <c r="D98" s="5"/>
      <c r="E98" s="5"/>
      <c r="F98" s="5"/>
      <c r="G98" s="5"/>
      <c r="H98" s="5"/>
      <c r="I98" s="5"/>
    </row>
    <row r="99" spans="1:9" s="9" customFormat="1" x14ac:dyDescent="0.2">
      <c r="A99" s="5"/>
      <c r="B99" s="12"/>
      <c r="C99" s="5"/>
      <c r="D99" s="5"/>
      <c r="E99" s="5"/>
      <c r="F99" s="5"/>
      <c r="G99" s="5"/>
      <c r="H99" s="5"/>
      <c r="I99" s="5"/>
    </row>
  </sheetData>
  <mergeCells count="9">
    <mergeCell ref="E55:F55"/>
    <mergeCell ref="C20:D20"/>
    <mergeCell ref="E21:F21"/>
    <mergeCell ref="A1:H1"/>
    <mergeCell ref="C4:D4"/>
    <mergeCell ref="E5:F5"/>
    <mergeCell ref="C37:D37"/>
    <mergeCell ref="E38:F38"/>
    <mergeCell ref="C54:D5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D606"/>
  <sheetViews>
    <sheetView topLeftCell="A564" zoomScaleNormal="100" workbookViewId="0">
      <selection activeCell="D47" sqref="D47"/>
    </sheetView>
  </sheetViews>
  <sheetFormatPr defaultRowHeight="12.75" x14ac:dyDescent="0.2"/>
  <cols>
    <col min="1" max="1" width="1.28515625" customWidth="1"/>
    <col min="2" max="2" width="1.7109375" customWidth="1"/>
    <col min="3" max="3" width="2.7109375" customWidth="1"/>
    <col min="4" max="4" width="18.140625" customWidth="1"/>
    <col min="5" max="5" width="13.5703125" style="14" customWidth="1"/>
    <col min="6" max="6" width="7.140625" customWidth="1"/>
    <col min="7" max="7" width="5" style="82" customWidth="1"/>
    <col min="8" max="8" width="22.42578125" customWidth="1"/>
    <col min="9" max="9" width="13.5703125" style="14" customWidth="1"/>
    <col min="10" max="10" width="13.5703125" customWidth="1"/>
    <col min="11" max="11" width="3" customWidth="1"/>
    <col min="12" max="12" width="12.5703125" style="14" customWidth="1"/>
    <col min="13" max="13" width="12.7109375" style="14" customWidth="1"/>
    <col min="14" max="14" width="13.42578125" style="14" customWidth="1"/>
    <col min="15" max="15" width="13.140625" style="114" customWidth="1"/>
    <col min="16" max="16" width="8.28515625" customWidth="1"/>
    <col min="17" max="17" width="12.42578125" customWidth="1"/>
    <col min="18" max="18" width="2.85546875" customWidth="1"/>
    <col min="19" max="19" width="7.85546875" customWidth="1"/>
    <col min="20" max="20" width="8.85546875" customWidth="1"/>
    <col min="21" max="21" width="12.7109375" style="14" customWidth="1"/>
    <col min="22" max="22" width="8" style="56" customWidth="1"/>
    <col min="23" max="23" width="11.7109375" style="14" customWidth="1"/>
    <col min="24" max="24" width="11.7109375" customWidth="1"/>
    <col min="25" max="25" width="13" customWidth="1"/>
    <col min="26" max="26" width="10.140625" customWidth="1"/>
    <col min="27" max="27" width="9.85546875" customWidth="1"/>
  </cols>
  <sheetData>
    <row r="1" spans="1:30" ht="16.5" customHeight="1" x14ac:dyDescent="0.2">
      <c r="A1" s="109" t="s">
        <v>284</v>
      </c>
      <c r="B1" s="108"/>
    </row>
    <row r="2" spans="1:30" s="101" customFormat="1" ht="3" customHeight="1" x14ac:dyDescent="0.2">
      <c r="E2" s="102"/>
      <c r="G2" s="104"/>
      <c r="J2" s="102"/>
      <c r="K2" s="102"/>
      <c r="L2" s="102"/>
      <c r="M2" s="102"/>
      <c r="N2" s="102"/>
      <c r="O2" s="115"/>
      <c r="P2" s="102"/>
      <c r="S2" s="105"/>
      <c r="T2" s="106"/>
      <c r="U2" s="107"/>
      <c r="V2" s="103"/>
      <c r="W2" s="107"/>
    </row>
    <row r="3" spans="1:30" ht="12.75" customHeight="1" x14ac:dyDescent="0.2">
      <c r="Q3" s="20"/>
      <c r="R3" s="20"/>
      <c r="S3" s="18"/>
      <c r="T3" s="58"/>
      <c r="U3" s="80"/>
      <c r="V3" s="51"/>
      <c r="W3" s="52"/>
      <c r="X3" s="18"/>
      <c r="Y3" s="49"/>
      <c r="Z3" s="50"/>
      <c r="AA3" s="18"/>
      <c r="AB3" s="18"/>
      <c r="AC3" s="18"/>
      <c r="AD3" s="18"/>
    </row>
    <row r="4" spans="1:30" ht="12.75" hidden="1" customHeight="1" x14ac:dyDescent="0.2">
      <c r="B4" s="419" t="s">
        <v>109</v>
      </c>
      <c r="C4" s="419"/>
      <c r="D4" s="419"/>
      <c r="E4" s="419"/>
      <c r="G4" s="84"/>
      <c r="H4" s="54">
        <v>576.76</v>
      </c>
      <c r="I4" s="420" t="s">
        <v>33</v>
      </c>
      <c r="J4" s="222">
        <v>-28277.98</v>
      </c>
      <c r="K4" s="191"/>
      <c r="L4" s="422" t="s">
        <v>30</v>
      </c>
      <c r="M4" s="320" t="s">
        <v>97</v>
      </c>
      <c r="N4" s="320"/>
      <c r="O4" s="116"/>
      <c r="S4" s="24"/>
      <c r="T4" s="24"/>
      <c r="U4" s="20"/>
      <c r="V4" s="192"/>
      <c r="W4" s="20"/>
      <c r="X4" s="18"/>
      <c r="Y4" s="18"/>
      <c r="Z4" s="18"/>
      <c r="AA4" s="18"/>
      <c r="AB4" s="18"/>
      <c r="AC4" s="18"/>
      <c r="AD4" s="18"/>
    </row>
    <row r="5" spans="1:30" ht="12.75" hidden="1" customHeight="1" x14ac:dyDescent="0.2">
      <c r="C5" s="16" t="s">
        <v>77</v>
      </c>
      <c r="D5" s="14"/>
      <c r="E5" s="171">
        <v>9000</v>
      </c>
      <c r="G5" s="85" t="s">
        <v>49</v>
      </c>
      <c r="H5" s="72"/>
      <c r="I5" s="421"/>
      <c r="J5" s="222" t="s">
        <v>26</v>
      </c>
      <c r="K5" s="191"/>
      <c r="L5" s="423"/>
      <c r="M5" s="223" t="s">
        <v>26</v>
      </c>
      <c r="N5" s="224" t="s">
        <v>32</v>
      </c>
      <c r="O5" s="116"/>
      <c r="S5" s="61"/>
      <c r="T5" s="57"/>
      <c r="U5" s="60"/>
      <c r="V5" s="46"/>
      <c r="W5" s="47"/>
      <c r="X5" s="18"/>
      <c r="Y5" s="26"/>
      <c r="Z5" s="18"/>
      <c r="AA5" s="18"/>
      <c r="AB5" s="18"/>
      <c r="AC5" s="18"/>
      <c r="AD5" s="18"/>
    </row>
    <row r="6" spans="1:30" ht="12.75" hidden="1" customHeight="1" x14ac:dyDescent="0.2">
      <c r="C6" s="16"/>
      <c r="D6" s="14" t="s">
        <v>11</v>
      </c>
      <c r="E6" s="30"/>
      <c r="G6" s="90"/>
      <c r="H6" s="78" t="s">
        <v>52</v>
      </c>
      <c r="I6" s="28">
        <f>H4</f>
        <v>576.76</v>
      </c>
      <c r="J6" s="37">
        <f>I6</f>
        <v>576.76</v>
      </c>
      <c r="K6" s="20"/>
      <c r="L6" s="28">
        <f>J4</f>
        <v>-28277.98</v>
      </c>
      <c r="M6" s="37">
        <f>L6</f>
        <v>-28277.98</v>
      </c>
      <c r="N6" s="28">
        <f>28000+M6</f>
        <v>-277.97999999999956</v>
      </c>
      <c r="O6" s="117" t="s">
        <v>67</v>
      </c>
      <c r="P6" s="111" t="s">
        <v>68</v>
      </c>
      <c r="R6" s="120"/>
      <c r="S6" s="57"/>
      <c r="T6" s="57"/>
      <c r="U6" s="28"/>
      <c r="V6" s="149"/>
      <c r="W6" s="20"/>
      <c r="X6" s="18"/>
      <c r="Y6" s="49"/>
      <c r="Z6" s="50"/>
      <c r="AA6" s="18"/>
      <c r="AB6" s="18"/>
      <c r="AC6" s="18"/>
      <c r="AD6" s="18"/>
    </row>
    <row r="7" spans="1:30" ht="12.75" hidden="1" customHeight="1" x14ac:dyDescent="0.2">
      <c r="C7" s="17" t="s">
        <v>5</v>
      </c>
      <c r="D7" s="14"/>
      <c r="E7" s="14">
        <f>SUM(E5:E6)</f>
        <v>9000</v>
      </c>
      <c r="G7" s="92"/>
      <c r="H7" s="75" t="s">
        <v>53</v>
      </c>
      <c r="I7" s="28">
        <v>-521.4</v>
      </c>
      <c r="J7" s="153">
        <f t="shared" ref="J7:J30" si="0">J6+I7</f>
        <v>55.360000000000014</v>
      </c>
      <c r="K7" s="25"/>
      <c r="L7" s="68">
        <v>650</v>
      </c>
      <c r="M7" s="38">
        <f>M6+L7</f>
        <v>-27627.98</v>
      </c>
      <c r="N7" s="28">
        <f>28000+M7</f>
        <v>372.02000000000044</v>
      </c>
      <c r="O7" s="113" t="s">
        <v>137</v>
      </c>
      <c r="P7" s="119"/>
      <c r="R7" s="57"/>
      <c r="S7" s="57"/>
      <c r="T7" s="58"/>
      <c r="U7" s="31"/>
      <c r="V7" s="150"/>
      <c r="W7" s="20"/>
      <c r="X7" s="18"/>
      <c r="Y7" s="49"/>
      <c r="Z7" s="50"/>
      <c r="AA7" s="18"/>
      <c r="AB7" s="18"/>
      <c r="AC7" s="18"/>
      <c r="AD7" s="18"/>
    </row>
    <row r="8" spans="1:30" ht="12.75" hidden="1" customHeight="1" x14ac:dyDescent="0.2">
      <c r="A8" s="98"/>
      <c r="G8" s="92"/>
      <c r="H8" s="75" t="s">
        <v>98</v>
      </c>
      <c r="I8" s="214">
        <v>-5</v>
      </c>
      <c r="J8" s="169">
        <f t="shared" si="0"/>
        <v>50.360000000000014</v>
      </c>
      <c r="K8" s="81"/>
      <c r="L8" s="68">
        <v>-364.45</v>
      </c>
      <c r="M8" s="38">
        <f>M7+L8</f>
        <v>-27992.43</v>
      </c>
      <c r="N8" s="28">
        <f>28000+M8</f>
        <v>7.569999999999709</v>
      </c>
      <c r="O8" s="113" t="s">
        <v>61</v>
      </c>
      <c r="P8" s="119"/>
      <c r="R8" s="58"/>
      <c r="S8" s="58"/>
      <c r="T8" s="58"/>
      <c r="U8" s="31"/>
      <c r="V8" s="150"/>
      <c r="W8" s="20"/>
      <c r="X8" s="18"/>
      <c r="Y8" s="49"/>
      <c r="Z8" s="50"/>
      <c r="AA8" s="18"/>
      <c r="AB8" s="18"/>
      <c r="AC8" s="18"/>
      <c r="AD8" s="18"/>
    </row>
    <row r="9" spans="1:30" ht="12.75" hidden="1" customHeight="1" x14ac:dyDescent="0.2">
      <c r="A9" s="98"/>
      <c r="C9" s="43" t="s">
        <v>9</v>
      </c>
      <c r="E9" s="27"/>
      <c r="G9" s="92"/>
      <c r="H9" s="75" t="s">
        <v>111</v>
      </c>
      <c r="I9" s="214">
        <v>1500</v>
      </c>
      <c r="J9" s="169">
        <f t="shared" si="0"/>
        <v>1550.3600000000001</v>
      </c>
      <c r="K9" s="81"/>
      <c r="L9" s="68">
        <v>-30</v>
      </c>
      <c r="M9" s="38">
        <f>M8+L9</f>
        <v>-28022.43</v>
      </c>
      <c r="N9" s="28">
        <f>28000+M9</f>
        <v>-22.430000000000291</v>
      </c>
      <c r="O9" s="113" t="s">
        <v>138</v>
      </c>
      <c r="P9" s="119"/>
      <c r="R9" s="55"/>
      <c r="S9" s="57"/>
      <c r="T9" s="58"/>
      <c r="U9" s="31"/>
      <c r="V9" s="150"/>
      <c r="W9" s="52"/>
      <c r="X9" s="18"/>
      <c r="Y9" s="53"/>
      <c r="Z9" s="50"/>
      <c r="AA9" s="18"/>
      <c r="AB9" s="18"/>
      <c r="AC9" s="18"/>
      <c r="AD9" s="18"/>
    </row>
    <row r="10" spans="1:30" ht="12.75" hidden="1" customHeight="1" x14ac:dyDescent="0.2">
      <c r="A10" s="98"/>
      <c r="D10" s="18" t="s">
        <v>7</v>
      </c>
      <c r="E10" s="27">
        <f>E5</f>
        <v>9000</v>
      </c>
      <c r="G10" s="92"/>
      <c r="H10" s="75" t="s">
        <v>139</v>
      </c>
      <c r="I10" s="214">
        <f>-252-300-150-450</f>
        <v>-1152</v>
      </c>
      <c r="J10" s="169">
        <f t="shared" si="0"/>
        <v>398.36000000000013</v>
      </c>
      <c r="K10" s="81"/>
      <c r="L10" s="68">
        <v>500</v>
      </c>
      <c r="M10" s="216">
        <f t="shared" ref="M10" si="1">M9+L10</f>
        <v>-27522.43</v>
      </c>
      <c r="N10" s="28">
        <f>28000+M10</f>
        <v>477.56999999999971</v>
      </c>
      <c r="O10" s="113" t="s">
        <v>114</v>
      </c>
      <c r="P10" s="119"/>
      <c r="Q10" s="20"/>
      <c r="R10" s="57"/>
      <c r="S10" s="57"/>
      <c r="T10" s="58"/>
      <c r="U10" s="31"/>
      <c r="V10" s="150"/>
      <c r="W10" s="20"/>
      <c r="X10" s="18"/>
      <c r="Y10" s="26"/>
      <c r="Z10" s="50"/>
      <c r="AA10" s="18"/>
      <c r="AB10" s="18"/>
      <c r="AC10" s="18"/>
      <c r="AD10" s="18"/>
    </row>
    <row r="11" spans="1:30" ht="12.75" hidden="1" customHeight="1" x14ac:dyDescent="0.2">
      <c r="A11" s="98"/>
      <c r="D11" s="42" t="s">
        <v>6</v>
      </c>
      <c r="E11" s="147"/>
      <c r="G11" s="92"/>
      <c r="H11" s="75" t="s">
        <v>11</v>
      </c>
      <c r="I11" s="28">
        <v>500</v>
      </c>
      <c r="J11" s="153">
        <f t="shared" si="0"/>
        <v>898.36000000000013</v>
      </c>
      <c r="K11" s="81"/>
      <c r="L11" s="35">
        <f>SUM(L6:L10)</f>
        <v>-27522.43</v>
      </c>
      <c r="M11" s="91"/>
      <c r="N11" s="96"/>
      <c r="O11" s="158"/>
      <c r="P11" s="112"/>
      <c r="Q11" s="20"/>
      <c r="R11" s="18"/>
      <c r="S11" s="18"/>
      <c r="T11" s="58"/>
      <c r="U11" s="80"/>
      <c r="V11" s="51"/>
      <c r="W11" s="20"/>
      <c r="X11" s="18"/>
      <c r="Y11" s="49"/>
      <c r="Z11" s="50"/>
      <c r="AA11" s="18"/>
      <c r="AB11" s="18"/>
      <c r="AC11" s="18"/>
      <c r="AD11" s="18"/>
    </row>
    <row r="12" spans="1:30" ht="12.75" hidden="1" customHeight="1" x14ac:dyDescent="0.2">
      <c r="A12" s="98"/>
      <c r="D12" s="18"/>
      <c r="E12" s="154"/>
      <c r="G12" s="92"/>
      <c r="H12" s="75" t="s">
        <v>140</v>
      </c>
      <c r="I12" s="28">
        <v>-100</v>
      </c>
      <c r="J12" s="153">
        <f t="shared" si="0"/>
        <v>798.36000000000013</v>
      </c>
      <c r="K12" s="81"/>
      <c r="L12" s="194"/>
      <c r="M12" s="54"/>
      <c r="N12" s="195"/>
      <c r="O12" s="195"/>
      <c r="P12" s="112"/>
      <c r="Q12" s="20"/>
      <c r="R12" s="18"/>
      <c r="S12" s="18"/>
      <c r="T12" s="58"/>
      <c r="U12" s="80"/>
      <c r="V12" s="51"/>
      <c r="W12" s="20"/>
      <c r="X12" s="18"/>
      <c r="Y12" s="49"/>
      <c r="Z12" s="50"/>
      <c r="AA12" s="18"/>
      <c r="AB12" s="18"/>
      <c r="AC12" s="18"/>
      <c r="AD12" s="18"/>
    </row>
    <row r="13" spans="1:30" ht="12.75" hidden="1" customHeight="1" x14ac:dyDescent="0.2">
      <c r="A13" s="100"/>
      <c r="B13" s="100"/>
      <c r="C13" s="100"/>
      <c r="D13" s="190"/>
      <c r="E13" s="68"/>
      <c r="G13" s="92"/>
      <c r="H13" s="75" t="s">
        <v>11</v>
      </c>
      <c r="I13" s="28">
        <v>600</v>
      </c>
      <c r="J13" s="153">
        <f t="shared" si="0"/>
        <v>1398.3600000000001</v>
      </c>
      <c r="K13" s="81"/>
      <c r="L13" s="194"/>
      <c r="M13" s="54"/>
      <c r="N13" s="195"/>
      <c r="O13" s="195"/>
      <c r="P13" s="112"/>
      <c r="Q13" s="81"/>
      <c r="R13" s="20"/>
      <c r="S13" s="48"/>
      <c r="T13" s="18"/>
      <c r="U13" s="80"/>
      <c r="V13" s="51"/>
      <c r="W13" s="20"/>
      <c r="X13" s="18"/>
      <c r="Y13" s="18"/>
      <c r="Z13" s="18"/>
      <c r="AA13" s="18"/>
      <c r="AB13" s="18"/>
      <c r="AC13" s="18"/>
      <c r="AD13" s="18"/>
    </row>
    <row r="14" spans="1:30" ht="12.75" hidden="1" customHeight="1" x14ac:dyDescent="0.2">
      <c r="A14" s="100"/>
      <c r="B14" s="100"/>
      <c r="C14" s="100"/>
      <c r="D14" s="190"/>
      <c r="E14" s="68"/>
      <c r="G14" s="92"/>
      <c r="H14" s="75" t="s">
        <v>11</v>
      </c>
      <c r="I14" s="71">
        <v>-333.96</v>
      </c>
      <c r="J14" s="153">
        <f t="shared" si="0"/>
        <v>1064.4000000000001</v>
      </c>
      <c r="K14" s="81"/>
      <c r="L14" s="218"/>
      <c r="M14" s="217"/>
      <c r="N14" s="195"/>
      <c r="O14" s="195"/>
      <c r="P14" s="112"/>
      <c r="Q14" s="81"/>
      <c r="R14" s="20"/>
      <c r="S14" s="48"/>
      <c r="T14" s="18"/>
      <c r="U14" s="80"/>
      <c r="V14" s="51"/>
      <c r="W14" s="20"/>
      <c r="X14" s="18"/>
      <c r="Y14" s="18"/>
      <c r="Z14" s="18"/>
      <c r="AA14" s="18"/>
      <c r="AB14" s="18"/>
      <c r="AC14" s="18"/>
      <c r="AD14" s="18"/>
    </row>
    <row r="15" spans="1:30" ht="12.75" hidden="1" customHeight="1" x14ac:dyDescent="0.2">
      <c r="A15" s="100"/>
      <c r="B15" s="100"/>
      <c r="C15" s="100"/>
      <c r="D15" s="219"/>
      <c r="E15" s="68"/>
      <c r="G15" s="92"/>
      <c r="H15" s="86" t="s">
        <v>31</v>
      </c>
      <c r="I15" s="71">
        <v>9000</v>
      </c>
      <c r="J15" s="153">
        <f t="shared" si="0"/>
        <v>10064.4</v>
      </c>
      <c r="K15" s="81"/>
      <c r="L15" s="194"/>
      <c r="M15" s="54"/>
      <c r="N15" s="195"/>
      <c r="O15" s="195"/>
      <c r="P15" s="112"/>
      <c r="Q15" s="20"/>
      <c r="R15" s="20"/>
      <c r="S15" s="48"/>
      <c r="T15" s="18"/>
      <c r="U15" s="80"/>
      <c r="V15" s="51"/>
      <c r="W15" s="20"/>
      <c r="X15" s="18"/>
      <c r="Y15" s="18"/>
      <c r="Z15" s="18"/>
      <c r="AA15" s="18"/>
      <c r="AB15" s="18"/>
      <c r="AC15" s="18"/>
      <c r="AD15" s="18"/>
    </row>
    <row r="16" spans="1:30" ht="12.75" hidden="1" customHeight="1" x14ac:dyDescent="0.2">
      <c r="A16" s="100"/>
      <c r="B16" s="100"/>
      <c r="C16" s="100"/>
      <c r="D16" s="219"/>
      <c r="E16" s="68"/>
      <c r="G16" s="92"/>
      <c r="H16" s="86" t="s">
        <v>48</v>
      </c>
      <c r="I16" s="28">
        <v>-2409.34</v>
      </c>
      <c r="J16" s="153">
        <f t="shared" si="0"/>
        <v>7655.0599999999995</v>
      </c>
      <c r="K16" s="81"/>
      <c r="L16" s="194"/>
      <c r="M16" s="54"/>
      <c r="N16" s="195"/>
      <c r="O16" s="195"/>
      <c r="P16" s="112"/>
      <c r="Q16" s="20"/>
      <c r="R16" s="20"/>
      <c r="S16" s="48"/>
      <c r="T16" s="18"/>
      <c r="U16" s="80"/>
      <c r="V16" s="51"/>
      <c r="W16" s="20"/>
      <c r="X16" s="18"/>
      <c r="Y16" s="18"/>
      <c r="Z16" s="18"/>
      <c r="AA16" s="18"/>
      <c r="AB16" s="18"/>
      <c r="AC16" s="18"/>
      <c r="AD16" s="18"/>
    </row>
    <row r="17" spans="1:30" ht="12.75" hidden="1" customHeight="1" x14ac:dyDescent="0.2">
      <c r="A17" s="100"/>
      <c r="B17" s="100"/>
      <c r="C17" s="100"/>
      <c r="D17" s="219"/>
      <c r="E17" s="68"/>
      <c r="G17" s="92"/>
      <c r="H17" s="86" t="s">
        <v>141</v>
      </c>
      <c r="I17" s="28">
        <v>-263.39999999999998</v>
      </c>
      <c r="J17" s="153">
        <f t="shared" si="0"/>
        <v>7391.66</v>
      </c>
      <c r="K17" s="81"/>
      <c r="L17" s="194"/>
      <c r="M17" s="54"/>
      <c r="N17" s="195"/>
      <c r="O17" s="195"/>
      <c r="P17" s="112"/>
      <c r="Q17" s="20"/>
      <c r="R17" s="20"/>
      <c r="S17" s="48"/>
      <c r="T17" s="18"/>
      <c r="U17" s="80"/>
      <c r="V17" s="51"/>
      <c r="W17" s="20"/>
      <c r="X17" s="18"/>
      <c r="Y17" s="18"/>
      <c r="Z17" s="18"/>
      <c r="AA17" s="18"/>
      <c r="AB17" s="18"/>
      <c r="AC17" s="18"/>
      <c r="AD17" s="18"/>
    </row>
    <row r="18" spans="1:30" ht="12.75" hidden="1" customHeight="1" x14ac:dyDescent="0.2">
      <c r="A18" s="100"/>
      <c r="B18" s="100"/>
      <c r="C18" s="100"/>
      <c r="D18" s="219"/>
      <c r="E18" s="68"/>
      <c r="F18" s="210"/>
      <c r="G18" s="92"/>
      <c r="H18" s="86" t="s">
        <v>142</v>
      </c>
      <c r="I18" s="28">
        <v>-240</v>
      </c>
      <c r="J18" s="153">
        <f t="shared" si="0"/>
        <v>7151.66</v>
      </c>
      <c r="K18" s="81"/>
      <c r="L18" s="194"/>
      <c r="M18" s="54"/>
      <c r="N18" s="195"/>
      <c r="O18" s="195"/>
      <c r="P18" s="112"/>
      <c r="Q18" s="20"/>
      <c r="R18" s="20"/>
      <c r="S18" s="48"/>
      <c r="T18" s="18"/>
      <c r="U18" s="80"/>
      <c r="V18" s="51"/>
      <c r="W18" s="20"/>
      <c r="X18" s="18"/>
      <c r="Y18" s="18"/>
      <c r="Z18" s="18"/>
      <c r="AA18" s="18"/>
      <c r="AB18" s="18"/>
      <c r="AC18" s="18"/>
      <c r="AD18" s="18"/>
    </row>
    <row r="19" spans="1:30" ht="12.75" hidden="1" customHeight="1" x14ac:dyDescent="0.2">
      <c r="A19" s="100"/>
      <c r="B19" s="100"/>
      <c r="C19" s="100"/>
      <c r="D19" s="219"/>
      <c r="E19" s="68"/>
      <c r="F19" s="210"/>
      <c r="G19" s="84"/>
      <c r="H19" s="75" t="s">
        <v>111</v>
      </c>
      <c r="I19" s="71">
        <v>1500</v>
      </c>
      <c r="J19" s="153">
        <f t="shared" si="0"/>
        <v>8651.66</v>
      </c>
      <c r="K19" s="81"/>
      <c r="L19" s="194"/>
      <c r="M19" s="54"/>
      <c r="N19" s="195"/>
      <c r="O19" s="195"/>
      <c r="P19" s="112"/>
      <c r="Q19" s="20"/>
      <c r="R19" s="20"/>
      <c r="S19" s="48"/>
      <c r="T19" s="18"/>
      <c r="U19" s="80"/>
      <c r="V19" s="51"/>
      <c r="W19" s="20"/>
      <c r="X19" s="18"/>
      <c r="Y19" s="18"/>
      <c r="Z19" s="18"/>
      <c r="AA19" s="18"/>
      <c r="AB19" s="18"/>
      <c r="AC19" s="18"/>
      <c r="AD19" s="18"/>
    </row>
    <row r="20" spans="1:30" ht="12.75" hidden="1" customHeight="1" x14ac:dyDescent="0.2">
      <c r="A20" s="100"/>
      <c r="B20" s="100"/>
      <c r="C20" s="100"/>
      <c r="D20" s="190"/>
      <c r="E20" s="68"/>
      <c r="G20" s="84" t="s">
        <v>50</v>
      </c>
      <c r="H20" s="193" t="s">
        <v>136</v>
      </c>
      <c r="I20" s="71">
        <v>-5300</v>
      </c>
      <c r="J20" s="153">
        <f t="shared" si="0"/>
        <v>3351.66</v>
      </c>
      <c r="K20" s="81"/>
      <c r="L20" s="194"/>
      <c r="M20" s="54"/>
      <c r="N20" s="195"/>
      <c r="O20" s="195"/>
      <c r="P20" s="112"/>
      <c r="Q20" s="20"/>
      <c r="R20" s="20"/>
      <c r="S20" s="48"/>
      <c r="T20" s="18"/>
      <c r="U20" s="80"/>
      <c r="V20" s="51"/>
      <c r="W20" s="20"/>
      <c r="X20" s="18"/>
      <c r="Y20" s="18"/>
      <c r="Z20" s="18"/>
      <c r="AA20" s="18"/>
      <c r="AB20" s="18"/>
      <c r="AC20" s="18"/>
      <c r="AD20" s="18"/>
    </row>
    <row r="21" spans="1:30" ht="12.75" hidden="1" customHeight="1" x14ac:dyDescent="0.2">
      <c r="A21" s="100"/>
      <c r="B21" s="100"/>
      <c r="C21" s="100"/>
      <c r="D21" s="190"/>
      <c r="E21" s="68"/>
      <c r="G21" s="84" t="s">
        <v>50</v>
      </c>
      <c r="H21" s="86" t="s">
        <v>87</v>
      </c>
      <c r="I21" s="28">
        <v>-680</v>
      </c>
      <c r="J21" s="153">
        <f t="shared" si="0"/>
        <v>2671.66</v>
      </c>
      <c r="K21" s="81"/>
      <c r="L21" s="194"/>
      <c r="M21" s="54"/>
      <c r="N21" s="195"/>
      <c r="O21" s="195"/>
      <c r="P21" s="112"/>
      <c r="Q21" s="20"/>
      <c r="R21" s="20"/>
      <c r="S21" s="48"/>
      <c r="T21" s="18"/>
      <c r="U21" s="80"/>
      <c r="V21" s="51"/>
      <c r="W21" s="20"/>
      <c r="X21" s="18"/>
      <c r="Y21" s="18"/>
      <c r="Z21" s="18"/>
      <c r="AA21" s="18"/>
      <c r="AB21" s="18"/>
      <c r="AC21" s="18"/>
      <c r="AD21" s="18"/>
    </row>
    <row r="22" spans="1:30" ht="12.75" hidden="1" customHeight="1" x14ac:dyDescent="0.2">
      <c r="A22" s="100"/>
      <c r="B22" s="100"/>
      <c r="C22" s="100"/>
      <c r="D22" s="190"/>
      <c r="E22" s="68"/>
      <c r="G22" s="84" t="s">
        <v>50</v>
      </c>
      <c r="H22" s="86" t="s">
        <v>117</v>
      </c>
      <c r="I22" s="28">
        <v>-220</v>
      </c>
      <c r="J22" s="153">
        <f t="shared" si="0"/>
        <v>2451.66</v>
      </c>
      <c r="K22" s="81"/>
      <c r="L22" s="194"/>
      <c r="M22" s="54"/>
      <c r="N22" s="195"/>
      <c r="O22" s="195"/>
      <c r="P22" s="112"/>
      <c r="Q22" s="203"/>
      <c r="R22" s="20"/>
      <c r="S22" s="48"/>
      <c r="T22" s="18"/>
      <c r="U22" s="80"/>
      <c r="V22" s="51"/>
      <c r="W22" s="20"/>
      <c r="X22" s="18"/>
      <c r="Y22" s="18"/>
      <c r="Z22" s="18"/>
      <c r="AA22" s="18"/>
      <c r="AB22" s="18"/>
      <c r="AC22" s="18"/>
      <c r="AD22" s="18"/>
    </row>
    <row r="23" spans="1:30" ht="12.75" hidden="1" customHeight="1" x14ac:dyDescent="0.2">
      <c r="A23" s="100"/>
      <c r="B23" s="100"/>
      <c r="C23" s="100"/>
      <c r="D23" s="189"/>
      <c r="E23" s="23"/>
      <c r="F23" s="185"/>
      <c r="G23" s="45" t="s">
        <v>50</v>
      </c>
      <c r="H23" s="86" t="s">
        <v>44</v>
      </c>
      <c r="I23" s="28">
        <v>-59</v>
      </c>
      <c r="J23" s="153">
        <f t="shared" si="0"/>
        <v>2392.66</v>
      </c>
      <c r="K23" s="220"/>
      <c r="L23" s="194"/>
      <c r="M23" s="221"/>
      <c r="N23" s="195"/>
      <c r="O23" s="195"/>
      <c r="P23" s="112"/>
      <c r="Q23" s="20"/>
      <c r="R23" s="20"/>
      <c r="S23" s="48"/>
      <c r="T23" s="18"/>
      <c r="U23" s="80"/>
      <c r="V23" s="51"/>
      <c r="W23" s="20"/>
      <c r="X23" s="18"/>
      <c r="Y23" s="18"/>
      <c r="Z23" s="18"/>
      <c r="AA23" s="18"/>
      <c r="AB23" s="18"/>
      <c r="AC23" s="18"/>
      <c r="AD23" s="18"/>
    </row>
    <row r="24" spans="1:30" s="202" customFormat="1" ht="12.75" hidden="1" customHeight="1" x14ac:dyDescent="0.2">
      <c r="A24" s="196"/>
      <c r="B24" s="196"/>
      <c r="C24" s="196"/>
      <c r="D24" s="197"/>
      <c r="E24" s="198"/>
      <c r="F24"/>
      <c r="G24" s="84" t="s">
        <v>50</v>
      </c>
      <c r="H24" s="86" t="s">
        <v>37</v>
      </c>
      <c r="I24" s="28">
        <v>-588.51</v>
      </c>
      <c r="J24" s="153">
        <f t="shared" si="0"/>
        <v>1804.1499999999999</v>
      </c>
      <c r="L24" s="194"/>
      <c r="M24" s="54"/>
      <c r="N24" s="195"/>
      <c r="O24" s="195"/>
      <c r="P24" s="112"/>
      <c r="Q24" s="20"/>
      <c r="R24" s="203"/>
      <c r="S24" s="204"/>
      <c r="T24" s="205"/>
      <c r="U24" s="206"/>
      <c r="V24" s="207"/>
      <c r="W24" s="203"/>
      <c r="X24" s="205"/>
      <c r="Y24" s="205"/>
      <c r="Z24" s="205"/>
      <c r="AA24" s="205"/>
      <c r="AB24" s="205"/>
      <c r="AC24" s="205"/>
      <c r="AD24" s="205"/>
    </row>
    <row r="25" spans="1:30" ht="12.75" hidden="1" customHeight="1" x14ac:dyDescent="0.2">
      <c r="F25" s="151"/>
      <c r="G25" s="45" t="s">
        <v>46</v>
      </c>
      <c r="H25" s="87" t="s">
        <v>8</v>
      </c>
      <c r="I25" s="74">
        <v>-233.99</v>
      </c>
      <c r="J25" s="153">
        <f t="shared" si="0"/>
        <v>1570.1599999999999</v>
      </c>
      <c r="K25" s="18"/>
      <c r="L25" s="194"/>
      <c r="M25" s="54"/>
      <c r="N25" s="195"/>
      <c r="O25" s="195"/>
      <c r="P25" s="112"/>
      <c r="Q25" s="20"/>
      <c r="V25" s="79"/>
    </row>
    <row r="26" spans="1:30" ht="12.75" hidden="1" customHeight="1" x14ac:dyDescent="0.2">
      <c r="F26" s="151"/>
      <c r="G26" s="84" t="s">
        <v>46</v>
      </c>
      <c r="H26" s="88" t="s">
        <v>34</v>
      </c>
      <c r="I26" s="74">
        <v>-875</v>
      </c>
      <c r="J26" s="153">
        <f t="shared" si="0"/>
        <v>695.15999999999985</v>
      </c>
      <c r="K26" s="18"/>
      <c r="L26" s="194"/>
      <c r="M26" s="54"/>
      <c r="N26" s="195"/>
      <c r="O26" s="195"/>
      <c r="P26" s="112"/>
      <c r="Q26" s="20"/>
      <c r="V26" s="79"/>
    </row>
    <row r="27" spans="1:30" ht="12.75" hidden="1" customHeight="1" x14ac:dyDescent="0.2">
      <c r="F27" s="152"/>
      <c r="G27" s="84" t="s">
        <v>46</v>
      </c>
      <c r="H27" s="88" t="s">
        <v>10</v>
      </c>
      <c r="I27" s="68">
        <v>-677.54</v>
      </c>
      <c r="J27" s="153">
        <f t="shared" si="0"/>
        <v>17.619999999999891</v>
      </c>
      <c r="K27" s="18"/>
      <c r="L27" s="194"/>
      <c r="M27" s="54"/>
      <c r="N27" s="195"/>
      <c r="O27" s="195"/>
      <c r="P27" s="112"/>
      <c r="Q27" s="20"/>
      <c r="V27" s="79"/>
    </row>
    <row r="28" spans="1:30" ht="12.75" hidden="1" customHeight="1" x14ac:dyDescent="0.2">
      <c r="F28" s="167"/>
      <c r="G28" s="84" t="s">
        <v>46</v>
      </c>
      <c r="H28" s="59" t="s">
        <v>92</v>
      </c>
      <c r="I28" s="28">
        <v>-567.77</v>
      </c>
      <c r="J28" s="153">
        <f t="shared" si="0"/>
        <v>-550.15000000000009</v>
      </c>
      <c r="K28" s="18"/>
      <c r="L28" s="194"/>
      <c r="M28" s="54"/>
      <c r="N28" s="195"/>
      <c r="O28" s="195"/>
      <c r="P28" s="112"/>
      <c r="Q28" s="20"/>
      <c r="V28" s="79"/>
    </row>
    <row r="29" spans="1:30" ht="12.75" hidden="1" customHeight="1" x14ac:dyDescent="0.2">
      <c r="G29" s="200" t="s">
        <v>46</v>
      </c>
      <c r="H29" s="201" t="s">
        <v>89</v>
      </c>
      <c r="I29" s="209">
        <v>-70.28</v>
      </c>
      <c r="J29" s="153">
        <f t="shared" si="0"/>
        <v>-620.43000000000006</v>
      </c>
      <c r="K29" s="18"/>
      <c r="L29" s="194"/>
      <c r="M29" s="54"/>
      <c r="N29" s="195"/>
      <c r="O29" s="195"/>
      <c r="P29" s="112"/>
      <c r="Q29" s="20"/>
      <c r="V29" s="79"/>
    </row>
    <row r="30" spans="1:30" ht="12.75" hidden="1" customHeight="1" x14ac:dyDescent="0.2">
      <c r="F30" s="183"/>
      <c r="G30" s="99" t="s">
        <v>47</v>
      </c>
      <c r="H30" s="89" t="s">
        <v>81</v>
      </c>
      <c r="I30" s="110">
        <v>-49.84</v>
      </c>
      <c r="J30" s="208">
        <f t="shared" si="0"/>
        <v>-670.2700000000001</v>
      </c>
      <c r="K30" s="18"/>
      <c r="L30" s="194"/>
      <c r="M30" s="54"/>
      <c r="N30" s="195"/>
      <c r="O30" s="195"/>
      <c r="P30" s="112"/>
      <c r="Q30" s="20"/>
      <c r="V30" s="79"/>
    </row>
    <row r="31" spans="1:30" ht="12.75" hidden="1" customHeight="1" x14ac:dyDescent="0.2">
      <c r="F31" s="199"/>
      <c r="H31" s="19"/>
      <c r="I31" s="73">
        <f>SUM(I6:I30)</f>
        <v>-670.2700000000001</v>
      </c>
      <c r="J31" s="170"/>
      <c r="K31" s="18"/>
      <c r="L31" s="194"/>
      <c r="M31" s="54"/>
      <c r="N31" s="195"/>
      <c r="O31" s="195"/>
      <c r="P31" s="112"/>
      <c r="Q31" s="20"/>
      <c r="V31" s="79"/>
    </row>
    <row r="32" spans="1:30" s="42" customFormat="1" hidden="1" x14ac:dyDescent="0.2">
      <c r="E32" s="15"/>
      <c r="G32" s="83"/>
      <c r="I32" s="15"/>
      <c r="L32" s="15"/>
      <c r="M32" s="15"/>
      <c r="N32" s="15"/>
      <c r="O32" s="118"/>
      <c r="U32" s="15"/>
      <c r="V32" s="65"/>
      <c r="W32" s="15"/>
    </row>
    <row r="33" spans="1:30" hidden="1" x14ac:dyDescent="0.2">
      <c r="V33" s="79"/>
    </row>
    <row r="34" spans="1:30" ht="12.75" customHeight="1" x14ac:dyDescent="0.2">
      <c r="A34" s="419" t="s">
        <v>144</v>
      </c>
      <c r="B34" s="419"/>
      <c r="C34" s="419"/>
      <c r="D34" s="419"/>
      <c r="E34" s="419"/>
      <c r="G34" s="84"/>
      <c r="H34" s="54"/>
      <c r="I34" s="420" t="s">
        <v>33</v>
      </c>
      <c r="J34" s="235"/>
      <c r="K34" s="191"/>
      <c r="L34" s="422" t="s">
        <v>30</v>
      </c>
      <c r="M34" s="320" t="s">
        <v>97</v>
      </c>
      <c r="N34" s="320"/>
      <c r="O34" s="116"/>
      <c r="S34" s="24"/>
      <c r="T34" s="24"/>
      <c r="U34" s="20"/>
      <c r="V34" s="192"/>
      <c r="W34" s="20"/>
      <c r="X34" s="18"/>
      <c r="Y34" s="18"/>
      <c r="Z34" s="18"/>
      <c r="AA34" s="18"/>
      <c r="AB34" s="18"/>
      <c r="AC34" s="18"/>
      <c r="AD34" s="18"/>
    </row>
    <row r="35" spans="1:30" ht="12.75" customHeight="1" x14ac:dyDescent="0.2">
      <c r="C35" s="16" t="s">
        <v>77</v>
      </c>
      <c r="D35" s="14"/>
      <c r="E35" s="171">
        <v>9000</v>
      </c>
      <c r="G35" s="85" t="s">
        <v>49</v>
      </c>
      <c r="H35" s="72"/>
      <c r="I35" s="421"/>
      <c r="J35" s="235" t="s">
        <v>26</v>
      </c>
      <c r="K35" s="191"/>
      <c r="L35" s="423"/>
      <c r="M35" s="233" t="s">
        <v>26</v>
      </c>
      <c r="N35" s="234" t="s">
        <v>32</v>
      </c>
      <c r="O35" s="116"/>
      <c r="S35" s="61"/>
      <c r="T35" s="57"/>
      <c r="U35" s="60"/>
      <c r="V35" s="46"/>
      <c r="W35" s="47"/>
      <c r="X35" s="18"/>
      <c r="Y35" s="26"/>
      <c r="Z35" s="18"/>
      <c r="AA35" s="18"/>
      <c r="AB35" s="18"/>
      <c r="AC35" s="18"/>
      <c r="AD35" s="18"/>
    </row>
    <row r="36" spans="1:30" ht="12.75" customHeight="1" x14ac:dyDescent="0.2">
      <c r="C36" s="16"/>
      <c r="D36" s="14" t="s">
        <v>11</v>
      </c>
      <c r="E36" s="30"/>
      <c r="G36" s="90"/>
      <c r="H36" s="78" t="s">
        <v>52</v>
      </c>
      <c r="I36" s="28">
        <f>$J$30</f>
        <v>-670.2700000000001</v>
      </c>
      <c r="J36" s="37">
        <f>I36</f>
        <v>-670.2700000000001</v>
      </c>
      <c r="K36" s="20"/>
      <c r="L36" s="28">
        <f>$M$10</f>
        <v>-27522.43</v>
      </c>
      <c r="M36" s="37">
        <f>L36</f>
        <v>-27522.43</v>
      </c>
      <c r="N36" s="28">
        <f>28000+M36</f>
        <v>477.56999999999971</v>
      </c>
      <c r="O36" s="117" t="s">
        <v>67</v>
      </c>
      <c r="P36" s="111" t="s">
        <v>68</v>
      </c>
      <c r="R36" s="120"/>
      <c r="S36" s="57"/>
      <c r="T36" s="57"/>
      <c r="U36" s="28"/>
      <c r="V36" s="149"/>
      <c r="W36" s="20"/>
      <c r="X36" s="18"/>
      <c r="Y36" s="49"/>
      <c r="Z36" s="50"/>
      <c r="AA36" s="18"/>
      <c r="AB36" s="18"/>
      <c r="AC36" s="18"/>
      <c r="AD36" s="18"/>
    </row>
    <row r="37" spans="1:30" ht="12.75" customHeight="1" x14ac:dyDescent="0.2">
      <c r="C37" s="17" t="s">
        <v>5</v>
      </c>
      <c r="D37" s="14"/>
      <c r="E37" s="14">
        <f>SUM(E35:E36)</f>
        <v>9000</v>
      </c>
      <c r="G37" s="92"/>
      <c r="H37" s="75" t="s">
        <v>111</v>
      </c>
      <c r="I37" s="28">
        <v>1000</v>
      </c>
      <c r="J37" s="153">
        <f t="shared" ref="J37:J71" si="2">J36+I37</f>
        <v>329.7299999999999</v>
      </c>
      <c r="K37" s="25"/>
      <c r="L37" s="68">
        <v>-172.9</v>
      </c>
      <c r="M37" s="38">
        <f>M36+L37</f>
        <v>-27695.33</v>
      </c>
      <c r="N37" s="28">
        <f>28000+M37</f>
        <v>304.66999999999825</v>
      </c>
      <c r="O37" s="113" t="s">
        <v>63</v>
      </c>
      <c r="P37" s="119"/>
      <c r="R37" s="57"/>
      <c r="S37" s="57"/>
      <c r="T37" s="58"/>
      <c r="U37" s="31"/>
      <c r="V37" s="150"/>
      <c r="W37" s="20"/>
      <c r="X37" s="18"/>
      <c r="Y37" s="49"/>
      <c r="Z37" s="50"/>
      <c r="AA37" s="18"/>
      <c r="AB37" s="18"/>
      <c r="AC37" s="18"/>
      <c r="AD37" s="18"/>
    </row>
    <row r="38" spans="1:30" ht="12.75" customHeight="1" x14ac:dyDescent="0.2">
      <c r="A38" s="98"/>
      <c r="G38" s="92"/>
      <c r="H38" s="75" t="s">
        <v>53</v>
      </c>
      <c r="I38" s="28">
        <v>-255</v>
      </c>
      <c r="J38" s="153">
        <f t="shared" si="2"/>
        <v>74.729999999999905</v>
      </c>
      <c r="K38" s="81"/>
      <c r="L38" s="68">
        <v>-400.14</v>
      </c>
      <c r="M38" s="38">
        <f>M37+L38</f>
        <v>-28095.47</v>
      </c>
      <c r="N38" s="28">
        <f>28000+M38</f>
        <v>-95.470000000001164</v>
      </c>
      <c r="O38" s="113" t="s">
        <v>61</v>
      </c>
      <c r="P38" s="119"/>
      <c r="R38" s="58"/>
      <c r="S38" s="58"/>
      <c r="T38" s="58"/>
      <c r="U38" s="31"/>
      <c r="V38" s="150"/>
      <c r="W38" s="20"/>
      <c r="X38" s="18"/>
      <c r="Y38" s="49"/>
      <c r="Z38" s="50"/>
      <c r="AA38" s="18"/>
      <c r="AB38" s="18"/>
      <c r="AC38" s="18"/>
      <c r="AD38" s="18"/>
    </row>
    <row r="39" spans="1:30" ht="12.75" customHeight="1" x14ac:dyDescent="0.2">
      <c r="A39" s="98"/>
      <c r="C39" s="43" t="s">
        <v>9</v>
      </c>
      <c r="E39" s="27"/>
      <c r="G39" s="92"/>
      <c r="H39" s="75" t="s">
        <v>147</v>
      </c>
      <c r="I39" s="28">
        <v>416</v>
      </c>
      <c r="J39" s="153">
        <f t="shared" si="2"/>
        <v>490.7299999999999</v>
      </c>
      <c r="K39" s="81"/>
      <c r="L39" s="68">
        <f>-I40</f>
        <v>400</v>
      </c>
      <c r="M39" s="38">
        <f>M38+L39</f>
        <v>-27695.47</v>
      </c>
      <c r="N39" s="28">
        <f>28000+M39</f>
        <v>304.52999999999884</v>
      </c>
      <c r="O39" s="113" t="s">
        <v>58</v>
      </c>
      <c r="P39" s="119"/>
      <c r="R39" s="55"/>
      <c r="S39" s="57"/>
      <c r="T39" s="58"/>
      <c r="U39" s="31"/>
      <c r="V39" s="150"/>
      <c r="W39" s="52"/>
      <c r="X39" s="18"/>
      <c r="Y39" s="53"/>
      <c r="Z39" s="50"/>
      <c r="AA39" s="18"/>
      <c r="AB39" s="18"/>
      <c r="AC39" s="18"/>
      <c r="AD39" s="18"/>
    </row>
    <row r="40" spans="1:30" ht="12.75" customHeight="1" x14ac:dyDescent="0.2">
      <c r="A40" s="98"/>
      <c r="D40" s="18" t="s">
        <v>7</v>
      </c>
      <c r="E40" s="27">
        <f>E35</f>
        <v>9000</v>
      </c>
      <c r="G40" s="92"/>
      <c r="H40" s="75" t="s">
        <v>146</v>
      </c>
      <c r="I40" s="28">
        <v>-400</v>
      </c>
      <c r="J40" s="153">
        <f t="shared" si="2"/>
        <v>90.729999999999905</v>
      </c>
      <c r="K40" s="81"/>
      <c r="L40" s="68">
        <v>-277.20999999999998</v>
      </c>
      <c r="M40" s="39">
        <f t="shared" ref="M40" si="3">M39+L40</f>
        <v>-27972.68</v>
      </c>
      <c r="N40" s="28">
        <f>28000+M40</f>
        <v>27.319999999999709</v>
      </c>
      <c r="O40" s="113" t="s">
        <v>63</v>
      </c>
      <c r="P40" s="119" t="s">
        <v>86</v>
      </c>
      <c r="Q40" s="20"/>
      <c r="R40" s="57"/>
      <c r="S40" s="57"/>
      <c r="T40" s="58"/>
      <c r="U40" s="31"/>
      <c r="V40" s="150"/>
      <c r="W40" s="20"/>
      <c r="X40" s="18"/>
      <c r="Y40" s="26"/>
      <c r="Z40" s="50"/>
      <c r="AA40" s="18"/>
      <c r="AB40" s="18"/>
      <c r="AC40" s="18"/>
      <c r="AD40" s="18"/>
    </row>
    <row r="41" spans="1:30" ht="12.75" customHeight="1" x14ac:dyDescent="0.2">
      <c r="A41" s="98"/>
      <c r="D41" s="42" t="s">
        <v>6</v>
      </c>
      <c r="E41" s="147"/>
      <c r="G41" s="92"/>
      <c r="H41" s="75" t="s">
        <v>131</v>
      </c>
      <c r="I41" s="28">
        <v>730</v>
      </c>
      <c r="J41" s="153">
        <f t="shared" si="2"/>
        <v>820.7299999999999</v>
      </c>
      <c r="K41" s="81"/>
      <c r="L41" s="35">
        <f>SUM(L36:L40)</f>
        <v>-27972.68</v>
      </c>
      <c r="M41" s="91"/>
      <c r="N41" s="96"/>
      <c r="O41" s="158"/>
      <c r="P41" s="112"/>
      <c r="Q41" s="20"/>
      <c r="R41" s="18"/>
      <c r="S41" s="18"/>
      <c r="T41" s="58"/>
      <c r="U41" s="80"/>
      <c r="V41" s="51"/>
      <c r="W41" s="20"/>
      <c r="X41" s="18"/>
      <c r="Y41" s="49"/>
      <c r="Z41" s="50"/>
      <c r="AA41" s="18"/>
      <c r="AB41" s="18"/>
      <c r="AC41" s="18"/>
      <c r="AD41" s="18"/>
    </row>
    <row r="42" spans="1:30" ht="12.75" customHeight="1" x14ac:dyDescent="0.2">
      <c r="A42" s="98"/>
      <c r="D42" s="18"/>
      <c r="E42" s="154"/>
      <c r="G42" s="92"/>
      <c r="H42" s="75" t="s">
        <v>43</v>
      </c>
      <c r="I42" s="28">
        <v>-71.47</v>
      </c>
      <c r="J42" s="153">
        <f t="shared" si="2"/>
        <v>749.25999999999988</v>
      </c>
      <c r="K42" s="81"/>
      <c r="L42" s="194"/>
      <c r="M42" s="54"/>
      <c r="N42" s="195"/>
      <c r="O42" s="195"/>
      <c r="P42" s="112"/>
      <c r="Q42" s="20"/>
      <c r="R42" s="18"/>
      <c r="S42" s="18"/>
      <c r="T42" s="58"/>
      <c r="U42" s="80"/>
      <c r="V42" s="51"/>
      <c r="W42" s="20"/>
      <c r="X42" s="18"/>
      <c r="Y42" s="49"/>
      <c r="Z42" s="50"/>
      <c r="AA42" s="18"/>
      <c r="AB42" s="18"/>
      <c r="AC42" s="18"/>
      <c r="AD42" s="18"/>
    </row>
    <row r="43" spans="1:30" ht="12.75" customHeight="1" x14ac:dyDescent="0.2">
      <c r="A43" s="100"/>
      <c r="B43" s="100"/>
      <c r="C43" s="100"/>
      <c r="D43" s="190"/>
      <c r="E43" s="68"/>
      <c r="G43" s="92"/>
      <c r="H43" s="75" t="s">
        <v>124</v>
      </c>
      <c r="I43" s="28">
        <v>-132.69999999999999</v>
      </c>
      <c r="J43" s="153">
        <f t="shared" si="2"/>
        <v>616.55999999999995</v>
      </c>
      <c r="K43" s="81"/>
      <c r="L43" s="194"/>
      <c r="M43" s="54"/>
      <c r="N43" s="195"/>
      <c r="O43" s="195"/>
      <c r="P43" s="112"/>
      <c r="Q43" s="81"/>
      <c r="R43" s="20"/>
      <c r="S43" s="48"/>
      <c r="T43" s="18"/>
      <c r="U43" s="80"/>
      <c r="V43" s="51"/>
      <c r="W43" s="20"/>
      <c r="X43" s="18"/>
      <c r="Y43" s="18"/>
      <c r="Z43" s="18"/>
      <c r="AA43" s="18"/>
      <c r="AB43" s="18"/>
      <c r="AC43" s="18"/>
      <c r="AD43" s="18"/>
    </row>
    <row r="44" spans="1:30" ht="12.75" customHeight="1" x14ac:dyDescent="0.2">
      <c r="A44" s="100"/>
      <c r="B44" s="100"/>
      <c r="C44" s="100"/>
      <c r="D44" s="190"/>
      <c r="E44" s="68"/>
      <c r="G44" s="92"/>
      <c r="H44" s="75" t="s">
        <v>69</v>
      </c>
      <c r="I44" s="28">
        <v>-138.57</v>
      </c>
      <c r="J44" s="153">
        <f t="shared" si="2"/>
        <v>477.98999999999995</v>
      </c>
      <c r="K44" s="81"/>
      <c r="L44" s="218"/>
      <c r="M44" s="217"/>
      <c r="N44" s="195"/>
      <c r="O44" s="195"/>
      <c r="P44" s="112"/>
      <c r="Q44" s="81"/>
      <c r="R44" s="20"/>
      <c r="S44" s="48"/>
      <c r="T44" s="18"/>
      <c r="U44" s="80"/>
      <c r="V44" s="51"/>
      <c r="W44" s="20"/>
      <c r="X44" s="18"/>
      <c r="Y44" s="18"/>
      <c r="Z44" s="18"/>
      <c r="AA44" s="18"/>
      <c r="AB44" s="18"/>
      <c r="AC44" s="18"/>
      <c r="AD44" s="18"/>
    </row>
    <row r="45" spans="1:30" ht="12.75" customHeight="1" x14ac:dyDescent="0.2">
      <c r="A45" s="100"/>
      <c r="B45" s="100"/>
      <c r="C45" s="100"/>
      <c r="D45" s="219"/>
      <c r="E45" s="68"/>
      <c r="G45" s="92"/>
      <c r="H45" s="75" t="s">
        <v>43</v>
      </c>
      <c r="I45" s="28">
        <v>-224.14</v>
      </c>
      <c r="J45" s="153">
        <f t="shared" si="2"/>
        <v>253.84999999999997</v>
      </c>
      <c r="K45" s="81"/>
      <c r="L45" s="218"/>
      <c r="M45" s="217"/>
      <c r="N45" s="195"/>
      <c r="O45" s="195"/>
      <c r="P45" s="112"/>
      <c r="Q45" s="20"/>
      <c r="R45" s="20"/>
      <c r="S45" s="48"/>
      <c r="T45" s="18"/>
      <c r="U45" s="80"/>
      <c r="V45" s="51"/>
      <c r="W45" s="20"/>
      <c r="X45" s="18"/>
      <c r="Y45" s="18"/>
      <c r="Z45" s="18"/>
      <c r="AA45" s="18"/>
      <c r="AB45" s="18"/>
      <c r="AC45" s="18"/>
      <c r="AD45" s="18"/>
    </row>
    <row r="46" spans="1:30" ht="12.75" customHeight="1" x14ac:dyDescent="0.2">
      <c r="A46" s="100"/>
      <c r="B46" s="100"/>
      <c r="C46" s="100"/>
      <c r="D46" s="219"/>
      <c r="E46" s="68"/>
      <c r="G46" s="92"/>
      <c r="H46" s="75" t="s">
        <v>69</v>
      </c>
      <c r="I46" s="28">
        <v>-61.36</v>
      </c>
      <c r="J46" s="153">
        <f t="shared" si="2"/>
        <v>192.48999999999995</v>
      </c>
      <c r="K46" s="81"/>
      <c r="L46" s="218"/>
      <c r="M46" s="217"/>
      <c r="N46" s="195"/>
      <c r="O46" s="195"/>
      <c r="P46" s="112"/>
      <c r="Q46" s="20"/>
      <c r="R46" s="20"/>
      <c r="S46" s="48"/>
      <c r="T46" s="18"/>
      <c r="U46" s="80"/>
      <c r="V46" s="51"/>
      <c r="W46" s="20"/>
      <c r="X46" s="18"/>
      <c r="Y46" s="18"/>
      <c r="Z46" s="18"/>
      <c r="AA46" s="18"/>
      <c r="AB46" s="18"/>
      <c r="AC46" s="18"/>
      <c r="AD46" s="18"/>
    </row>
    <row r="47" spans="1:30" ht="12.75" customHeight="1" x14ac:dyDescent="0.2">
      <c r="A47" s="100"/>
      <c r="B47" s="100"/>
      <c r="C47" s="100"/>
      <c r="D47" s="219"/>
      <c r="E47" s="68"/>
      <c r="G47" s="92"/>
      <c r="H47" s="75" t="s">
        <v>149</v>
      </c>
      <c r="I47" s="28">
        <v>-82.99</v>
      </c>
      <c r="J47" s="153">
        <f t="shared" si="2"/>
        <v>109.49999999999996</v>
      </c>
      <c r="K47" s="81"/>
      <c r="L47" s="194"/>
      <c r="M47" s="54"/>
      <c r="N47" s="195"/>
      <c r="O47" s="195"/>
      <c r="P47" s="112"/>
      <c r="Q47" s="20"/>
      <c r="R47" s="20"/>
      <c r="S47" s="48"/>
      <c r="T47" s="18"/>
      <c r="U47" s="80"/>
      <c r="V47" s="51"/>
      <c r="W47" s="20"/>
      <c r="X47" s="18"/>
      <c r="Y47" s="18"/>
      <c r="Z47" s="18"/>
      <c r="AA47" s="18"/>
      <c r="AB47" s="18"/>
      <c r="AC47" s="18"/>
      <c r="AD47" s="18"/>
    </row>
    <row r="48" spans="1:30" ht="12.75" customHeight="1" x14ac:dyDescent="0.2">
      <c r="A48" s="100"/>
      <c r="B48" s="100"/>
      <c r="C48" s="100"/>
      <c r="D48" s="219"/>
      <c r="E48" s="68"/>
      <c r="G48" s="92"/>
      <c r="H48" s="75" t="s">
        <v>126</v>
      </c>
      <c r="I48" s="28">
        <v>300</v>
      </c>
      <c r="J48" s="153">
        <f t="shared" si="2"/>
        <v>409.49999999999994</v>
      </c>
      <c r="K48" s="81"/>
      <c r="L48" s="194"/>
      <c r="M48" s="54"/>
      <c r="N48" s="195"/>
      <c r="O48" s="195"/>
      <c r="P48" s="112"/>
      <c r="Q48" s="20"/>
      <c r="R48" s="20"/>
      <c r="S48" s="48"/>
      <c r="T48" s="18"/>
      <c r="U48" s="80"/>
      <c r="V48" s="51"/>
      <c r="W48" s="20"/>
      <c r="X48" s="18"/>
      <c r="Y48" s="18"/>
      <c r="Z48" s="18"/>
      <c r="AA48" s="18"/>
      <c r="AB48" s="18"/>
      <c r="AC48" s="18"/>
      <c r="AD48" s="18"/>
    </row>
    <row r="49" spans="1:30" ht="12.75" customHeight="1" x14ac:dyDescent="0.2">
      <c r="A49" s="100"/>
      <c r="B49" s="100"/>
      <c r="C49" s="100"/>
      <c r="D49" s="190"/>
      <c r="E49" s="68"/>
      <c r="G49" s="92"/>
      <c r="H49" s="75" t="s">
        <v>69</v>
      </c>
      <c r="I49" s="28">
        <v>-62.99</v>
      </c>
      <c r="J49" s="153">
        <f t="shared" si="2"/>
        <v>346.50999999999993</v>
      </c>
      <c r="K49" s="81"/>
      <c r="L49" s="194"/>
      <c r="M49" s="54"/>
      <c r="N49" s="195"/>
      <c r="O49" s="195"/>
      <c r="P49" s="112"/>
      <c r="Q49" s="20"/>
      <c r="R49" s="20"/>
      <c r="S49" s="48"/>
      <c r="T49" s="18"/>
      <c r="U49" s="80"/>
      <c r="V49" s="51"/>
      <c r="W49" s="20"/>
      <c r="X49" s="18"/>
      <c r="Y49" s="18"/>
      <c r="Z49" s="18"/>
      <c r="AA49" s="18"/>
      <c r="AB49" s="18"/>
      <c r="AC49" s="18"/>
      <c r="AD49" s="18"/>
    </row>
    <row r="50" spans="1:30" ht="12.75" customHeight="1" x14ac:dyDescent="0.2">
      <c r="A50" s="100"/>
      <c r="B50" s="100"/>
      <c r="C50" s="100"/>
      <c r="D50" s="190"/>
      <c r="E50" s="68"/>
      <c r="G50" s="92"/>
      <c r="H50" s="75" t="s">
        <v>150</v>
      </c>
      <c r="I50" s="71">
        <v>-100.05</v>
      </c>
      <c r="J50" s="153">
        <f t="shared" si="2"/>
        <v>246.45999999999992</v>
      </c>
      <c r="K50" s="81"/>
      <c r="L50" s="194"/>
      <c r="M50" s="54"/>
      <c r="N50" s="195"/>
      <c r="O50" s="195"/>
      <c r="P50" s="112"/>
      <c r="Q50" s="20"/>
      <c r="R50" s="20"/>
      <c r="S50" s="48"/>
      <c r="T50" s="18"/>
      <c r="U50" s="80"/>
      <c r="V50" s="51"/>
      <c r="W50" s="20"/>
      <c r="X50" s="18"/>
      <c r="Y50" s="18"/>
      <c r="Z50" s="18"/>
      <c r="AA50" s="18"/>
      <c r="AB50" s="18"/>
      <c r="AC50" s="18"/>
      <c r="AD50" s="18"/>
    </row>
    <row r="51" spans="1:30" ht="12.75" customHeight="1" x14ac:dyDescent="0.2">
      <c r="A51" s="100"/>
      <c r="B51" s="100"/>
      <c r="C51" s="100"/>
      <c r="D51" s="190"/>
      <c r="E51" s="68"/>
      <c r="F51" s="210"/>
      <c r="G51" s="92"/>
      <c r="H51" s="86" t="s">
        <v>132</v>
      </c>
      <c r="I51" s="71">
        <v>-155</v>
      </c>
      <c r="J51" s="153">
        <f t="shared" si="2"/>
        <v>91.459999999999923</v>
      </c>
      <c r="K51" s="81"/>
      <c r="L51" s="194"/>
      <c r="M51" s="54"/>
      <c r="N51" s="195"/>
      <c r="O51" s="195"/>
      <c r="P51" s="112"/>
      <c r="Q51" s="203"/>
      <c r="R51" s="20"/>
      <c r="S51" s="48"/>
      <c r="T51" s="18"/>
      <c r="U51" s="80"/>
      <c r="V51" s="51"/>
      <c r="W51" s="20"/>
      <c r="X51" s="18"/>
      <c r="Y51" s="18"/>
      <c r="Z51" s="18"/>
      <c r="AA51" s="18"/>
      <c r="AB51" s="18"/>
      <c r="AC51" s="18"/>
      <c r="AD51" s="18"/>
    </row>
    <row r="52" spans="1:30" ht="12.75" customHeight="1" x14ac:dyDescent="0.2">
      <c r="A52" s="100"/>
      <c r="B52" s="100"/>
      <c r="C52" s="100"/>
      <c r="D52" s="189"/>
      <c r="E52" s="23"/>
      <c r="F52" s="229"/>
      <c r="G52" s="92"/>
      <c r="H52" s="86" t="s">
        <v>31</v>
      </c>
      <c r="I52" s="28">
        <v>8000</v>
      </c>
      <c r="J52" s="153">
        <f t="shared" si="2"/>
        <v>8091.46</v>
      </c>
      <c r="K52" s="220"/>
      <c r="L52" s="194"/>
      <c r="M52" s="221"/>
      <c r="N52" s="195"/>
      <c r="O52" s="195"/>
      <c r="P52" s="112"/>
      <c r="Q52" s="20"/>
      <c r="R52" s="20"/>
      <c r="S52" s="48"/>
      <c r="T52" s="18"/>
      <c r="U52" s="80"/>
      <c r="V52" s="51"/>
      <c r="W52" s="20"/>
      <c r="X52" s="18"/>
      <c r="Y52" s="18"/>
      <c r="Z52" s="18"/>
      <c r="AA52" s="18"/>
      <c r="AB52" s="18"/>
      <c r="AC52" s="18"/>
      <c r="AD52" s="18"/>
    </row>
    <row r="53" spans="1:30" ht="12.75" customHeight="1" x14ac:dyDescent="0.2">
      <c r="G53" s="45" t="s">
        <v>50</v>
      </c>
      <c r="H53" s="86" t="s">
        <v>48</v>
      </c>
      <c r="I53" s="28">
        <v>-2409.34</v>
      </c>
      <c r="J53" s="153">
        <f t="shared" si="2"/>
        <v>5682.12</v>
      </c>
      <c r="K53" s="18"/>
      <c r="L53" s="194"/>
      <c r="M53" s="66"/>
      <c r="N53" s="195"/>
      <c r="O53" s="195"/>
      <c r="P53" s="112"/>
      <c r="Q53" s="20"/>
      <c r="V53" s="79"/>
    </row>
    <row r="54" spans="1:30" ht="12.75" customHeight="1" x14ac:dyDescent="0.2">
      <c r="G54" s="84"/>
      <c r="H54" s="86" t="s">
        <v>111</v>
      </c>
      <c r="I54" s="28">
        <v>1000</v>
      </c>
      <c r="J54" s="153">
        <f t="shared" si="2"/>
        <v>6682.12</v>
      </c>
      <c r="K54" s="18"/>
      <c r="L54" s="194"/>
      <c r="M54" s="66"/>
      <c r="N54" s="195"/>
      <c r="O54" s="195"/>
      <c r="P54" s="112"/>
      <c r="Q54" s="20"/>
      <c r="V54" s="79"/>
    </row>
    <row r="55" spans="1:30" ht="12.75" customHeight="1" x14ac:dyDescent="0.2">
      <c r="G55" s="84"/>
      <c r="H55" s="86" t="s">
        <v>131</v>
      </c>
      <c r="I55" s="28">
        <v>-250</v>
      </c>
      <c r="J55" s="153">
        <f t="shared" si="2"/>
        <v>6432.12</v>
      </c>
      <c r="K55" s="18"/>
      <c r="L55" s="194"/>
      <c r="M55" s="66"/>
      <c r="N55" s="195"/>
      <c r="O55" s="195"/>
      <c r="P55" s="112"/>
      <c r="Q55" s="20"/>
      <c r="V55" s="79"/>
    </row>
    <row r="56" spans="1:30" ht="12.75" customHeight="1" x14ac:dyDescent="0.2">
      <c r="G56" s="84"/>
      <c r="H56" s="86" t="s">
        <v>153</v>
      </c>
      <c r="I56" s="28">
        <v>-50</v>
      </c>
      <c r="J56" s="153">
        <f t="shared" si="2"/>
        <v>6382.12</v>
      </c>
      <c r="K56" s="18"/>
      <c r="L56" s="194"/>
      <c r="M56" s="66"/>
      <c r="N56" s="195"/>
      <c r="O56" s="195"/>
      <c r="P56" s="112"/>
      <c r="Q56" s="20"/>
      <c r="V56" s="79"/>
    </row>
    <row r="57" spans="1:30" ht="12.75" customHeight="1" x14ac:dyDescent="0.2">
      <c r="G57" s="84"/>
      <c r="H57" s="86" t="s">
        <v>154</v>
      </c>
      <c r="I57" s="232">
        <v>-200</v>
      </c>
      <c r="J57" s="153">
        <f t="shared" si="2"/>
        <v>6182.12</v>
      </c>
      <c r="K57" s="18"/>
      <c r="L57" s="194"/>
      <c r="M57" s="66"/>
      <c r="N57" s="195"/>
      <c r="O57" s="195"/>
      <c r="P57" s="112"/>
      <c r="Q57" s="20"/>
      <c r="V57" s="79"/>
    </row>
    <row r="58" spans="1:30" ht="12.75" customHeight="1" x14ac:dyDescent="0.2">
      <c r="F58" s="151"/>
      <c r="G58" s="84" t="s">
        <v>50</v>
      </c>
      <c r="H58" s="86" t="s">
        <v>44</v>
      </c>
      <c r="I58" s="28">
        <v>-59</v>
      </c>
      <c r="J58" s="153">
        <f t="shared" si="2"/>
        <v>6123.12</v>
      </c>
      <c r="K58" s="18"/>
      <c r="L58" s="194"/>
      <c r="M58" s="54"/>
      <c r="N58" s="195"/>
      <c r="O58" s="195"/>
      <c r="P58" s="112"/>
      <c r="Q58" s="20"/>
      <c r="V58" s="79"/>
    </row>
    <row r="59" spans="1:30" ht="12.75" customHeight="1" x14ac:dyDescent="0.2">
      <c r="F59" s="151"/>
      <c r="G59" s="84" t="s">
        <v>50</v>
      </c>
      <c r="H59" s="86" t="s">
        <v>37</v>
      </c>
      <c r="I59" s="28">
        <v>-588.51</v>
      </c>
      <c r="J59" s="153">
        <f t="shared" si="2"/>
        <v>5534.61</v>
      </c>
      <c r="K59" s="18"/>
      <c r="L59" s="194"/>
      <c r="M59" s="54"/>
      <c r="N59" s="195"/>
      <c r="O59" s="195"/>
      <c r="P59" s="112"/>
      <c r="Q59" s="20"/>
      <c r="V59" s="79"/>
    </row>
    <row r="60" spans="1:30" ht="12.75" customHeight="1" x14ac:dyDescent="0.2">
      <c r="F60" s="152"/>
      <c r="G60" s="45" t="s">
        <v>46</v>
      </c>
      <c r="H60" s="87" t="s">
        <v>8</v>
      </c>
      <c r="I60" s="74">
        <v>-233.99</v>
      </c>
      <c r="J60" s="153">
        <f t="shared" si="2"/>
        <v>5300.62</v>
      </c>
      <c r="K60" s="18"/>
      <c r="L60" s="194"/>
      <c r="M60" s="54"/>
      <c r="N60" s="195"/>
      <c r="O60" s="195"/>
      <c r="P60" s="112"/>
      <c r="Q60" s="20"/>
      <c r="V60" s="79"/>
    </row>
    <row r="61" spans="1:30" ht="12.75" customHeight="1" x14ac:dyDescent="0.2">
      <c r="F61" s="167"/>
      <c r="G61" s="84" t="s">
        <v>46</v>
      </c>
      <c r="H61" s="88" t="s">
        <v>34</v>
      </c>
      <c r="I61" s="74">
        <v>-875</v>
      </c>
      <c r="J61" s="153">
        <f t="shared" si="2"/>
        <v>4425.62</v>
      </c>
      <c r="K61" s="18"/>
      <c r="L61" s="194"/>
      <c r="M61" s="54"/>
      <c r="N61" s="195"/>
      <c r="O61" s="195"/>
      <c r="P61" s="112"/>
      <c r="Q61" s="20"/>
      <c r="V61" s="79"/>
    </row>
    <row r="62" spans="1:30" ht="12.75" customHeight="1" x14ac:dyDescent="0.2">
      <c r="G62" s="84" t="s">
        <v>46</v>
      </c>
      <c r="H62" s="88" t="s">
        <v>10</v>
      </c>
      <c r="I62" s="68">
        <v>-640.39</v>
      </c>
      <c r="J62" s="153">
        <f t="shared" si="2"/>
        <v>3785.23</v>
      </c>
      <c r="K62" s="18"/>
      <c r="L62" s="194"/>
      <c r="M62" s="54"/>
      <c r="N62" s="195"/>
      <c r="O62" s="195"/>
      <c r="P62" s="112"/>
      <c r="Q62" s="20"/>
      <c r="V62" s="79"/>
    </row>
    <row r="63" spans="1:30" ht="12.75" customHeight="1" x14ac:dyDescent="0.2">
      <c r="F63" s="183"/>
      <c r="G63" s="84" t="s">
        <v>46</v>
      </c>
      <c r="H63" s="59" t="s">
        <v>92</v>
      </c>
      <c r="I63" s="28">
        <v>-623.96</v>
      </c>
      <c r="J63" s="153">
        <f t="shared" si="2"/>
        <v>3161.27</v>
      </c>
      <c r="K63" s="18"/>
      <c r="L63" s="194"/>
      <c r="M63" s="66"/>
      <c r="N63" s="195"/>
      <c r="O63" s="195"/>
      <c r="P63" s="112"/>
      <c r="Q63" s="20"/>
      <c r="V63" s="79"/>
    </row>
    <row r="64" spans="1:30" ht="12.75" customHeight="1" x14ac:dyDescent="0.2">
      <c r="F64" s="199"/>
      <c r="G64" s="99" t="s">
        <v>46</v>
      </c>
      <c r="H64" s="201" t="s">
        <v>89</v>
      </c>
      <c r="I64" s="209">
        <v>-70.28</v>
      </c>
      <c r="J64" s="153">
        <f t="shared" si="2"/>
        <v>3090.99</v>
      </c>
      <c r="K64" s="18"/>
      <c r="L64" s="194"/>
      <c r="M64" s="66"/>
      <c r="N64" s="195"/>
      <c r="O64" s="195"/>
      <c r="P64" s="112"/>
      <c r="Q64" s="20"/>
      <c r="V64" s="79"/>
    </row>
    <row r="65" spans="1:30" ht="12.75" customHeight="1" x14ac:dyDescent="0.2">
      <c r="F65" s="199"/>
      <c r="G65" s="200"/>
      <c r="H65" s="86" t="s">
        <v>111</v>
      </c>
      <c r="I65" s="28">
        <v>4000</v>
      </c>
      <c r="J65" s="153">
        <f t="shared" si="2"/>
        <v>7090.99</v>
      </c>
      <c r="K65" s="18"/>
      <c r="L65" s="194"/>
      <c r="M65" s="54"/>
      <c r="N65" s="195"/>
      <c r="O65" s="195"/>
      <c r="P65" s="112"/>
      <c r="Q65" s="20"/>
      <c r="V65" s="79"/>
    </row>
    <row r="66" spans="1:30" ht="12.75" customHeight="1" x14ac:dyDescent="0.2">
      <c r="F66" s="199"/>
      <c r="G66" s="200"/>
      <c r="H66" s="193" t="s">
        <v>143</v>
      </c>
      <c r="I66" s="71">
        <v>-5300</v>
      </c>
      <c r="J66" s="153">
        <f t="shared" si="2"/>
        <v>1790.9899999999998</v>
      </c>
      <c r="K66" s="18"/>
      <c r="L66" s="194"/>
      <c r="M66" s="54"/>
      <c r="N66" s="195"/>
      <c r="O66" s="195"/>
      <c r="P66" s="112"/>
      <c r="Q66" s="20"/>
      <c r="V66" s="79"/>
    </row>
    <row r="67" spans="1:30" ht="12.75" customHeight="1" x14ac:dyDescent="0.2">
      <c r="F67" s="199"/>
      <c r="G67" s="200"/>
      <c r="H67" s="193" t="s">
        <v>152</v>
      </c>
      <c r="I67" s="28">
        <v>-300</v>
      </c>
      <c r="J67" s="153">
        <f t="shared" si="2"/>
        <v>1490.9899999999998</v>
      </c>
      <c r="K67" s="18"/>
      <c r="L67" s="194"/>
      <c r="M67" s="54"/>
      <c r="N67" s="195"/>
      <c r="O67" s="195"/>
      <c r="P67" s="112"/>
      <c r="Q67" s="20"/>
      <c r="V67" s="79"/>
    </row>
    <row r="68" spans="1:30" ht="12.75" customHeight="1" x14ac:dyDescent="0.2">
      <c r="F68" s="229">
        <v>673.07</v>
      </c>
      <c r="G68" s="200"/>
      <c r="H68" s="86" t="s">
        <v>87</v>
      </c>
      <c r="I68" s="28">
        <v>-680</v>
      </c>
      <c r="J68" s="153">
        <f t="shared" si="2"/>
        <v>810.98999999999978</v>
      </c>
      <c r="K68" s="18"/>
      <c r="L68" s="194"/>
      <c r="M68" s="54"/>
      <c r="N68" s="195"/>
      <c r="O68" s="195"/>
      <c r="P68" s="112"/>
      <c r="Q68" s="20"/>
      <c r="V68" s="79"/>
    </row>
    <row r="69" spans="1:30" ht="12.75" customHeight="1" x14ac:dyDescent="0.2">
      <c r="F69" s="199"/>
      <c r="G69" s="200"/>
      <c r="H69" s="86" t="s">
        <v>117</v>
      </c>
      <c r="I69" s="28">
        <v>-215</v>
      </c>
      <c r="J69" s="153">
        <f t="shared" si="2"/>
        <v>595.98999999999978</v>
      </c>
      <c r="K69" s="18"/>
      <c r="L69" s="194"/>
      <c r="M69" s="54"/>
      <c r="N69" s="195"/>
      <c r="O69" s="195"/>
      <c r="P69" s="112"/>
      <c r="Q69" s="20"/>
      <c r="V69" s="79"/>
    </row>
    <row r="70" spans="1:30" ht="12.75" customHeight="1" x14ac:dyDescent="0.2">
      <c r="F70" s="199"/>
      <c r="G70" s="200"/>
      <c r="H70" s="201" t="s">
        <v>131</v>
      </c>
      <c r="I70" s="209">
        <v>1140</v>
      </c>
      <c r="J70" s="153">
        <f t="shared" si="2"/>
        <v>1735.9899999999998</v>
      </c>
      <c r="K70" s="18"/>
      <c r="L70" s="194"/>
      <c r="M70" s="54"/>
      <c r="N70" s="195"/>
      <c r="O70" s="195"/>
      <c r="P70" s="112"/>
      <c r="Q70" s="20"/>
      <c r="V70" s="79"/>
    </row>
    <row r="71" spans="1:30" ht="12.75" customHeight="1" x14ac:dyDescent="0.2">
      <c r="F71" s="199"/>
      <c r="G71" s="99" t="s">
        <v>47</v>
      </c>
      <c r="H71" s="89" t="s">
        <v>81</v>
      </c>
      <c r="I71" s="110">
        <v>-52.28</v>
      </c>
      <c r="J71" s="156">
        <f t="shared" si="2"/>
        <v>1683.7099999999998</v>
      </c>
      <c r="K71" s="18"/>
      <c r="L71" s="194"/>
      <c r="M71" s="54"/>
      <c r="N71" s="195"/>
      <c r="O71" s="195"/>
      <c r="P71" s="112"/>
      <c r="Q71" s="20"/>
      <c r="V71" s="79"/>
    </row>
    <row r="72" spans="1:30" ht="12.75" customHeight="1" x14ac:dyDescent="0.2">
      <c r="F72" s="199"/>
      <c r="H72" s="19"/>
      <c r="I72" s="73">
        <f>SUM(I36:I71)</f>
        <v>1683.7099999999998</v>
      </c>
      <c r="J72" s="170"/>
      <c r="K72" s="18"/>
      <c r="L72" s="194"/>
      <c r="M72" s="54"/>
      <c r="N72" s="195"/>
      <c r="O72" s="195"/>
      <c r="P72" s="112"/>
      <c r="Q72" s="20"/>
      <c r="V72" s="79"/>
    </row>
    <row r="73" spans="1:30" s="42" customFormat="1" x14ac:dyDescent="0.2">
      <c r="E73" s="15"/>
      <c r="G73" s="83"/>
      <c r="I73" s="15"/>
      <c r="L73" s="15"/>
      <c r="M73" s="15"/>
      <c r="N73" s="15"/>
      <c r="O73" s="118"/>
      <c r="U73" s="15"/>
      <c r="V73" s="65"/>
      <c r="W73" s="15"/>
    </row>
    <row r="75" spans="1:30" ht="12.75" customHeight="1" x14ac:dyDescent="0.2">
      <c r="A75" s="419" t="s">
        <v>158</v>
      </c>
      <c r="B75" s="419"/>
      <c r="C75" s="419"/>
      <c r="D75" s="419"/>
      <c r="E75" s="419"/>
      <c r="G75" s="84"/>
      <c r="H75" s="54"/>
      <c r="I75" s="420" t="s">
        <v>33</v>
      </c>
      <c r="J75" s="280"/>
      <c r="K75" s="191"/>
      <c r="L75" s="422" t="s">
        <v>30</v>
      </c>
      <c r="M75" s="320" t="s">
        <v>97</v>
      </c>
      <c r="N75" s="320"/>
      <c r="O75" s="116"/>
      <c r="S75" s="24"/>
      <c r="T75" s="24"/>
      <c r="U75" s="20"/>
      <c r="V75" s="192"/>
      <c r="W75" s="20"/>
      <c r="X75" s="18"/>
      <c r="Y75" s="18"/>
      <c r="Z75" s="18"/>
      <c r="AA75" s="18"/>
      <c r="AB75" s="18"/>
      <c r="AC75" s="18"/>
      <c r="AD75" s="18"/>
    </row>
    <row r="76" spans="1:30" ht="12.75" customHeight="1" x14ac:dyDescent="0.2">
      <c r="C76" s="16" t="s">
        <v>77</v>
      </c>
      <c r="D76" s="14"/>
      <c r="E76" s="171">
        <v>9000</v>
      </c>
      <c r="G76" s="85" t="s">
        <v>49</v>
      </c>
      <c r="H76" s="72"/>
      <c r="I76" s="421"/>
      <c r="J76" s="280" t="s">
        <v>26</v>
      </c>
      <c r="K76" s="191"/>
      <c r="L76" s="423"/>
      <c r="M76" s="281" t="s">
        <v>26</v>
      </c>
      <c r="N76" s="282" t="s">
        <v>32</v>
      </c>
      <c r="O76" s="116"/>
      <c r="S76" s="61"/>
      <c r="T76" s="57"/>
      <c r="U76" s="60"/>
      <c r="V76" s="46"/>
      <c r="W76" s="47"/>
      <c r="X76" s="18"/>
      <c r="Y76" s="26"/>
      <c r="Z76" s="18"/>
      <c r="AA76" s="18"/>
      <c r="AB76" s="18"/>
      <c r="AC76" s="18"/>
      <c r="AD76" s="18"/>
    </row>
    <row r="77" spans="1:30" ht="12.75" customHeight="1" x14ac:dyDescent="0.2">
      <c r="C77" s="16"/>
      <c r="D77" s="14" t="s">
        <v>11</v>
      </c>
      <c r="E77" s="30"/>
      <c r="G77" s="90"/>
      <c r="H77" s="78" t="s">
        <v>52</v>
      </c>
      <c r="I77" s="28">
        <f>$J$71</f>
        <v>1683.7099999999998</v>
      </c>
      <c r="J77" s="37">
        <f>I77</f>
        <v>1683.7099999999998</v>
      </c>
      <c r="K77" s="20"/>
      <c r="L77" s="28">
        <f>$M$40</f>
        <v>-27972.68</v>
      </c>
      <c r="M77" s="37">
        <f>L77</f>
        <v>-27972.68</v>
      </c>
      <c r="N77" s="28">
        <f>28000+M77</f>
        <v>27.319999999999709</v>
      </c>
      <c r="O77" s="117" t="s">
        <v>67</v>
      </c>
      <c r="P77" s="111" t="s">
        <v>68</v>
      </c>
      <c r="R77" s="120"/>
      <c r="S77" s="57"/>
      <c r="T77" s="57"/>
      <c r="U77" s="28"/>
      <c r="V77" s="149"/>
      <c r="W77" s="20"/>
      <c r="X77" s="18"/>
      <c r="Y77" s="49"/>
      <c r="Z77" s="50"/>
      <c r="AA77" s="18"/>
      <c r="AB77" s="18"/>
      <c r="AC77" s="18"/>
      <c r="AD77" s="18"/>
    </row>
    <row r="78" spans="1:30" ht="12.75" customHeight="1" x14ac:dyDescent="0.2">
      <c r="C78" s="17" t="s">
        <v>5</v>
      </c>
      <c r="D78" s="14"/>
      <c r="E78" s="14">
        <f>SUM(E76:E77)</f>
        <v>9000</v>
      </c>
      <c r="G78" s="92"/>
      <c r="H78" s="75" t="s">
        <v>156</v>
      </c>
      <c r="I78" s="28">
        <f>-670-270</f>
        <v>-940</v>
      </c>
      <c r="J78" s="153">
        <f t="shared" ref="J78:J113" si="4">J77+I78</f>
        <v>743.70999999999981</v>
      </c>
      <c r="K78" s="25"/>
      <c r="L78" s="68">
        <v>1020</v>
      </c>
      <c r="M78" s="38">
        <f>M77+L78</f>
        <v>-26952.68</v>
      </c>
      <c r="N78" s="28">
        <f>28000+M78</f>
        <v>1047.3199999999997</v>
      </c>
      <c r="O78" s="113" t="s">
        <v>114</v>
      </c>
      <c r="P78" s="119"/>
      <c r="R78" s="57"/>
      <c r="S78" s="57"/>
      <c r="T78" s="58"/>
      <c r="U78" s="31"/>
      <c r="V78" s="150"/>
      <c r="W78" s="20"/>
      <c r="X78" s="18"/>
      <c r="Y78" s="49"/>
      <c r="Z78" s="50"/>
      <c r="AA78" s="18"/>
      <c r="AB78" s="18"/>
      <c r="AC78" s="18"/>
      <c r="AD78" s="18"/>
    </row>
    <row r="79" spans="1:30" ht="12.75" customHeight="1" x14ac:dyDescent="0.2">
      <c r="A79" s="98"/>
      <c r="G79" s="92"/>
      <c r="H79" s="75" t="s">
        <v>160</v>
      </c>
      <c r="I79" s="28">
        <v>-75.459999999999994</v>
      </c>
      <c r="J79" s="153">
        <f t="shared" si="4"/>
        <v>668.24999999999977</v>
      </c>
      <c r="K79" s="81"/>
      <c r="L79" s="68">
        <v>-76</v>
      </c>
      <c r="M79" s="38">
        <f t="shared" ref="M79:M99" si="5">M78+L79</f>
        <v>-27028.68</v>
      </c>
      <c r="N79" s="28">
        <f t="shared" ref="N79:N99" si="6">28000+M79</f>
        <v>971.31999999999971</v>
      </c>
      <c r="O79" s="113" t="s">
        <v>91</v>
      </c>
      <c r="P79" s="119"/>
      <c r="R79" s="58"/>
      <c r="S79" s="58"/>
      <c r="T79" s="58"/>
      <c r="U79" s="31"/>
      <c r="V79" s="150"/>
      <c r="W79" s="20"/>
      <c r="X79" s="18"/>
      <c r="Y79" s="49"/>
      <c r="Z79" s="50"/>
      <c r="AA79" s="18"/>
      <c r="AB79" s="18"/>
      <c r="AC79" s="18"/>
      <c r="AD79" s="18"/>
    </row>
    <row r="80" spans="1:30" ht="12.75" customHeight="1" x14ac:dyDescent="0.2">
      <c r="A80" s="98"/>
      <c r="C80" s="43" t="s">
        <v>9</v>
      </c>
      <c r="E80" s="27"/>
      <c r="G80" s="92"/>
      <c r="H80" s="75" t="s">
        <v>131</v>
      </c>
      <c r="I80" s="28">
        <f>-50-92.93</f>
        <v>-142.93</v>
      </c>
      <c r="J80" s="153">
        <f t="shared" si="4"/>
        <v>525.31999999999971</v>
      </c>
      <c r="K80" s="81"/>
      <c r="L80" s="68">
        <v>-73.900000000000006</v>
      </c>
      <c r="M80" s="38">
        <f t="shared" si="5"/>
        <v>-27102.58</v>
      </c>
      <c r="N80" s="28">
        <f t="shared" si="6"/>
        <v>897.41999999999825</v>
      </c>
      <c r="O80" s="113" t="s">
        <v>135</v>
      </c>
      <c r="P80" s="119"/>
      <c r="R80" s="55"/>
      <c r="S80" s="57"/>
      <c r="T80" s="58"/>
      <c r="U80" s="31"/>
      <c r="V80" s="150"/>
      <c r="W80" s="52"/>
      <c r="X80" s="18"/>
      <c r="Y80" s="53"/>
      <c r="Z80" s="50"/>
      <c r="AA80" s="18"/>
      <c r="AB80" s="18"/>
      <c r="AC80" s="18"/>
      <c r="AD80" s="18"/>
    </row>
    <row r="81" spans="1:30" ht="12.75" customHeight="1" x14ac:dyDescent="0.2">
      <c r="A81" s="98"/>
      <c r="D81" s="18" t="s">
        <v>7</v>
      </c>
      <c r="E81" s="27">
        <f>E76</f>
        <v>9000</v>
      </c>
      <c r="G81" s="92"/>
      <c r="H81" s="75" t="s">
        <v>131</v>
      </c>
      <c r="I81" s="28">
        <v>220</v>
      </c>
      <c r="J81" s="153">
        <f t="shared" si="4"/>
        <v>745.31999999999971</v>
      </c>
      <c r="K81" s="81"/>
      <c r="L81" s="68">
        <v>-170</v>
      </c>
      <c r="M81" s="38">
        <f t="shared" si="5"/>
        <v>-27272.58</v>
      </c>
      <c r="N81" s="28">
        <f t="shared" si="6"/>
        <v>727.41999999999825</v>
      </c>
      <c r="O81" s="113" t="s">
        <v>157</v>
      </c>
      <c r="P81" s="119"/>
      <c r="Q81" s="20"/>
      <c r="R81" s="57"/>
      <c r="S81" s="57"/>
      <c r="T81" s="58"/>
      <c r="U81" s="31"/>
      <c r="V81" s="150"/>
      <c r="W81" s="20"/>
      <c r="X81" s="18"/>
      <c r="Y81" s="26"/>
      <c r="Z81" s="50"/>
      <c r="AA81" s="18"/>
      <c r="AB81" s="18"/>
      <c r="AC81" s="18"/>
      <c r="AD81" s="18"/>
    </row>
    <row r="82" spans="1:30" ht="12.75" customHeight="1" x14ac:dyDescent="0.2">
      <c r="A82" s="98"/>
      <c r="D82" s="42" t="s">
        <v>6</v>
      </c>
      <c r="E82" s="147"/>
      <c r="G82" s="92"/>
      <c r="H82" s="75" t="s">
        <v>53</v>
      </c>
      <c r="I82" s="28">
        <v>-255</v>
      </c>
      <c r="J82" s="153">
        <f t="shared" si="4"/>
        <v>490.31999999999971</v>
      </c>
      <c r="K82" s="81"/>
      <c r="L82" s="68">
        <v>-79.900000000000006</v>
      </c>
      <c r="M82" s="38">
        <f t="shared" si="5"/>
        <v>-27352.480000000003</v>
      </c>
      <c r="N82" s="28">
        <f t="shared" si="6"/>
        <v>647.5199999999968</v>
      </c>
      <c r="O82" s="113" t="s">
        <v>91</v>
      </c>
      <c r="P82" s="119"/>
      <c r="Q82" s="20"/>
      <c r="R82" s="18"/>
      <c r="S82" s="18"/>
      <c r="T82" s="58"/>
      <c r="U82" s="80"/>
      <c r="V82" s="51"/>
      <c r="W82" s="20"/>
      <c r="X82" s="18"/>
      <c r="Y82" s="49"/>
      <c r="Z82" s="50"/>
      <c r="AA82" s="18"/>
      <c r="AB82" s="18"/>
      <c r="AC82" s="18"/>
      <c r="AD82" s="18"/>
    </row>
    <row r="83" spans="1:30" ht="12.75" customHeight="1" x14ac:dyDescent="0.2">
      <c r="A83" s="98"/>
      <c r="D83" s="18"/>
      <c r="E83" s="154"/>
      <c r="G83" s="92"/>
      <c r="H83" s="75" t="s">
        <v>63</v>
      </c>
      <c r="I83" s="28">
        <v>-206.9</v>
      </c>
      <c r="J83" s="153">
        <f t="shared" si="4"/>
        <v>283.41999999999973</v>
      </c>
      <c r="K83" s="81"/>
      <c r="L83" s="68">
        <v>-422.9</v>
      </c>
      <c r="M83" s="38">
        <f t="shared" si="5"/>
        <v>-27775.380000000005</v>
      </c>
      <c r="N83" s="28">
        <f t="shared" si="6"/>
        <v>224.61999999999534</v>
      </c>
      <c r="O83" s="113" t="s">
        <v>61</v>
      </c>
      <c r="P83" s="119"/>
      <c r="Q83" s="20"/>
      <c r="R83" s="18"/>
      <c r="S83" s="18"/>
      <c r="T83" s="58"/>
      <c r="U83" s="80"/>
      <c r="V83" s="51"/>
      <c r="W83" s="20"/>
      <c r="X83" s="18"/>
      <c r="Y83" s="49"/>
      <c r="Z83" s="50"/>
      <c r="AA83" s="18"/>
      <c r="AB83" s="18"/>
      <c r="AC83" s="18"/>
      <c r="AD83" s="18"/>
    </row>
    <row r="84" spans="1:30" ht="12.75" customHeight="1" x14ac:dyDescent="0.2">
      <c r="A84" s="100"/>
      <c r="B84" s="100"/>
      <c r="C84" s="100"/>
      <c r="D84" s="190"/>
      <c r="E84" s="68"/>
      <c r="G84" s="92"/>
      <c r="H84" s="75" t="s">
        <v>63</v>
      </c>
      <c r="I84" s="28">
        <v>-205.43</v>
      </c>
      <c r="J84" s="153">
        <f t="shared" si="4"/>
        <v>77.989999999999725</v>
      </c>
      <c r="K84" s="81"/>
      <c r="L84" s="68">
        <v>-158.88999999999999</v>
      </c>
      <c r="M84" s="38">
        <f t="shared" si="5"/>
        <v>-27934.270000000004</v>
      </c>
      <c r="N84" s="28">
        <f t="shared" si="6"/>
        <v>65.729999999995925</v>
      </c>
      <c r="O84" s="113" t="s">
        <v>103</v>
      </c>
      <c r="P84" s="119" t="s">
        <v>86</v>
      </c>
      <c r="Q84" s="81"/>
      <c r="R84" s="20"/>
      <c r="S84" s="48"/>
      <c r="T84" s="18"/>
      <c r="U84" s="80"/>
      <c r="V84" s="51"/>
      <c r="W84" s="20"/>
      <c r="X84" s="18"/>
      <c r="Y84" s="18"/>
      <c r="Z84" s="18"/>
      <c r="AA84" s="18"/>
      <c r="AB84" s="18"/>
      <c r="AC84" s="18"/>
      <c r="AD84" s="18"/>
    </row>
    <row r="85" spans="1:30" ht="12.75" customHeight="1" x14ac:dyDescent="0.2">
      <c r="A85" s="100"/>
      <c r="B85" s="100"/>
      <c r="C85" s="100"/>
      <c r="D85" s="190"/>
      <c r="E85" s="68"/>
      <c r="G85" s="92"/>
      <c r="H85" s="75" t="s">
        <v>128</v>
      </c>
      <c r="I85" s="28">
        <v>-52.48</v>
      </c>
      <c r="J85" s="153">
        <f t="shared" si="4"/>
        <v>25.509999999999728</v>
      </c>
      <c r="K85" s="81"/>
      <c r="L85" s="68">
        <v>-111.76</v>
      </c>
      <c r="M85" s="38">
        <f t="shared" si="5"/>
        <v>-28046.030000000002</v>
      </c>
      <c r="N85" s="28">
        <f t="shared" si="6"/>
        <v>-46.030000000002474</v>
      </c>
      <c r="O85" s="113" t="s">
        <v>63</v>
      </c>
      <c r="P85" s="119"/>
      <c r="Q85" s="81"/>
      <c r="R85" s="20"/>
      <c r="S85" s="48"/>
      <c r="T85" s="18"/>
      <c r="U85" s="80"/>
      <c r="V85" s="51"/>
      <c r="W85" s="20"/>
      <c r="X85" s="18"/>
      <c r="Y85" s="18"/>
      <c r="Z85" s="18"/>
      <c r="AA85" s="18"/>
      <c r="AB85" s="18"/>
      <c r="AC85" s="18"/>
      <c r="AD85" s="18"/>
    </row>
    <row r="86" spans="1:30" ht="12.75" customHeight="1" x14ac:dyDescent="0.2">
      <c r="A86" s="100"/>
      <c r="B86" s="100"/>
      <c r="C86" s="100"/>
      <c r="D86" s="219"/>
      <c r="E86" s="68"/>
      <c r="G86" s="92"/>
      <c r="H86" s="75" t="s">
        <v>39</v>
      </c>
      <c r="I86" s="28">
        <v>400</v>
      </c>
      <c r="J86" s="153">
        <f t="shared" si="4"/>
        <v>425.50999999999971</v>
      </c>
      <c r="K86" s="81"/>
      <c r="L86" s="68">
        <v>500</v>
      </c>
      <c r="M86" s="38">
        <f t="shared" si="5"/>
        <v>-27546.030000000002</v>
      </c>
      <c r="N86" s="28">
        <f t="shared" si="6"/>
        <v>453.96999999999753</v>
      </c>
      <c r="O86" s="113" t="s">
        <v>64</v>
      </c>
      <c r="P86" s="119"/>
      <c r="Q86" s="20"/>
      <c r="R86" s="20"/>
      <c r="S86" s="48"/>
      <c r="T86" s="18"/>
      <c r="U86" s="80"/>
      <c r="V86" s="51"/>
      <c r="W86" s="20"/>
      <c r="X86" s="18"/>
      <c r="Y86" s="18"/>
      <c r="Z86" s="18"/>
      <c r="AA86" s="18"/>
      <c r="AB86" s="18"/>
      <c r="AC86" s="18"/>
      <c r="AD86" s="18"/>
    </row>
    <row r="87" spans="1:30" ht="12.75" customHeight="1" x14ac:dyDescent="0.2">
      <c r="A87" s="100"/>
      <c r="B87" s="100"/>
      <c r="C87" s="100"/>
      <c r="D87" s="219"/>
      <c r="E87" s="68"/>
      <c r="G87" s="92"/>
      <c r="H87" s="75" t="s">
        <v>173</v>
      </c>
      <c r="I87" s="28">
        <v>5000</v>
      </c>
      <c r="J87" s="153">
        <f t="shared" si="4"/>
        <v>5425.5099999999993</v>
      </c>
      <c r="K87" s="81"/>
      <c r="L87" s="68">
        <v>5999</v>
      </c>
      <c r="M87" s="38">
        <f t="shared" si="5"/>
        <v>-21547.030000000002</v>
      </c>
      <c r="N87" s="28">
        <f t="shared" si="6"/>
        <v>6452.9699999999975</v>
      </c>
      <c r="O87" s="113" t="s">
        <v>172</v>
      </c>
      <c r="P87" s="119"/>
      <c r="Q87" s="20"/>
      <c r="R87" s="20"/>
      <c r="S87" s="48"/>
      <c r="T87" s="18"/>
      <c r="U87" s="80"/>
      <c r="V87" s="51"/>
      <c r="W87" s="20"/>
      <c r="X87" s="18"/>
      <c r="Y87" s="18"/>
      <c r="Z87" s="18"/>
      <c r="AA87" s="18"/>
      <c r="AB87" s="18"/>
      <c r="AC87" s="18"/>
      <c r="AD87" s="18"/>
    </row>
    <row r="88" spans="1:30" ht="12.75" customHeight="1" x14ac:dyDescent="0.2">
      <c r="A88" s="100"/>
      <c r="B88" s="100"/>
      <c r="C88" s="100"/>
      <c r="D88" s="219"/>
      <c r="E88" s="68"/>
      <c r="G88" s="92"/>
      <c r="H88" s="75" t="s">
        <v>70</v>
      </c>
      <c r="I88" s="28">
        <v>-641.80999999999995</v>
      </c>
      <c r="J88" s="153">
        <f t="shared" si="4"/>
        <v>4783.6999999999989</v>
      </c>
      <c r="K88" s="81"/>
      <c r="L88" s="23">
        <v>1300</v>
      </c>
      <c r="M88" s="38">
        <f t="shared" si="5"/>
        <v>-20247.030000000002</v>
      </c>
      <c r="N88" s="28">
        <f t="shared" si="6"/>
        <v>7752.9699999999975</v>
      </c>
      <c r="O88" s="113" t="s">
        <v>64</v>
      </c>
      <c r="P88" s="119"/>
      <c r="Q88" s="20"/>
      <c r="R88" s="20"/>
      <c r="S88" s="48"/>
      <c r="T88" s="18"/>
      <c r="U88" s="80"/>
      <c r="V88" s="51"/>
      <c r="W88" s="20"/>
      <c r="X88" s="18"/>
      <c r="Y88" s="18"/>
      <c r="Z88" s="18"/>
      <c r="AA88" s="18"/>
      <c r="AB88" s="18"/>
      <c r="AC88" s="18"/>
      <c r="AD88" s="18"/>
    </row>
    <row r="89" spans="1:30" ht="12.75" customHeight="1" x14ac:dyDescent="0.2">
      <c r="A89" s="100"/>
      <c r="B89" s="100"/>
      <c r="C89" s="100"/>
      <c r="D89" s="219"/>
      <c r="E89" s="68"/>
      <c r="G89" s="92"/>
      <c r="H89" s="75" t="s">
        <v>177</v>
      </c>
      <c r="I89" s="28">
        <f>-419.15-220.41</f>
        <v>-639.55999999999995</v>
      </c>
      <c r="J89" s="153">
        <f t="shared" si="4"/>
        <v>4144.1399999999994</v>
      </c>
      <c r="K89" s="81"/>
      <c r="L89" s="68">
        <v>-7698</v>
      </c>
      <c r="M89" s="38">
        <f t="shared" si="5"/>
        <v>-27945.030000000002</v>
      </c>
      <c r="N89" s="28">
        <f t="shared" si="6"/>
        <v>54.969999999997526</v>
      </c>
      <c r="O89" s="113" t="s">
        <v>129</v>
      </c>
      <c r="P89" s="119"/>
      <c r="Q89" s="20"/>
      <c r="R89" s="20"/>
      <c r="S89" s="48"/>
      <c r="T89" s="18"/>
      <c r="U89" s="80"/>
      <c r="V89" s="51"/>
      <c r="W89" s="20"/>
      <c r="X89" s="18"/>
      <c r="Y89" s="18"/>
      <c r="Z89" s="18"/>
      <c r="AA89" s="18"/>
      <c r="AB89" s="18"/>
      <c r="AC89" s="18"/>
      <c r="AD89" s="18"/>
    </row>
    <row r="90" spans="1:30" ht="12.75" customHeight="1" x14ac:dyDescent="0.2">
      <c r="A90" s="100"/>
      <c r="B90" s="100"/>
      <c r="C90" s="100"/>
      <c r="D90" s="219"/>
      <c r="E90" s="68"/>
      <c r="G90" s="92"/>
      <c r="H90" s="75" t="s">
        <v>178</v>
      </c>
      <c r="I90" s="28">
        <v>-500</v>
      </c>
      <c r="J90" s="153">
        <f t="shared" si="4"/>
        <v>3644.1399999999994</v>
      </c>
      <c r="K90" s="81"/>
      <c r="L90" s="68">
        <v>1699</v>
      </c>
      <c r="M90" s="38">
        <f t="shared" si="5"/>
        <v>-26246.030000000002</v>
      </c>
      <c r="N90" s="28">
        <f t="shared" si="6"/>
        <v>1753.9699999999975</v>
      </c>
      <c r="O90" s="113" t="s">
        <v>172</v>
      </c>
      <c r="P90" s="119"/>
      <c r="Q90" s="20"/>
      <c r="R90" s="20"/>
      <c r="S90" s="48"/>
      <c r="T90" s="18"/>
      <c r="U90" s="80"/>
      <c r="V90" s="51"/>
      <c r="W90" s="20"/>
      <c r="X90" s="18"/>
      <c r="Y90" s="18"/>
      <c r="Z90" s="18"/>
      <c r="AA90" s="18"/>
      <c r="AB90" s="18"/>
      <c r="AC90" s="18"/>
      <c r="AD90" s="18"/>
    </row>
    <row r="91" spans="1:30" ht="12.75" customHeight="1" x14ac:dyDescent="0.2">
      <c r="A91" s="100"/>
      <c r="B91" s="100"/>
      <c r="C91" s="100"/>
      <c r="D91" s="219"/>
      <c r="E91" s="68"/>
      <c r="G91" s="92"/>
      <c r="H91" s="75" t="s">
        <v>174</v>
      </c>
      <c r="I91" s="279">
        <v>100</v>
      </c>
      <c r="J91" s="153">
        <f t="shared" si="4"/>
        <v>3744.1399999999994</v>
      </c>
      <c r="K91" s="81"/>
      <c r="L91" s="68">
        <v>-900</v>
      </c>
      <c r="M91" s="38">
        <f t="shared" si="5"/>
        <v>-27146.030000000002</v>
      </c>
      <c r="N91" s="28">
        <f t="shared" si="6"/>
        <v>853.96999999999753</v>
      </c>
      <c r="O91" s="113" t="s">
        <v>176</v>
      </c>
      <c r="P91" s="119"/>
      <c r="Q91" s="20"/>
      <c r="R91" s="20"/>
      <c r="S91" s="48"/>
      <c r="T91" s="18"/>
      <c r="U91" s="80"/>
      <c r="V91" s="51"/>
      <c r="W91" s="20"/>
      <c r="X91" s="18"/>
      <c r="Y91" s="18"/>
      <c r="Z91" s="18"/>
      <c r="AA91" s="18"/>
      <c r="AB91" s="18"/>
      <c r="AC91" s="18"/>
      <c r="AD91" s="18"/>
    </row>
    <row r="92" spans="1:30" ht="12.75" customHeight="1" x14ac:dyDescent="0.2">
      <c r="A92" s="100"/>
      <c r="B92" s="100"/>
      <c r="C92" s="100"/>
      <c r="D92" s="219"/>
      <c r="E92" s="68"/>
      <c r="G92" s="92"/>
      <c r="H92" s="75" t="s">
        <v>175</v>
      </c>
      <c r="I92" s="28">
        <v>-3695.33</v>
      </c>
      <c r="J92" s="153">
        <f t="shared" si="4"/>
        <v>48.809999999999491</v>
      </c>
      <c r="K92" s="81"/>
      <c r="L92" s="68">
        <v>-400</v>
      </c>
      <c r="M92" s="38">
        <f t="shared" si="5"/>
        <v>-27546.030000000002</v>
      </c>
      <c r="N92" s="28">
        <f t="shared" si="6"/>
        <v>453.96999999999753</v>
      </c>
      <c r="O92" s="113" t="s">
        <v>58</v>
      </c>
      <c r="P92" s="119"/>
      <c r="Q92" s="20"/>
      <c r="R92" s="20"/>
      <c r="S92" s="48"/>
      <c r="T92" s="18"/>
      <c r="U92" s="80"/>
      <c r="V92" s="51"/>
      <c r="W92" s="20"/>
      <c r="X92" s="18"/>
      <c r="Y92" s="18"/>
      <c r="Z92" s="18"/>
      <c r="AA92" s="18"/>
      <c r="AB92" s="18"/>
      <c r="AC92" s="18"/>
      <c r="AD92" s="18"/>
    </row>
    <row r="93" spans="1:30" ht="12.75" customHeight="1" x14ac:dyDescent="0.2">
      <c r="A93" s="100"/>
      <c r="B93" s="100"/>
      <c r="C93" s="100"/>
      <c r="D93" s="190"/>
      <c r="E93" s="68"/>
      <c r="G93" s="92"/>
      <c r="H93" s="75" t="s">
        <v>120</v>
      </c>
      <c r="I93" s="28">
        <v>120</v>
      </c>
      <c r="J93" s="153">
        <f t="shared" si="4"/>
        <v>168.80999999999949</v>
      </c>
      <c r="K93" s="81"/>
      <c r="L93" s="68">
        <v>-160</v>
      </c>
      <c r="M93" s="38">
        <f t="shared" si="5"/>
        <v>-27706.030000000002</v>
      </c>
      <c r="N93" s="28">
        <f t="shared" si="6"/>
        <v>293.96999999999753</v>
      </c>
      <c r="O93" s="113" t="s">
        <v>179</v>
      </c>
      <c r="P93" s="119"/>
      <c r="Q93" s="20"/>
      <c r="R93" s="20"/>
      <c r="S93" s="48"/>
      <c r="T93" s="18"/>
      <c r="U93" s="80"/>
      <c r="V93" s="51"/>
      <c r="W93" s="20"/>
      <c r="X93" s="18"/>
      <c r="Y93" s="18"/>
      <c r="Z93" s="18"/>
      <c r="AA93" s="18"/>
      <c r="AB93" s="18"/>
      <c r="AC93" s="18"/>
      <c r="AD93" s="18"/>
    </row>
    <row r="94" spans="1:30" ht="12.75" customHeight="1" x14ac:dyDescent="0.2">
      <c r="A94" s="100"/>
      <c r="B94" s="100"/>
      <c r="C94" s="100"/>
      <c r="D94" s="190"/>
      <c r="E94" s="68"/>
      <c r="G94" s="92"/>
      <c r="H94" s="75" t="s">
        <v>184</v>
      </c>
      <c r="I94" s="28">
        <f>159.01-J93</f>
        <v>-9.7999999999994998</v>
      </c>
      <c r="J94" s="153">
        <f t="shared" si="4"/>
        <v>159.01</v>
      </c>
      <c r="K94" s="81"/>
      <c r="L94" s="68">
        <v>-23.98</v>
      </c>
      <c r="M94" s="38">
        <f t="shared" si="5"/>
        <v>-27730.010000000002</v>
      </c>
      <c r="N94" s="28">
        <f t="shared" si="6"/>
        <v>269.98999999999796</v>
      </c>
      <c r="O94" s="113" t="s">
        <v>179</v>
      </c>
      <c r="P94" s="119"/>
      <c r="Q94" s="20"/>
      <c r="R94" s="20"/>
      <c r="S94" s="48"/>
      <c r="T94" s="18"/>
      <c r="U94" s="80"/>
      <c r="V94" s="51"/>
      <c r="W94" s="20"/>
      <c r="X94" s="18"/>
      <c r="Y94" s="18"/>
      <c r="Z94" s="18"/>
      <c r="AA94" s="18"/>
      <c r="AB94" s="18"/>
      <c r="AC94" s="18"/>
      <c r="AD94" s="18"/>
    </row>
    <row r="95" spans="1:30" ht="12.75" customHeight="1" x14ac:dyDescent="0.2">
      <c r="A95" s="100"/>
      <c r="B95" s="100"/>
      <c r="C95" s="100"/>
      <c r="D95" s="189"/>
      <c r="E95" s="23"/>
      <c r="F95" s="229"/>
      <c r="G95" s="92"/>
      <c r="H95" s="86" t="s">
        <v>31</v>
      </c>
      <c r="I95" s="28">
        <v>9000</v>
      </c>
      <c r="J95" s="153">
        <f t="shared" si="4"/>
        <v>9159.01</v>
      </c>
      <c r="K95" s="220"/>
      <c r="L95" s="68">
        <f>-53-53</f>
        <v>-106</v>
      </c>
      <c r="M95" s="38">
        <f t="shared" si="5"/>
        <v>-27836.010000000002</v>
      </c>
      <c r="N95" s="28">
        <f t="shared" si="6"/>
        <v>163.98999999999796</v>
      </c>
      <c r="O95" s="113" t="s">
        <v>88</v>
      </c>
      <c r="P95" s="119"/>
      <c r="Q95" s="20"/>
      <c r="R95" s="20"/>
      <c r="S95" s="48"/>
      <c r="T95" s="18"/>
      <c r="U95" s="80"/>
      <c r="V95" s="51"/>
      <c r="W95" s="20"/>
      <c r="X95" s="18"/>
      <c r="Y95" s="18"/>
      <c r="Z95" s="18"/>
      <c r="AA95" s="18"/>
      <c r="AB95" s="18"/>
      <c r="AC95" s="18"/>
      <c r="AD95" s="18"/>
    </row>
    <row r="96" spans="1:30" ht="12.75" customHeight="1" x14ac:dyDescent="0.2">
      <c r="G96" s="45" t="s">
        <v>50</v>
      </c>
      <c r="H96" s="86" t="s">
        <v>48</v>
      </c>
      <c r="I96" s="28">
        <v>-2409.34</v>
      </c>
      <c r="J96" s="153">
        <f t="shared" si="4"/>
        <v>6749.67</v>
      </c>
      <c r="K96" s="18"/>
      <c r="L96" s="68">
        <v>-58.8</v>
      </c>
      <c r="M96" s="38">
        <f t="shared" si="5"/>
        <v>-27894.81</v>
      </c>
      <c r="N96" s="28">
        <f t="shared" si="6"/>
        <v>105.18999999999869</v>
      </c>
      <c r="O96" s="113" t="s">
        <v>180</v>
      </c>
      <c r="P96" s="119"/>
      <c r="Q96" s="20"/>
      <c r="V96" s="79"/>
    </row>
    <row r="97" spans="6:22" ht="12.75" customHeight="1" x14ac:dyDescent="0.2">
      <c r="F97" s="199"/>
      <c r="G97" s="92"/>
      <c r="H97" s="75" t="s">
        <v>39</v>
      </c>
      <c r="I97" s="28">
        <v>-1000</v>
      </c>
      <c r="J97" s="153">
        <f t="shared" si="4"/>
        <v>5749.67</v>
      </c>
      <c r="K97" s="18"/>
      <c r="L97" s="68">
        <v>-97</v>
      </c>
      <c r="M97" s="38">
        <f t="shared" si="5"/>
        <v>-27991.81</v>
      </c>
      <c r="N97" s="28">
        <f t="shared" si="6"/>
        <v>8.1899999999986903</v>
      </c>
      <c r="O97" s="113" t="s">
        <v>181</v>
      </c>
      <c r="P97" s="119"/>
      <c r="Q97" s="20"/>
      <c r="V97" s="79"/>
    </row>
    <row r="98" spans="6:22" ht="12.75" customHeight="1" x14ac:dyDescent="0.2">
      <c r="F98" s="199"/>
      <c r="G98" s="92"/>
      <c r="H98" s="75" t="s">
        <v>171</v>
      </c>
      <c r="I98" s="28">
        <f>4250-185</f>
        <v>4065</v>
      </c>
      <c r="J98" s="153">
        <f t="shared" si="4"/>
        <v>9814.67</v>
      </c>
      <c r="K98" s="18"/>
      <c r="L98" s="68">
        <v>1000</v>
      </c>
      <c r="M98" s="38">
        <f t="shared" si="5"/>
        <v>-26991.81</v>
      </c>
      <c r="N98" s="28">
        <f t="shared" si="6"/>
        <v>1008.1899999999987</v>
      </c>
      <c r="O98" s="113" t="s">
        <v>58</v>
      </c>
      <c r="P98" s="119"/>
      <c r="Q98" s="20"/>
      <c r="V98" s="79"/>
    </row>
    <row r="99" spans="6:22" ht="12.75" customHeight="1" x14ac:dyDescent="0.2">
      <c r="F99" s="199"/>
      <c r="G99" s="92"/>
      <c r="H99" s="75" t="s">
        <v>63</v>
      </c>
      <c r="I99" s="28">
        <v>-426.19</v>
      </c>
      <c r="J99" s="153">
        <f t="shared" si="4"/>
        <v>9388.48</v>
      </c>
      <c r="K99" s="18"/>
      <c r="L99" s="68">
        <v>-747.13</v>
      </c>
      <c r="M99" s="39">
        <f t="shared" si="5"/>
        <v>-27738.940000000002</v>
      </c>
      <c r="N99" s="28">
        <f t="shared" si="6"/>
        <v>261.05999999999767</v>
      </c>
      <c r="O99" s="113" t="s">
        <v>185</v>
      </c>
      <c r="P99" s="119"/>
      <c r="Q99" s="20"/>
      <c r="V99" s="79"/>
    </row>
    <row r="100" spans="6:22" ht="12.75" customHeight="1" x14ac:dyDescent="0.2">
      <c r="F100" s="199"/>
      <c r="G100" s="92"/>
      <c r="H100" s="75" t="s">
        <v>186</v>
      </c>
      <c r="I100" s="28">
        <v>-149.34</v>
      </c>
      <c r="J100" s="153">
        <f t="shared" si="4"/>
        <v>9239.14</v>
      </c>
      <c r="K100" s="18"/>
      <c r="L100" s="291">
        <f>SUM(L77:L99)</f>
        <v>-27738.940000000002</v>
      </c>
      <c r="M100" s="292"/>
      <c r="N100" s="293"/>
      <c r="O100" s="158"/>
      <c r="P100" s="112"/>
      <c r="Q100" s="20"/>
      <c r="V100" s="79"/>
    </row>
    <row r="101" spans="6:22" ht="12.75" customHeight="1" x14ac:dyDescent="0.2">
      <c r="F101" s="199"/>
      <c r="G101" s="84"/>
      <c r="H101" s="86" t="s">
        <v>39</v>
      </c>
      <c r="I101" s="28">
        <v>800</v>
      </c>
      <c r="J101" s="153">
        <f t="shared" si="4"/>
        <v>10039.14</v>
      </c>
      <c r="K101" s="18"/>
      <c r="L101" s="36"/>
      <c r="M101" s="91"/>
      <c r="N101" s="96"/>
      <c r="O101" s="158"/>
      <c r="P101" s="112"/>
      <c r="Q101" s="20"/>
      <c r="V101" s="79"/>
    </row>
    <row r="102" spans="6:22" ht="12.75" customHeight="1" x14ac:dyDescent="0.2">
      <c r="F102" s="151"/>
      <c r="G102" s="200"/>
      <c r="H102" s="193" t="s">
        <v>155</v>
      </c>
      <c r="I102" s="71">
        <v>-5300</v>
      </c>
      <c r="J102" s="153">
        <f t="shared" si="4"/>
        <v>4739.1399999999994</v>
      </c>
      <c r="K102" s="18"/>
      <c r="L102" s="194"/>
      <c r="M102" s="54"/>
      <c r="N102" s="195"/>
      <c r="O102" s="195"/>
      <c r="P102" s="112"/>
      <c r="Q102" s="20"/>
      <c r="V102" s="79"/>
    </row>
    <row r="103" spans="6:22" ht="12.75" customHeight="1" x14ac:dyDescent="0.2">
      <c r="F103" s="151"/>
      <c r="G103" s="200"/>
      <c r="H103" s="193" t="s">
        <v>152</v>
      </c>
      <c r="I103" s="28">
        <v>-300</v>
      </c>
      <c r="J103" s="153">
        <f t="shared" si="4"/>
        <v>4439.1399999999994</v>
      </c>
      <c r="K103" s="18"/>
      <c r="L103" s="194"/>
      <c r="M103" s="54"/>
      <c r="N103" s="195"/>
      <c r="O103" s="195"/>
      <c r="P103" s="112"/>
      <c r="Q103" s="20"/>
      <c r="V103" s="79"/>
    </row>
    <row r="104" spans="6:22" ht="12.75" customHeight="1" x14ac:dyDescent="0.2">
      <c r="F104" s="229">
        <v>671.35</v>
      </c>
      <c r="G104" s="200"/>
      <c r="H104" s="86" t="s">
        <v>87</v>
      </c>
      <c r="I104" s="28">
        <v>-680</v>
      </c>
      <c r="J104" s="153">
        <f t="shared" si="4"/>
        <v>3759.1399999999994</v>
      </c>
      <c r="K104" s="18"/>
      <c r="L104" s="218"/>
      <c r="M104" s="217"/>
      <c r="N104" s="195"/>
      <c r="O104" s="195"/>
      <c r="P104" s="112"/>
      <c r="Q104" s="20"/>
      <c r="V104" s="79"/>
    </row>
    <row r="105" spans="6:22" ht="12.75" customHeight="1" x14ac:dyDescent="0.2">
      <c r="F105" s="167"/>
      <c r="G105" s="200"/>
      <c r="H105" s="86" t="s">
        <v>117</v>
      </c>
      <c r="I105" s="28">
        <v>-220</v>
      </c>
      <c r="J105" s="153">
        <f t="shared" si="4"/>
        <v>3539.1399999999994</v>
      </c>
      <c r="K105" s="18"/>
      <c r="L105" s="218"/>
      <c r="M105" s="217"/>
      <c r="N105" s="195"/>
      <c r="O105" s="195"/>
      <c r="P105" s="112"/>
      <c r="Q105" s="20"/>
      <c r="V105" s="79"/>
    </row>
    <row r="106" spans="6:22" ht="12.75" customHeight="1" x14ac:dyDescent="0.2">
      <c r="G106" s="84" t="s">
        <v>50</v>
      </c>
      <c r="H106" s="86" t="s">
        <v>44</v>
      </c>
      <c r="I106" s="28">
        <v>-59</v>
      </c>
      <c r="J106" s="153">
        <f t="shared" si="4"/>
        <v>3480.1399999999994</v>
      </c>
      <c r="K106" s="18"/>
      <c r="L106" s="218"/>
      <c r="M106" s="217"/>
      <c r="N106" s="195"/>
      <c r="O106" s="195"/>
      <c r="P106" s="112"/>
      <c r="Q106" s="20"/>
      <c r="V106" s="79"/>
    </row>
    <row r="107" spans="6:22" ht="12.75" customHeight="1" x14ac:dyDescent="0.2">
      <c r="F107" s="183"/>
      <c r="G107" s="84" t="s">
        <v>50</v>
      </c>
      <c r="H107" s="86" t="s">
        <v>37</v>
      </c>
      <c r="I107" s="28">
        <v>-588.51</v>
      </c>
      <c r="J107" s="153">
        <f t="shared" si="4"/>
        <v>2891.6299999999992</v>
      </c>
      <c r="K107" s="18"/>
      <c r="L107" s="194"/>
      <c r="M107" s="66"/>
      <c r="N107" s="195"/>
      <c r="O107" s="195"/>
      <c r="P107" s="112"/>
      <c r="Q107" s="20"/>
      <c r="V107" s="79"/>
    </row>
    <row r="108" spans="6:22" ht="12.75" customHeight="1" x14ac:dyDescent="0.2">
      <c r="F108" s="199"/>
      <c r="G108" s="45" t="s">
        <v>46</v>
      </c>
      <c r="H108" s="87" t="s">
        <v>8</v>
      </c>
      <c r="I108" s="74">
        <v>-293.99</v>
      </c>
      <c r="J108" s="153">
        <f t="shared" si="4"/>
        <v>2597.6399999999994</v>
      </c>
      <c r="K108" s="18"/>
      <c r="L108" s="194"/>
      <c r="M108" s="66"/>
      <c r="N108" s="195"/>
      <c r="O108" s="195"/>
      <c r="P108" s="112"/>
      <c r="Q108" s="20"/>
      <c r="V108" s="79"/>
    </row>
    <row r="109" spans="6:22" ht="12.75" customHeight="1" x14ac:dyDescent="0.2">
      <c r="F109" s="199"/>
      <c r="G109" s="84" t="s">
        <v>46</v>
      </c>
      <c r="H109" s="88" t="s">
        <v>34</v>
      </c>
      <c r="I109" s="74">
        <v>-1135</v>
      </c>
      <c r="J109" s="153">
        <f t="shared" si="4"/>
        <v>1462.6399999999994</v>
      </c>
      <c r="K109" s="18"/>
      <c r="L109" s="284"/>
      <c r="M109" s="66"/>
      <c r="N109" s="195"/>
      <c r="O109" s="195"/>
      <c r="P109" s="112"/>
      <c r="Q109" s="20"/>
      <c r="V109" s="79"/>
    </row>
    <row r="110" spans="6:22" ht="12.75" customHeight="1" x14ac:dyDescent="0.2">
      <c r="F110" s="199"/>
      <c r="G110" s="84" t="s">
        <v>46</v>
      </c>
      <c r="H110" s="88" t="s">
        <v>10</v>
      </c>
      <c r="I110" s="68">
        <v>-617.69000000000005</v>
      </c>
      <c r="J110" s="153">
        <f t="shared" si="4"/>
        <v>844.94999999999936</v>
      </c>
      <c r="K110" s="18"/>
      <c r="L110" s="194"/>
      <c r="M110" s="66"/>
      <c r="N110" s="195"/>
      <c r="O110" s="195"/>
      <c r="P110" s="112"/>
      <c r="Q110" s="20"/>
      <c r="V110" s="79"/>
    </row>
    <row r="111" spans="6:22" ht="12.75" customHeight="1" x14ac:dyDescent="0.2">
      <c r="F111" s="199"/>
      <c r="G111" s="84" t="s">
        <v>46</v>
      </c>
      <c r="H111" s="59" t="s">
        <v>92</v>
      </c>
      <c r="I111" s="28">
        <v>-623.96</v>
      </c>
      <c r="J111" s="153">
        <f t="shared" si="4"/>
        <v>220.98999999999933</v>
      </c>
      <c r="K111" s="18"/>
      <c r="L111" s="194"/>
      <c r="M111" s="54"/>
      <c r="N111" s="195"/>
      <c r="O111" s="195"/>
      <c r="P111" s="112"/>
      <c r="Q111" s="20"/>
      <c r="V111" s="79"/>
    </row>
    <row r="112" spans="6:22" ht="12.75" customHeight="1" x14ac:dyDescent="0.2">
      <c r="F112" s="199"/>
      <c r="G112" s="99" t="s">
        <v>46</v>
      </c>
      <c r="H112" s="201" t="s">
        <v>89</v>
      </c>
      <c r="I112" s="209">
        <v>-70.28</v>
      </c>
      <c r="J112" s="153">
        <f t="shared" si="4"/>
        <v>150.70999999999933</v>
      </c>
      <c r="K112" s="18"/>
      <c r="L112" s="194"/>
      <c r="M112" s="54"/>
      <c r="N112" s="195"/>
      <c r="O112" s="195"/>
      <c r="P112" s="112"/>
      <c r="Q112" s="20"/>
      <c r="V112" s="79"/>
    </row>
    <row r="113" spans="1:30" ht="12.75" customHeight="1" x14ac:dyDescent="0.2">
      <c r="F113" s="199"/>
      <c r="G113" s="99" t="s">
        <v>47</v>
      </c>
      <c r="H113" s="89" t="s">
        <v>81</v>
      </c>
      <c r="I113" s="110">
        <v>-52.28</v>
      </c>
      <c r="J113" s="156">
        <f t="shared" si="4"/>
        <v>98.429999999999325</v>
      </c>
      <c r="K113" s="18"/>
      <c r="Q113" s="20"/>
      <c r="V113" s="79"/>
    </row>
    <row r="114" spans="1:30" ht="12.75" customHeight="1" x14ac:dyDescent="0.2">
      <c r="F114" s="199"/>
      <c r="H114" s="19"/>
      <c r="I114" s="73">
        <f>SUM(I77:I113)</f>
        <v>98.429999999999325</v>
      </c>
      <c r="J114" s="170"/>
      <c r="K114" s="18"/>
      <c r="Q114" s="20"/>
      <c r="V114" s="79"/>
    </row>
    <row r="115" spans="1:30" s="42" customFormat="1" ht="12.75" customHeight="1" x14ac:dyDescent="0.2">
      <c r="E115" s="15"/>
      <c r="F115" s="288"/>
      <c r="G115" s="83"/>
      <c r="H115" s="64"/>
      <c r="I115" s="15"/>
      <c r="J115" s="289"/>
      <c r="L115" s="15"/>
      <c r="M115" s="15"/>
      <c r="N115" s="15"/>
      <c r="O115" s="118"/>
      <c r="Q115" s="15"/>
      <c r="U115" s="15"/>
      <c r="V115" s="65"/>
      <c r="W115" s="15"/>
    </row>
    <row r="117" spans="1:30" ht="12.75" customHeight="1" x14ac:dyDescent="0.2">
      <c r="B117" s="419" t="s">
        <v>188</v>
      </c>
      <c r="C117" s="419"/>
      <c r="D117" s="419"/>
      <c r="E117" s="419"/>
      <c r="G117" s="84"/>
      <c r="H117" s="54"/>
      <c r="I117" s="420" t="s">
        <v>33</v>
      </c>
      <c r="J117" s="296"/>
      <c r="K117" s="191"/>
      <c r="L117" s="422" t="s">
        <v>30</v>
      </c>
      <c r="M117" s="320" t="s">
        <v>97</v>
      </c>
      <c r="N117" s="320"/>
      <c r="O117" s="116"/>
      <c r="S117" s="24"/>
      <c r="T117" s="24"/>
      <c r="U117" s="20"/>
      <c r="V117" s="192"/>
      <c r="W117" s="20"/>
      <c r="X117" s="18"/>
      <c r="Y117" s="18"/>
      <c r="Z117" s="18"/>
      <c r="AA117" s="18"/>
      <c r="AB117" s="18"/>
      <c r="AC117" s="18"/>
      <c r="AD117" s="18"/>
    </row>
    <row r="118" spans="1:30" ht="12.75" customHeight="1" x14ac:dyDescent="0.2">
      <c r="C118" s="16" t="s">
        <v>77</v>
      </c>
      <c r="D118" s="14"/>
      <c r="E118" s="171">
        <v>9000</v>
      </c>
      <c r="G118" s="85" t="s">
        <v>49</v>
      </c>
      <c r="H118" s="72"/>
      <c r="I118" s="421"/>
      <c r="J118" s="296" t="s">
        <v>26</v>
      </c>
      <c r="K118" s="191"/>
      <c r="L118" s="423"/>
      <c r="M118" s="297" t="s">
        <v>26</v>
      </c>
      <c r="N118" s="298" t="s">
        <v>32</v>
      </c>
      <c r="O118" s="116"/>
      <c r="S118" s="61"/>
      <c r="T118" s="57"/>
      <c r="U118" s="60"/>
      <c r="V118" s="46"/>
      <c r="W118" s="47"/>
      <c r="X118" s="18"/>
      <c r="Y118" s="26"/>
      <c r="Z118" s="18"/>
      <c r="AA118" s="18"/>
      <c r="AB118" s="18"/>
      <c r="AC118" s="18"/>
      <c r="AD118" s="18"/>
    </row>
    <row r="119" spans="1:30" ht="12.75" customHeight="1" x14ac:dyDescent="0.2">
      <c r="C119" s="16"/>
      <c r="D119" s="14" t="s">
        <v>11</v>
      </c>
      <c r="E119" s="30"/>
      <c r="G119" s="90"/>
      <c r="H119" s="78" t="s">
        <v>52</v>
      </c>
      <c r="I119" s="28">
        <f>$J$113</f>
        <v>98.429999999999325</v>
      </c>
      <c r="J119" s="37">
        <f>I119</f>
        <v>98.429999999999325</v>
      </c>
      <c r="K119" s="20"/>
      <c r="L119" s="28">
        <f>$M$99</f>
        <v>-27738.940000000002</v>
      </c>
      <c r="M119" s="37">
        <f>L119</f>
        <v>-27738.940000000002</v>
      </c>
      <c r="N119" s="28">
        <f>28000+M119</f>
        <v>261.05999999999767</v>
      </c>
      <c r="O119" s="117" t="s">
        <v>67</v>
      </c>
      <c r="P119" s="111" t="s">
        <v>68</v>
      </c>
      <c r="R119" s="120"/>
      <c r="S119" s="57"/>
      <c r="T119" s="57"/>
      <c r="U119" s="28"/>
      <c r="V119" s="149"/>
      <c r="W119" s="20"/>
      <c r="X119" s="18"/>
      <c r="Y119" s="49"/>
      <c r="Z119" s="50"/>
      <c r="AA119" s="18"/>
      <c r="AB119" s="18"/>
      <c r="AC119" s="18"/>
      <c r="AD119" s="18"/>
    </row>
    <row r="120" spans="1:30" ht="12.75" customHeight="1" x14ac:dyDescent="0.2">
      <c r="C120" s="17" t="s">
        <v>5</v>
      </c>
      <c r="D120" s="14"/>
      <c r="E120" s="14">
        <f>SUM(E118:E119)</f>
        <v>9000</v>
      </c>
      <c r="G120" s="92"/>
      <c r="H120" s="75" t="s">
        <v>39</v>
      </c>
      <c r="I120" s="28">
        <v>-80</v>
      </c>
      <c r="J120" s="153">
        <f t="shared" ref="J120:J131" si="7">J119+I120</f>
        <v>18.429999999999325</v>
      </c>
      <c r="K120" s="25"/>
      <c r="L120" s="68">
        <v>-318.61</v>
      </c>
      <c r="M120" s="38">
        <f>M119+L120</f>
        <v>-28057.550000000003</v>
      </c>
      <c r="N120" s="28">
        <f>28000+M120</f>
        <v>-57.55000000000291</v>
      </c>
      <c r="O120" s="113" t="s">
        <v>61</v>
      </c>
      <c r="P120" s="119"/>
      <c r="R120" s="57"/>
      <c r="S120" s="57"/>
      <c r="T120" s="58"/>
      <c r="U120" s="31"/>
      <c r="V120" s="150"/>
      <c r="W120" s="20"/>
      <c r="X120" s="18"/>
      <c r="Y120" s="49"/>
      <c r="Z120" s="50"/>
      <c r="AA120" s="18"/>
      <c r="AB120" s="18"/>
      <c r="AC120" s="18"/>
      <c r="AD120" s="18"/>
    </row>
    <row r="121" spans="1:30" ht="12.75" customHeight="1" x14ac:dyDescent="0.2">
      <c r="A121" s="98"/>
      <c r="G121" s="92"/>
      <c r="H121" s="75" t="s">
        <v>120</v>
      </c>
      <c r="I121" s="28">
        <v>-5</v>
      </c>
      <c r="J121" s="153">
        <f t="shared" si="7"/>
        <v>13.429999999999325</v>
      </c>
      <c r="K121" s="81"/>
      <c r="L121" s="68">
        <f>-I120</f>
        <v>80</v>
      </c>
      <c r="M121" s="38">
        <f t="shared" ref="M121:M123" si="8">M120+L121</f>
        <v>-27977.550000000003</v>
      </c>
      <c r="N121" s="28">
        <f>28000+M121</f>
        <v>22.44999999999709</v>
      </c>
      <c r="O121" s="113" t="s">
        <v>58</v>
      </c>
      <c r="P121" s="119"/>
      <c r="R121" s="58"/>
      <c r="S121" s="58"/>
      <c r="T121" s="58"/>
      <c r="U121" s="31"/>
      <c r="V121" s="150"/>
      <c r="W121" s="20"/>
      <c r="X121" s="18"/>
      <c r="Y121" s="49"/>
      <c r="Z121" s="50"/>
      <c r="AA121" s="18"/>
      <c r="AB121" s="18"/>
      <c r="AC121" s="18"/>
      <c r="AD121" s="18"/>
    </row>
    <row r="122" spans="1:30" ht="12.75" customHeight="1" x14ac:dyDescent="0.2">
      <c r="A122" s="98"/>
      <c r="C122" s="43" t="s">
        <v>9</v>
      </c>
      <c r="E122" s="27"/>
      <c r="G122" s="92"/>
      <c r="H122" s="75" t="s">
        <v>120</v>
      </c>
      <c r="I122" s="28">
        <v>-5</v>
      </c>
      <c r="J122" s="153">
        <f t="shared" si="7"/>
        <v>8.4299999999993247</v>
      </c>
      <c r="K122" s="81"/>
      <c r="L122" s="68">
        <v>1020</v>
      </c>
      <c r="M122" s="38">
        <f t="shared" si="8"/>
        <v>-26957.550000000003</v>
      </c>
      <c r="N122" s="28">
        <f>28000+M122</f>
        <v>1042.4499999999971</v>
      </c>
      <c r="O122" s="113" t="s">
        <v>204</v>
      </c>
      <c r="P122" s="119"/>
      <c r="R122" s="55"/>
      <c r="S122" s="57"/>
      <c r="T122" s="58"/>
      <c r="U122" s="31"/>
      <c r="V122" s="150"/>
      <c r="W122" s="52"/>
      <c r="X122" s="18"/>
      <c r="Y122" s="53"/>
      <c r="Z122" s="50"/>
      <c r="AA122" s="18"/>
      <c r="AB122" s="18"/>
      <c r="AC122" s="18"/>
      <c r="AD122" s="18"/>
    </row>
    <row r="123" spans="1:30" ht="12.75" customHeight="1" x14ac:dyDescent="0.2">
      <c r="A123" s="98"/>
      <c r="D123" s="18" t="s">
        <v>7</v>
      </c>
      <c r="E123" s="27">
        <f>E118</f>
        <v>9000</v>
      </c>
      <c r="G123" s="92"/>
      <c r="H123" s="75" t="s">
        <v>126</v>
      </c>
      <c r="I123" s="28">
        <v>600</v>
      </c>
      <c r="J123" s="153">
        <f t="shared" si="7"/>
        <v>608.42999999999938</v>
      </c>
      <c r="K123" s="81"/>
      <c r="L123" s="68">
        <v>-1000</v>
      </c>
      <c r="M123" s="39">
        <f t="shared" si="8"/>
        <v>-27957.550000000003</v>
      </c>
      <c r="N123" s="28">
        <f t="shared" ref="N123" si="9">28000+M123</f>
        <v>42.44999999999709</v>
      </c>
      <c r="O123" s="113" t="s">
        <v>58</v>
      </c>
      <c r="P123" s="119"/>
      <c r="Q123" s="20"/>
      <c r="R123" s="57"/>
      <c r="S123" s="57"/>
      <c r="T123" s="58"/>
      <c r="U123" s="31"/>
      <c r="V123" s="150"/>
      <c r="W123" s="20"/>
      <c r="X123" s="18"/>
      <c r="Y123" s="26"/>
      <c r="Z123" s="50"/>
      <c r="AA123" s="18"/>
      <c r="AB123" s="18"/>
      <c r="AC123" s="18"/>
      <c r="AD123" s="18"/>
    </row>
    <row r="124" spans="1:30" ht="12.75" customHeight="1" x14ac:dyDescent="0.2">
      <c r="A124" s="98"/>
      <c r="D124" s="42" t="s">
        <v>6</v>
      </c>
      <c r="E124" s="147"/>
      <c r="G124" s="92"/>
      <c r="H124" s="75" t="s">
        <v>43</v>
      </c>
      <c r="I124" s="28">
        <v>-217.88</v>
      </c>
      <c r="J124" s="153">
        <f t="shared" si="7"/>
        <v>390.54999999999939</v>
      </c>
      <c r="K124" s="81"/>
      <c r="L124" s="35">
        <f>SUM(L119:L123)</f>
        <v>-27957.550000000003</v>
      </c>
      <c r="M124" s="91"/>
      <c r="N124" s="96"/>
      <c r="O124" s="113"/>
      <c r="P124" s="119"/>
      <c r="Q124" s="20"/>
      <c r="R124" s="18"/>
      <c r="S124" s="18"/>
      <c r="T124" s="58"/>
      <c r="U124" s="80"/>
      <c r="V124" s="51"/>
      <c r="W124" s="20"/>
      <c r="X124" s="18"/>
      <c r="Y124" s="49"/>
      <c r="Z124" s="50"/>
      <c r="AA124" s="18"/>
      <c r="AB124" s="18"/>
      <c r="AC124" s="18"/>
      <c r="AD124" s="18"/>
    </row>
    <row r="125" spans="1:30" ht="12.75" customHeight="1" x14ac:dyDescent="0.2">
      <c r="A125" s="98"/>
      <c r="D125" s="18"/>
      <c r="E125" s="154"/>
      <c r="G125" s="92"/>
      <c r="H125" s="75" t="s">
        <v>69</v>
      </c>
      <c r="I125" s="28">
        <v>-289.93</v>
      </c>
      <c r="J125" s="153">
        <f t="shared" si="7"/>
        <v>100.61999999999938</v>
      </c>
      <c r="K125" s="81"/>
      <c r="L125" s="36"/>
      <c r="M125" s="91"/>
      <c r="N125" s="96"/>
      <c r="O125" s="113"/>
      <c r="P125" s="119"/>
      <c r="Q125" s="20"/>
      <c r="R125" s="18"/>
      <c r="S125" s="18"/>
      <c r="T125" s="58"/>
      <c r="U125" s="80"/>
      <c r="V125" s="51"/>
      <c r="W125" s="20"/>
      <c r="X125" s="18"/>
      <c r="Y125" s="49"/>
      <c r="Z125" s="50"/>
      <c r="AA125" s="18"/>
      <c r="AB125" s="18"/>
      <c r="AC125" s="18"/>
      <c r="AD125" s="18"/>
    </row>
    <row r="126" spans="1:30" ht="12.75" customHeight="1" x14ac:dyDescent="0.2">
      <c r="A126" s="100"/>
      <c r="B126" s="100"/>
      <c r="C126" s="100"/>
      <c r="D126" s="190"/>
      <c r="E126" s="68"/>
      <c r="G126" s="92"/>
      <c r="H126" s="75" t="s">
        <v>70</v>
      </c>
      <c r="I126" s="28">
        <v>-93</v>
      </c>
      <c r="J126" s="153">
        <f t="shared" si="7"/>
        <v>7.6199999999993793</v>
      </c>
      <c r="K126" s="81"/>
      <c r="L126" s="194"/>
      <c r="M126" s="54"/>
      <c r="N126" s="195"/>
      <c r="O126" s="278"/>
      <c r="P126" s="119"/>
      <c r="Q126" s="81"/>
      <c r="R126" s="20"/>
      <c r="S126" s="48"/>
      <c r="T126" s="18"/>
      <c r="U126" s="80"/>
      <c r="V126" s="51"/>
      <c r="W126" s="20"/>
      <c r="X126" s="18"/>
      <c r="Y126" s="18"/>
      <c r="Z126" s="18"/>
      <c r="AA126" s="18"/>
      <c r="AB126" s="18"/>
      <c r="AC126" s="18"/>
      <c r="AD126" s="18"/>
    </row>
    <row r="127" spans="1:30" ht="12.75" customHeight="1" x14ac:dyDescent="0.2">
      <c r="A127" s="100"/>
      <c r="B127" s="100"/>
      <c r="C127" s="100"/>
      <c r="D127" s="190"/>
      <c r="E127" s="68"/>
      <c r="G127" s="92"/>
      <c r="H127" s="75" t="s">
        <v>111</v>
      </c>
      <c r="I127" s="28">
        <v>2000</v>
      </c>
      <c r="J127" s="153">
        <f t="shared" si="7"/>
        <v>2007.6199999999994</v>
      </c>
      <c r="K127" s="81"/>
      <c r="L127" s="194"/>
      <c r="M127" s="54"/>
      <c r="N127" s="195"/>
      <c r="O127" s="158"/>
      <c r="P127" s="112"/>
      <c r="Q127" s="81"/>
      <c r="R127" s="20"/>
      <c r="S127" s="48"/>
      <c r="T127" s="18"/>
      <c r="U127" s="80"/>
      <c r="V127" s="51"/>
      <c r="W127" s="20"/>
      <c r="X127" s="18"/>
      <c r="Y127" s="18"/>
      <c r="Z127" s="18"/>
      <c r="AA127" s="18"/>
      <c r="AB127" s="18"/>
      <c r="AC127" s="18"/>
      <c r="AD127" s="18"/>
    </row>
    <row r="128" spans="1:30" ht="12.75" customHeight="1" x14ac:dyDescent="0.2">
      <c r="A128" s="100"/>
      <c r="B128" s="100"/>
      <c r="C128" s="100"/>
      <c r="D128" s="219"/>
      <c r="E128" s="68"/>
      <c r="G128" s="92"/>
      <c r="H128" s="86" t="s">
        <v>31</v>
      </c>
      <c r="I128" s="28">
        <v>9000</v>
      </c>
      <c r="J128" s="153">
        <f t="shared" si="7"/>
        <v>11007.619999999999</v>
      </c>
      <c r="K128" s="81"/>
      <c r="L128" s="218"/>
      <c r="M128" s="217"/>
      <c r="N128" s="195"/>
      <c r="O128" s="158"/>
      <c r="P128" s="112"/>
      <c r="Q128" s="81"/>
      <c r="R128" s="20"/>
      <c r="S128" s="48"/>
      <c r="T128" s="18"/>
      <c r="U128" s="80"/>
      <c r="V128" s="51"/>
      <c r="W128" s="20"/>
      <c r="X128" s="18"/>
      <c r="Y128" s="18"/>
      <c r="Z128" s="18"/>
      <c r="AA128" s="18"/>
      <c r="AB128" s="18"/>
      <c r="AC128" s="18"/>
      <c r="AD128" s="18"/>
    </row>
    <row r="129" spans="1:30" ht="12.75" customHeight="1" x14ac:dyDescent="0.2">
      <c r="A129" s="100"/>
      <c r="B129" s="100"/>
      <c r="C129" s="100"/>
      <c r="D129" s="219"/>
      <c r="E129" s="68"/>
      <c r="G129" s="93"/>
      <c r="H129" s="86" t="s">
        <v>48</v>
      </c>
      <c r="I129" s="28">
        <v>-2409.34</v>
      </c>
      <c r="J129" s="153">
        <f t="shared" si="7"/>
        <v>8598.2799999999988</v>
      </c>
      <c r="K129" s="220"/>
      <c r="L129" s="218"/>
      <c r="M129" s="217"/>
      <c r="N129" s="195"/>
      <c r="O129" s="195"/>
      <c r="P129" s="112"/>
      <c r="Q129" s="20"/>
      <c r="R129" s="20"/>
      <c r="S129" s="48"/>
      <c r="T129" s="18"/>
      <c r="U129" s="80"/>
      <c r="V129" s="51"/>
      <c r="W129" s="20"/>
      <c r="X129" s="18"/>
      <c r="Y129" s="18"/>
      <c r="Z129" s="18"/>
      <c r="AA129" s="18"/>
      <c r="AB129" s="18"/>
      <c r="AC129" s="18"/>
      <c r="AD129" s="18"/>
    </row>
    <row r="130" spans="1:30" ht="12.75" customHeight="1" x14ac:dyDescent="0.2">
      <c r="A130" s="100"/>
      <c r="B130" s="100"/>
      <c r="C130" s="100"/>
      <c r="D130" s="219"/>
      <c r="E130" s="68"/>
      <c r="G130" s="84"/>
      <c r="H130" s="86" t="s">
        <v>39</v>
      </c>
      <c r="I130" s="28">
        <v>1000</v>
      </c>
      <c r="J130" s="153">
        <f t="shared" si="7"/>
        <v>9598.2799999999988</v>
      </c>
      <c r="K130" s="18"/>
      <c r="L130" s="218"/>
      <c r="M130" s="217"/>
      <c r="N130" s="195"/>
      <c r="O130" s="195"/>
      <c r="P130" s="112"/>
      <c r="Q130" s="20"/>
      <c r="R130" s="20"/>
      <c r="S130" s="48"/>
      <c r="T130" s="18"/>
      <c r="U130" s="80"/>
      <c r="V130" s="51"/>
      <c r="W130" s="20"/>
      <c r="X130" s="18"/>
      <c r="Y130" s="18"/>
      <c r="Z130" s="18"/>
      <c r="AA130" s="18"/>
      <c r="AB130" s="18"/>
      <c r="AC130" s="18"/>
      <c r="AD130" s="18"/>
    </row>
    <row r="131" spans="1:30" ht="12.75" customHeight="1" x14ac:dyDescent="0.2">
      <c r="A131" s="100"/>
      <c r="B131" s="100"/>
      <c r="C131" s="100"/>
      <c r="D131" s="189"/>
      <c r="E131" s="23"/>
      <c r="G131" s="200"/>
      <c r="H131" s="193" t="s">
        <v>206</v>
      </c>
      <c r="I131" s="71">
        <v>-5300</v>
      </c>
      <c r="J131" s="153">
        <f t="shared" si="7"/>
        <v>4298.2799999999988</v>
      </c>
      <c r="K131" s="18"/>
      <c r="L131" s="194"/>
      <c r="M131" s="66"/>
      <c r="N131" s="195"/>
      <c r="O131" s="195"/>
      <c r="P131" s="112"/>
      <c r="Q131" s="20"/>
      <c r="R131" s="20"/>
      <c r="S131" s="48"/>
      <c r="T131" s="18"/>
      <c r="U131" s="80"/>
      <c r="V131" s="51"/>
      <c r="W131" s="20"/>
      <c r="X131" s="18"/>
      <c r="Y131" s="18"/>
      <c r="Z131" s="18"/>
      <c r="AA131" s="18"/>
      <c r="AB131" s="18"/>
      <c r="AC131" s="18"/>
      <c r="AD131" s="18"/>
    </row>
    <row r="132" spans="1:30" ht="12.75" customHeight="1" x14ac:dyDescent="0.2">
      <c r="A132" s="100"/>
      <c r="B132" s="100"/>
      <c r="C132" s="100"/>
      <c r="F132" s="229"/>
      <c r="G132" s="200"/>
      <c r="H132" s="193" t="s">
        <v>152</v>
      </c>
      <c r="I132" s="28">
        <v>-300</v>
      </c>
      <c r="J132" s="153">
        <f>J131+I132</f>
        <v>3998.2799999999988</v>
      </c>
      <c r="K132" s="18"/>
      <c r="L132" s="194"/>
      <c r="M132" s="66"/>
      <c r="N132" s="195"/>
      <c r="O132" s="195"/>
      <c r="P132" s="112"/>
      <c r="Q132" s="20"/>
      <c r="R132" s="20"/>
      <c r="S132" s="48"/>
      <c r="T132" s="18"/>
      <c r="U132" s="80"/>
      <c r="V132" s="51"/>
      <c r="W132" s="20"/>
      <c r="X132" s="18"/>
      <c r="Y132" s="18"/>
      <c r="Z132" s="18"/>
      <c r="AA132" s="18"/>
      <c r="AB132" s="18"/>
      <c r="AC132" s="18"/>
      <c r="AD132" s="18"/>
    </row>
    <row r="133" spans="1:30" ht="12.75" customHeight="1" x14ac:dyDescent="0.2">
      <c r="G133" s="200"/>
      <c r="H133" s="86" t="s">
        <v>87</v>
      </c>
      <c r="I133" s="28">
        <v>-460</v>
      </c>
      <c r="J133" s="153">
        <f t="shared" ref="J133:J143" si="10">J132+I133</f>
        <v>3538.2799999999988</v>
      </c>
      <c r="K133" s="18"/>
      <c r="L133" s="284"/>
      <c r="M133" s="66"/>
      <c r="N133" s="195"/>
      <c r="O133" s="195"/>
      <c r="P133" s="112"/>
      <c r="Q133" s="20"/>
      <c r="V133" s="79"/>
    </row>
    <row r="134" spans="1:30" ht="12.75" customHeight="1" x14ac:dyDescent="0.2">
      <c r="F134" s="151"/>
      <c r="G134" s="200"/>
      <c r="H134" s="86" t="s">
        <v>117</v>
      </c>
      <c r="I134" s="28">
        <v>-220</v>
      </c>
      <c r="J134" s="153">
        <f t="shared" si="10"/>
        <v>3318.2799999999988</v>
      </c>
      <c r="K134" s="18"/>
      <c r="L134" s="284"/>
      <c r="M134" s="66"/>
      <c r="N134" s="195"/>
      <c r="O134" s="195"/>
      <c r="P134" s="112"/>
      <c r="Q134" s="20"/>
      <c r="V134" s="79"/>
    </row>
    <row r="135" spans="1:30" ht="12.75" customHeight="1" x14ac:dyDescent="0.2">
      <c r="F135" s="151"/>
      <c r="G135" s="200"/>
      <c r="H135" s="86" t="s">
        <v>98</v>
      </c>
      <c r="I135" s="28">
        <v>-5</v>
      </c>
      <c r="J135" s="153">
        <f t="shared" si="10"/>
        <v>3313.2799999999988</v>
      </c>
      <c r="K135" s="18"/>
      <c r="L135" s="194"/>
      <c r="M135" s="66"/>
      <c r="N135" s="195"/>
      <c r="O135" s="195"/>
      <c r="P135" s="112"/>
      <c r="Q135" s="20"/>
      <c r="V135" s="79"/>
    </row>
    <row r="136" spans="1:30" ht="12.75" customHeight="1" x14ac:dyDescent="0.2">
      <c r="F136" s="151"/>
      <c r="G136" s="84" t="s">
        <v>50</v>
      </c>
      <c r="H136" s="86" t="s">
        <v>44</v>
      </c>
      <c r="I136" s="28">
        <v>-59</v>
      </c>
      <c r="J136" s="153">
        <f t="shared" si="10"/>
        <v>3254.2799999999988</v>
      </c>
      <c r="K136" s="18"/>
      <c r="L136" s="284"/>
      <c r="M136" s="66"/>
      <c r="N136" s="195"/>
      <c r="O136" s="195"/>
      <c r="P136" s="112"/>
      <c r="Q136" s="20"/>
      <c r="V136" s="79"/>
    </row>
    <row r="137" spans="1:30" ht="12.75" customHeight="1" x14ac:dyDescent="0.2">
      <c r="F137" s="295"/>
      <c r="G137" s="84" t="s">
        <v>50</v>
      </c>
      <c r="H137" s="86" t="s">
        <v>37</v>
      </c>
      <c r="I137" s="28">
        <v>-588.51</v>
      </c>
      <c r="J137" s="153">
        <f t="shared" si="10"/>
        <v>2665.7699999999986</v>
      </c>
      <c r="K137" s="18"/>
      <c r="L137" s="194"/>
      <c r="M137" s="54"/>
      <c r="N137" s="195"/>
      <c r="O137" s="195"/>
      <c r="P137" s="112"/>
      <c r="Q137" s="20"/>
      <c r="V137" s="79"/>
    </row>
    <row r="138" spans="1:30" ht="12.75" customHeight="1" x14ac:dyDescent="0.2">
      <c r="F138" s="167"/>
      <c r="G138" s="45" t="s">
        <v>46</v>
      </c>
      <c r="H138" s="87" t="s">
        <v>8</v>
      </c>
      <c r="I138" s="74">
        <v>-613.99</v>
      </c>
      <c r="J138" s="153">
        <f t="shared" si="10"/>
        <v>2051.7799999999988</v>
      </c>
      <c r="K138" s="18"/>
      <c r="L138" s="194"/>
      <c r="M138" s="54"/>
      <c r="N138" s="195"/>
      <c r="O138" s="195"/>
      <c r="P138" s="112"/>
      <c r="Q138" s="20"/>
      <c r="V138" s="79"/>
    </row>
    <row r="139" spans="1:30" ht="12.75" customHeight="1" x14ac:dyDescent="0.2">
      <c r="G139" s="84" t="s">
        <v>46</v>
      </c>
      <c r="H139" s="88" t="s">
        <v>34</v>
      </c>
      <c r="I139" s="74">
        <v>-1135</v>
      </c>
      <c r="J139" s="153">
        <f t="shared" si="10"/>
        <v>916.77999999999884</v>
      </c>
      <c r="K139" s="18"/>
      <c r="L139" s="194"/>
      <c r="M139" s="54"/>
      <c r="N139" s="195"/>
      <c r="O139" s="195"/>
      <c r="P139" s="112"/>
      <c r="Q139" s="20"/>
      <c r="V139" s="79"/>
    </row>
    <row r="140" spans="1:30" ht="12.75" customHeight="1" x14ac:dyDescent="0.2">
      <c r="F140" s="183"/>
      <c r="G140" s="84" t="s">
        <v>46</v>
      </c>
      <c r="H140" s="88" t="s">
        <v>10</v>
      </c>
      <c r="I140" s="68">
        <v>-651.11</v>
      </c>
      <c r="J140" s="153">
        <f t="shared" si="10"/>
        <v>265.66999999999882</v>
      </c>
      <c r="K140" s="18"/>
      <c r="L140" s="194"/>
      <c r="M140" s="54"/>
      <c r="N140" s="195"/>
      <c r="O140" s="195"/>
      <c r="P140" s="112"/>
      <c r="Q140" s="20"/>
      <c r="V140" s="79"/>
    </row>
    <row r="141" spans="1:30" ht="12.75" customHeight="1" x14ac:dyDescent="0.2">
      <c r="F141" s="199"/>
      <c r="G141" s="84" t="s">
        <v>46</v>
      </c>
      <c r="H141" s="59" t="s">
        <v>92</v>
      </c>
      <c r="I141" s="28">
        <v>-623.96</v>
      </c>
      <c r="J141" s="153">
        <f t="shared" si="10"/>
        <v>-358.29000000000121</v>
      </c>
      <c r="K141" s="18"/>
      <c r="L141" s="194"/>
      <c r="M141" s="54"/>
      <c r="N141" s="195"/>
      <c r="O141" s="195"/>
      <c r="P141" s="112"/>
      <c r="Q141" s="20"/>
      <c r="V141" s="79"/>
    </row>
    <row r="142" spans="1:30" ht="12.75" customHeight="1" x14ac:dyDescent="0.2">
      <c r="F142" s="199"/>
      <c r="G142" s="99" t="s">
        <v>46</v>
      </c>
      <c r="H142" s="201" t="s">
        <v>89</v>
      </c>
      <c r="I142" s="209">
        <v>-70.28</v>
      </c>
      <c r="J142" s="153">
        <f t="shared" si="10"/>
        <v>-428.57000000000119</v>
      </c>
      <c r="K142" s="18"/>
      <c r="L142" s="194"/>
      <c r="M142" s="54"/>
      <c r="N142" s="195"/>
      <c r="O142" s="195"/>
      <c r="P142" s="112"/>
      <c r="Q142" s="20"/>
      <c r="V142" s="79"/>
    </row>
    <row r="143" spans="1:30" ht="12.75" customHeight="1" x14ac:dyDescent="0.2">
      <c r="F143" s="199"/>
      <c r="G143" s="99" t="s">
        <v>47</v>
      </c>
      <c r="H143" s="89" t="s">
        <v>81</v>
      </c>
      <c r="I143" s="110">
        <v>-52.28</v>
      </c>
      <c r="J143" s="156">
        <f t="shared" si="10"/>
        <v>-480.85000000000116</v>
      </c>
      <c r="K143" s="18"/>
      <c r="L143" s="194"/>
      <c r="M143" s="54"/>
      <c r="N143" s="195"/>
      <c r="O143" s="195"/>
      <c r="P143" s="112"/>
      <c r="Q143" s="20"/>
      <c r="V143" s="79"/>
    </row>
    <row r="144" spans="1:30" ht="12.75" customHeight="1" x14ac:dyDescent="0.2">
      <c r="F144" s="199"/>
      <c r="H144" s="19"/>
      <c r="I144" s="73">
        <f>SUM(I119:I143)</f>
        <v>-480.85000000000116</v>
      </c>
      <c r="J144" s="170"/>
      <c r="K144" s="18"/>
      <c r="L144" s="194"/>
      <c r="M144" s="54"/>
      <c r="N144" s="195"/>
      <c r="O144" s="195"/>
      <c r="P144" s="112"/>
      <c r="Q144" s="20"/>
      <c r="V144" s="79"/>
    </row>
    <row r="145" spans="1:30" s="42" customFormat="1" x14ac:dyDescent="0.2">
      <c r="E145" s="15"/>
      <c r="G145" s="83"/>
      <c r="I145" s="15"/>
      <c r="L145" s="15"/>
      <c r="M145" s="15"/>
      <c r="N145" s="15"/>
      <c r="O145" s="118"/>
      <c r="U145" s="15"/>
      <c r="V145" s="65"/>
      <c r="W145" s="15"/>
    </row>
    <row r="147" spans="1:30" ht="12.75" customHeight="1" x14ac:dyDescent="0.2">
      <c r="B147" s="419" t="s">
        <v>197</v>
      </c>
      <c r="C147" s="419"/>
      <c r="D147" s="419"/>
      <c r="E147" s="419"/>
      <c r="G147" s="84"/>
      <c r="H147" s="54"/>
      <c r="I147" s="420" t="s">
        <v>33</v>
      </c>
      <c r="J147" s="313"/>
      <c r="K147" s="191"/>
      <c r="L147" s="422" t="s">
        <v>30</v>
      </c>
      <c r="M147" s="320" t="s">
        <v>97</v>
      </c>
      <c r="N147" s="320"/>
      <c r="O147" s="116"/>
      <c r="S147" s="24"/>
      <c r="T147" s="24"/>
      <c r="U147" s="20"/>
      <c r="V147" s="192"/>
      <c r="W147" s="20"/>
      <c r="X147" s="18"/>
      <c r="Y147" s="18"/>
      <c r="Z147" s="18"/>
      <c r="AA147" s="18"/>
      <c r="AB147" s="18"/>
      <c r="AC147" s="18"/>
      <c r="AD147" s="18"/>
    </row>
    <row r="148" spans="1:30" ht="12.75" customHeight="1" x14ac:dyDescent="0.2">
      <c r="C148" s="16" t="s">
        <v>77</v>
      </c>
      <c r="D148" s="14"/>
      <c r="E148" s="171">
        <v>9000</v>
      </c>
      <c r="G148" s="85" t="s">
        <v>49</v>
      </c>
      <c r="H148" s="72"/>
      <c r="I148" s="421"/>
      <c r="J148" s="313" t="s">
        <v>26</v>
      </c>
      <c r="K148" s="191"/>
      <c r="L148" s="423"/>
      <c r="M148" s="314" t="s">
        <v>26</v>
      </c>
      <c r="N148" s="315" t="s">
        <v>32</v>
      </c>
      <c r="O148" s="116"/>
      <c r="S148" s="61"/>
      <c r="T148" s="57"/>
      <c r="U148" s="60"/>
      <c r="V148" s="46"/>
      <c r="W148" s="47"/>
      <c r="X148" s="18"/>
      <c r="Y148" s="26"/>
      <c r="Z148" s="18"/>
      <c r="AA148" s="18"/>
      <c r="AB148" s="18"/>
      <c r="AC148" s="18"/>
      <c r="AD148" s="18"/>
    </row>
    <row r="149" spans="1:30" ht="12.75" customHeight="1" x14ac:dyDescent="0.2">
      <c r="C149" s="16"/>
      <c r="D149" s="14" t="s">
        <v>11</v>
      </c>
      <c r="E149" s="30"/>
      <c r="G149" s="90"/>
      <c r="H149" s="78" t="s">
        <v>52</v>
      </c>
      <c r="I149" s="28">
        <f>$J$143</f>
        <v>-480.85000000000116</v>
      </c>
      <c r="J149" s="37">
        <f>I149</f>
        <v>-480.85000000000116</v>
      </c>
      <c r="K149" s="20"/>
      <c r="L149" s="28">
        <f>$M$123</f>
        <v>-27957.550000000003</v>
      </c>
      <c r="M149" s="37">
        <f>L149</f>
        <v>-27957.550000000003</v>
      </c>
      <c r="N149" s="28">
        <f>28000+M149</f>
        <v>42.44999999999709</v>
      </c>
      <c r="O149" s="117" t="s">
        <v>67</v>
      </c>
      <c r="P149" s="111" t="s">
        <v>68</v>
      </c>
      <c r="R149" s="120"/>
      <c r="S149" s="57"/>
      <c r="T149" s="57"/>
      <c r="U149" s="28"/>
      <c r="V149" s="149"/>
      <c r="W149" s="20"/>
      <c r="X149" s="18"/>
      <c r="Y149" s="49"/>
      <c r="Z149" s="50"/>
      <c r="AA149" s="18"/>
      <c r="AB149" s="18"/>
      <c r="AC149" s="18"/>
      <c r="AD149" s="18"/>
    </row>
    <row r="150" spans="1:30" ht="12.75" customHeight="1" x14ac:dyDescent="0.2">
      <c r="C150" s="17" t="s">
        <v>5</v>
      </c>
      <c r="D150" s="14"/>
      <c r="E150" s="14">
        <f>SUM(E148:E149)</f>
        <v>9000</v>
      </c>
      <c r="G150" s="92"/>
      <c r="H150" s="75" t="s">
        <v>11</v>
      </c>
      <c r="I150" s="28">
        <v>1200</v>
      </c>
      <c r="J150" s="153">
        <f t="shared" ref="J150:J185" si="11">J149+I150</f>
        <v>719.14999999999884</v>
      </c>
      <c r="K150" s="25"/>
      <c r="L150" s="68">
        <v>-436.6</v>
      </c>
      <c r="M150" s="38">
        <f>M149+L150</f>
        <v>-28394.15</v>
      </c>
      <c r="N150" s="28">
        <f>28000+M150</f>
        <v>-394.15000000000146</v>
      </c>
      <c r="O150" s="113" t="s">
        <v>61</v>
      </c>
      <c r="P150" s="119"/>
      <c r="R150" s="57"/>
      <c r="S150" s="57"/>
      <c r="T150" s="58"/>
      <c r="U150" s="31"/>
      <c r="V150" s="150"/>
      <c r="W150" s="20"/>
      <c r="X150" s="18"/>
      <c r="Y150" s="49"/>
      <c r="Z150" s="50"/>
      <c r="AA150" s="18"/>
      <c r="AB150" s="18"/>
      <c r="AC150" s="18"/>
      <c r="AD150" s="18"/>
    </row>
    <row r="151" spans="1:30" ht="12.75" customHeight="1" x14ac:dyDescent="0.2">
      <c r="A151" s="98"/>
      <c r="G151" s="92"/>
      <c r="H151" s="75" t="s">
        <v>207</v>
      </c>
      <c r="I151" s="28">
        <v>-275.5</v>
      </c>
      <c r="J151" s="153">
        <f t="shared" si="11"/>
        <v>443.64999999999884</v>
      </c>
      <c r="K151" s="81"/>
      <c r="L151" s="68">
        <v>1020</v>
      </c>
      <c r="M151" s="38">
        <f t="shared" ref="M151:M153" si="12">M150+L151</f>
        <v>-27374.15</v>
      </c>
      <c r="N151" s="28">
        <f>28000+M151</f>
        <v>625.84999999999854</v>
      </c>
      <c r="O151" s="113"/>
      <c r="P151" s="119"/>
      <c r="R151" s="58"/>
      <c r="S151" s="58"/>
      <c r="T151" s="58"/>
      <c r="U151" s="31"/>
      <c r="V151" s="150"/>
      <c r="W151" s="20"/>
      <c r="X151" s="18"/>
      <c r="Y151" s="49"/>
      <c r="Z151" s="50"/>
      <c r="AA151" s="18"/>
      <c r="AB151" s="18"/>
      <c r="AC151" s="18"/>
      <c r="AD151" s="18"/>
    </row>
    <row r="152" spans="1:30" ht="12.75" customHeight="1" x14ac:dyDescent="0.2">
      <c r="A152" s="98"/>
      <c r="C152" s="43" t="s">
        <v>9</v>
      </c>
      <c r="E152" s="27"/>
      <c r="G152" s="92"/>
      <c r="H152" s="75" t="s">
        <v>43</v>
      </c>
      <c r="I152" s="28">
        <v>-82.08</v>
      </c>
      <c r="J152" s="153">
        <f t="shared" si="11"/>
        <v>361.56999999999886</v>
      </c>
      <c r="K152" s="81"/>
      <c r="L152" s="68">
        <v>-7.5</v>
      </c>
      <c r="M152" s="38">
        <f t="shared" si="12"/>
        <v>-27381.65</v>
      </c>
      <c r="N152" s="28">
        <f>28000+M152</f>
        <v>618.34999999999854</v>
      </c>
      <c r="O152" s="113" t="s">
        <v>234</v>
      </c>
      <c r="P152" s="119"/>
      <c r="R152" s="55"/>
      <c r="S152" s="57"/>
      <c r="T152" s="58"/>
      <c r="U152" s="31"/>
      <c r="V152" s="150"/>
      <c r="W152" s="52"/>
      <c r="X152" s="18"/>
      <c r="Y152" s="53"/>
      <c r="Z152" s="50"/>
      <c r="AA152" s="18"/>
      <c r="AB152" s="18"/>
      <c r="AC152" s="18"/>
      <c r="AD152" s="18"/>
    </row>
    <row r="153" spans="1:30" ht="12.75" customHeight="1" x14ac:dyDescent="0.2">
      <c r="A153" s="98"/>
      <c r="D153" s="18" t="s">
        <v>7</v>
      </c>
      <c r="E153" s="27">
        <f>E148</f>
        <v>9000</v>
      </c>
      <c r="G153" s="92"/>
      <c r="H153" s="75" t="s">
        <v>98</v>
      </c>
      <c r="I153" s="28">
        <v>-20</v>
      </c>
      <c r="J153" s="153">
        <f t="shared" si="11"/>
        <v>341.56999999999886</v>
      </c>
      <c r="K153" s="81"/>
      <c r="L153" s="68">
        <v>-32</v>
      </c>
      <c r="M153" s="39">
        <f t="shared" si="12"/>
        <v>-27413.65</v>
      </c>
      <c r="N153" s="215">
        <f>28000+M153</f>
        <v>586.34999999999854</v>
      </c>
      <c r="O153" s="113" t="s">
        <v>102</v>
      </c>
      <c r="P153" s="119"/>
      <c r="Q153" s="20"/>
      <c r="R153" s="57"/>
      <c r="S153" s="57"/>
      <c r="T153" s="58"/>
      <c r="U153" s="31"/>
      <c r="V153" s="150"/>
      <c r="W153" s="20"/>
      <c r="X153" s="18"/>
      <c r="Y153" s="26"/>
      <c r="Z153" s="50"/>
      <c r="AA153" s="18"/>
      <c r="AB153" s="18"/>
      <c r="AC153" s="18"/>
      <c r="AD153" s="18"/>
    </row>
    <row r="154" spans="1:30" ht="12.75" customHeight="1" x14ac:dyDescent="0.2">
      <c r="A154" s="98"/>
      <c r="D154" s="42" t="s">
        <v>6</v>
      </c>
      <c r="E154" s="147"/>
      <c r="G154" s="92"/>
      <c r="H154" s="75" t="s">
        <v>127</v>
      </c>
      <c r="I154" s="28">
        <v>-100</v>
      </c>
      <c r="J154" s="153">
        <f t="shared" si="11"/>
        <v>241.56999999999886</v>
      </c>
      <c r="K154" s="81"/>
      <c r="L154" s="35">
        <f>SUM(L149:L153)</f>
        <v>-27413.65</v>
      </c>
      <c r="M154" s="91"/>
      <c r="N154" s="96"/>
      <c r="O154" s="113"/>
      <c r="P154" s="119"/>
      <c r="Q154" s="20"/>
      <c r="R154" s="18"/>
      <c r="S154" s="18"/>
      <c r="T154" s="58"/>
      <c r="U154" s="80"/>
      <c r="V154" s="51"/>
      <c r="W154" s="20"/>
      <c r="X154" s="18"/>
      <c r="Y154" s="49"/>
      <c r="Z154" s="50"/>
      <c r="AA154" s="18"/>
      <c r="AB154" s="18"/>
      <c r="AC154" s="18"/>
      <c r="AD154" s="18"/>
    </row>
    <row r="155" spans="1:30" ht="12.75" customHeight="1" x14ac:dyDescent="0.2">
      <c r="A155" s="98"/>
      <c r="D155" s="18"/>
      <c r="E155" s="154"/>
      <c r="G155" s="92"/>
      <c r="H155" s="75" t="s">
        <v>208</v>
      </c>
      <c r="I155" s="28">
        <v>-60.5</v>
      </c>
      <c r="J155" s="153">
        <f t="shared" si="11"/>
        <v>181.06999999999886</v>
      </c>
      <c r="K155" s="81"/>
      <c r="L155" s="36"/>
      <c r="M155" s="91"/>
      <c r="N155" s="96"/>
      <c r="O155" s="113"/>
      <c r="P155" s="119"/>
      <c r="Q155" s="20"/>
      <c r="R155" s="18"/>
      <c r="S155" s="18"/>
      <c r="T155" s="58"/>
      <c r="U155" s="80"/>
      <c r="V155" s="51"/>
      <c r="W155" s="20"/>
      <c r="X155" s="18"/>
      <c r="Y155" s="49"/>
      <c r="Z155" s="50"/>
      <c r="AA155" s="18"/>
      <c r="AB155" s="18"/>
      <c r="AC155" s="18"/>
      <c r="AD155" s="18"/>
    </row>
    <row r="156" spans="1:30" ht="12.75" customHeight="1" x14ac:dyDescent="0.2">
      <c r="A156" s="100"/>
      <c r="B156" s="100"/>
      <c r="C156" s="100"/>
      <c r="D156" s="190"/>
      <c r="E156" s="68"/>
      <c r="G156" s="92"/>
      <c r="H156" s="75" t="s">
        <v>70</v>
      </c>
      <c r="I156" s="28">
        <v>-162.30000000000001</v>
      </c>
      <c r="J156" s="153">
        <f t="shared" si="11"/>
        <v>18.769999999998845</v>
      </c>
      <c r="K156" s="81"/>
      <c r="L156" s="310">
        <v>1234.1500000000001</v>
      </c>
      <c r="M156" s="217" t="s">
        <v>228</v>
      </c>
      <c r="N156" s="195"/>
      <c r="O156" s="278"/>
      <c r="P156" s="119"/>
      <c r="Q156" s="81"/>
      <c r="R156" s="20"/>
      <c r="S156" s="48"/>
      <c r="T156" s="18"/>
      <c r="U156" s="80"/>
      <c r="V156" s="51"/>
      <c r="W156" s="20"/>
      <c r="X156" s="18"/>
      <c r="Y156" s="18"/>
      <c r="Z156" s="18"/>
      <c r="AA156" s="18"/>
      <c r="AB156" s="18"/>
      <c r="AC156" s="18"/>
      <c r="AD156" s="18"/>
    </row>
    <row r="157" spans="1:30" ht="12.75" customHeight="1" x14ac:dyDescent="0.2">
      <c r="A157" s="100"/>
      <c r="B157" s="100"/>
      <c r="C157" s="100"/>
      <c r="D157" s="190"/>
      <c r="E157" s="68"/>
      <c r="G157" s="92"/>
      <c r="H157" s="75" t="s">
        <v>11</v>
      </c>
      <c r="I157" s="28">
        <v>250</v>
      </c>
      <c r="J157" s="153">
        <f t="shared" si="11"/>
        <v>268.76999999999884</v>
      </c>
      <c r="K157" s="81"/>
      <c r="L157" s="218"/>
      <c r="M157" s="217"/>
      <c r="N157" s="195"/>
      <c r="O157" s="158"/>
      <c r="P157" s="112"/>
      <c r="Q157" s="81"/>
      <c r="R157" s="20"/>
      <c r="S157" s="48"/>
      <c r="T157" s="18"/>
      <c r="U157" s="80"/>
      <c r="V157" s="51"/>
      <c r="W157" s="20"/>
      <c r="X157" s="18"/>
      <c r="Y157" s="18"/>
      <c r="Z157" s="18"/>
      <c r="AA157" s="18"/>
      <c r="AB157" s="18"/>
      <c r="AC157" s="18"/>
      <c r="AD157" s="18"/>
    </row>
    <row r="158" spans="1:30" ht="12.75" customHeight="1" x14ac:dyDescent="0.2">
      <c r="A158" s="100"/>
      <c r="B158" s="100"/>
      <c r="C158" s="100"/>
      <c r="D158" s="219"/>
      <c r="E158" s="68"/>
      <c r="G158" s="92"/>
      <c r="H158" s="86" t="s">
        <v>209</v>
      </c>
      <c r="I158" s="28">
        <v>-52.97</v>
      </c>
      <c r="J158" s="153">
        <f t="shared" si="11"/>
        <v>215.79999999999885</v>
      </c>
      <c r="K158" s="81"/>
      <c r="L158" s="311">
        <v>4500</v>
      </c>
      <c r="M158" s="293" t="s">
        <v>229</v>
      </c>
      <c r="N158" s="195"/>
      <c r="O158" s="158"/>
      <c r="P158" s="112"/>
      <c r="Q158" s="81"/>
      <c r="R158" s="20"/>
      <c r="S158" s="48"/>
      <c r="T158" s="18"/>
      <c r="U158" s="80"/>
      <c r="V158" s="51"/>
      <c r="W158" s="20"/>
      <c r="X158" s="18"/>
      <c r="Y158" s="18"/>
      <c r="Z158" s="18"/>
      <c r="AA158" s="18"/>
      <c r="AB158" s="18"/>
      <c r="AC158" s="18"/>
      <c r="AD158" s="18"/>
    </row>
    <row r="159" spans="1:30" ht="12.75" customHeight="1" x14ac:dyDescent="0.2">
      <c r="A159" s="100"/>
      <c r="B159" s="100"/>
      <c r="C159" s="100"/>
      <c r="D159" s="219"/>
      <c r="E159" s="68"/>
      <c r="G159" s="92"/>
      <c r="H159" s="86" t="s">
        <v>209</v>
      </c>
      <c r="I159" s="28">
        <v>-100</v>
      </c>
      <c r="J159" s="153">
        <f t="shared" si="11"/>
        <v>115.79999999999885</v>
      </c>
      <c r="K159" s="81"/>
      <c r="L159" s="194">
        <v>-700</v>
      </c>
      <c r="M159" s="217" t="s">
        <v>216</v>
      </c>
      <c r="N159" s="195"/>
      <c r="O159" s="158"/>
      <c r="P159" s="112"/>
      <c r="Q159" s="81"/>
      <c r="R159" s="20"/>
      <c r="S159" s="48"/>
      <c r="T159" s="18"/>
      <c r="U159" s="80"/>
      <c r="V159" s="51"/>
      <c r="W159" s="20"/>
      <c r="X159" s="18"/>
      <c r="Y159" s="18"/>
      <c r="Z159" s="18"/>
      <c r="AA159" s="18"/>
      <c r="AB159" s="18"/>
      <c r="AC159" s="18"/>
      <c r="AD159" s="18"/>
    </row>
    <row r="160" spans="1:30" ht="12.75" customHeight="1" x14ac:dyDescent="0.2">
      <c r="A160" s="100"/>
      <c r="B160" s="100"/>
      <c r="C160" s="100"/>
      <c r="D160" s="219"/>
      <c r="E160" s="68"/>
      <c r="G160" s="92"/>
      <c r="H160" s="86" t="s">
        <v>98</v>
      </c>
      <c r="I160" s="28">
        <v>-5</v>
      </c>
      <c r="J160" s="153">
        <f t="shared" si="11"/>
        <v>110.79999999999885</v>
      </c>
      <c r="K160" s="81"/>
      <c r="L160" s="194">
        <v>-450</v>
      </c>
      <c r="M160" s="217" t="s">
        <v>217</v>
      </c>
      <c r="N160" s="195"/>
      <c r="O160" s="158"/>
      <c r="P160" s="112"/>
      <c r="Q160" s="81"/>
      <c r="R160" s="20"/>
      <c r="S160" s="48"/>
      <c r="T160" s="18"/>
      <c r="U160" s="80"/>
      <c r="V160" s="51"/>
      <c r="W160" s="20"/>
      <c r="X160" s="18"/>
      <c r="Y160" s="18"/>
      <c r="Z160" s="18"/>
      <c r="AA160" s="18"/>
      <c r="AB160" s="18"/>
      <c r="AC160" s="18"/>
      <c r="AD160" s="18"/>
    </row>
    <row r="161" spans="1:30" ht="12.75" customHeight="1" x14ac:dyDescent="0.2">
      <c r="A161" s="100"/>
      <c r="B161" s="100"/>
      <c r="C161" s="100"/>
      <c r="D161" s="189"/>
      <c r="E161" s="68"/>
      <c r="G161" s="92"/>
      <c r="H161" s="86" t="s">
        <v>70</v>
      </c>
      <c r="I161" s="28">
        <v>-26</v>
      </c>
      <c r="J161" s="153">
        <f t="shared" si="11"/>
        <v>84.799999999998846</v>
      </c>
      <c r="K161" s="81"/>
      <c r="L161" s="194">
        <v>-250</v>
      </c>
      <c r="M161" s="217" t="s">
        <v>134</v>
      </c>
      <c r="N161" s="195"/>
      <c r="O161" s="158"/>
      <c r="P161" s="112"/>
      <c r="Q161" s="81"/>
      <c r="R161" s="20"/>
      <c r="S161" s="48"/>
      <c r="T161" s="18"/>
      <c r="U161" s="80"/>
      <c r="V161" s="51"/>
      <c r="W161" s="20"/>
      <c r="X161" s="18"/>
      <c r="Y161" s="18"/>
      <c r="Z161" s="18"/>
      <c r="AA161" s="18"/>
      <c r="AB161" s="18"/>
      <c r="AC161" s="18"/>
      <c r="AD161" s="18"/>
    </row>
    <row r="162" spans="1:30" ht="12.75" customHeight="1" x14ac:dyDescent="0.2">
      <c r="A162" s="100"/>
      <c r="B162" s="100"/>
      <c r="C162" s="100"/>
      <c r="D162" s="189"/>
      <c r="E162" s="68"/>
      <c r="G162" s="92"/>
      <c r="H162" s="86" t="s">
        <v>11</v>
      </c>
      <c r="I162" s="28">
        <v>1000</v>
      </c>
      <c r="J162" s="153">
        <f t="shared" si="11"/>
        <v>1084.7999999999988</v>
      </c>
      <c r="K162" s="81"/>
      <c r="L162" s="194">
        <f>-83-88-75</f>
        <v>-246</v>
      </c>
      <c r="M162" s="217" t="s">
        <v>218</v>
      </c>
      <c r="N162" s="195"/>
      <c r="O162" s="158"/>
      <c r="P162" s="112"/>
      <c r="Q162" s="81"/>
      <c r="R162" s="20"/>
      <c r="S162" s="48"/>
      <c r="T162" s="18"/>
      <c r="U162" s="80"/>
      <c r="V162" s="51"/>
      <c r="W162" s="20"/>
      <c r="X162" s="18"/>
      <c r="Y162" s="18"/>
      <c r="Z162" s="18"/>
      <c r="AA162" s="18"/>
      <c r="AB162" s="18"/>
      <c r="AC162" s="18"/>
      <c r="AD162" s="18"/>
    </row>
    <row r="163" spans="1:30" ht="12.75" customHeight="1" x14ac:dyDescent="0.2">
      <c r="A163" s="100"/>
      <c r="B163" s="100"/>
      <c r="C163" s="100"/>
      <c r="D163" s="189"/>
      <c r="E163" s="68"/>
      <c r="G163" s="92"/>
      <c r="H163" s="86" t="s">
        <v>212</v>
      </c>
      <c r="I163" s="28">
        <v>-138.9</v>
      </c>
      <c r="J163" s="153">
        <f t="shared" si="11"/>
        <v>945.89999999999884</v>
      </c>
      <c r="K163" s="81"/>
      <c r="L163" s="194">
        <v>-100</v>
      </c>
      <c r="M163" s="217" t="s">
        <v>219</v>
      </c>
      <c r="N163" s="195"/>
      <c r="O163" s="158"/>
      <c r="P163" s="112"/>
      <c r="Q163" s="81"/>
      <c r="R163" s="20"/>
      <c r="S163" s="48"/>
      <c r="T163" s="18"/>
      <c r="U163" s="80"/>
      <c r="V163" s="51"/>
      <c r="W163" s="20"/>
      <c r="X163" s="18"/>
      <c r="Y163" s="18"/>
      <c r="Z163" s="18"/>
      <c r="AA163" s="18"/>
      <c r="AB163" s="18"/>
      <c r="AC163" s="18"/>
      <c r="AD163" s="18"/>
    </row>
    <row r="164" spans="1:30" ht="12.75" customHeight="1" x14ac:dyDescent="0.2">
      <c r="A164" s="100"/>
      <c r="B164" s="100"/>
      <c r="C164" s="100"/>
      <c r="D164" s="189"/>
      <c r="E164" s="68"/>
      <c r="G164" s="92"/>
      <c r="H164" s="86" t="s">
        <v>70</v>
      </c>
      <c r="I164" s="28">
        <v>-29.9</v>
      </c>
      <c r="J164" s="153">
        <f t="shared" si="11"/>
        <v>915.99999999999886</v>
      </c>
      <c r="K164" s="81"/>
      <c r="L164" s="194">
        <v>-100</v>
      </c>
      <c r="M164" s="217" t="s">
        <v>220</v>
      </c>
      <c r="N164" s="195"/>
      <c r="O164" s="158"/>
      <c r="P164" s="112"/>
      <c r="Q164" s="81"/>
      <c r="R164" s="20"/>
      <c r="S164" s="48"/>
      <c r="T164" s="18"/>
      <c r="U164" s="80"/>
      <c r="V164" s="51"/>
      <c r="W164" s="20"/>
      <c r="X164" s="18"/>
      <c r="Y164" s="18"/>
      <c r="Z164" s="18"/>
      <c r="AA164" s="18"/>
      <c r="AB164" s="18"/>
      <c r="AC164" s="18"/>
      <c r="AD164" s="18"/>
    </row>
    <row r="165" spans="1:30" ht="12.75" customHeight="1" x14ac:dyDescent="0.2">
      <c r="A165" s="100"/>
      <c r="B165" s="100"/>
      <c r="C165" s="100"/>
      <c r="D165" s="189"/>
      <c r="E165" s="68"/>
      <c r="G165" s="92"/>
      <c r="H165" s="86" t="s">
        <v>213</v>
      </c>
      <c r="I165" s="28">
        <v>-800</v>
      </c>
      <c r="J165" s="153">
        <f t="shared" si="11"/>
        <v>115.99999999999886</v>
      </c>
      <c r="K165" s="81"/>
      <c r="L165" s="194">
        <v>-120</v>
      </c>
      <c r="M165" s="217" t="s">
        <v>222</v>
      </c>
      <c r="N165" s="195"/>
      <c r="O165" s="158"/>
      <c r="P165" s="112"/>
      <c r="Q165" s="81"/>
      <c r="R165" s="20"/>
      <c r="S165" s="48"/>
      <c r="T165" s="18"/>
      <c r="U165" s="80"/>
      <c r="V165" s="51"/>
      <c r="W165" s="20"/>
      <c r="X165" s="18"/>
      <c r="Y165" s="18"/>
      <c r="Z165" s="18"/>
      <c r="AA165" s="18"/>
      <c r="AB165" s="18"/>
      <c r="AC165" s="18"/>
      <c r="AD165" s="18"/>
    </row>
    <row r="166" spans="1:30" ht="12.75" customHeight="1" x14ac:dyDescent="0.2">
      <c r="A166" s="100"/>
      <c r="B166" s="100"/>
      <c r="C166" s="100"/>
      <c r="D166" s="189"/>
      <c r="E166" s="68"/>
      <c r="G166" s="92"/>
      <c r="H166" s="86" t="s">
        <v>214</v>
      </c>
      <c r="I166" s="28">
        <v>-55.29</v>
      </c>
      <c r="J166" s="153">
        <f t="shared" si="11"/>
        <v>60.709999999998864</v>
      </c>
      <c r="K166" s="81"/>
      <c r="L166" s="194">
        <v>-170</v>
      </c>
      <c r="M166" s="217" t="s">
        <v>223</v>
      </c>
      <c r="N166" s="195"/>
      <c r="O166" s="158"/>
      <c r="P166" s="112"/>
      <c r="Q166" s="81"/>
      <c r="R166" s="20"/>
      <c r="S166" s="48"/>
      <c r="T166" s="18"/>
      <c r="U166" s="80"/>
      <c r="V166" s="51"/>
      <c r="W166" s="20"/>
      <c r="X166" s="18"/>
      <c r="Y166" s="18"/>
      <c r="Z166" s="18"/>
      <c r="AA166" s="18"/>
      <c r="AB166" s="18"/>
      <c r="AC166" s="18"/>
      <c r="AD166" s="18"/>
    </row>
    <row r="167" spans="1:30" ht="12.75" customHeight="1" x14ac:dyDescent="0.2">
      <c r="A167" s="100"/>
      <c r="B167" s="100"/>
      <c r="C167" s="100"/>
      <c r="D167" s="189"/>
      <c r="E167" s="68"/>
      <c r="G167" s="92"/>
      <c r="H167" s="86" t="s">
        <v>215</v>
      </c>
      <c r="I167" s="28">
        <v>-44.15</v>
      </c>
      <c r="J167" s="153">
        <f t="shared" si="11"/>
        <v>16.559999999998865</v>
      </c>
      <c r="K167" s="81"/>
      <c r="L167" s="194">
        <f>-60</f>
        <v>-60</v>
      </c>
      <c r="M167" s="217" t="s">
        <v>224</v>
      </c>
      <c r="N167" s="195"/>
      <c r="O167" s="158"/>
      <c r="P167" s="112"/>
      <c r="Q167" s="81"/>
      <c r="R167" s="20"/>
      <c r="S167" s="48"/>
      <c r="T167" s="18"/>
      <c r="U167" s="80"/>
      <c r="V167" s="51"/>
      <c r="W167" s="20"/>
      <c r="X167" s="18"/>
      <c r="Y167" s="18"/>
      <c r="Z167" s="18"/>
      <c r="AA167" s="18"/>
      <c r="AB167" s="18"/>
      <c r="AC167" s="18"/>
      <c r="AD167" s="18"/>
    </row>
    <row r="168" spans="1:30" ht="12.75" customHeight="1" x14ac:dyDescent="0.2">
      <c r="A168" s="100"/>
      <c r="B168" s="100"/>
      <c r="C168" s="100"/>
      <c r="D168" s="219"/>
      <c r="E168" s="68"/>
      <c r="G168" s="92"/>
      <c r="H168" s="86" t="s">
        <v>11</v>
      </c>
      <c r="I168" s="28">
        <v>150</v>
      </c>
      <c r="J168" s="153">
        <f t="shared" si="11"/>
        <v>166.55999999999887</v>
      </c>
      <c r="K168" s="81"/>
      <c r="L168" s="194">
        <v>-309</v>
      </c>
      <c r="M168" s="217" t="s">
        <v>225</v>
      </c>
      <c r="N168" s="195"/>
      <c r="O168" s="158"/>
      <c r="P168" s="112"/>
      <c r="Q168" s="81"/>
      <c r="R168" s="20"/>
      <c r="S168" s="48"/>
      <c r="T168" s="18"/>
      <c r="U168" s="80"/>
      <c r="V168" s="51"/>
      <c r="W168" s="20"/>
      <c r="X168" s="18"/>
      <c r="Y168" s="18"/>
      <c r="Z168" s="18"/>
      <c r="AA168" s="18"/>
      <c r="AB168" s="18"/>
      <c r="AC168" s="18"/>
      <c r="AD168" s="18"/>
    </row>
    <row r="169" spans="1:30" ht="12.75" customHeight="1" x14ac:dyDescent="0.2">
      <c r="A169" s="100"/>
      <c r="B169" s="100"/>
      <c r="C169" s="100"/>
      <c r="D169" s="219"/>
      <c r="E169" s="68"/>
      <c r="G169" s="92"/>
      <c r="H169" s="86" t="s">
        <v>227</v>
      </c>
      <c r="I169" s="28">
        <v>-100</v>
      </c>
      <c r="J169" s="153">
        <f t="shared" si="11"/>
        <v>66.559999999998865</v>
      </c>
      <c r="K169" s="81"/>
      <c r="L169" s="194">
        <v>-100</v>
      </c>
      <c r="M169" s="217" t="s">
        <v>99</v>
      </c>
      <c r="N169" s="195"/>
      <c r="O169" s="158"/>
      <c r="P169" s="112"/>
      <c r="Q169" s="81"/>
      <c r="R169" s="20"/>
      <c r="S169" s="48"/>
      <c r="T169" s="18"/>
      <c r="U169" s="80"/>
      <c r="V169" s="51"/>
      <c r="W169" s="20"/>
      <c r="X169" s="18"/>
      <c r="Y169" s="18"/>
      <c r="Z169" s="18"/>
      <c r="AA169" s="18"/>
      <c r="AB169" s="18"/>
      <c r="AC169" s="18"/>
      <c r="AD169" s="18"/>
    </row>
    <row r="170" spans="1:30" ht="12.75" customHeight="1" x14ac:dyDescent="0.2">
      <c r="A170" s="100"/>
      <c r="B170" s="100"/>
      <c r="C170" s="100"/>
      <c r="D170" s="219"/>
      <c r="E170" s="68"/>
      <c r="G170" s="92"/>
      <c r="H170" s="86" t="s">
        <v>43</v>
      </c>
      <c r="I170" s="28">
        <v>-51</v>
      </c>
      <c r="J170" s="153">
        <f t="shared" si="11"/>
        <v>15.559999999998865</v>
      </c>
      <c r="K170" s="81"/>
      <c r="L170" s="194"/>
      <c r="M170" s="217"/>
      <c r="N170" s="195"/>
      <c r="O170" s="308" t="s">
        <v>226</v>
      </c>
      <c r="P170" s="307"/>
      <c r="Q170" s="81"/>
      <c r="R170" s="20"/>
      <c r="S170" s="48"/>
      <c r="T170" s="18"/>
      <c r="U170" s="80"/>
      <c r="V170" s="51"/>
      <c r="W170" s="20"/>
      <c r="X170" s="18"/>
      <c r="Y170" s="18"/>
      <c r="Z170" s="18"/>
      <c r="AA170" s="18"/>
      <c r="AB170" s="18"/>
      <c r="AC170" s="18"/>
      <c r="AD170" s="18"/>
    </row>
    <row r="171" spans="1:30" ht="12.75" customHeight="1" x14ac:dyDescent="0.2">
      <c r="A171" s="100"/>
      <c r="B171" s="100"/>
      <c r="C171" s="100"/>
      <c r="D171" s="219"/>
      <c r="E171" s="68"/>
      <c r="G171" s="93"/>
      <c r="H171" s="86" t="s">
        <v>235</v>
      </c>
      <c r="I171" s="28">
        <v>-5</v>
      </c>
      <c r="J171" s="153">
        <f t="shared" si="11"/>
        <v>10.559999999998865</v>
      </c>
      <c r="K171" s="220"/>
      <c r="L171" s="194"/>
      <c r="M171" s="217"/>
      <c r="N171" s="195">
        <f>SUM(L160:L171)</f>
        <v>-1905</v>
      </c>
      <c r="O171" s="308">
        <v>-60</v>
      </c>
      <c r="P171" s="309">
        <f>SUM(N171:O171)</f>
        <v>-1965</v>
      </c>
      <c r="Q171" s="20"/>
      <c r="R171" s="20"/>
      <c r="S171" s="48"/>
      <c r="T171" s="18"/>
      <c r="U171" s="80"/>
      <c r="V171" s="51"/>
      <c r="W171" s="20"/>
      <c r="X171" s="18"/>
      <c r="Y171" s="18"/>
      <c r="Z171" s="18"/>
      <c r="AA171" s="18"/>
      <c r="AB171" s="18"/>
      <c r="AC171" s="18"/>
      <c r="AD171" s="18"/>
    </row>
    <row r="172" spans="1:30" ht="12.75" customHeight="1" x14ac:dyDescent="0.2">
      <c r="A172" s="100"/>
      <c r="B172" s="100"/>
      <c r="C172" s="100"/>
      <c r="D172" s="219"/>
      <c r="E172" s="68"/>
      <c r="G172" s="84"/>
      <c r="H172" s="86" t="s">
        <v>31</v>
      </c>
      <c r="I172" s="28">
        <f>E153</f>
        <v>9000</v>
      </c>
      <c r="J172" s="153">
        <f t="shared" si="11"/>
        <v>9010.56</v>
      </c>
      <c r="K172" s="18"/>
      <c r="L172" s="283">
        <v>-1500</v>
      </c>
      <c r="M172" s="217" t="s">
        <v>221</v>
      </c>
      <c r="N172" s="195">
        <f>SUM(L159:L172)</f>
        <v>-4105</v>
      </c>
      <c r="O172" s="308"/>
      <c r="P172" s="307"/>
      <c r="Q172" s="20"/>
      <c r="R172" s="20"/>
      <c r="S172" s="48"/>
      <c r="T172" s="18"/>
      <c r="U172" s="80"/>
      <c r="V172" s="51"/>
      <c r="W172" s="20"/>
      <c r="X172" s="18"/>
      <c r="Y172" s="18"/>
      <c r="Z172" s="18"/>
      <c r="AA172" s="18"/>
      <c r="AB172" s="18"/>
      <c r="AC172" s="18"/>
      <c r="AD172" s="18"/>
    </row>
    <row r="173" spans="1:30" ht="12.75" customHeight="1" x14ac:dyDescent="0.2">
      <c r="A173" s="100"/>
      <c r="B173" s="100"/>
      <c r="C173" s="100"/>
      <c r="D173" s="189"/>
      <c r="E173" s="23"/>
      <c r="G173" s="200"/>
      <c r="H173" s="193" t="s">
        <v>108</v>
      </c>
      <c r="I173" s="71">
        <v>-5300</v>
      </c>
      <c r="J173" s="153">
        <f t="shared" si="11"/>
        <v>3710.5599999999995</v>
      </c>
      <c r="K173" s="18"/>
      <c r="L173" s="304">
        <f>SUM(L158:L172)</f>
        <v>395</v>
      </c>
      <c r="M173" s="217"/>
      <c r="N173" s="195"/>
      <c r="O173" s="195"/>
      <c r="P173" s="307"/>
      <c r="Q173" s="20"/>
      <c r="R173" s="20"/>
      <c r="S173" s="48"/>
      <c r="T173" s="18"/>
      <c r="U173" s="80"/>
      <c r="V173" s="51"/>
      <c r="W173" s="20"/>
      <c r="X173" s="18"/>
      <c r="Y173" s="18"/>
      <c r="Z173" s="18"/>
      <c r="AA173" s="18"/>
      <c r="AB173" s="18"/>
      <c r="AC173" s="18"/>
      <c r="AD173" s="18"/>
    </row>
    <row r="174" spans="1:30" ht="12.75" customHeight="1" x14ac:dyDescent="0.2">
      <c r="A174" s="100"/>
      <c r="B174" s="100"/>
      <c r="C174" s="100"/>
      <c r="F174" s="229"/>
      <c r="G174" s="200"/>
      <c r="H174" s="193" t="s">
        <v>152</v>
      </c>
      <c r="I174" s="28">
        <v>-300</v>
      </c>
      <c r="J174" s="153">
        <f t="shared" si="11"/>
        <v>3410.5599999999995</v>
      </c>
      <c r="K174" s="18"/>
      <c r="L174" s="304"/>
      <c r="M174" s="217"/>
      <c r="N174" s="195"/>
      <c r="O174" s="195"/>
      <c r="P174" s="307"/>
      <c r="Q174" s="20"/>
      <c r="R174" s="20"/>
      <c r="S174" s="48"/>
      <c r="T174" s="18"/>
      <c r="U174" s="80"/>
      <c r="V174" s="51"/>
      <c r="W174" s="20"/>
      <c r="X174" s="18"/>
      <c r="Y174" s="18"/>
      <c r="Z174" s="18"/>
      <c r="AA174" s="18"/>
      <c r="AB174" s="18"/>
      <c r="AC174" s="18"/>
      <c r="AD174" s="18"/>
    </row>
    <row r="175" spans="1:30" ht="12.75" customHeight="1" x14ac:dyDescent="0.2">
      <c r="A175" s="100"/>
      <c r="B175" s="100"/>
      <c r="C175" s="100"/>
      <c r="F175" s="229"/>
      <c r="G175" s="200"/>
      <c r="H175" s="86" t="s">
        <v>48</v>
      </c>
      <c r="I175" s="28">
        <v>-2420.7399999999998</v>
      </c>
      <c r="J175" s="153">
        <f t="shared" si="11"/>
        <v>989.81999999999971</v>
      </c>
      <c r="K175" s="18"/>
      <c r="L175" s="194"/>
      <c r="M175" s="66"/>
      <c r="N175" s="195"/>
      <c r="O175" s="195"/>
      <c r="P175" s="307"/>
      <c r="Q175" s="20"/>
      <c r="R175" s="20"/>
      <c r="S175" s="48"/>
      <c r="T175" s="18"/>
      <c r="U175" s="80"/>
      <c r="V175" s="51"/>
      <c r="W175" s="20"/>
      <c r="X175" s="18"/>
      <c r="Y175" s="18"/>
      <c r="Z175" s="18"/>
      <c r="AA175" s="18"/>
      <c r="AB175" s="18"/>
      <c r="AC175" s="18"/>
      <c r="AD175" s="18"/>
    </row>
    <row r="176" spans="1:30" ht="12.75" customHeight="1" x14ac:dyDescent="0.2">
      <c r="G176" s="200"/>
      <c r="H176" s="86" t="s">
        <v>87</v>
      </c>
      <c r="I176" s="28">
        <v>-500</v>
      </c>
      <c r="J176" s="153">
        <f t="shared" si="11"/>
        <v>489.81999999999971</v>
      </c>
      <c r="K176" s="18"/>
      <c r="L176" s="194"/>
      <c r="M176" s="66"/>
      <c r="N176" s="195"/>
      <c r="O176" s="195"/>
      <c r="P176" s="112"/>
      <c r="Q176" s="20"/>
      <c r="V176" s="79"/>
    </row>
    <row r="177" spans="2:30" ht="12.75" customHeight="1" x14ac:dyDescent="0.2">
      <c r="F177" s="151"/>
      <c r="G177" s="200"/>
      <c r="H177" s="86" t="s">
        <v>117</v>
      </c>
      <c r="I177" s="28">
        <v>-220</v>
      </c>
      <c r="J177" s="153">
        <f t="shared" si="11"/>
        <v>269.81999999999971</v>
      </c>
      <c r="K177" s="18"/>
      <c r="L177" s="194"/>
      <c r="M177" s="66"/>
      <c r="N177" s="195"/>
      <c r="O177" s="195"/>
      <c r="P177" s="112"/>
      <c r="Q177" s="20"/>
      <c r="V177" s="79"/>
    </row>
    <row r="178" spans="2:30" ht="12.75" customHeight="1" x14ac:dyDescent="0.2">
      <c r="F178" s="151"/>
      <c r="G178" s="84" t="s">
        <v>50</v>
      </c>
      <c r="H178" s="86" t="s">
        <v>44</v>
      </c>
      <c r="I178" s="28">
        <v>-59</v>
      </c>
      <c r="J178" s="153">
        <f t="shared" si="11"/>
        <v>210.81999999999971</v>
      </c>
      <c r="K178" s="18"/>
      <c r="L178" s="284"/>
      <c r="M178" s="66"/>
      <c r="N178" s="195"/>
      <c r="O178" s="195"/>
      <c r="P178" s="112"/>
      <c r="Q178" s="20"/>
      <c r="V178" s="79"/>
    </row>
    <row r="179" spans="2:30" ht="12.75" customHeight="1" x14ac:dyDescent="0.2">
      <c r="F179" s="295"/>
      <c r="G179" s="84" t="s">
        <v>50</v>
      </c>
      <c r="H179" s="86" t="s">
        <v>37</v>
      </c>
      <c r="I179" s="28">
        <v>-588.51</v>
      </c>
      <c r="J179" s="153">
        <f t="shared" si="11"/>
        <v>-377.69000000000028</v>
      </c>
      <c r="K179" s="18"/>
      <c r="L179" s="284"/>
      <c r="M179" s="195"/>
      <c r="N179" s="195"/>
      <c r="O179" s="195"/>
      <c r="P179" s="112"/>
      <c r="Q179" s="20"/>
      <c r="V179" s="79"/>
    </row>
    <row r="180" spans="2:30" ht="12.75" customHeight="1" x14ac:dyDescent="0.2">
      <c r="F180" s="167"/>
      <c r="G180" s="45" t="s">
        <v>46</v>
      </c>
      <c r="H180" s="87" t="s">
        <v>8</v>
      </c>
      <c r="I180" s="74">
        <v>-613.99</v>
      </c>
      <c r="J180" s="153">
        <f t="shared" si="11"/>
        <v>-991.68000000000029</v>
      </c>
      <c r="K180" s="18"/>
      <c r="L180" s="284"/>
      <c r="M180" s="195"/>
      <c r="N180" s="195"/>
      <c r="O180" s="195"/>
      <c r="P180" s="112"/>
      <c r="Q180" s="20"/>
      <c r="V180" s="79"/>
    </row>
    <row r="181" spans="2:30" ht="12.75" customHeight="1" x14ac:dyDescent="0.2">
      <c r="G181" s="84" t="s">
        <v>46</v>
      </c>
      <c r="H181" s="88" t="s">
        <v>34</v>
      </c>
      <c r="I181" s="74">
        <v>-1135</v>
      </c>
      <c r="J181" s="153">
        <f t="shared" si="11"/>
        <v>-2126.6800000000003</v>
      </c>
      <c r="K181" s="18"/>
      <c r="L181" s="284"/>
      <c r="M181" s="54"/>
      <c r="N181" s="195"/>
      <c r="O181" s="195"/>
      <c r="P181" s="112"/>
      <c r="Q181" s="20"/>
      <c r="V181" s="79"/>
    </row>
    <row r="182" spans="2:30" ht="12.75" customHeight="1" x14ac:dyDescent="0.2">
      <c r="F182" s="183"/>
      <c r="G182" s="84" t="s">
        <v>46</v>
      </c>
      <c r="H182" s="88" t="s">
        <v>10</v>
      </c>
      <c r="I182" s="68">
        <v>-717.7</v>
      </c>
      <c r="J182" s="153">
        <f t="shared" si="11"/>
        <v>-2844.38</v>
      </c>
      <c r="K182" s="18"/>
      <c r="L182" s="194"/>
      <c r="M182" s="54"/>
      <c r="N182" s="195"/>
      <c r="O182" s="195"/>
      <c r="P182" s="112"/>
      <c r="Q182" s="20"/>
      <c r="V182" s="79"/>
    </row>
    <row r="183" spans="2:30" ht="12.75" customHeight="1" x14ac:dyDescent="0.2">
      <c r="F183" s="199"/>
      <c r="G183" s="84" t="s">
        <v>46</v>
      </c>
      <c r="H183" s="59" t="s">
        <v>92</v>
      </c>
      <c r="I183" s="28">
        <v>-623.96</v>
      </c>
      <c r="J183" s="153">
        <f t="shared" si="11"/>
        <v>-3468.34</v>
      </c>
      <c r="K183" s="18"/>
      <c r="L183" s="302"/>
      <c r="M183" s="54"/>
      <c r="N183" s="195"/>
      <c r="O183" s="195"/>
      <c r="P183" s="112"/>
      <c r="Q183" s="20"/>
      <c r="V183" s="79"/>
    </row>
    <row r="184" spans="2:30" ht="12.75" customHeight="1" x14ac:dyDescent="0.2">
      <c r="F184" s="199"/>
      <c r="G184" s="99" t="s">
        <v>46</v>
      </c>
      <c r="H184" s="201" t="s">
        <v>89</v>
      </c>
      <c r="I184" s="209">
        <v>-70.28</v>
      </c>
      <c r="J184" s="153">
        <f t="shared" si="11"/>
        <v>-3538.6200000000003</v>
      </c>
      <c r="K184" s="18"/>
      <c r="L184" s="306"/>
      <c r="M184" s="54"/>
      <c r="N184" s="195"/>
      <c r="O184" s="195"/>
      <c r="P184" s="112"/>
      <c r="Q184" s="20"/>
      <c r="V184" s="79"/>
    </row>
    <row r="185" spans="2:30" ht="12.75" customHeight="1" x14ac:dyDescent="0.2">
      <c r="F185" s="199"/>
      <c r="G185" s="99" t="s">
        <v>47</v>
      </c>
      <c r="H185" s="89" t="s">
        <v>81</v>
      </c>
      <c r="I185" s="110">
        <v>-52.28</v>
      </c>
      <c r="J185" s="156">
        <f t="shared" si="11"/>
        <v>-3590.9000000000005</v>
      </c>
      <c r="K185" s="18"/>
      <c r="L185" s="305"/>
      <c r="M185" s="54"/>
      <c r="N185" s="195"/>
      <c r="O185" s="195"/>
      <c r="P185" s="112"/>
      <c r="Q185" s="20"/>
      <c r="V185" s="79"/>
    </row>
    <row r="186" spans="2:30" ht="12.75" customHeight="1" x14ac:dyDescent="0.2">
      <c r="F186" s="199"/>
      <c r="H186" s="19"/>
      <c r="I186" s="73">
        <f>SUM(I149:I185)</f>
        <v>-3590.9000000000005</v>
      </c>
      <c r="J186" s="170"/>
      <c r="K186" s="18"/>
      <c r="L186" s="303"/>
      <c r="M186" s="54"/>
      <c r="N186" s="195"/>
      <c r="O186" s="195"/>
      <c r="P186" s="112"/>
      <c r="Q186" s="20"/>
      <c r="V186" s="79"/>
    </row>
    <row r="187" spans="2:30" s="42" customFormat="1" ht="12.75" customHeight="1" x14ac:dyDescent="0.2">
      <c r="E187" s="15"/>
      <c r="F187" s="288"/>
      <c r="G187" s="83"/>
      <c r="H187" s="64"/>
      <c r="I187" s="15"/>
      <c r="J187" s="318"/>
      <c r="L187" s="283"/>
      <c r="M187" s="72"/>
      <c r="N187" s="319"/>
      <c r="O187" s="319"/>
      <c r="P187" s="161"/>
      <c r="Q187" s="15"/>
      <c r="U187" s="15"/>
      <c r="V187" s="65"/>
      <c r="W187" s="15"/>
    </row>
    <row r="188" spans="2:30" ht="12.75" customHeight="1" x14ac:dyDescent="0.2">
      <c r="F188" s="199"/>
      <c r="H188" s="19"/>
      <c r="I188" s="20"/>
      <c r="J188" s="170"/>
      <c r="K188" s="18"/>
      <c r="L188" s="194"/>
      <c r="M188" s="54"/>
      <c r="N188" s="195"/>
      <c r="O188" s="195"/>
      <c r="P188" s="112"/>
      <c r="Q188" s="20"/>
      <c r="V188" s="79"/>
    </row>
    <row r="189" spans="2:30" ht="12.75" customHeight="1" x14ac:dyDescent="0.2">
      <c r="B189" s="419" t="s">
        <v>230</v>
      </c>
      <c r="C189" s="419"/>
      <c r="D189" s="419"/>
      <c r="E189" s="419"/>
      <c r="G189" s="84"/>
      <c r="H189" s="54"/>
      <c r="I189" s="420" t="s">
        <v>33</v>
      </c>
      <c r="J189" s="324"/>
      <c r="K189" s="191"/>
      <c r="L189" s="422" t="s">
        <v>30</v>
      </c>
      <c r="M189" s="424" t="s">
        <v>97</v>
      </c>
      <c r="N189" s="424"/>
      <c r="O189" s="116"/>
      <c r="S189" s="24"/>
      <c r="T189" s="24"/>
      <c r="U189" s="20"/>
      <c r="V189" s="192"/>
      <c r="W189" s="20"/>
      <c r="X189" s="18"/>
      <c r="Y189" s="18"/>
      <c r="Z189" s="18"/>
      <c r="AA189" s="18"/>
      <c r="AB189" s="18"/>
      <c r="AC189" s="18"/>
      <c r="AD189" s="18"/>
    </row>
    <row r="190" spans="2:30" ht="12.75" customHeight="1" x14ac:dyDescent="0.2">
      <c r="C190" s="16" t="s">
        <v>77</v>
      </c>
      <c r="D190" s="14"/>
      <c r="E190" s="171">
        <v>9000</v>
      </c>
      <c r="G190" s="85" t="s">
        <v>49</v>
      </c>
      <c r="H190" s="72"/>
      <c r="I190" s="421"/>
      <c r="J190" s="324" t="s">
        <v>26</v>
      </c>
      <c r="K190" s="191"/>
      <c r="L190" s="423"/>
      <c r="M190" s="325" t="s">
        <v>26</v>
      </c>
      <c r="N190" s="326" t="s">
        <v>32</v>
      </c>
      <c r="O190" s="116"/>
      <c r="S190" s="61"/>
      <c r="T190" s="57"/>
      <c r="U190" s="60"/>
      <c r="V190" s="46"/>
      <c r="W190" s="47"/>
      <c r="X190" s="18"/>
      <c r="Y190" s="26"/>
      <c r="Z190" s="18"/>
      <c r="AA190" s="18"/>
      <c r="AB190" s="18"/>
      <c r="AC190" s="18"/>
      <c r="AD190" s="18"/>
    </row>
    <row r="191" spans="2:30" ht="12.75" customHeight="1" x14ac:dyDescent="0.2">
      <c r="C191" s="16"/>
      <c r="D191" s="14" t="s">
        <v>11</v>
      </c>
      <c r="E191" s="30"/>
      <c r="G191" s="90"/>
      <c r="H191" s="78" t="s">
        <v>52</v>
      </c>
      <c r="I191" s="28">
        <f>$J$185</f>
        <v>-3590.9000000000005</v>
      </c>
      <c r="J191" s="37">
        <f>I191</f>
        <v>-3590.9000000000005</v>
      </c>
      <c r="K191" s="20"/>
      <c r="L191" s="28">
        <f>$M$153</f>
        <v>-27413.65</v>
      </c>
      <c r="M191" s="37">
        <f>L191</f>
        <v>-27413.65</v>
      </c>
      <c r="N191" s="28">
        <f>28000+M191</f>
        <v>586.34999999999854</v>
      </c>
      <c r="O191" s="117" t="s">
        <v>67</v>
      </c>
      <c r="P191" s="111" t="s">
        <v>68</v>
      </c>
      <c r="R191" s="120"/>
      <c r="S191" s="57"/>
      <c r="T191" s="57"/>
      <c r="U191" s="28"/>
      <c r="V191" s="149"/>
      <c r="W191" s="20"/>
      <c r="X191" s="18"/>
      <c r="Y191" s="49"/>
      <c r="Z191" s="50"/>
      <c r="AA191" s="18"/>
      <c r="AB191" s="18"/>
      <c r="AC191" s="18"/>
      <c r="AD191" s="18"/>
    </row>
    <row r="192" spans="2:30" ht="12.75" customHeight="1" x14ac:dyDescent="0.2">
      <c r="C192" s="17" t="s">
        <v>5</v>
      </c>
      <c r="D192" s="14"/>
      <c r="E192" s="14">
        <f>SUM(E190:E191)</f>
        <v>9000</v>
      </c>
      <c r="G192" s="92"/>
      <c r="H192" s="75" t="s">
        <v>237</v>
      </c>
      <c r="I192" s="28">
        <v>-69</v>
      </c>
      <c r="J192" s="153">
        <f t="shared" ref="J192:J246" si="13">J191+I192</f>
        <v>-3659.9000000000005</v>
      </c>
      <c r="K192" s="25"/>
      <c r="L192" s="68">
        <v>-113.11</v>
      </c>
      <c r="M192" s="38">
        <f>M191+L192</f>
        <v>-27526.760000000002</v>
      </c>
      <c r="N192" s="28">
        <f>28000+M192</f>
        <v>473.23999999999796</v>
      </c>
      <c r="O192" s="113" t="s">
        <v>65</v>
      </c>
      <c r="P192" s="119"/>
      <c r="R192" s="57"/>
      <c r="S192" s="57"/>
      <c r="T192" s="58"/>
      <c r="U192" s="31"/>
      <c r="V192" s="150"/>
      <c r="W192" s="20"/>
      <c r="X192" s="18"/>
      <c r="Y192" s="49"/>
      <c r="Z192" s="50"/>
      <c r="AA192" s="18"/>
      <c r="AB192" s="18"/>
      <c r="AC192" s="18"/>
      <c r="AD192" s="18"/>
    </row>
    <row r="193" spans="1:30" ht="12.75" customHeight="1" x14ac:dyDescent="0.2">
      <c r="A193" s="98"/>
      <c r="G193" s="92"/>
      <c r="H193" s="75" t="s">
        <v>238</v>
      </c>
      <c r="I193" s="28">
        <f>-46.9-27.5-57.6</f>
        <v>-132</v>
      </c>
      <c r="J193" s="153">
        <f t="shared" si="13"/>
        <v>-3791.9000000000005</v>
      </c>
      <c r="K193" s="81"/>
      <c r="L193" s="68">
        <v>-415.05</v>
      </c>
      <c r="M193" s="38">
        <f t="shared" ref="M193:M213" si="14">M192+L193</f>
        <v>-27941.81</v>
      </c>
      <c r="N193" s="28">
        <f>28000+M193</f>
        <v>58.18999999999869</v>
      </c>
      <c r="O193" s="113" t="s">
        <v>61</v>
      </c>
      <c r="P193" s="119"/>
      <c r="R193" s="58"/>
      <c r="S193" s="58"/>
      <c r="T193" s="58"/>
      <c r="U193" s="31"/>
      <c r="V193" s="150"/>
      <c r="W193" s="20"/>
      <c r="X193" s="18"/>
      <c r="Y193" s="49"/>
      <c r="Z193" s="50"/>
      <c r="AA193" s="18"/>
      <c r="AB193" s="18"/>
      <c r="AC193" s="18"/>
      <c r="AD193" s="18"/>
    </row>
    <row r="194" spans="1:30" ht="12.75" customHeight="1" x14ac:dyDescent="0.2">
      <c r="A194" s="98"/>
      <c r="C194" s="43" t="s">
        <v>9</v>
      </c>
      <c r="E194" s="27"/>
      <c r="G194" s="92"/>
      <c r="H194" s="75" t="s">
        <v>98</v>
      </c>
      <c r="I194" s="28">
        <v>-5</v>
      </c>
      <c r="J194" s="153">
        <f t="shared" si="13"/>
        <v>-3796.9000000000005</v>
      </c>
      <c r="K194" s="81"/>
      <c r="L194" s="68">
        <f>-I200</f>
        <v>500</v>
      </c>
      <c r="M194" s="38">
        <f t="shared" si="14"/>
        <v>-27441.81</v>
      </c>
      <c r="N194" s="28">
        <f t="shared" ref="N194:N213" si="15">28000+M194</f>
        <v>558.18999999999869</v>
      </c>
      <c r="O194" s="113" t="s">
        <v>58</v>
      </c>
      <c r="P194" s="119"/>
      <c r="R194" s="55"/>
      <c r="S194" s="57"/>
      <c r="T194" s="58"/>
      <c r="U194" s="31"/>
      <c r="V194" s="150"/>
      <c r="W194" s="52"/>
      <c r="X194" s="18"/>
      <c r="Y194" s="53"/>
      <c r="Z194" s="50"/>
      <c r="AA194" s="18"/>
      <c r="AB194" s="18"/>
      <c r="AC194" s="18"/>
      <c r="AD194" s="18"/>
    </row>
    <row r="195" spans="1:30" ht="12.75" customHeight="1" x14ac:dyDescent="0.2">
      <c r="A195" s="98"/>
      <c r="D195" s="18" t="s">
        <v>7</v>
      </c>
      <c r="E195" s="27">
        <f>E190</f>
        <v>9000</v>
      </c>
      <c r="G195" s="92"/>
      <c r="H195" s="75" t="s">
        <v>111</v>
      </c>
      <c r="I195" s="316">
        <v>10000</v>
      </c>
      <c r="J195" s="153">
        <f t="shared" si="13"/>
        <v>6203.0999999999995</v>
      </c>
      <c r="K195" s="81"/>
      <c r="L195" s="68">
        <v>-350</v>
      </c>
      <c r="M195" s="38">
        <f t="shared" si="14"/>
        <v>-27791.81</v>
      </c>
      <c r="N195" s="28">
        <f t="shared" si="15"/>
        <v>208.18999999999869</v>
      </c>
      <c r="O195" s="113" t="s">
        <v>105</v>
      </c>
      <c r="P195" s="119"/>
      <c r="Q195" s="20"/>
      <c r="R195" s="57"/>
      <c r="S195" s="57"/>
      <c r="T195" s="58"/>
      <c r="U195" s="31"/>
      <c r="V195" s="150"/>
      <c r="W195" s="20"/>
      <c r="X195" s="18"/>
      <c r="Y195" s="26"/>
      <c r="Z195" s="50"/>
      <c r="AA195" s="18"/>
      <c r="AB195" s="18"/>
      <c r="AC195" s="18"/>
      <c r="AD195" s="18"/>
    </row>
    <row r="196" spans="1:30" ht="12.75" customHeight="1" x14ac:dyDescent="0.2">
      <c r="A196" s="98"/>
      <c r="D196" s="42" t="s">
        <v>6</v>
      </c>
      <c r="E196" s="147"/>
      <c r="G196" s="92"/>
      <c r="H196" s="75" t="s">
        <v>241</v>
      </c>
      <c r="I196" s="28">
        <v>-100</v>
      </c>
      <c r="J196" s="153">
        <f t="shared" si="13"/>
        <v>6103.0999999999995</v>
      </c>
      <c r="K196" s="81"/>
      <c r="L196" s="68">
        <v>-29.8</v>
      </c>
      <c r="M196" s="38">
        <f t="shared" si="14"/>
        <v>-27821.61</v>
      </c>
      <c r="N196" s="28">
        <f t="shared" si="15"/>
        <v>178.38999999999942</v>
      </c>
      <c r="O196" s="113" t="s">
        <v>249</v>
      </c>
      <c r="P196" s="119"/>
      <c r="Q196" s="20"/>
      <c r="R196" s="18"/>
      <c r="S196" s="18"/>
      <c r="T196" s="58"/>
      <c r="U196" s="80"/>
      <c r="V196" s="51"/>
      <c r="W196" s="20"/>
      <c r="X196" s="18"/>
      <c r="Y196" s="49"/>
      <c r="Z196" s="50"/>
      <c r="AA196" s="18"/>
      <c r="AB196" s="18"/>
      <c r="AC196" s="18"/>
      <c r="AD196" s="18"/>
    </row>
    <row r="197" spans="1:30" ht="12.75" customHeight="1" x14ac:dyDescent="0.2">
      <c r="A197" s="98"/>
      <c r="D197" s="18"/>
      <c r="E197" s="154"/>
      <c r="G197" s="92"/>
      <c r="H197" s="75" t="s">
        <v>239</v>
      </c>
      <c r="I197" s="28">
        <f>-2797.56</f>
        <v>-2797.56</v>
      </c>
      <c r="J197" s="153">
        <f t="shared" si="13"/>
        <v>3305.5399999999995</v>
      </c>
      <c r="K197" s="81"/>
      <c r="L197" s="68">
        <v>-32</v>
      </c>
      <c r="M197" s="38">
        <f t="shared" si="14"/>
        <v>-27853.61</v>
      </c>
      <c r="N197" s="28">
        <f t="shared" si="15"/>
        <v>146.38999999999942</v>
      </c>
      <c r="O197" s="113" t="s">
        <v>248</v>
      </c>
      <c r="P197" s="119"/>
      <c r="Q197" s="20"/>
      <c r="R197" s="18"/>
      <c r="S197" s="18"/>
      <c r="T197" s="58"/>
      <c r="U197" s="80"/>
      <c r="V197" s="51"/>
      <c r="W197" s="20"/>
      <c r="X197" s="18"/>
      <c r="Y197" s="49"/>
      <c r="Z197" s="50"/>
      <c r="AA197" s="18"/>
      <c r="AB197" s="18"/>
      <c r="AC197" s="18"/>
      <c r="AD197" s="18"/>
    </row>
    <row r="198" spans="1:30" ht="12.75" customHeight="1" x14ac:dyDescent="0.2">
      <c r="A198" s="100"/>
      <c r="B198" s="100"/>
      <c r="C198" s="100"/>
      <c r="D198" s="190"/>
      <c r="E198" s="68"/>
      <c r="G198" s="92"/>
      <c r="H198" s="75" t="s">
        <v>101</v>
      </c>
      <c r="I198" s="28">
        <v>-5</v>
      </c>
      <c r="J198" s="153">
        <f t="shared" si="13"/>
        <v>3300.5399999999995</v>
      </c>
      <c r="K198" s="81"/>
      <c r="L198" s="68">
        <v>-32</v>
      </c>
      <c r="M198" s="38">
        <f t="shared" si="14"/>
        <v>-27885.61</v>
      </c>
      <c r="N198" s="28">
        <f t="shared" si="15"/>
        <v>114.38999999999942</v>
      </c>
      <c r="O198" s="113" t="s">
        <v>248</v>
      </c>
      <c r="P198" s="119"/>
      <c r="Q198" s="81"/>
      <c r="R198" s="20"/>
      <c r="S198" s="48"/>
      <c r="T198" s="18"/>
      <c r="U198" s="80"/>
      <c r="V198" s="51"/>
      <c r="W198" s="20"/>
      <c r="X198" s="18"/>
      <c r="Y198" s="18"/>
      <c r="Z198" s="18"/>
      <c r="AA198" s="18"/>
      <c r="AB198" s="18"/>
      <c r="AC198" s="18"/>
      <c r="AD198" s="18"/>
    </row>
    <row r="199" spans="1:30" ht="12.75" customHeight="1" x14ac:dyDescent="0.2">
      <c r="A199" s="100"/>
      <c r="B199" s="100"/>
      <c r="C199" s="100"/>
      <c r="D199" s="190"/>
      <c r="E199" s="68"/>
      <c r="G199" s="92"/>
      <c r="H199" s="75" t="s">
        <v>242</v>
      </c>
      <c r="I199" s="28">
        <v>-300</v>
      </c>
      <c r="J199" s="153">
        <f t="shared" si="13"/>
        <v>3000.5399999999995</v>
      </c>
      <c r="K199" s="81"/>
      <c r="L199" s="68">
        <v>-92</v>
      </c>
      <c r="M199" s="38">
        <f t="shared" si="14"/>
        <v>-27977.61</v>
      </c>
      <c r="N199" s="28">
        <f t="shared" si="15"/>
        <v>22.389999999999418</v>
      </c>
      <c r="O199" s="113" t="s">
        <v>251</v>
      </c>
      <c r="P199" s="119"/>
      <c r="Q199" s="81"/>
      <c r="R199" s="20"/>
      <c r="S199" s="48"/>
      <c r="T199" s="18"/>
      <c r="U199" s="80"/>
      <c r="V199" s="51"/>
      <c r="W199" s="20"/>
      <c r="X199" s="18"/>
      <c r="Y199" s="18"/>
      <c r="Z199" s="18"/>
      <c r="AA199" s="18"/>
      <c r="AB199" s="18"/>
      <c r="AC199" s="18"/>
      <c r="AD199" s="18"/>
    </row>
    <row r="200" spans="1:30" ht="12.75" customHeight="1" x14ac:dyDescent="0.2">
      <c r="A200" s="100"/>
      <c r="B200" s="100"/>
      <c r="C200" s="100"/>
      <c r="D200" s="219"/>
      <c r="E200" s="68"/>
      <c r="G200" s="92"/>
      <c r="H200" s="75" t="s">
        <v>39</v>
      </c>
      <c r="I200" s="28">
        <v>-500</v>
      </c>
      <c r="J200" s="153">
        <f t="shared" si="13"/>
        <v>2500.5399999999995</v>
      </c>
      <c r="K200" s="81"/>
      <c r="L200" s="68">
        <v>1000</v>
      </c>
      <c r="M200" s="38">
        <f t="shared" si="14"/>
        <v>-26977.61</v>
      </c>
      <c r="N200" s="28">
        <f t="shared" si="15"/>
        <v>1022.3899999999994</v>
      </c>
      <c r="O200" s="113" t="s">
        <v>58</v>
      </c>
      <c r="P200" s="119"/>
      <c r="Q200" s="81"/>
      <c r="R200" s="20"/>
      <c r="S200" s="48"/>
      <c r="T200" s="18"/>
      <c r="U200" s="80"/>
      <c r="V200" s="51"/>
      <c r="W200" s="20"/>
      <c r="X200" s="18"/>
      <c r="Y200" s="18"/>
      <c r="Z200" s="18"/>
      <c r="AA200" s="18"/>
      <c r="AB200" s="18"/>
      <c r="AC200" s="18"/>
      <c r="AD200" s="18"/>
    </row>
    <row r="201" spans="1:30" ht="12.75" customHeight="1" x14ac:dyDescent="0.2">
      <c r="A201" s="100"/>
      <c r="B201" s="100"/>
      <c r="C201" s="100"/>
      <c r="D201" s="219"/>
      <c r="E201" s="68"/>
      <c r="G201" s="92"/>
      <c r="H201" s="86" t="s">
        <v>243</v>
      </c>
      <c r="I201" s="28">
        <v>-288.89999999999998</v>
      </c>
      <c r="J201" s="153">
        <f t="shared" si="13"/>
        <v>2211.6399999999994</v>
      </c>
      <c r="K201" s="81"/>
      <c r="L201" s="68">
        <v>-105.98</v>
      </c>
      <c r="M201" s="38">
        <f t="shared" si="14"/>
        <v>-27083.59</v>
      </c>
      <c r="N201" s="28">
        <f t="shared" si="15"/>
        <v>916.40999999999985</v>
      </c>
      <c r="O201" s="113" t="s">
        <v>103</v>
      </c>
      <c r="P201" s="119"/>
      <c r="Q201" s="81"/>
      <c r="R201" s="20"/>
      <c r="S201" s="48"/>
      <c r="T201" s="18"/>
      <c r="U201" s="80"/>
      <c r="V201" s="51"/>
      <c r="W201" s="20"/>
      <c r="X201" s="18"/>
      <c r="Y201" s="18"/>
      <c r="Z201" s="18"/>
      <c r="AA201" s="18"/>
      <c r="AB201" s="18"/>
      <c r="AC201" s="18"/>
      <c r="AD201" s="18"/>
    </row>
    <row r="202" spans="1:30" ht="12.75" customHeight="1" x14ac:dyDescent="0.2">
      <c r="A202" s="100"/>
      <c r="B202" s="100"/>
      <c r="C202" s="100"/>
      <c r="D202" s="219"/>
      <c r="E202" s="68"/>
      <c r="G202" s="92"/>
      <c r="H202" s="86" t="s">
        <v>69</v>
      </c>
      <c r="I202" s="28">
        <v>-340.43</v>
      </c>
      <c r="J202" s="153">
        <f t="shared" si="13"/>
        <v>1871.2099999999994</v>
      </c>
      <c r="K202" s="81"/>
      <c r="L202" s="68">
        <f>-181-167.95</f>
        <v>-348.95</v>
      </c>
      <c r="M202" s="38">
        <f t="shared" si="14"/>
        <v>-27432.54</v>
      </c>
      <c r="N202" s="28">
        <f t="shared" si="15"/>
        <v>567.45999999999913</v>
      </c>
      <c r="O202" s="113" t="s">
        <v>254</v>
      </c>
      <c r="P202" s="119"/>
      <c r="Q202" s="81"/>
      <c r="R202" s="20"/>
      <c r="S202" s="48"/>
      <c r="T202" s="18"/>
      <c r="U202" s="80"/>
      <c r="V202" s="51"/>
      <c r="W202" s="20"/>
      <c r="X202" s="18"/>
      <c r="Y202" s="18"/>
      <c r="Z202" s="18"/>
      <c r="AA202" s="18"/>
      <c r="AB202" s="18"/>
      <c r="AC202" s="18"/>
      <c r="AD202" s="18"/>
    </row>
    <row r="203" spans="1:30" ht="12.75" customHeight="1" x14ac:dyDescent="0.2">
      <c r="A203" s="100"/>
      <c r="B203" s="100"/>
      <c r="C203" s="100"/>
      <c r="D203" s="219"/>
      <c r="E203" s="68"/>
      <c r="G203" s="92"/>
      <c r="H203" s="86" t="s">
        <v>244</v>
      </c>
      <c r="I203" s="28">
        <f>-86.75-127.6</f>
        <v>-214.35</v>
      </c>
      <c r="J203" s="153">
        <f t="shared" si="13"/>
        <v>1656.8599999999994</v>
      </c>
      <c r="K203" s="81"/>
      <c r="L203" s="68">
        <v>-200.1</v>
      </c>
      <c r="M203" s="38">
        <f t="shared" si="14"/>
        <v>-27632.639999999999</v>
      </c>
      <c r="N203" s="28">
        <f t="shared" si="15"/>
        <v>367.36000000000058</v>
      </c>
      <c r="O203" s="113" t="s">
        <v>255</v>
      </c>
      <c r="P203" s="119"/>
      <c r="Q203" s="81"/>
      <c r="R203" s="20"/>
      <c r="S203" s="48"/>
      <c r="T203" s="18"/>
      <c r="U203" s="80"/>
      <c r="V203" s="51"/>
      <c r="W203" s="20"/>
      <c r="X203" s="18"/>
      <c r="Y203" s="18"/>
      <c r="Z203" s="18"/>
      <c r="AA203" s="18"/>
      <c r="AB203" s="18"/>
      <c r="AC203" s="18"/>
      <c r="AD203" s="18"/>
    </row>
    <row r="204" spans="1:30" ht="12.75" customHeight="1" x14ac:dyDescent="0.2">
      <c r="A204" s="100"/>
      <c r="B204" s="100"/>
      <c r="C204" s="100"/>
      <c r="D204" s="219"/>
      <c r="E204" s="68"/>
      <c r="G204" s="92"/>
      <c r="H204" s="86" t="s">
        <v>123</v>
      </c>
      <c r="I204" s="28">
        <v>-370</v>
      </c>
      <c r="J204" s="153">
        <f t="shared" si="13"/>
        <v>1286.8599999999994</v>
      </c>
      <c r="K204" s="81"/>
      <c r="L204" s="68">
        <v>-163.02000000000001</v>
      </c>
      <c r="M204" s="38">
        <f t="shared" si="14"/>
        <v>-27795.66</v>
      </c>
      <c r="N204" s="28">
        <f t="shared" si="15"/>
        <v>204.34000000000015</v>
      </c>
      <c r="O204" s="113" t="s">
        <v>256</v>
      </c>
      <c r="P204" s="119"/>
      <c r="Q204" s="81"/>
      <c r="R204" s="20"/>
      <c r="S204" s="48"/>
      <c r="T204" s="18"/>
      <c r="U204" s="80"/>
      <c r="V204" s="51"/>
      <c r="W204" s="20"/>
      <c r="X204" s="18"/>
      <c r="Y204" s="18"/>
      <c r="Z204" s="18"/>
      <c r="AA204" s="18"/>
      <c r="AB204" s="18"/>
      <c r="AC204" s="18"/>
      <c r="AD204" s="18"/>
    </row>
    <row r="205" spans="1:30" ht="12.75" customHeight="1" x14ac:dyDescent="0.2">
      <c r="A205" s="100"/>
      <c r="B205" s="100"/>
      <c r="C205" s="100"/>
      <c r="D205" s="219"/>
      <c r="E205" s="68"/>
      <c r="G205" s="92"/>
      <c r="H205" s="86" t="s">
        <v>245</v>
      </c>
      <c r="I205" s="28">
        <v>-57</v>
      </c>
      <c r="J205" s="153">
        <f t="shared" si="13"/>
        <v>1229.8599999999994</v>
      </c>
      <c r="K205" s="81"/>
      <c r="L205" s="68">
        <v>-14</v>
      </c>
      <c r="M205" s="38">
        <f t="shared" si="14"/>
        <v>-27809.66</v>
      </c>
      <c r="N205" s="28">
        <f t="shared" si="15"/>
        <v>190.34000000000015</v>
      </c>
      <c r="O205" s="113" t="s">
        <v>110</v>
      </c>
      <c r="P205" s="119"/>
      <c r="Q205" s="81"/>
      <c r="R205" s="20"/>
      <c r="S205" s="48"/>
      <c r="T205" s="18"/>
      <c r="U205" s="80"/>
      <c r="V205" s="51"/>
      <c r="W205" s="20"/>
      <c r="X205" s="18"/>
      <c r="Y205" s="18"/>
      <c r="Z205" s="18"/>
      <c r="AA205" s="18"/>
      <c r="AB205" s="18"/>
      <c r="AC205" s="18"/>
      <c r="AD205" s="18"/>
    </row>
    <row r="206" spans="1:30" ht="12.75" customHeight="1" x14ac:dyDescent="0.2">
      <c r="A206" s="100"/>
      <c r="B206" s="100"/>
      <c r="C206" s="100"/>
      <c r="D206" s="219"/>
      <c r="E206" s="68"/>
      <c r="G206" s="92"/>
      <c r="H206" s="86" t="s">
        <v>246</v>
      </c>
      <c r="I206" s="28">
        <v>-330</v>
      </c>
      <c r="J206" s="153">
        <f t="shared" si="13"/>
        <v>899.85999999999945</v>
      </c>
      <c r="K206" s="81"/>
      <c r="L206" s="68">
        <v>-49.87</v>
      </c>
      <c r="M206" s="38">
        <f t="shared" si="14"/>
        <v>-27859.53</v>
      </c>
      <c r="N206" s="28">
        <f t="shared" si="15"/>
        <v>140.47000000000116</v>
      </c>
      <c r="O206" s="113" t="s">
        <v>63</v>
      </c>
      <c r="P206" s="119"/>
      <c r="Q206" s="81"/>
      <c r="R206" s="20"/>
      <c r="S206" s="48"/>
      <c r="T206" s="18"/>
      <c r="U206" s="80"/>
      <c r="V206" s="51"/>
      <c r="W206" s="20"/>
      <c r="X206" s="18"/>
      <c r="Y206" s="18"/>
      <c r="Z206" s="18"/>
      <c r="AA206" s="18"/>
      <c r="AB206" s="18"/>
      <c r="AC206" s="18"/>
      <c r="AD206" s="18"/>
    </row>
    <row r="207" spans="1:30" ht="12.75" customHeight="1" x14ac:dyDescent="0.2">
      <c r="A207" s="100"/>
      <c r="B207" s="100"/>
      <c r="C207" s="100"/>
      <c r="D207" s="189"/>
      <c r="E207" s="68"/>
      <c r="G207" s="92"/>
      <c r="H207" s="86" t="s">
        <v>245</v>
      </c>
      <c r="I207" s="28">
        <v>-52.6</v>
      </c>
      <c r="J207" s="153">
        <f t="shared" si="13"/>
        <v>847.25999999999942</v>
      </c>
      <c r="K207" s="81"/>
      <c r="L207" s="68">
        <v>-85.5</v>
      </c>
      <c r="M207" s="38">
        <f t="shared" si="14"/>
        <v>-27945.03</v>
      </c>
      <c r="N207" s="28">
        <f t="shared" si="15"/>
        <v>54.970000000001164</v>
      </c>
      <c r="O207" s="113" t="s">
        <v>130</v>
      </c>
      <c r="P207" s="119"/>
      <c r="Q207" s="81"/>
      <c r="R207" s="20"/>
      <c r="S207" s="48"/>
      <c r="T207" s="18"/>
      <c r="U207" s="80"/>
      <c r="V207" s="51"/>
      <c r="W207" s="20"/>
      <c r="X207" s="18"/>
      <c r="Y207" s="18"/>
      <c r="Z207" s="18"/>
      <c r="AA207" s="18"/>
      <c r="AB207" s="18"/>
      <c r="AC207" s="18"/>
      <c r="AD207" s="18"/>
    </row>
    <row r="208" spans="1:30" ht="12.75" customHeight="1" x14ac:dyDescent="0.2">
      <c r="A208" s="100"/>
      <c r="B208" s="100"/>
      <c r="C208" s="100"/>
      <c r="D208" s="189"/>
      <c r="E208" s="68"/>
      <c r="G208" s="92"/>
      <c r="H208" s="86" t="s">
        <v>247</v>
      </c>
      <c r="I208" s="28">
        <v>-1.05</v>
      </c>
      <c r="J208" s="153">
        <f t="shared" si="13"/>
        <v>846.20999999999947</v>
      </c>
      <c r="K208" s="81"/>
      <c r="L208" s="68">
        <v>1020</v>
      </c>
      <c r="M208" s="38">
        <f t="shared" si="14"/>
        <v>-26925.03</v>
      </c>
      <c r="N208" s="28">
        <f t="shared" si="15"/>
        <v>1074.9700000000012</v>
      </c>
      <c r="O208" s="278" t="s">
        <v>262</v>
      </c>
      <c r="P208" s="119"/>
      <c r="Q208" s="81"/>
      <c r="R208" s="20"/>
      <c r="S208" s="48"/>
      <c r="T208" s="18"/>
      <c r="U208" s="80"/>
      <c r="V208" s="51"/>
      <c r="W208" s="20"/>
      <c r="X208" s="18"/>
      <c r="Y208" s="18"/>
      <c r="Z208" s="18"/>
      <c r="AA208" s="18"/>
      <c r="AB208" s="18"/>
      <c r="AC208" s="18"/>
      <c r="AD208" s="18"/>
    </row>
    <row r="209" spans="1:30" ht="12.75" customHeight="1" x14ac:dyDescent="0.2">
      <c r="A209" s="100"/>
      <c r="B209" s="100"/>
      <c r="C209" s="100"/>
      <c r="D209" s="189"/>
      <c r="E209" s="68"/>
      <c r="G209" s="92"/>
      <c r="H209" s="86" t="s">
        <v>69</v>
      </c>
      <c r="I209" s="28">
        <f>-26-313.14</f>
        <v>-339.14</v>
      </c>
      <c r="J209" s="153">
        <f t="shared" si="13"/>
        <v>507.06999999999948</v>
      </c>
      <c r="K209" s="81"/>
      <c r="L209" s="68">
        <v>-200.56</v>
      </c>
      <c r="M209" s="38">
        <f t="shared" si="14"/>
        <v>-27125.59</v>
      </c>
      <c r="N209" s="28">
        <f t="shared" si="15"/>
        <v>874.40999999999985</v>
      </c>
      <c r="O209" s="113" t="s">
        <v>63</v>
      </c>
      <c r="P209" s="119"/>
      <c r="Q209" s="81"/>
      <c r="R209" s="20"/>
      <c r="S209" s="48"/>
      <c r="T209" s="18"/>
      <c r="U209" s="80"/>
      <c r="V209" s="51"/>
      <c r="W209" s="20"/>
      <c r="X209" s="18"/>
      <c r="Y209" s="18"/>
      <c r="Z209" s="18"/>
      <c r="AA209" s="18"/>
      <c r="AB209" s="18"/>
      <c r="AC209" s="18"/>
      <c r="AD209" s="18"/>
    </row>
    <row r="210" spans="1:30" ht="12.75" customHeight="1" x14ac:dyDescent="0.2">
      <c r="A210" s="100"/>
      <c r="B210" s="100"/>
      <c r="C210" s="100"/>
      <c r="D210" s="189"/>
      <c r="E210" s="68"/>
      <c r="G210" s="92"/>
      <c r="H210" s="86" t="s">
        <v>127</v>
      </c>
      <c r="I210" s="28">
        <v>-500</v>
      </c>
      <c r="J210" s="153">
        <f t="shared" si="13"/>
        <v>7.0699999999994816</v>
      </c>
      <c r="K210" s="81"/>
      <c r="L210" s="68">
        <v>-110.7</v>
      </c>
      <c r="M210" s="38">
        <f t="shared" si="14"/>
        <v>-27236.29</v>
      </c>
      <c r="N210" s="28">
        <f t="shared" si="15"/>
        <v>763.70999999999913</v>
      </c>
      <c r="O210" s="113" t="s">
        <v>263</v>
      </c>
      <c r="P210" s="119"/>
      <c r="Q210" s="81"/>
      <c r="R210" s="20"/>
      <c r="S210" s="48"/>
      <c r="T210" s="18"/>
      <c r="U210" s="80"/>
      <c r="V210" s="51"/>
      <c r="W210" s="20"/>
      <c r="X210" s="18"/>
      <c r="Y210" s="18"/>
      <c r="Z210" s="18"/>
      <c r="AA210" s="18"/>
      <c r="AB210" s="18"/>
      <c r="AC210" s="18"/>
      <c r="AD210" s="18"/>
    </row>
    <row r="211" spans="1:30" ht="12.75" customHeight="1" x14ac:dyDescent="0.2">
      <c r="A211" s="100"/>
      <c r="B211" s="100"/>
      <c r="C211" s="100"/>
      <c r="D211" s="189"/>
      <c r="E211" s="68"/>
      <c r="G211" s="92"/>
      <c r="H211" s="86" t="s">
        <v>111</v>
      </c>
      <c r="I211" s="316">
        <v>3000</v>
      </c>
      <c r="J211" s="153">
        <f t="shared" si="13"/>
        <v>3007.0699999999997</v>
      </c>
      <c r="K211" s="81"/>
      <c r="L211" s="68">
        <v>-268.39999999999998</v>
      </c>
      <c r="M211" s="38">
        <f t="shared" si="14"/>
        <v>-27504.690000000002</v>
      </c>
      <c r="N211" s="28">
        <f t="shared" si="15"/>
        <v>495.30999999999767</v>
      </c>
      <c r="O211" s="113" t="s">
        <v>264</v>
      </c>
      <c r="P211" s="119"/>
      <c r="Q211" s="81"/>
      <c r="R211" s="20"/>
      <c r="S211" s="48"/>
      <c r="T211" s="18"/>
      <c r="U211" s="80"/>
      <c r="V211" s="51"/>
      <c r="W211" s="20"/>
      <c r="X211" s="18"/>
      <c r="Y211" s="18"/>
      <c r="Z211" s="18"/>
      <c r="AA211" s="18"/>
      <c r="AB211" s="18"/>
      <c r="AC211" s="18"/>
      <c r="AD211" s="18"/>
    </row>
    <row r="212" spans="1:30" ht="12.75" customHeight="1" x14ac:dyDescent="0.2">
      <c r="A212" s="100"/>
      <c r="B212" s="100"/>
      <c r="C212" s="100"/>
      <c r="D212" s="189"/>
      <c r="E212" s="68"/>
      <c r="G212" s="92"/>
      <c r="H212" s="86" t="s">
        <v>39</v>
      </c>
      <c r="I212" s="28">
        <v>-1000</v>
      </c>
      <c r="J212" s="153">
        <f t="shared" si="13"/>
        <v>2007.0699999999997</v>
      </c>
      <c r="K212" s="81"/>
      <c r="L212" s="68">
        <v>-94.4</v>
      </c>
      <c r="M212" s="38">
        <f t="shared" si="14"/>
        <v>-27599.090000000004</v>
      </c>
      <c r="N212" s="28">
        <f t="shared" si="15"/>
        <v>400.90999999999622</v>
      </c>
      <c r="O212" s="113" t="s">
        <v>265</v>
      </c>
      <c r="P212" s="119"/>
      <c r="Q212" s="81"/>
      <c r="R212" s="20"/>
      <c r="S212" s="48"/>
      <c r="T212" s="18"/>
      <c r="U212" s="80"/>
      <c r="V212" s="51"/>
      <c r="W212" s="20"/>
      <c r="X212" s="18"/>
      <c r="Y212" s="18"/>
      <c r="Z212" s="18"/>
      <c r="AA212" s="18"/>
      <c r="AB212" s="18"/>
      <c r="AC212" s="18"/>
      <c r="AD212" s="18"/>
    </row>
    <row r="213" spans="1:30" ht="12.75" customHeight="1" x14ac:dyDescent="0.2">
      <c r="A213" s="100"/>
      <c r="B213" s="100"/>
      <c r="C213" s="100"/>
      <c r="D213" s="189"/>
      <c r="E213" s="68"/>
      <c r="G213" s="92"/>
      <c r="H213" s="86" t="s">
        <v>127</v>
      </c>
      <c r="I213" s="28">
        <v>-200</v>
      </c>
      <c r="J213" s="153">
        <f t="shared" si="13"/>
        <v>1807.0699999999997</v>
      </c>
      <c r="K213" s="81"/>
      <c r="L213" s="68">
        <v>-105.6</v>
      </c>
      <c r="M213" s="39">
        <f t="shared" si="14"/>
        <v>-27704.690000000002</v>
      </c>
      <c r="N213" s="28">
        <f t="shared" si="15"/>
        <v>295.30999999999767</v>
      </c>
      <c r="O213" s="113" t="s">
        <v>266</v>
      </c>
      <c r="P213" s="119"/>
      <c r="Q213" s="81"/>
      <c r="R213" s="20"/>
      <c r="S213" s="48"/>
      <c r="T213" s="18"/>
      <c r="U213" s="80"/>
      <c r="V213" s="51"/>
      <c r="W213" s="20"/>
      <c r="X213" s="18"/>
      <c r="Y213" s="18"/>
      <c r="Z213" s="18"/>
      <c r="AA213" s="18"/>
      <c r="AB213" s="18"/>
      <c r="AC213" s="18"/>
      <c r="AD213" s="18"/>
    </row>
    <row r="214" spans="1:30" ht="12.75" customHeight="1" x14ac:dyDescent="0.2">
      <c r="A214" s="100"/>
      <c r="B214" s="100"/>
      <c r="C214" s="100"/>
      <c r="D214" s="189"/>
      <c r="E214" s="68"/>
      <c r="G214" s="92"/>
      <c r="H214" s="86" t="s">
        <v>235</v>
      </c>
      <c r="I214" s="28">
        <v>-10</v>
      </c>
      <c r="J214" s="153">
        <f>J213+I214</f>
        <v>1797.0699999999997</v>
      </c>
      <c r="K214" s="81"/>
      <c r="L214" s="35">
        <f>SUM(L191:L213)</f>
        <v>-27704.690000000002</v>
      </c>
      <c r="M214" s="91"/>
      <c r="N214" s="96"/>
      <c r="O214" s="113"/>
      <c r="P214" s="119"/>
      <c r="Q214" s="81"/>
      <c r="R214" s="20"/>
      <c r="S214" s="48"/>
      <c r="T214" s="18"/>
      <c r="U214" s="80"/>
      <c r="V214" s="51"/>
      <c r="W214" s="20"/>
      <c r="X214" s="18"/>
      <c r="Y214" s="18"/>
      <c r="Z214" s="18"/>
      <c r="AA214" s="18"/>
      <c r="AB214" s="18"/>
      <c r="AC214" s="18"/>
      <c r="AD214" s="18"/>
    </row>
    <row r="215" spans="1:30" ht="12.75" customHeight="1" x14ac:dyDescent="0.2">
      <c r="A215" s="100"/>
      <c r="B215" s="100"/>
      <c r="C215" s="100"/>
      <c r="D215" s="189"/>
      <c r="E215" s="68"/>
      <c r="G215" s="92"/>
      <c r="H215" s="86" t="s">
        <v>69</v>
      </c>
      <c r="I215" s="28">
        <v>-566.79</v>
      </c>
      <c r="J215" s="153">
        <f t="shared" si="13"/>
        <v>1230.2799999999997</v>
      </c>
      <c r="K215" s="81"/>
      <c r="L215" s="36"/>
      <c r="M215" s="91"/>
      <c r="N215" s="96"/>
      <c r="O215" s="113"/>
      <c r="P215" s="119"/>
      <c r="Q215" s="81"/>
      <c r="R215" s="20"/>
      <c r="S215" s="48"/>
      <c r="T215" s="18"/>
      <c r="U215" s="80"/>
      <c r="V215" s="51"/>
      <c r="W215" s="20"/>
      <c r="X215" s="18"/>
      <c r="Y215" s="18"/>
      <c r="Z215" s="18"/>
      <c r="AA215" s="18"/>
      <c r="AB215" s="18"/>
      <c r="AC215" s="18"/>
      <c r="AD215" s="18"/>
    </row>
    <row r="216" spans="1:30" ht="12.75" customHeight="1" x14ac:dyDescent="0.2">
      <c r="A216" s="100"/>
      <c r="B216" s="100"/>
      <c r="C216" s="100"/>
      <c r="D216" s="189"/>
      <c r="E216" s="68"/>
      <c r="G216" s="92"/>
      <c r="H216" s="86" t="s">
        <v>141</v>
      </c>
      <c r="I216" s="28">
        <v>-277.39999999999998</v>
      </c>
      <c r="J216" s="153">
        <f t="shared" si="13"/>
        <v>952.87999999999977</v>
      </c>
      <c r="K216" s="81"/>
      <c r="L216" s="36"/>
      <c r="M216" s="91"/>
      <c r="N216" s="96"/>
      <c r="O216" s="113"/>
      <c r="P216" s="119"/>
      <c r="Q216" s="81"/>
      <c r="R216" s="20"/>
      <c r="S216" s="48"/>
      <c r="T216" s="18"/>
      <c r="U216" s="80"/>
      <c r="V216" s="51"/>
      <c r="W216" s="20"/>
      <c r="X216" s="18"/>
      <c r="Y216" s="18"/>
      <c r="Z216" s="18"/>
      <c r="AA216" s="18"/>
      <c r="AB216" s="18"/>
      <c r="AC216" s="18"/>
      <c r="AD216" s="18"/>
    </row>
    <row r="217" spans="1:30" ht="12.75" customHeight="1" x14ac:dyDescent="0.2">
      <c r="A217" s="100"/>
      <c r="B217" s="100"/>
      <c r="C217" s="100"/>
      <c r="D217" s="189"/>
      <c r="E217" s="68"/>
      <c r="G217" s="92"/>
      <c r="H217" s="86" t="s">
        <v>111</v>
      </c>
      <c r="I217" s="28">
        <f>-88-43.5</f>
        <v>-131.5</v>
      </c>
      <c r="J217" s="153">
        <f t="shared" si="13"/>
        <v>821.37999999999977</v>
      </c>
      <c r="K217" s="81"/>
      <c r="L217" s="36"/>
      <c r="M217" s="91"/>
      <c r="N217" s="96"/>
      <c r="O217" s="113"/>
      <c r="P217" s="119"/>
      <c r="Q217" s="81"/>
      <c r="R217" s="20"/>
      <c r="S217" s="48"/>
      <c r="T217" s="18"/>
      <c r="U217" s="80"/>
      <c r="V217" s="51"/>
      <c r="W217" s="20"/>
      <c r="X217" s="18"/>
      <c r="Y217" s="18"/>
      <c r="Z217" s="18"/>
      <c r="AA217" s="18"/>
      <c r="AB217" s="18"/>
      <c r="AC217" s="18"/>
      <c r="AD217" s="18"/>
    </row>
    <row r="218" spans="1:30" ht="12.75" customHeight="1" x14ac:dyDescent="0.2">
      <c r="A218" s="100"/>
      <c r="B218" s="100"/>
      <c r="C218" s="100"/>
      <c r="D218" s="189"/>
      <c r="E218" s="68"/>
      <c r="G218" s="92"/>
      <c r="H218" s="86" t="s">
        <v>252</v>
      </c>
      <c r="I218" s="28">
        <v>-550</v>
      </c>
      <c r="J218" s="153">
        <f t="shared" si="13"/>
        <v>271.37999999999977</v>
      </c>
      <c r="K218" s="81"/>
      <c r="L218" s="310"/>
      <c r="M218" s="217"/>
      <c r="N218" s="195"/>
      <c r="O218" s="113"/>
      <c r="P218" s="119"/>
      <c r="Q218" s="81"/>
      <c r="R218" s="20"/>
      <c r="S218" s="48"/>
      <c r="T218" s="18"/>
      <c r="U218" s="80"/>
      <c r="V218" s="51"/>
      <c r="W218" s="20"/>
      <c r="X218" s="18"/>
      <c r="Y218" s="18"/>
      <c r="Z218" s="18"/>
      <c r="AA218" s="18"/>
      <c r="AB218" s="18"/>
      <c r="AC218" s="18"/>
      <c r="AD218" s="18"/>
    </row>
    <row r="219" spans="1:30" ht="12.75" customHeight="1" x14ac:dyDescent="0.2">
      <c r="A219" s="100"/>
      <c r="B219" s="100"/>
      <c r="C219" s="100"/>
      <c r="D219" s="189"/>
      <c r="E219" s="68"/>
      <c r="G219" s="92"/>
      <c r="H219" s="86" t="s">
        <v>253</v>
      </c>
      <c r="I219" s="28">
        <v>-200.1</v>
      </c>
      <c r="J219" s="153">
        <f t="shared" si="13"/>
        <v>71.279999999999774</v>
      </c>
      <c r="K219" s="81"/>
      <c r="L219" s="310"/>
      <c r="M219" s="217"/>
      <c r="N219" s="195"/>
      <c r="O219" s="113"/>
      <c r="P219" s="119"/>
      <c r="Q219" s="81"/>
      <c r="R219" s="20"/>
      <c r="S219" s="48"/>
      <c r="T219" s="18"/>
      <c r="U219" s="80"/>
      <c r="V219" s="51"/>
      <c r="W219" s="20"/>
      <c r="X219" s="18"/>
      <c r="Y219" s="18"/>
      <c r="Z219" s="18"/>
      <c r="AA219" s="18"/>
      <c r="AB219" s="18"/>
      <c r="AC219" s="18"/>
      <c r="AD219" s="18"/>
    </row>
    <row r="220" spans="1:30" ht="12.75" customHeight="1" x14ac:dyDescent="0.2">
      <c r="A220" s="100"/>
      <c r="B220" s="100"/>
      <c r="C220" s="100"/>
      <c r="D220" s="189"/>
      <c r="E220" s="68"/>
      <c r="G220" s="92"/>
      <c r="H220" s="86" t="s">
        <v>69</v>
      </c>
      <c r="I220" s="28">
        <v>-54.58</v>
      </c>
      <c r="J220" s="153">
        <f t="shared" si="13"/>
        <v>16.699999999999775</v>
      </c>
      <c r="K220" s="81"/>
      <c r="L220" s="194"/>
      <c r="M220" s="217"/>
      <c r="N220" s="195"/>
      <c r="O220" s="278"/>
      <c r="P220" s="119"/>
      <c r="Q220" s="81"/>
      <c r="R220" s="20"/>
      <c r="S220" s="48"/>
      <c r="T220" s="18"/>
      <c r="U220" s="80"/>
      <c r="V220" s="51"/>
      <c r="W220" s="20"/>
      <c r="X220" s="18"/>
      <c r="Y220" s="18"/>
      <c r="Z220" s="18"/>
      <c r="AA220" s="18"/>
      <c r="AB220" s="18"/>
      <c r="AC220" s="18"/>
      <c r="AD220" s="18"/>
    </row>
    <row r="221" spans="1:30" ht="12.75" customHeight="1" x14ac:dyDescent="0.2">
      <c r="A221" s="100"/>
      <c r="B221" s="100"/>
      <c r="C221" s="100"/>
      <c r="D221" s="189"/>
      <c r="E221" s="68"/>
      <c r="G221" s="92"/>
      <c r="H221" s="86" t="s">
        <v>257</v>
      </c>
      <c r="I221" s="28">
        <f>3501-274.95</f>
        <v>3226.05</v>
      </c>
      <c r="J221" s="153">
        <f t="shared" si="13"/>
        <v>3242.75</v>
      </c>
      <c r="K221" s="81"/>
      <c r="L221" s="194"/>
      <c r="M221" s="217"/>
      <c r="N221" s="195"/>
      <c r="O221" s="278"/>
      <c r="P221" s="119"/>
      <c r="Q221" s="81"/>
      <c r="R221" s="20"/>
      <c r="S221" s="48"/>
      <c r="T221" s="18"/>
      <c r="U221" s="80"/>
      <c r="V221" s="51"/>
      <c r="W221" s="20"/>
      <c r="X221" s="18"/>
      <c r="Y221" s="18"/>
      <c r="Z221" s="18"/>
      <c r="AA221" s="18"/>
      <c r="AB221" s="18"/>
      <c r="AC221" s="18"/>
      <c r="AD221" s="18"/>
    </row>
    <row r="222" spans="1:30" ht="12.75" customHeight="1" x14ac:dyDescent="0.2">
      <c r="A222" s="100"/>
      <c r="B222" s="100"/>
      <c r="C222" s="100"/>
      <c r="D222" s="189"/>
      <c r="E222" s="68"/>
      <c r="G222" s="92"/>
      <c r="H222" s="86" t="s">
        <v>258</v>
      </c>
      <c r="I222" s="28">
        <v>-1498</v>
      </c>
      <c r="J222" s="153">
        <f t="shared" si="13"/>
        <v>1744.75</v>
      </c>
      <c r="K222" s="81"/>
      <c r="L222" s="194"/>
      <c r="M222" s="217"/>
      <c r="N222" s="195"/>
      <c r="O222" s="278"/>
      <c r="P222" s="119"/>
      <c r="Q222" s="81"/>
      <c r="R222" s="20"/>
      <c r="S222" s="48"/>
      <c r="T222" s="18"/>
      <c r="U222" s="80"/>
      <c r="V222" s="51"/>
      <c r="W222" s="20"/>
      <c r="X222" s="18"/>
      <c r="Y222" s="18"/>
      <c r="Z222" s="18"/>
      <c r="AA222" s="18"/>
      <c r="AB222" s="18"/>
      <c r="AC222" s="18"/>
      <c r="AD222" s="18"/>
    </row>
    <row r="223" spans="1:30" ht="12.75" customHeight="1" x14ac:dyDescent="0.2">
      <c r="A223" s="100"/>
      <c r="B223" s="100"/>
      <c r="C223" s="100"/>
      <c r="D223" s="189"/>
      <c r="E223" s="68"/>
      <c r="G223" s="92"/>
      <c r="H223" s="86" t="s">
        <v>258</v>
      </c>
      <c r="I223" s="28">
        <v>-1698</v>
      </c>
      <c r="J223" s="153">
        <f t="shared" si="13"/>
        <v>46.75</v>
      </c>
      <c r="K223" s="81"/>
      <c r="L223" s="321">
        <f>SUM(I222:I223)</f>
        <v>-3196</v>
      </c>
      <c r="M223" s="322"/>
      <c r="N223" s="195"/>
      <c r="O223" s="278"/>
      <c r="P223" s="119"/>
      <c r="Q223" s="81"/>
      <c r="R223" s="20"/>
      <c r="S223" s="48"/>
      <c r="T223" s="18"/>
      <c r="U223" s="80"/>
      <c r="V223" s="51"/>
      <c r="W223" s="20"/>
      <c r="X223" s="18"/>
      <c r="Y223" s="18"/>
      <c r="Z223" s="18"/>
      <c r="AA223" s="18"/>
      <c r="AB223" s="18"/>
      <c r="AC223" s="18"/>
      <c r="AD223" s="18"/>
    </row>
    <row r="224" spans="1:30" ht="12.75" customHeight="1" x14ac:dyDescent="0.2">
      <c r="A224" s="100"/>
      <c r="B224" s="100"/>
      <c r="C224" s="100"/>
      <c r="D224" s="189"/>
      <c r="E224" s="68"/>
      <c r="G224" s="92"/>
      <c r="H224" s="86" t="s">
        <v>259</v>
      </c>
      <c r="I224" s="28">
        <v>-283.95999999999998</v>
      </c>
      <c r="J224" s="153">
        <f t="shared" si="13"/>
        <v>-237.20999999999998</v>
      </c>
      <c r="K224" s="81"/>
      <c r="L224" s="194"/>
      <c r="M224" s="217"/>
      <c r="N224" s="195"/>
      <c r="O224" s="278"/>
      <c r="P224" s="119"/>
      <c r="Q224" s="81"/>
      <c r="R224" s="20"/>
      <c r="S224" s="48"/>
      <c r="T224" s="18"/>
      <c r="U224" s="80"/>
      <c r="V224" s="51"/>
      <c r="W224" s="20"/>
      <c r="X224" s="18"/>
      <c r="Y224" s="18"/>
      <c r="Z224" s="18"/>
      <c r="AA224" s="18"/>
      <c r="AB224" s="18"/>
      <c r="AC224" s="18"/>
      <c r="AD224" s="18"/>
    </row>
    <row r="225" spans="1:30" ht="12.75" customHeight="1" x14ac:dyDescent="0.2">
      <c r="A225" s="100"/>
      <c r="B225" s="100"/>
      <c r="C225" s="100"/>
      <c r="D225" s="189"/>
      <c r="E225" s="68"/>
      <c r="G225" s="92"/>
      <c r="H225" s="86" t="s">
        <v>111</v>
      </c>
      <c r="I225" s="316">
        <v>5000</v>
      </c>
      <c r="J225" s="153">
        <f t="shared" si="13"/>
        <v>4762.79</v>
      </c>
      <c r="K225" s="81"/>
      <c r="L225" s="284"/>
      <c r="M225" s="66"/>
      <c r="N225" s="195"/>
      <c r="O225" s="278"/>
      <c r="P225" s="119"/>
      <c r="Q225" s="81"/>
      <c r="R225" s="20"/>
      <c r="S225" s="48"/>
      <c r="T225" s="18"/>
      <c r="U225" s="80"/>
      <c r="V225" s="51"/>
      <c r="W225" s="20"/>
      <c r="X225" s="18"/>
      <c r="Y225" s="18"/>
      <c r="Z225" s="18"/>
      <c r="AA225" s="18"/>
      <c r="AB225" s="18"/>
      <c r="AC225" s="18"/>
      <c r="AD225" s="18"/>
    </row>
    <row r="226" spans="1:30" ht="12.75" customHeight="1" x14ac:dyDescent="0.2">
      <c r="A226" s="100"/>
      <c r="B226" s="100"/>
      <c r="C226" s="100"/>
      <c r="D226" s="189"/>
      <c r="E226" s="68"/>
      <c r="G226" s="92"/>
      <c r="H226" s="86" t="s">
        <v>260</v>
      </c>
      <c r="I226" s="28">
        <f>-429.4-86.8-500-500-440.8-150-250-415.47-6.7</f>
        <v>-2779.17</v>
      </c>
      <c r="J226" s="153">
        <f t="shared" si="13"/>
        <v>1983.62</v>
      </c>
      <c r="K226" s="81"/>
      <c r="L226" s="284"/>
      <c r="M226" s="195"/>
      <c r="N226" s="195"/>
      <c r="O226" s="278"/>
      <c r="P226" s="119"/>
      <c r="Q226" s="81"/>
      <c r="R226" s="20"/>
      <c r="S226" s="48"/>
      <c r="T226" s="18"/>
      <c r="U226" s="80"/>
      <c r="V226" s="51"/>
      <c r="W226" s="20"/>
      <c r="X226" s="18"/>
      <c r="Y226" s="18"/>
      <c r="Z226" s="18"/>
      <c r="AA226" s="18"/>
      <c r="AB226" s="18"/>
      <c r="AC226" s="18"/>
      <c r="AD226" s="18"/>
    </row>
    <row r="227" spans="1:30" ht="12.75" customHeight="1" x14ac:dyDescent="0.2">
      <c r="A227" s="100"/>
      <c r="B227" s="100"/>
      <c r="C227" s="100"/>
      <c r="D227" s="189"/>
      <c r="E227" s="68"/>
      <c r="G227" s="92"/>
      <c r="H227" s="86" t="s">
        <v>98</v>
      </c>
      <c r="I227" s="28">
        <v>-5</v>
      </c>
      <c r="J227" s="153">
        <f t="shared" si="13"/>
        <v>1978.62</v>
      </c>
      <c r="K227" s="81"/>
      <c r="L227" s="284"/>
      <c r="M227" s="195"/>
      <c r="N227" s="195"/>
      <c r="O227" s="278"/>
      <c r="P227" s="119"/>
      <c r="Q227" s="81"/>
      <c r="R227" s="20"/>
      <c r="S227" s="48"/>
      <c r="T227" s="18"/>
      <c r="U227" s="80"/>
      <c r="V227" s="51"/>
      <c r="W227" s="20"/>
      <c r="X227" s="18"/>
      <c r="Y227" s="18"/>
      <c r="Z227" s="18"/>
      <c r="AA227" s="18"/>
      <c r="AB227" s="18"/>
      <c r="AC227" s="18"/>
      <c r="AD227" s="18"/>
    </row>
    <row r="228" spans="1:30" ht="12.75" customHeight="1" x14ac:dyDescent="0.2">
      <c r="A228" s="100"/>
      <c r="B228" s="100"/>
      <c r="C228" s="100"/>
      <c r="D228" s="189"/>
      <c r="E228" s="68"/>
      <c r="G228" s="92"/>
      <c r="H228" s="86" t="s">
        <v>31</v>
      </c>
      <c r="I228" s="316">
        <v>9000</v>
      </c>
      <c r="J228" s="153">
        <f>J227+I228</f>
        <v>10978.619999999999</v>
      </c>
      <c r="K228" s="81"/>
      <c r="L228" s="284"/>
      <c r="M228" s="195"/>
      <c r="N228" s="195"/>
      <c r="O228" s="278"/>
      <c r="P228" s="119"/>
      <c r="Q228" s="81"/>
      <c r="R228" s="20"/>
      <c r="S228" s="48"/>
      <c r="T228" s="18"/>
      <c r="U228" s="80"/>
      <c r="V228" s="51"/>
      <c r="W228" s="20"/>
      <c r="X228" s="18"/>
      <c r="Y228" s="18"/>
      <c r="Z228" s="18"/>
      <c r="AA228" s="18"/>
      <c r="AB228" s="18"/>
      <c r="AC228" s="18"/>
      <c r="AD228" s="18"/>
    </row>
    <row r="229" spans="1:30" ht="12.75" customHeight="1" x14ac:dyDescent="0.2">
      <c r="A229" s="100"/>
      <c r="B229" s="100"/>
      <c r="C229" s="100"/>
      <c r="D229" s="189"/>
      <c r="E229" s="68"/>
      <c r="G229" s="92"/>
      <c r="H229" s="86" t="s">
        <v>48</v>
      </c>
      <c r="I229" s="28">
        <v>-2420.7399999999998</v>
      </c>
      <c r="J229" s="153">
        <f t="shared" si="13"/>
        <v>8557.8799999999992</v>
      </c>
      <c r="K229" s="81"/>
      <c r="L229" s="284"/>
      <c r="M229" s="195"/>
      <c r="N229" s="195"/>
      <c r="O229" s="278"/>
      <c r="P229" s="119"/>
      <c r="Q229" s="81"/>
      <c r="R229" s="20"/>
      <c r="S229" s="48"/>
      <c r="T229" s="18"/>
      <c r="U229" s="80"/>
      <c r="V229" s="51"/>
      <c r="W229" s="20"/>
      <c r="X229" s="18"/>
      <c r="Y229" s="18"/>
      <c r="Z229" s="18"/>
      <c r="AA229" s="18"/>
      <c r="AB229" s="18"/>
      <c r="AC229" s="18"/>
      <c r="AD229" s="18"/>
    </row>
    <row r="230" spans="1:30" ht="12.75" customHeight="1" x14ac:dyDescent="0.2">
      <c r="A230" s="100"/>
      <c r="B230" s="100"/>
      <c r="C230" s="100"/>
      <c r="D230" s="219"/>
      <c r="E230" s="68"/>
      <c r="G230" s="84"/>
      <c r="H230" s="86" t="s">
        <v>261</v>
      </c>
      <c r="I230" s="28">
        <v>-7000</v>
      </c>
      <c r="J230" s="153">
        <f t="shared" si="13"/>
        <v>1557.8799999999992</v>
      </c>
      <c r="K230" s="18"/>
      <c r="L230" s="284"/>
      <c r="M230" s="54"/>
      <c r="N230" s="195"/>
      <c r="O230" s="278"/>
      <c r="P230" s="119"/>
      <c r="Q230" s="20"/>
      <c r="R230" s="20"/>
      <c r="S230" s="48"/>
      <c r="T230" s="18"/>
      <c r="U230" s="80"/>
      <c r="V230" s="51"/>
      <c r="W230" s="20"/>
      <c r="X230" s="18"/>
      <c r="Y230" s="18"/>
      <c r="Z230" s="18"/>
      <c r="AA230" s="18"/>
      <c r="AB230" s="18"/>
      <c r="AC230" s="18"/>
      <c r="AD230" s="18"/>
    </row>
    <row r="231" spans="1:30" ht="12.75" customHeight="1" x14ac:dyDescent="0.2">
      <c r="A231" s="100"/>
      <c r="B231" s="100"/>
      <c r="C231" s="100"/>
      <c r="D231" s="219"/>
      <c r="E231" s="68"/>
      <c r="G231" s="84"/>
      <c r="H231" s="86" t="s">
        <v>267</v>
      </c>
      <c r="I231" s="28">
        <v>-151</v>
      </c>
      <c r="J231" s="153">
        <f t="shared" si="13"/>
        <v>1406.8799999999992</v>
      </c>
      <c r="K231" s="18"/>
      <c r="L231" s="284"/>
      <c r="M231" s="54"/>
      <c r="N231" s="195"/>
      <c r="O231" s="278"/>
      <c r="P231" s="119"/>
      <c r="Q231" s="20"/>
      <c r="R231" s="20"/>
      <c r="S231" s="48"/>
      <c r="T231" s="18"/>
      <c r="U231" s="80"/>
      <c r="V231" s="51"/>
      <c r="W231" s="20"/>
      <c r="X231" s="18"/>
      <c r="Y231" s="18"/>
      <c r="Z231" s="18"/>
      <c r="AA231" s="18"/>
      <c r="AB231" s="18"/>
      <c r="AC231" s="18"/>
      <c r="AD231" s="18"/>
    </row>
    <row r="232" spans="1:30" ht="12.75" customHeight="1" x14ac:dyDescent="0.2">
      <c r="A232" s="100"/>
      <c r="B232" s="100"/>
      <c r="C232" s="100"/>
      <c r="D232" s="219"/>
      <c r="E232" s="68"/>
      <c r="G232" s="84"/>
      <c r="H232" s="86" t="s">
        <v>107</v>
      </c>
      <c r="I232" s="28">
        <v>-447.55</v>
      </c>
      <c r="J232" s="153">
        <f t="shared" si="13"/>
        <v>959.32999999999925</v>
      </c>
      <c r="K232" s="18"/>
      <c r="L232" s="284"/>
      <c r="M232" s="54"/>
      <c r="N232" s="195"/>
      <c r="O232" s="278"/>
      <c r="P232" s="119"/>
      <c r="Q232" s="20"/>
      <c r="R232" s="20"/>
      <c r="S232" s="48"/>
      <c r="T232" s="18"/>
      <c r="U232" s="80"/>
      <c r="V232" s="51"/>
      <c r="W232" s="20"/>
      <c r="X232" s="18"/>
      <c r="Y232" s="18"/>
      <c r="Z232" s="18"/>
      <c r="AA232" s="18"/>
      <c r="AB232" s="18"/>
      <c r="AC232" s="18"/>
      <c r="AD232" s="18"/>
    </row>
    <row r="233" spans="1:30" ht="12.75" customHeight="1" x14ac:dyDescent="0.2">
      <c r="A233" s="100"/>
      <c r="B233" s="100"/>
      <c r="C233" s="100"/>
      <c r="D233" s="219"/>
      <c r="E233" s="68"/>
      <c r="G233" s="84"/>
      <c r="H233" s="86" t="s">
        <v>70</v>
      </c>
      <c r="I233" s="28">
        <v>-171.2</v>
      </c>
      <c r="J233" s="153">
        <f t="shared" si="13"/>
        <v>788.1299999999992</v>
      </c>
      <c r="K233" s="18"/>
      <c r="L233" s="284"/>
      <c r="M233" s="54"/>
      <c r="N233" s="195"/>
      <c r="O233" s="278"/>
      <c r="P233" s="119"/>
      <c r="Q233" s="20"/>
      <c r="R233" s="20"/>
      <c r="S233" s="48"/>
      <c r="T233" s="18"/>
      <c r="U233" s="80"/>
      <c r="V233" s="51"/>
      <c r="W233" s="20"/>
      <c r="X233" s="18"/>
      <c r="Y233" s="18"/>
      <c r="Z233" s="18"/>
      <c r="AA233" s="18"/>
      <c r="AB233" s="18"/>
      <c r="AC233" s="18"/>
      <c r="AD233" s="18"/>
    </row>
    <row r="234" spans="1:30" ht="12.75" customHeight="1" x14ac:dyDescent="0.2">
      <c r="A234" s="100"/>
      <c r="B234" s="100"/>
      <c r="C234" s="100"/>
      <c r="D234" s="189"/>
      <c r="E234" s="23"/>
      <c r="G234" s="200"/>
      <c r="H234" s="86" t="s">
        <v>111</v>
      </c>
      <c r="I234" s="327">
        <v>10000</v>
      </c>
      <c r="J234" s="153">
        <f t="shared" si="13"/>
        <v>10788.13</v>
      </c>
      <c r="K234" s="18"/>
      <c r="L234" s="194"/>
      <c r="M234" s="54"/>
      <c r="N234" s="195"/>
      <c r="O234" s="158"/>
      <c r="P234" s="112"/>
      <c r="Q234" s="20"/>
      <c r="R234" s="20"/>
      <c r="S234" s="48"/>
      <c r="T234" s="18"/>
      <c r="U234" s="80"/>
      <c r="V234" s="51"/>
      <c r="W234" s="20"/>
      <c r="X234" s="18"/>
      <c r="Y234" s="18"/>
      <c r="Z234" s="18"/>
      <c r="AA234" s="18"/>
      <c r="AB234" s="18"/>
      <c r="AC234" s="18"/>
      <c r="AD234" s="18"/>
    </row>
    <row r="235" spans="1:30" ht="12.75" customHeight="1" x14ac:dyDescent="0.2">
      <c r="A235" s="100"/>
      <c r="B235" s="100"/>
      <c r="C235" s="100"/>
      <c r="F235" s="229"/>
      <c r="G235" s="200"/>
      <c r="H235" s="193" t="s">
        <v>236</v>
      </c>
      <c r="I235" s="71">
        <v>-5300</v>
      </c>
      <c r="J235" s="153">
        <f t="shared" si="13"/>
        <v>5488.1299999999992</v>
      </c>
      <c r="K235" s="18"/>
      <c r="L235" s="302"/>
      <c r="M235" s="54"/>
      <c r="N235" s="195"/>
      <c r="O235" s="158"/>
      <c r="P235" s="112"/>
      <c r="Q235" s="20"/>
      <c r="R235" s="20"/>
      <c r="S235" s="48"/>
      <c r="T235" s="18"/>
      <c r="U235" s="80"/>
      <c r="V235" s="51"/>
      <c r="W235" s="20"/>
      <c r="X235" s="18"/>
      <c r="Y235" s="18"/>
      <c r="Z235" s="18"/>
      <c r="AA235" s="18"/>
      <c r="AB235" s="18"/>
      <c r="AC235" s="18"/>
      <c r="AD235" s="18"/>
    </row>
    <row r="236" spans="1:30" ht="12.75" customHeight="1" x14ac:dyDescent="0.2">
      <c r="A236" s="100"/>
      <c r="B236" s="100"/>
      <c r="C236" s="100"/>
      <c r="F236" s="229"/>
      <c r="G236" s="200"/>
      <c r="H236" s="193" t="s">
        <v>152</v>
      </c>
      <c r="I236" s="28">
        <v>-300</v>
      </c>
      <c r="J236" s="153">
        <f t="shared" si="13"/>
        <v>5188.1299999999992</v>
      </c>
      <c r="K236" s="18"/>
      <c r="L236" s="305"/>
      <c r="M236" s="54"/>
      <c r="N236" s="195"/>
      <c r="O236" s="158"/>
      <c r="P236" s="112"/>
      <c r="Q236" s="20"/>
      <c r="R236" s="20"/>
      <c r="S236" s="48"/>
      <c r="T236" s="18"/>
      <c r="U236" s="80"/>
      <c r="V236" s="51"/>
      <c r="W236" s="20"/>
      <c r="X236" s="18"/>
      <c r="Y236" s="18"/>
      <c r="Z236" s="18"/>
      <c r="AA236" s="18"/>
      <c r="AB236" s="18"/>
      <c r="AC236" s="18"/>
      <c r="AD236" s="18"/>
    </row>
    <row r="237" spans="1:30" ht="12.75" customHeight="1" x14ac:dyDescent="0.2">
      <c r="F237" s="210" t="s">
        <v>250</v>
      </c>
      <c r="G237" s="200"/>
      <c r="H237" s="86" t="s">
        <v>87</v>
      </c>
      <c r="I237" s="28">
        <v>-450</v>
      </c>
      <c r="J237" s="153">
        <f t="shared" si="13"/>
        <v>4738.1299999999992</v>
      </c>
      <c r="K237" s="18"/>
      <c r="L237" s="305"/>
      <c r="M237" s="54"/>
      <c r="N237" s="195"/>
      <c r="O237" s="158"/>
      <c r="P237" s="112"/>
      <c r="Q237" s="20"/>
      <c r="V237" s="79"/>
    </row>
    <row r="238" spans="1:30" ht="12.75" customHeight="1" x14ac:dyDescent="0.2">
      <c r="F238" s="151"/>
      <c r="G238" s="200"/>
      <c r="H238" s="86" t="s">
        <v>117</v>
      </c>
      <c r="I238" s="28">
        <v>-225</v>
      </c>
      <c r="J238" s="153">
        <f t="shared" si="13"/>
        <v>4513.1299999999992</v>
      </c>
      <c r="K238" s="18"/>
      <c r="L238" s="305"/>
      <c r="M238" s="54"/>
      <c r="N238" s="195"/>
      <c r="O238" s="158"/>
      <c r="P238" s="112"/>
      <c r="Q238" s="20"/>
      <c r="V238" s="79"/>
    </row>
    <row r="239" spans="1:30" ht="12.75" customHeight="1" x14ac:dyDescent="0.2">
      <c r="F239" s="151"/>
      <c r="G239" s="84" t="s">
        <v>50</v>
      </c>
      <c r="H239" s="86" t="s">
        <v>44</v>
      </c>
      <c r="I239" s="28">
        <v>-59</v>
      </c>
      <c r="J239" s="153">
        <f t="shared" si="13"/>
        <v>4454.1299999999992</v>
      </c>
      <c r="K239" s="18"/>
      <c r="L239" s="323"/>
      <c r="M239" s="54"/>
      <c r="N239" s="328"/>
      <c r="O239" s="308"/>
      <c r="P239" s="307"/>
      <c r="Q239" s="20"/>
      <c r="V239" s="79"/>
    </row>
    <row r="240" spans="1:30" ht="12.75" customHeight="1" x14ac:dyDescent="0.2">
      <c r="F240" s="295"/>
      <c r="G240" s="84" t="s">
        <v>50</v>
      </c>
      <c r="H240" s="86" t="s">
        <v>37</v>
      </c>
      <c r="I240" s="28">
        <v>-588.5</v>
      </c>
      <c r="J240" s="153">
        <f t="shared" si="13"/>
        <v>3865.6299999999992</v>
      </c>
      <c r="K240" s="18"/>
      <c r="L240" s="323"/>
      <c r="M240" s="54"/>
      <c r="N240" s="328"/>
      <c r="O240" s="195"/>
      <c r="P240" s="307"/>
      <c r="Q240" s="20"/>
      <c r="V240" s="79"/>
    </row>
    <row r="241" spans="1:30" ht="12.75" customHeight="1" x14ac:dyDescent="0.2">
      <c r="F241" s="167"/>
      <c r="G241" s="45" t="s">
        <v>46</v>
      </c>
      <c r="H241" s="87" t="s">
        <v>8</v>
      </c>
      <c r="I241" s="74">
        <v>-613.99</v>
      </c>
      <c r="J241" s="153">
        <f t="shared" si="13"/>
        <v>3251.6399999999994</v>
      </c>
      <c r="K241" s="18"/>
      <c r="L241" s="194"/>
      <c r="M241" s="54"/>
      <c r="N241" s="195"/>
      <c r="O241" s="195"/>
      <c r="P241" s="307"/>
      <c r="Q241" s="20"/>
      <c r="V241" s="79"/>
    </row>
    <row r="242" spans="1:30" ht="12.75" customHeight="1" x14ac:dyDescent="0.2">
      <c r="G242" s="84" t="s">
        <v>46</v>
      </c>
      <c r="H242" s="88" t="s">
        <v>34</v>
      </c>
      <c r="I242" s="74">
        <v>-1135</v>
      </c>
      <c r="J242" s="153">
        <f t="shared" si="13"/>
        <v>2116.6399999999994</v>
      </c>
      <c r="K242" s="18"/>
      <c r="L242" s="194"/>
      <c r="M242" s="54"/>
      <c r="N242" s="195"/>
      <c r="O242" s="195"/>
      <c r="P242" s="307"/>
      <c r="Q242" s="20"/>
      <c r="V242" s="79"/>
    </row>
    <row r="243" spans="1:30" ht="12.75" customHeight="1" x14ac:dyDescent="0.2">
      <c r="F243" s="183"/>
      <c r="G243" s="84" t="s">
        <v>46</v>
      </c>
      <c r="H243" s="88" t="s">
        <v>10</v>
      </c>
      <c r="I243" s="68">
        <v>-679.09</v>
      </c>
      <c r="J243" s="153">
        <f t="shared" si="13"/>
        <v>1437.5499999999993</v>
      </c>
      <c r="K243" s="18"/>
      <c r="L243" s="194"/>
      <c r="M243" s="54"/>
      <c r="N243" s="195"/>
      <c r="O243" s="195"/>
      <c r="P243" s="112"/>
      <c r="Q243" s="20"/>
      <c r="V243" s="79"/>
    </row>
    <row r="244" spans="1:30" ht="12.75" customHeight="1" x14ac:dyDescent="0.2">
      <c r="F244" s="199"/>
      <c r="G244" s="84" t="s">
        <v>46</v>
      </c>
      <c r="H244" s="59" t="s">
        <v>92</v>
      </c>
      <c r="I244" s="28">
        <v>-623.96</v>
      </c>
      <c r="J244" s="153">
        <f t="shared" si="13"/>
        <v>813.58999999999924</v>
      </c>
      <c r="K244" s="18"/>
      <c r="L244" s="194"/>
      <c r="M244" s="54"/>
      <c r="N244" s="195"/>
      <c r="O244" s="195"/>
      <c r="P244" s="112"/>
      <c r="Q244" s="20"/>
      <c r="V244" s="79"/>
    </row>
    <row r="245" spans="1:30" ht="12.75" customHeight="1" x14ac:dyDescent="0.2">
      <c r="F245" s="199"/>
      <c r="G245" s="99" t="s">
        <v>46</v>
      </c>
      <c r="H245" s="201" t="s">
        <v>89</v>
      </c>
      <c r="I245" s="209">
        <v>-70.28</v>
      </c>
      <c r="J245" s="153">
        <f t="shared" si="13"/>
        <v>743.30999999999926</v>
      </c>
      <c r="K245" s="18"/>
      <c r="L245" s="194"/>
      <c r="M245" s="54"/>
      <c r="N245" s="195"/>
      <c r="O245" s="195"/>
      <c r="P245" s="112"/>
      <c r="Q245" s="20"/>
      <c r="V245" s="79"/>
    </row>
    <row r="246" spans="1:30" ht="12.75" customHeight="1" x14ac:dyDescent="0.2">
      <c r="F246" s="199"/>
      <c r="G246" s="99" t="s">
        <v>47</v>
      </c>
      <c r="H246" s="89" t="s">
        <v>81</v>
      </c>
      <c r="I246" s="110">
        <v>-52.28</v>
      </c>
      <c r="J246" s="156">
        <f t="shared" si="13"/>
        <v>691.02999999999929</v>
      </c>
      <c r="K246" s="18"/>
      <c r="L246" s="194"/>
      <c r="M246" s="54"/>
      <c r="N246" s="195"/>
      <c r="O246" s="195"/>
      <c r="P246" s="112"/>
      <c r="Q246" s="20"/>
      <c r="V246" s="79"/>
    </row>
    <row r="247" spans="1:30" ht="12.75" customHeight="1" x14ac:dyDescent="0.2">
      <c r="F247" s="199"/>
      <c r="H247" s="19"/>
      <c r="I247" s="73">
        <f>SUM(I191:I246)</f>
        <v>691.02999999999929</v>
      </c>
      <c r="J247" s="170"/>
      <c r="K247" s="18"/>
      <c r="L247" s="194"/>
      <c r="M247" s="54"/>
      <c r="N247" s="195"/>
      <c r="O247" s="195"/>
      <c r="P247" s="112"/>
      <c r="Q247" s="20"/>
      <c r="V247" s="79"/>
    </row>
    <row r="248" spans="1:30" s="42" customFormat="1" x14ac:dyDescent="0.2">
      <c r="E248" s="15"/>
      <c r="G248" s="83"/>
      <c r="I248" s="15"/>
      <c r="L248" s="15"/>
      <c r="M248" s="15"/>
      <c r="N248" s="15"/>
      <c r="O248" s="118"/>
      <c r="U248" s="15"/>
      <c r="V248" s="65"/>
      <c r="W248" s="15"/>
    </row>
    <row r="250" spans="1:30" ht="12.75" customHeight="1" x14ac:dyDescent="0.2">
      <c r="B250" s="419" t="s">
        <v>268</v>
      </c>
      <c r="C250" s="419"/>
      <c r="D250" s="419"/>
      <c r="E250" s="419"/>
      <c r="G250" s="84"/>
      <c r="H250" s="54"/>
      <c r="I250" s="420" t="s">
        <v>33</v>
      </c>
      <c r="J250" s="331"/>
      <c r="K250" s="191"/>
      <c r="L250" s="422" t="s">
        <v>30</v>
      </c>
      <c r="M250" s="424" t="s">
        <v>97</v>
      </c>
      <c r="N250" s="424"/>
      <c r="O250" s="116"/>
      <c r="S250" s="24"/>
      <c r="T250" s="24"/>
      <c r="U250" s="20"/>
      <c r="V250" s="192"/>
      <c r="W250" s="20"/>
      <c r="X250" s="18"/>
      <c r="Y250" s="18"/>
      <c r="Z250" s="18"/>
      <c r="AA250" s="18"/>
      <c r="AB250" s="18"/>
      <c r="AC250" s="18"/>
      <c r="AD250" s="18"/>
    </row>
    <row r="251" spans="1:30" ht="12.75" customHeight="1" x14ac:dyDescent="0.2">
      <c r="C251" s="16" t="s">
        <v>77</v>
      </c>
      <c r="D251" s="14"/>
      <c r="E251" s="171">
        <v>9000</v>
      </c>
      <c r="G251" s="85" t="s">
        <v>49</v>
      </c>
      <c r="H251" s="72"/>
      <c r="I251" s="421"/>
      <c r="J251" s="331" t="s">
        <v>26</v>
      </c>
      <c r="K251" s="191"/>
      <c r="L251" s="423"/>
      <c r="M251" s="332" t="s">
        <v>26</v>
      </c>
      <c r="N251" s="333" t="s">
        <v>32</v>
      </c>
      <c r="O251" s="116"/>
      <c r="S251" s="61"/>
      <c r="T251" s="57"/>
      <c r="U251" s="60"/>
      <c r="V251" s="46"/>
      <c r="W251" s="47"/>
      <c r="X251" s="18"/>
      <c r="Y251" s="26"/>
      <c r="Z251" s="18"/>
      <c r="AA251" s="18"/>
      <c r="AB251" s="18"/>
      <c r="AC251" s="18"/>
      <c r="AD251" s="18"/>
    </row>
    <row r="252" spans="1:30" ht="12.75" customHeight="1" x14ac:dyDescent="0.2">
      <c r="C252" s="16"/>
      <c r="D252" s="14" t="s">
        <v>11</v>
      </c>
      <c r="E252" s="30"/>
      <c r="G252" s="90"/>
      <c r="H252" s="78" t="s">
        <v>52</v>
      </c>
      <c r="I252" s="28">
        <f>$J$246</f>
        <v>691.02999999999929</v>
      </c>
      <c r="J252" s="37">
        <f>I252</f>
        <v>691.02999999999929</v>
      </c>
      <c r="K252" s="20"/>
      <c r="L252" s="28">
        <f>$M$213</f>
        <v>-27704.690000000002</v>
      </c>
      <c r="M252" s="37">
        <f>L252</f>
        <v>-27704.690000000002</v>
      </c>
      <c r="N252" s="28">
        <f>28000+M252</f>
        <v>295.30999999999767</v>
      </c>
      <c r="O252" s="117" t="s">
        <v>67</v>
      </c>
      <c r="P252" s="111" t="s">
        <v>68</v>
      </c>
      <c r="R252" s="120"/>
      <c r="S252" s="57"/>
      <c r="T252" s="57"/>
      <c r="U252" s="28"/>
      <c r="V252" s="149"/>
      <c r="W252" s="20"/>
      <c r="X252" s="18"/>
      <c r="Y252" s="49"/>
      <c r="Z252" s="50"/>
      <c r="AA252" s="18"/>
      <c r="AB252" s="18"/>
      <c r="AC252" s="18"/>
      <c r="AD252" s="18"/>
    </row>
    <row r="253" spans="1:30" ht="12.75" customHeight="1" x14ac:dyDescent="0.2">
      <c r="C253" s="17" t="s">
        <v>5</v>
      </c>
      <c r="D253" s="14"/>
      <c r="E253" s="14">
        <f>SUM(E251:E252)</f>
        <v>9000</v>
      </c>
      <c r="G253" s="92"/>
      <c r="H253" s="75" t="s">
        <v>43</v>
      </c>
      <c r="I253" s="28">
        <v>-289.76</v>
      </c>
      <c r="J253" s="153">
        <f t="shared" ref="J253:J281" si="16">J252+I253</f>
        <v>401.2699999999993</v>
      </c>
      <c r="K253" s="25"/>
      <c r="L253" s="68">
        <v>-115.6</v>
      </c>
      <c r="M253" s="38">
        <f>M252+L253</f>
        <v>-27820.29</v>
      </c>
      <c r="N253" s="28">
        <f>28000+M253</f>
        <v>179.70999999999913</v>
      </c>
      <c r="O253" s="113" t="s">
        <v>270</v>
      </c>
      <c r="P253" s="119"/>
      <c r="R253" s="57"/>
      <c r="S253" s="57"/>
      <c r="T253" s="58"/>
      <c r="U253" s="31"/>
      <c r="V253" s="150"/>
      <c r="W253" s="20"/>
      <c r="X253" s="18"/>
      <c r="Y253" s="49"/>
      <c r="Z253" s="50"/>
      <c r="AA253" s="18"/>
      <c r="AB253" s="18"/>
      <c r="AC253" s="18"/>
      <c r="AD253" s="18"/>
    </row>
    <row r="254" spans="1:30" ht="12.75" customHeight="1" x14ac:dyDescent="0.2">
      <c r="A254" s="98"/>
      <c r="G254" s="92"/>
      <c r="H254" s="75" t="s">
        <v>269</v>
      </c>
      <c r="I254" s="28">
        <v>-65.8</v>
      </c>
      <c r="J254" s="153">
        <f t="shared" si="16"/>
        <v>335.46999999999929</v>
      </c>
      <c r="K254" s="81"/>
      <c r="L254" s="68">
        <v>-381.42</v>
      </c>
      <c r="M254" s="38">
        <f t="shared" ref="M254:M257" si="17">M253+L254</f>
        <v>-28201.71</v>
      </c>
      <c r="N254" s="28">
        <f>28000+M254</f>
        <v>-201.70999999999913</v>
      </c>
      <c r="O254" s="113" t="s">
        <v>61</v>
      </c>
      <c r="P254" s="119"/>
      <c r="R254" s="58"/>
      <c r="S254" s="58"/>
      <c r="T254" s="58"/>
      <c r="U254" s="31"/>
      <c r="V254" s="150"/>
      <c r="W254" s="20"/>
      <c r="X254" s="18"/>
      <c r="Y254" s="49"/>
      <c r="Z254" s="50"/>
      <c r="AA254" s="18"/>
      <c r="AB254" s="18"/>
      <c r="AC254" s="18"/>
      <c r="AD254" s="18"/>
    </row>
    <row r="255" spans="1:30" ht="12.75" customHeight="1" x14ac:dyDescent="0.2">
      <c r="A255" s="98"/>
      <c r="C255" s="43" t="s">
        <v>9</v>
      </c>
      <c r="E255" s="27"/>
      <c r="G255" s="92"/>
      <c r="H255" s="75" t="s">
        <v>274</v>
      </c>
      <c r="I255" s="28">
        <v>-243</v>
      </c>
      <c r="J255" s="153">
        <f t="shared" si="16"/>
        <v>92.469999999999288</v>
      </c>
      <c r="K255" s="81"/>
      <c r="L255" s="68">
        <v>-38.200000000000003</v>
      </c>
      <c r="M255" s="38">
        <f t="shared" si="17"/>
        <v>-28239.91</v>
      </c>
      <c r="N255" s="28">
        <f t="shared" ref="N255:N257" si="18">28000+M255</f>
        <v>-239.90999999999985</v>
      </c>
      <c r="O255" s="113" t="s">
        <v>273</v>
      </c>
      <c r="P255" s="119"/>
      <c r="R255" s="55"/>
      <c r="S255" s="57"/>
      <c r="T255" s="58"/>
      <c r="U255" s="31"/>
      <c r="V255" s="150"/>
      <c r="W255" s="52"/>
      <c r="X255" s="18"/>
      <c r="Y255" s="53"/>
      <c r="Z255" s="50"/>
      <c r="AA255" s="18"/>
      <c r="AB255" s="18"/>
      <c r="AC255" s="18"/>
      <c r="AD255" s="18"/>
    </row>
    <row r="256" spans="1:30" ht="12.75" customHeight="1" x14ac:dyDescent="0.2">
      <c r="A256" s="98"/>
      <c r="D256" s="18" t="s">
        <v>7</v>
      </c>
      <c r="E256" s="27">
        <f>E251</f>
        <v>9000</v>
      </c>
      <c r="G256" s="92"/>
      <c r="H256" s="75" t="s">
        <v>245</v>
      </c>
      <c r="I256" s="28">
        <v>-131.27000000000001</v>
      </c>
      <c r="J256" s="153">
        <f t="shared" si="16"/>
        <v>-38.800000000000722</v>
      </c>
      <c r="K256" s="81"/>
      <c r="L256" s="68">
        <v>23000</v>
      </c>
      <c r="M256" s="38">
        <f t="shared" si="17"/>
        <v>-5239.91</v>
      </c>
      <c r="N256" s="28">
        <f t="shared" si="18"/>
        <v>22760.09</v>
      </c>
      <c r="O256" s="113" t="s">
        <v>283</v>
      </c>
      <c r="P256" s="119"/>
      <c r="Q256" s="20"/>
      <c r="R256" s="57"/>
      <c r="S256" s="57"/>
      <c r="T256" s="58"/>
      <c r="U256" s="31"/>
      <c r="V256" s="150"/>
      <c r="W256" s="20"/>
      <c r="X256" s="18"/>
      <c r="Y256" s="26"/>
      <c r="Z256" s="50"/>
      <c r="AA256" s="18"/>
      <c r="AB256" s="18"/>
      <c r="AC256" s="18"/>
      <c r="AD256" s="18"/>
    </row>
    <row r="257" spans="1:30" ht="12.75" customHeight="1" x14ac:dyDescent="0.2">
      <c r="A257" s="98"/>
      <c r="D257" s="42" t="s">
        <v>6</v>
      </c>
      <c r="E257" s="147"/>
      <c r="G257" s="92"/>
      <c r="H257" s="75" t="s">
        <v>69</v>
      </c>
      <c r="I257" s="28">
        <v>-142.19999999999999</v>
      </c>
      <c r="J257" s="153">
        <f t="shared" si="16"/>
        <v>-181.00000000000071</v>
      </c>
      <c r="K257" s="81"/>
      <c r="L257" s="68">
        <v>-55</v>
      </c>
      <c r="M257" s="39">
        <f t="shared" si="17"/>
        <v>-5294.91</v>
      </c>
      <c r="N257" s="28">
        <f t="shared" si="18"/>
        <v>22705.09</v>
      </c>
      <c r="O257" s="113" t="s">
        <v>138</v>
      </c>
      <c r="P257" s="119"/>
      <c r="Q257" s="20"/>
      <c r="R257" s="18"/>
      <c r="S257" s="18"/>
      <c r="T257" s="58"/>
      <c r="U257" s="80"/>
      <c r="V257" s="51"/>
      <c r="W257" s="20"/>
      <c r="X257" s="18"/>
      <c r="Y257" s="49"/>
      <c r="Z257" s="50"/>
      <c r="AA257" s="18"/>
      <c r="AB257" s="18"/>
      <c r="AC257" s="18"/>
      <c r="AD257" s="18"/>
    </row>
    <row r="258" spans="1:30" ht="12.75" customHeight="1" x14ac:dyDescent="0.2">
      <c r="A258" s="98"/>
      <c r="D258" s="18"/>
      <c r="E258" s="154"/>
      <c r="G258" s="92"/>
      <c r="H258" s="75" t="s">
        <v>277</v>
      </c>
      <c r="I258" s="28">
        <v>800</v>
      </c>
      <c r="J258" s="153">
        <f t="shared" si="16"/>
        <v>618.99999999999932</v>
      </c>
      <c r="K258" s="81"/>
      <c r="L258" s="35">
        <f>SUM(L252:L257)</f>
        <v>-5294.91</v>
      </c>
      <c r="M258" s="91"/>
      <c r="N258" s="96"/>
      <c r="O258" s="113"/>
      <c r="P258" s="119"/>
      <c r="Q258" s="20"/>
      <c r="R258" s="18"/>
      <c r="S258" s="18"/>
      <c r="T258" s="58"/>
      <c r="U258" s="80"/>
      <c r="V258" s="51"/>
      <c r="W258" s="20"/>
      <c r="X258" s="18"/>
      <c r="Y258" s="49"/>
      <c r="Z258" s="50"/>
      <c r="AA258" s="18"/>
      <c r="AB258" s="18"/>
      <c r="AC258" s="18"/>
      <c r="AD258" s="18"/>
    </row>
    <row r="259" spans="1:30" ht="12.75" customHeight="1" x14ac:dyDescent="0.2">
      <c r="A259" s="100"/>
      <c r="B259" s="100"/>
      <c r="C259" s="100"/>
      <c r="D259" s="190"/>
      <c r="E259" s="68"/>
      <c r="G259" s="92"/>
      <c r="H259" s="75" t="s">
        <v>280</v>
      </c>
      <c r="I259" s="28">
        <v>-150</v>
      </c>
      <c r="J259" s="153">
        <f t="shared" si="16"/>
        <v>468.99999999999932</v>
      </c>
      <c r="K259" s="81"/>
      <c r="L259" s="36"/>
      <c r="M259" s="91"/>
      <c r="N259" s="96"/>
      <c r="O259" s="113"/>
      <c r="P259" s="119"/>
      <c r="Q259" s="81"/>
      <c r="R259" s="20"/>
      <c r="S259" s="48"/>
      <c r="T259" s="18"/>
      <c r="U259" s="80"/>
      <c r="V259" s="51"/>
      <c r="W259" s="20"/>
      <c r="X259" s="18"/>
      <c r="Y259" s="18"/>
      <c r="Z259" s="18"/>
      <c r="AA259" s="18"/>
      <c r="AB259" s="18"/>
      <c r="AC259" s="18"/>
      <c r="AD259" s="18"/>
    </row>
    <row r="260" spans="1:30" ht="12.75" customHeight="1" x14ac:dyDescent="0.2">
      <c r="A260" s="100"/>
      <c r="B260" s="100"/>
      <c r="C260" s="100"/>
      <c r="D260" s="190"/>
      <c r="E260" s="68"/>
      <c r="F260" s="18"/>
      <c r="G260" s="92"/>
      <c r="H260" s="75" t="s">
        <v>281</v>
      </c>
      <c r="I260" s="28">
        <v>-265.57</v>
      </c>
      <c r="J260" s="153">
        <f t="shared" si="16"/>
        <v>203.42999999999932</v>
      </c>
      <c r="K260" s="81"/>
      <c r="L260" s="310"/>
      <c r="M260" s="217"/>
      <c r="N260" s="195"/>
      <c r="O260" s="113"/>
      <c r="P260" s="119"/>
      <c r="Q260" s="81"/>
      <c r="R260" s="20"/>
      <c r="S260" s="48"/>
      <c r="T260" s="18"/>
      <c r="U260" s="80"/>
      <c r="V260" s="51"/>
      <c r="W260" s="20"/>
      <c r="X260" s="18"/>
      <c r="Y260" s="18"/>
      <c r="Z260" s="18"/>
      <c r="AA260" s="18"/>
      <c r="AB260" s="18"/>
      <c r="AC260" s="18"/>
      <c r="AD260" s="18"/>
    </row>
    <row r="261" spans="1:30" ht="12.75" customHeight="1" x14ac:dyDescent="0.2">
      <c r="A261" s="100"/>
      <c r="B261" s="100"/>
      <c r="C261" s="100"/>
      <c r="D261" s="219"/>
      <c r="E261" s="68"/>
      <c r="F261" s="18"/>
      <c r="G261" s="92"/>
      <c r="H261" s="75" t="s">
        <v>282</v>
      </c>
      <c r="I261" s="28">
        <v>-2.17</v>
      </c>
      <c r="J261" s="153">
        <f t="shared" si="16"/>
        <v>201.25999999999934</v>
      </c>
      <c r="K261" s="81"/>
      <c r="L261" s="284"/>
      <c r="M261" s="195"/>
      <c r="N261" s="195"/>
      <c r="O261" s="278"/>
      <c r="P261" s="120"/>
      <c r="Q261" s="81"/>
      <c r="R261" s="20"/>
      <c r="S261" s="48"/>
      <c r="T261" s="18"/>
      <c r="U261" s="80"/>
      <c r="V261" s="51"/>
      <c r="W261" s="20"/>
      <c r="X261" s="18"/>
      <c r="Y261" s="18"/>
      <c r="Z261" s="18"/>
      <c r="AA261" s="18"/>
      <c r="AB261" s="18"/>
      <c r="AC261" s="18"/>
      <c r="AD261" s="18"/>
    </row>
    <row r="262" spans="1:30" ht="12.75" customHeight="1" x14ac:dyDescent="0.2">
      <c r="A262" s="100"/>
      <c r="B262" s="100"/>
      <c r="C262" s="100"/>
      <c r="D262" s="219"/>
      <c r="E262" s="68"/>
      <c r="F262" s="18"/>
      <c r="G262" s="92"/>
      <c r="H262" s="86" t="s">
        <v>69</v>
      </c>
      <c r="I262" s="28">
        <v>-88.17</v>
      </c>
      <c r="J262" s="153">
        <f t="shared" si="16"/>
        <v>113.08999999999934</v>
      </c>
      <c r="K262" s="81"/>
      <c r="L262" s="284"/>
      <c r="M262" s="195"/>
      <c r="N262" s="195"/>
      <c r="O262" s="278"/>
      <c r="P262" s="120"/>
      <c r="Q262" s="81"/>
      <c r="R262" s="20"/>
      <c r="S262" s="48"/>
      <c r="T262" s="18"/>
      <c r="U262" s="80"/>
      <c r="V262" s="51"/>
      <c r="W262" s="20"/>
      <c r="X262" s="18"/>
      <c r="Y262" s="18"/>
      <c r="Z262" s="18"/>
      <c r="AA262" s="18"/>
      <c r="AB262" s="18"/>
      <c r="AC262" s="18"/>
      <c r="AD262" s="18"/>
    </row>
    <row r="263" spans="1:30" ht="12.75" customHeight="1" x14ac:dyDescent="0.2">
      <c r="A263" s="100"/>
      <c r="B263" s="100"/>
      <c r="C263" s="100"/>
      <c r="D263" s="219"/>
      <c r="E263" s="68"/>
      <c r="F263" s="18"/>
      <c r="G263" s="92"/>
      <c r="H263" s="86" t="s">
        <v>212</v>
      </c>
      <c r="I263" s="28">
        <v>-73.7</v>
      </c>
      <c r="J263" s="153">
        <f t="shared" si="16"/>
        <v>39.389999999999333</v>
      </c>
      <c r="K263" s="81"/>
      <c r="L263" s="284"/>
      <c r="M263" s="54"/>
      <c r="N263" s="195"/>
      <c r="O263" s="278"/>
      <c r="P263" s="120"/>
      <c r="Q263" s="81"/>
      <c r="R263" s="20"/>
      <c r="S263" s="48"/>
      <c r="T263" s="18"/>
      <c r="U263" s="80"/>
      <c r="V263" s="51"/>
      <c r="W263" s="20"/>
      <c r="X263" s="18"/>
      <c r="Y263" s="18"/>
      <c r="Z263" s="18"/>
      <c r="AA263" s="18"/>
      <c r="AB263" s="18"/>
      <c r="AC263" s="18"/>
      <c r="AD263" s="18"/>
    </row>
    <row r="264" spans="1:30" ht="12.75" customHeight="1" x14ac:dyDescent="0.2">
      <c r="A264" s="100"/>
      <c r="B264" s="100"/>
      <c r="C264" s="100"/>
      <c r="D264" s="189"/>
      <c r="E264" s="68"/>
      <c r="F264" s="18"/>
      <c r="G264" s="92"/>
      <c r="H264" s="86" t="s">
        <v>31</v>
      </c>
      <c r="I264" s="28">
        <v>9000</v>
      </c>
      <c r="J264" s="153">
        <f t="shared" si="16"/>
        <v>9039.39</v>
      </c>
      <c r="K264" s="81"/>
      <c r="L264" s="284"/>
      <c r="M264" s="54"/>
      <c r="N264" s="195"/>
      <c r="O264" s="278"/>
      <c r="P264" s="120"/>
      <c r="Q264" s="81"/>
      <c r="R264" s="20"/>
      <c r="S264" s="48"/>
      <c r="T264" s="18"/>
      <c r="U264" s="80"/>
      <c r="V264" s="51"/>
      <c r="W264" s="20"/>
      <c r="X264" s="18"/>
      <c r="Y264" s="18"/>
      <c r="Z264" s="18"/>
      <c r="AA264" s="18"/>
      <c r="AB264" s="18"/>
      <c r="AC264" s="18"/>
      <c r="AD264" s="18"/>
    </row>
    <row r="265" spans="1:30" ht="12.75" customHeight="1" x14ac:dyDescent="0.2">
      <c r="A265" s="100"/>
      <c r="B265" s="100"/>
      <c r="C265" s="100"/>
      <c r="D265" s="189"/>
      <c r="E265" s="68"/>
      <c r="G265" s="92"/>
      <c r="H265" s="86" t="s">
        <v>48</v>
      </c>
      <c r="I265" s="28">
        <v>-2420.7399999999998</v>
      </c>
      <c r="J265" s="153">
        <f t="shared" si="16"/>
        <v>6618.65</v>
      </c>
      <c r="K265" s="81"/>
      <c r="L265" s="336"/>
      <c r="M265" s="335"/>
      <c r="N265" s="195"/>
      <c r="O265" s="278"/>
      <c r="P265" s="120"/>
      <c r="Q265" s="81"/>
      <c r="R265" s="20"/>
      <c r="S265" s="48"/>
      <c r="T265" s="18"/>
      <c r="U265" s="80"/>
      <c r="V265" s="51"/>
      <c r="W265" s="20"/>
      <c r="X265" s="18"/>
      <c r="Y265" s="18"/>
      <c r="Z265" s="18"/>
      <c r="AA265" s="18"/>
      <c r="AB265" s="18"/>
      <c r="AC265" s="18"/>
      <c r="AD265" s="18"/>
    </row>
    <row r="266" spans="1:30" ht="12.75" customHeight="1" x14ac:dyDescent="0.2">
      <c r="A266" s="100"/>
      <c r="B266" s="100"/>
      <c r="C266" s="100"/>
      <c r="D266" s="189"/>
      <c r="E266" s="68"/>
      <c r="G266" s="92"/>
      <c r="H266" s="75" t="s">
        <v>235</v>
      </c>
      <c r="I266" s="28">
        <f>-10-1.1</f>
        <v>-11.1</v>
      </c>
      <c r="J266" s="153">
        <f t="shared" si="16"/>
        <v>6607.5499999999993</v>
      </c>
      <c r="K266" s="81"/>
      <c r="L266" s="334"/>
      <c r="M266" s="54"/>
      <c r="N266" s="195"/>
      <c r="O266" s="278"/>
      <c r="P266" s="120"/>
      <c r="Q266" s="81"/>
      <c r="R266" s="20"/>
      <c r="S266" s="48"/>
      <c r="T266" s="18"/>
      <c r="U266" s="80"/>
      <c r="V266" s="51"/>
      <c r="W266" s="20"/>
      <c r="X266" s="18"/>
      <c r="Y266" s="18"/>
      <c r="Z266" s="18"/>
      <c r="AA266" s="18"/>
      <c r="AB266" s="18"/>
      <c r="AC266" s="18"/>
      <c r="AD266" s="18"/>
    </row>
    <row r="267" spans="1:30" ht="12.75" customHeight="1" x14ac:dyDescent="0.2">
      <c r="A267" s="100"/>
      <c r="B267" s="100"/>
      <c r="C267" s="100"/>
      <c r="D267" s="189"/>
      <c r="E267" s="68"/>
      <c r="G267" s="84"/>
      <c r="H267" s="75" t="s">
        <v>122</v>
      </c>
      <c r="I267" s="28">
        <v>-206</v>
      </c>
      <c r="J267" s="153">
        <f t="shared" si="16"/>
        <v>6401.5499999999993</v>
      </c>
      <c r="K267" s="81"/>
      <c r="L267" s="303"/>
      <c r="M267" s="335"/>
      <c r="N267" s="195"/>
      <c r="O267" s="278"/>
      <c r="P267" s="120"/>
      <c r="Q267" s="81"/>
      <c r="R267" s="20"/>
      <c r="S267" s="48"/>
      <c r="T267" s="18"/>
      <c r="U267" s="80"/>
      <c r="V267" s="51"/>
      <c r="W267" s="20"/>
      <c r="X267" s="18"/>
      <c r="Y267" s="18"/>
      <c r="Z267" s="18"/>
      <c r="AA267" s="18"/>
      <c r="AB267" s="18"/>
      <c r="AC267" s="18"/>
      <c r="AD267" s="18"/>
    </row>
    <row r="268" spans="1:30" ht="12.75" customHeight="1" x14ac:dyDescent="0.2">
      <c r="A268" s="100"/>
      <c r="B268" s="100"/>
      <c r="C268" s="100"/>
      <c r="D268" s="189"/>
      <c r="E268" s="68"/>
      <c r="G268" s="84"/>
      <c r="H268" s="86" t="s">
        <v>285</v>
      </c>
      <c r="I268" s="28">
        <v>260</v>
      </c>
      <c r="J268" s="153">
        <f t="shared" si="16"/>
        <v>6661.5499999999993</v>
      </c>
      <c r="K268" s="81"/>
      <c r="L268" s="303"/>
      <c r="M268" s="335"/>
      <c r="N268" s="195"/>
      <c r="O268" s="278"/>
      <c r="P268" s="120"/>
      <c r="Q268" s="81"/>
      <c r="R268" s="20"/>
      <c r="S268" s="48"/>
      <c r="T268" s="18"/>
      <c r="U268" s="80"/>
      <c r="V268" s="51"/>
      <c r="W268" s="20"/>
      <c r="X268" s="18"/>
      <c r="Y268" s="18"/>
      <c r="Z268" s="18"/>
      <c r="AA268" s="18"/>
      <c r="AB268" s="18"/>
      <c r="AC268" s="18"/>
      <c r="AD268" s="18"/>
    </row>
    <row r="269" spans="1:30" ht="12.75" customHeight="1" x14ac:dyDescent="0.2">
      <c r="A269" s="100"/>
      <c r="B269" s="100"/>
      <c r="C269" s="100"/>
      <c r="D269" s="189"/>
      <c r="E269" s="68"/>
      <c r="G269" s="200"/>
      <c r="H269" s="86" t="s">
        <v>286</v>
      </c>
      <c r="I269" s="28">
        <v>-1300</v>
      </c>
      <c r="J269" s="153">
        <f t="shared" si="16"/>
        <v>5361.5499999999993</v>
      </c>
      <c r="K269" s="81"/>
      <c r="L269" s="302"/>
      <c r="M269" s="54"/>
      <c r="N269" s="195"/>
      <c r="O269" s="158"/>
      <c r="P269" s="112"/>
      <c r="Q269" s="81"/>
      <c r="R269" s="20"/>
      <c r="S269" s="48"/>
      <c r="T269" s="18"/>
      <c r="U269" s="80"/>
      <c r="V269" s="51"/>
      <c r="W269" s="20"/>
      <c r="X269" s="18"/>
      <c r="Y269" s="18"/>
      <c r="Z269" s="18"/>
      <c r="AA269" s="18"/>
      <c r="AB269" s="18"/>
      <c r="AC269" s="18"/>
      <c r="AD269" s="18"/>
    </row>
    <row r="270" spans="1:30" ht="12.75" customHeight="1" x14ac:dyDescent="0.2">
      <c r="A270" s="100"/>
      <c r="B270" s="100"/>
      <c r="C270" s="100"/>
      <c r="D270" s="189"/>
      <c r="E270" s="68"/>
      <c r="F270" s="229" t="s">
        <v>279</v>
      </c>
      <c r="G270" s="200"/>
      <c r="H270" s="193" t="s">
        <v>278</v>
      </c>
      <c r="I270" s="71">
        <v>-5300</v>
      </c>
      <c r="J270" s="153">
        <f t="shared" si="16"/>
        <v>61.549999999999272</v>
      </c>
      <c r="K270" s="81"/>
      <c r="L270" s="305"/>
      <c r="M270" s="54"/>
      <c r="N270" s="195"/>
      <c r="O270" s="158"/>
      <c r="P270" s="112"/>
      <c r="Q270" s="81"/>
      <c r="R270" s="20"/>
      <c r="S270" s="48"/>
      <c r="T270" s="18"/>
      <c r="U270" s="80"/>
      <c r="V270" s="51"/>
      <c r="W270" s="20"/>
      <c r="X270" s="18"/>
      <c r="Y270" s="18"/>
      <c r="Z270" s="18"/>
      <c r="AA270" s="18"/>
      <c r="AB270" s="18"/>
      <c r="AC270" s="18"/>
      <c r="AD270" s="18"/>
    </row>
    <row r="271" spans="1:30" ht="12.75" customHeight="1" x14ac:dyDescent="0.2">
      <c r="A271" s="100"/>
      <c r="B271" s="100"/>
      <c r="C271" s="100"/>
      <c r="D271" s="189"/>
      <c r="E271" s="68"/>
      <c r="F271" s="229"/>
      <c r="G271" s="200"/>
      <c r="H271" s="193" t="s">
        <v>152</v>
      </c>
      <c r="I271" s="28">
        <v>-300</v>
      </c>
      <c r="J271" s="153">
        <f t="shared" si="16"/>
        <v>-238.45000000000073</v>
      </c>
      <c r="K271" s="81"/>
      <c r="L271" s="302"/>
      <c r="M271" s="54"/>
      <c r="N271" s="195"/>
      <c r="O271" s="158"/>
      <c r="P271" s="112"/>
      <c r="Q271" s="81"/>
      <c r="R271" s="20"/>
      <c r="S271" s="48"/>
      <c r="T271" s="18"/>
      <c r="U271" s="80"/>
      <c r="V271" s="51"/>
      <c r="W271" s="20"/>
      <c r="X271" s="18"/>
      <c r="Y271" s="18"/>
      <c r="Z271" s="18"/>
      <c r="AA271" s="18"/>
      <c r="AB271" s="18"/>
      <c r="AC271" s="18"/>
      <c r="AD271" s="18"/>
    </row>
    <row r="272" spans="1:30" ht="12.75" customHeight="1" x14ac:dyDescent="0.2">
      <c r="A272" s="100"/>
      <c r="B272" s="100"/>
      <c r="C272" s="100"/>
      <c r="D272" s="189"/>
      <c r="E272" s="68"/>
      <c r="F272" s="210"/>
      <c r="G272" s="200"/>
      <c r="H272" s="86" t="s">
        <v>87</v>
      </c>
      <c r="I272" s="28">
        <v>-500</v>
      </c>
      <c r="J272" s="153">
        <f t="shared" si="16"/>
        <v>-738.45000000000073</v>
      </c>
      <c r="K272" s="81"/>
      <c r="L272" s="305"/>
      <c r="M272" s="54"/>
      <c r="N272" s="195"/>
      <c r="O272" s="308"/>
      <c r="P272" s="307"/>
      <c r="Q272" s="81"/>
      <c r="R272" s="20"/>
      <c r="S272" s="48"/>
      <c r="T272" s="18"/>
      <c r="U272" s="80"/>
      <c r="V272" s="51"/>
      <c r="W272" s="20"/>
      <c r="X272" s="18"/>
      <c r="Y272" s="18"/>
      <c r="Z272" s="18"/>
      <c r="AA272" s="18"/>
      <c r="AB272" s="18"/>
      <c r="AC272" s="18"/>
      <c r="AD272" s="18"/>
    </row>
    <row r="273" spans="1:30" ht="12.75" customHeight="1" x14ac:dyDescent="0.2">
      <c r="A273" s="100"/>
      <c r="B273" s="100"/>
      <c r="C273" s="100"/>
      <c r="D273" s="189"/>
      <c r="E273" s="68"/>
      <c r="F273" s="151"/>
      <c r="G273" s="200"/>
      <c r="H273" s="86" t="s">
        <v>117</v>
      </c>
      <c r="I273" s="28">
        <v>-225</v>
      </c>
      <c r="J273" s="153">
        <f t="shared" si="16"/>
        <v>-963.45000000000073</v>
      </c>
      <c r="K273" s="81"/>
      <c r="L273" s="305"/>
      <c r="M273" s="54"/>
      <c r="N273" s="195"/>
      <c r="O273" s="195"/>
      <c r="P273" s="307"/>
      <c r="Q273" s="81"/>
      <c r="R273" s="20"/>
      <c r="S273" s="48"/>
      <c r="T273" s="18"/>
      <c r="U273" s="80"/>
      <c r="V273" s="51"/>
      <c r="W273" s="20"/>
      <c r="X273" s="18"/>
      <c r="Y273" s="18"/>
      <c r="Z273" s="18"/>
      <c r="AA273" s="18"/>
      <c r="AB273" s="18"/>
      <c r="AC273" s="18"/>
      <c r="AD273" s="18"/>
    </row>
    <row r="274" spans="1:30" ht="12.75" customHeight="1" x14ac:dyDescent="0.2">
      <c r="A274" s="100"/>
      <c r="B274" s="100"/>
      <c r="C274" s="100"/>
      <c r="D274" s="189"/>
      <c r="E274" s="68"/>
      <c r="F274" s="151"/>
      <c r="G274" s="84" t="s">
        <v>50</v>
      </c>
      <c r="H274" s="86" t="s">
        <v>44</v>
      </c>
      <c r="I274" s="28">
        <v>-59</v>
      </c>
      <c r="J274" s="153">
        <f t="shared" si="16"/>
        <v>-1022.4500000000007</v>
      </c>
      <c r="K274" s="81"/>
      <c r="L274" s="305"/>
      <c r="M274" s="54"/>
      <c r="N274" s="195"/>
      <c r="O274" s="195"/>
      <c r="P274" s="307"/>
      <c r="Q274" s="81"/>
      <c r="R274" s="20"/>
      <c r="S274" s="48"/>
      <c r="T274" s="18"/>
      <c r="U274" s="80"/>
      <c r="V274" s="51"/>
      <c r="W274" s="20"/>
      <c r="X274" s="18"/>
      <c r="Y274" s="18"/>
      <c r="Z274" s="18"/>
      <c r="AA274" s="18"/>
      <c r="AB274" s="18"/>
      <c r="AC274" s="18"/>
      <c r="AD274" s="18"/>
    </row>
    <row r="275" spans="1:30" ht="12.75" customHeight="1" x14ac:dyDescent="0.2">
      <c r="A275" s="100"/>
      <c r="B275" s="100"/>
      <c r="C275" s="100"/>
      <c r="D275" s="189"/>
      <c r="E275" s="68"/>
      <c r="F275" s="295"/>
      <c r="G275" s="84" t="s">
        <v>50</v>
      </c>
      <c r="H275" s="86" t="s">
        <v>37</v>
      </c>
      <c r="I275" s="28">
        <v>-508.5</v>
      </c>
      <c r="J275" s="153">
        <f t="shared" si="16"/>
        <v>-1530.9500000000007</v>
      </c>
      <c r="K275" s="81"/>
      <c r="L275" s="323"/>
      <c r="M275" s="54"/>
      <c r="N275" s="328"/>
      <c r="O275" s="195"/>
      <c r="P275" s="307"/>
      <c r="Q275" s="81"/>
      <c r="R275" s="20"/>
      <c r="S275" s="48"/>
      <c r="T275" s="18"/>
      <c r="U275" s="80"/>
      <c r="V275" s="51"/>
      <c r="W275" s="20"/>
      <c r="X275" s="18"/>
      <c r="Y275" s="18"/>
      <c r="Z275" s="18"/>
      <c r="AA275" s="18"/>
      <c r="AB275" s="18"/>
      <c r="AC275" s="18"/>
      <c r="AD275" s="18"/>
    </row>
    <row r="276" spans="1:30" ht="12.75" customHeight="1" x14ac:dyDescent="0.2">
      <c r="A276" s="100"/>
      <c r="B276" s="100"/>
      <c r="C276" s="100"/>
      <c r="D276" s="189"/>
      <c r="E276" s="68"/>
      <c r="F276" s="167"/>
      <c r="G276" s="45" t="s">
        <v>46</v>
      </c>
      <c r="H276" s="87" t="s">
        <v>8</v>
      </c>
      <c r="I276" s="74">
        <v>-613.99</v>
      </c>
      <c r="J276" s="153">
        <f t="shared" si="16"/>
        <v>-2144.9400000000005</v>
      </c>
      <c r="K276" s="81"/>
      <c r="L276" s="323"/>
      <c r="M276" s="54"/>
      <c r="N276" s="328"/>
      <c r="O276" s="195"/>
      <c r="P276" s="307"/>
      <c r="Q276" s="81"/>
      <c r="R276" s="20"/>
      <c r="S276" s="48"/>
      <c r="T276" s="18"/>
      <c r="U276" s="80"/>
      <c r="V276" s="51"/>
      <c r="W276" s="20"/>
      <c r="X276" s="18"/>
      <c r="Y276" s="18"/>
      <c r="Z276" s="18"/>
      <c r="AA276" s="18"/>
      <c r="AB276" s="18"/>
      <c r="AC276" s="18"/>
      <c r="AD276" s="18"/>
    </row>
    <row r="277" spans="1:30" ht="12.75" customHeight="1" x14ac:dyDescent="0.2">
      <c r="A277" s="100"/>
      <c r="B277" s="100"/>
      <c r="C277" s="100"/>
      <c r="D277" s="189"/>
      <c r="E277" s="68"/>
      <c r="G277" s="84" t="s">
        <v>46</v>
      </c>
      <c r="H277" s="88" t="s">
        <v>34</v>
      </c>
      <c r="I277" s="74">
        <v>-1135</v>
      </c>
      <c r="J277" s="153">
        <f t="shared" si="16"/>
        <v>-3279.9400000000005</v>
      </c>
      <c r="K277" s="81"/>
      <c r="L277" s="329"/>
      <c r="M277" s="54"/>
      <c r="N277" s="328"/>
      <c r="O277" s="195"/>
      <c r="P277" s="307"/>
      <c r="Q277" s="81"/>
      <c r="R277" s="20"/>
      <c r="S277" s="48"/>
      <c r="T277" s="18"/>
      <c r="U277" s="80"/>
      <c r="V277" s="51"/>
      <c r="W277" s="20"/>
      <c r="X277" s="18"/>
      <c r="Y277" s="18"/>
      <c r="Z277" s="18"/>
      <c r="AA277" s="18"/>
      <c r="AB277" s="18"/>
      <c r="AC277" s="18"/>
      <c r="AD277" s="18"/>
    </row>
    <row r="278" spans="1:30" ht="12.75" customHeight="1" x14ac:dyDescent="0.2">
      <c r="A278" s="100"/>
      <c r="B278" s="100"/>
      <c r="C278" s="100"/>
      <c r="D278" s="219"/>
      <c r="E278" s="68"/>
      <c r="F278" s="183"/>
      <c r="G278" s="84" t="s">
        <v>46</v>
      </c>
      <c r="H278" s="88" t="s">
        <v>10</v>
      </c>
      <c r="I278" s="68">
        <v>-678.34</v>
      </c>
      <c r="J278" s="153">
        <f t="shared" si="16"/>
        <v>-3958.2800000000007</v>
      </c>
      <c r="K278" s="18"/>
      <c r="L278" s="329"/>
      <c r="M278" s="54"/>
      <c r="N278" s="328"/>
      <c r="O278" s="195"/>
      <c r="P278" s="307"/>
      <c r="Q278" s="20"/>
      <c r="R278" s="20"/>
      <c r="S278" s="48"/>
      <c r="T278" s="18"/>
      <c r="U278" s="80"/>
      <c r="V278" s="51"/>
      <c r="W278" s="20"/>
      <c r="X278" s="18"/>
      <c r="Y278" s="18"/>
      <c r="Z278" s="18"/>
      <c r="AA278" s="18"/>
      <c r="AB278" s="18"/>
      <c r="AC278" s="18"/>
      <c r="AD278" s="18"/>
    </row>
    <row r="279" spans="1:30" ht="12.75" customHeight="1" x14ac:dyDescent="0.2">
      <c r="A279" s="100"/>
      <c r="B279" s="100"/>
      <c r="C279" s="100"/>
      <c r="D279" s="219"/>
      <c r="E279" s="68"/>
      <c r="F279" s="199"/>
      <c r="G279" s="84" t="s">
        <v>46</v>
      </c>
      <c r="H279" s="59" t="s">
        <v>92</v>
      </c>
      <c r="I279" s="28">
        <v>-567.59</v>
      </c>
      <c r="J279" s="153">
        <f t="shared" si="16"/>
        <v>-4525.8700000000008</v>
      </c>
      <c r="K279" s="18"/>
      <c r="L279" s="194"/>
      <c r="M279" s="54"/>
      <c r="N279" s="195"/>
      <c r="O279" s="195"/>
      <c r="P279" s="307"/>
      <c r="Q279" s="20"/>
      <c r="R279" s="20"/>
      <c r="S279" s="48"/>
      <c r="T279" s="18"/>
      <c r="U279" s="80"/>
      <c r="V279" s="51"/>
      <c r="W279" s="20"/>
      <c r="X279" s="18"/>
      <c r="Y279" s="18"/>
      <c r="Z279" s="18"/>
      <c r="AA279" s="18"/>
      <c r="AB279" s="18"/>
      <c r="AC279" s="18"/>
      <c r="AD279" s="18"/>
    </row>
    <row r="280" spans="1:30" ht="12.75" customHeight="1" x14ac:dyDescent="0.2">
      <c r="A280" s="100"/>
      <c r="B280" s="100"/>
      <c r="C280" s="100"/>
      <c r="D280" s="219"/>
      <c r="E280" s="68"/>
      <c r="F280" s="199"/>
      <c r="G280" s="99" t="s">
        <v>46</v>
      </c>
      <c r="H280" s="201" t="s">
        <v>89</v>
      </c>
      <c r="I280" s="209">
        <v>-73.739999999999995</v>
      </c>
      <c r="J280" s="153">
        <f t="shared" si="16"/>
        <v>-4599.6100000000006</v>
      </c>
      <c r="K280" s="18"/>
      <c r="L280" s="194"/>
      <c r="M280" s="54"/>
      <c r="N280" s="195"/>
      <c r="O280" s="195"/>
      <c r="P280" s="307"/>
      <c r="Q280" s="20"/>
      <c r="R280" s="20"/>
      <c r="S280" s="48"/>
      <c r="T280" s="18"/>
      <c r="U280" s="80"/>
      <c r="V280" s="51"/>
      <c r="W280" s="20"/>
      <c r="X280" s="18"/>
      <c r="Y280" s="18"/>
      <c r="Z280" s="18"/>
      <c r="AA280" s="18"/>
      <c r="AB280" s="18"/>
      <c r="AC280" s="18"/>
      <c r="AD280" s="18"/>
    </row>
    <row r="281" spans="1:30" ht="12.75" customHeight="1" x14ac:dyDescent="0.2">
      <c r="A281" s="100"/>
      <c r="B281" s="100"/>
      <c r="C281" s="100"/>
      <c r="D281" s="219"/>
      <c r="E281" s="68"/>
      <c r="F281" s="199"/>
      <c r="G281" s="99" t="s">
        <v>47</v>
      </c>
      <c r="H281" s="89" t="s">
        <v>81</v>
      </c>
      <c r="I281" s="110">
        <v>-52.28</v>
      </c>
      <c r="J281" s="156">
        <f t="shared" si="16"/>
        <v>-4651.8900000000003</v>
      </c>
      <c r="K281" s="18"/>
      <c r="L281" s="194"/>
      <c r="M281" s="54"/>
      <c r="N281" s="195"/>
      <c r="O281" s="195"/>
      <c r="P281" s="307"/>
      <c r="Q281" s="20"/>
      <c r="R281" s="20"/>
      <c r="S281" s="48"/>
      <c r="T281" s="18"/>
      <c r="U281" s="80"/>
      <c r="V281" s="51"/>
      <c r="W281" s="20"/>
      <c r="X281" s="18"/>
      <c r="Y281" s="18"/>
      <c r="Z281" s="18"/>
      <c r="AA281" s="18"/>
      <c r="AB281" s="18"/>
      <c r="AC281" s="18"/>
      <c r="AD281" s="18"/>
    </row>
    <row r="282" spans="1:30" ht="12.75" customHeight="1" x14ac:dyDescent="0.2">
      <c r="A282" s="100"/>
      <c r="B282" s="100"/>
      <c r="C282" s="100"/>
      <c r="D282" s="189"/>
      <c r="E282" s="23"/>
      <c r="F282" s="199"/>
      <c r="H282" s="19"/>
      <c r="I282" s="73">
        <f>SUM(I252:I281)</f>
        <v>-4651.8900000000003</v>
      </c>
      <c r="J282" s="170"/>
      <c r="K282" s="18"/>
      <c r="L282" s="194"/>
      <c r="M282" s="54"/>
      <c r="N282" s="195"/>
      <c r="O282" s="195"/>
      <c r="P282" s="307"/>
      <c r="Q282" s="20"/>
      <c r="R282" s="20"/>
      <c r="S282" s="48"/>
      <c r="T282" s="18"/>
      <c r="U282" s="80"/>
      <c r="V282" s="51"/>
      <c r="W282" s="20"/>
      <c r="X282" s="18"/>
      <c r="Y282" s="18"/>
      <c r="Z282" s="18"/>
      <c r="AA282" s="18"/>
      <c r="AB282" s="18"/>
      <c r="AC282" s="18"/>
      <c r="AD282" s="18"/>
    </row>
    <row r="283" spans="1:30" s="42" customFormat="1" x14ac:dyDescent="0.2">
      <c r="E283" s="15"/>
      <c r="G283" s="83"/>
      <c r="I283" s="15"/>
      <c r="L283" s="15"/>
      <c r="M283" s="15"/>
      <c r="N283" s="15"/>
      <c r="O283" s="118"/>
      <c r="U283" s="15"/>
      <c r="V283" s="65"/>
      <c r="W283" s="15"/>
    </row>
    <row r="284" spans="1:30" x14ac:dyDescent="0.2">
      <c r="L284" s="20"/>
      <c r="M284" s="20"/>
      <c r="N284" s="20"/>
      <c r="O284" s="337"/>
      <c r="P284" s="18"/>
    </row>
    <row r="285" spans="1:30" ht="12.75" customHeight="1" x14ac:dyDescent="0.2">
      <c r="B285" s="419" t="s">
        <v>288</v>
      </c>
      <c r="C285" s="419"/>
      <c r="D285" s="419"/>
      <c r="E285" s="419"/>
      <c r="G285" s="84"/>
      <c r="H285" s="54"/>
      <c r="I285" s="420" t="s">
        <v>33</v>
      </c>
      <c r="J285" s="342"/>
      <c r="K285" s="191"/>
      <c r="L285" s="422" t="s">
        <v>30</v>
      </c>
      <c r="M285" s="424" t="s">
        <v>97</v>
      </c>
      <c r="N285" s="424"/>
      <c r="O285" s="116"/>
      <c r="S285" s="24"/>
      <c r="T285" s="24"/>
      <c r="U285" s="20"/>
      <c r="V285" s="192"/>
      <c r="W285" s="20"/>
      <c r="X285" s="18"/>
      <c r="Y285" s="18"/>
      <c r="Z285" s="18"/>
      <c r="AA285" s="18"/>
      <c r="AB285" s="18"/>
      <c r="AC285" s="18"/>
      <c r="AD285" s="18"/>
    </row>
    <row r="286" spans="1:30" ht="12.75" customHeight="1" x14ac:dyDescent="0.2">
      <c r="C286" s="16" t="s">
        <v>77</v>
      </c>
      <c r="D286" s="14"/>
      <c r="E286" s="171">
        <v>9000</v>
      </c>
      <c r="G286" s="85" t="s">
        <v>49</v>
      </c>
      <c r="H286" s="72"/>
      <c r="I286" s="421"/>
      <c r="J286" s="342" t="s">
        <v>26</v>
      </c>
      <c r="K286" s="191"/>
      <c r="L286" s="423"/>
      <c r="M286" s="343" t="s">
        <v>26</v>
      </c>
      <c r="N286" s="344" t="s">
        <v>32</v>
      </c>
      <c r="O286" s="116"/>
      <c r="S286" s="61"/>
      <c r="T286" s="57"/>
      <c r="U286" s="60"/>
      <c r="V286" s="46"/>
      <c r="W286" s="47"/>
      <c r="X286" s="18"/>
      <c r="Y286" s="26"/>
      <c r="Z286" s="18"/>
      <c r="AA286" s="18"/>
      <c r="AB286" s="18"/>
      <c r="AC286" s="18"/>
      <c r="AD286" s="18"/>
    </row>
    <row r="287" spans="1:30" ht="12.75" customHeight="1" x14ac:dyDescent="0.2">
      <c r="C287" s="16"/>
      <c r="D287" s="14" t="s">
        <v>11</v>
      </c>
      <c r="E287" s="30"/>
      <c r="G287" s="90"/>
      <c r="H287" s="78" t="s">
        <v>52</v>
      </c>
      <c r="I287" s="28">
        <f>$J$281</f>
        <v>-4651.8900000000003</v>
      </c>
      <c r="J287" s="37">
        <f>I287</f>
        <v>-4651.8900000000003</v>
      </c>
      <c r="K287" s="20"/>
      <c r="L287" s="28">
        <f>$M$257</f>
        <v>-5294.91</v>
      </c>
      <c r="M287" s="37">
        <f>L287</f>
        <v>-5294.91</v>
      </c>
      <c r="N287" s="28">
        <f>28000+M287</f>
        <v>22705.09</v>
      </c>
      <c r="O287" s="117" t="s">
        <v>67</v>
      </c>
      <c r="P287" s="111" t="s">
        <v>68</v>
      </c>
      <c r="R287" s="120"/>
      <c r="S287" s="57"/>
      <c r="T287" s="57"/>
      <c r="U287" s="28"/>
      <c r="V287" s="149"/>
      <c r="W287" s="20"/>
      <c r="X287" s="18"/>
      <c r="Y287" s="49"/>
      <c r="Z287" s="50"/>
      <c r="AA287" s="18"/>
      <c r="AB287" s="18"/>
      <c r="AC287" s="18"/>
      <c r="AD287" s="18"/>
    </row>
    <row r="288" spans="1:30" ht="12.75" customHeight="1" x14ac:dyDescent="0.2">
      <c r="C288" s="17" t="s">
        <v>5</v>
      </c>
      <c r="D288" s="14"/>
      <c r="E288" s="14">
        <f>SUM(E286:E287)</f>
        <v>9000</v>
      </c>
      <c r="G288" s="92"/>
      <c r="H288" s="75" t="s">
        <v>39</v>
      </c>
      <c r="I288" s="28">
        <v>8000</v>
      </c>
      <c r="J288" s="153">
        <f t="shared" ref="J288:J319" si="19">J287+I288</f>
        <v>3348.1099999999997</v>
      </c>
      <c r="K288" s="25"/>
      <c r="L288" s="68">
        <v>-809.84</v>
      </c>
      <c r="M288" s="38">
        <f>M287+L288</f>
        <v>-6104.75</v>
      </c>
      <c r="N288" s="28">
        <f>28000+M288</f>
        <v>21895.25</v>
      </c>
      <c r="O288" s="113" t="s">
        <v>133</v>
      </c>
      <c r="P288" s="120"/>
      <c r="Q288" s="18"/>
      <c r="R288" s="57"/>
      <c r="S288" s="57"/>
      <c r="T288" s="58"/>
      <c r="U288" s="31"/>
      <c r="V288" s="150"/>
      <c r="W288" s="20"/>
      <c r="X288" s="18"/>
      <c r="Y288" s="49"/>
      <c r="Z288" s="50"/>
      <c r="AA288" s="18"/>
      <c r="AB288" s="18"/>
      <c r="AC288" s="18"/>
      <c r="AD288" s="18"/>
    </row>
    <row r="289" spans="1:30" ht="12.75" customHeight="1" x14ac:dyDescent="0.2">
      <c r="A289" s="98"/>
      <c r="G289" s="92"/>
      <c r="H289" s="86" t="s">
        <v>287</v>
      </c>
      <c r="I289" s="28">
        <v>-3000</v>
      </c>
      <c r="J289" s="153">
        <f t="shared" si="19"/>
        <v>348.10999999999967</v>
      </c>
      <c r="K289" s="81"/>
      <c r="L289" s="68">
        <v>-150.47999999999999</v>
      </c>
      <c r="M289" s="38">
        <f t="shared" ref="M289:M332" si="20">M288+L289</f>
        <v>-6255.23</v>
      </c>
      <c r="N289" s="28">
        <f>28000+M289</f>
        <v>21744.77</v>
      </c>
      <c r="O289" s="113" t="s">
        <v>133</v>
      </c>
      <c r="P289" s="120"/>
      <c r="Q289" s="18"/>
      <c r="R289" s="58"/>
      <c r="S289" s="58"/>
      <c r="T289" s="58"/>
      <c r="U289" s="31"/>
      <c r="V289" s="150"/>
      <c r="W289" s="20"/>
      <c r="X289" s="18"/>
      <c r="Y289" s="49"/>
      <c r="Z289" s="50"/>
      <c r="AA289" s="18"/>
      <c r="AB289" s="18"/>
      <c r="AC289" s="18"/>
      <c r="AD289" s="18"/>
    </row>
    <row r="290" spans="1:30" ht="12.75" customHeight="1" x14ac:dyDescent="0.2">
      <c r="A290" s="98"/>
      <c r="C290" s="43" t="s">
        <v>9</v>
      </c>
      <c r="E290" s="27"/>
      <c r="G290" s="92"/>
      <c r="H290" s="75" t="s">
        <v>305</v>
      </c>
      <c r="I290" s="28">
        <v>-179</v>
      </c>
      <c r="J290" s="153">
        <f t="shared" si="19"/>
        <v>169.10999999999967</v>
      </c>
      <c r="K290" s="81"/>
      <c r="L290" s="68">
        <v>-521</v>
      </c>
      <c r="M290" s="38">
        <f t="shared" si="20"/>
        <v>-6776.23</v>
      </c>
      <c r="N290" s="28">
        <f t="shared" ref="N290:N332" si="21">28000+M290</f>
        <v>21223.77</v>
      </c>
      <c r="O290" s="113" t="s">
        <v>102</v>
      </c>
      <c r="P290" s="120"/>
      <c r="Q290" s="18"/>
      <c r="R290" s="55"/>
      <c r="S290" s="57"/>
      <c r="T290" s="58"/>
      <c r="U290" s="31"/>
      <c r="V290" s="150"/>
      <c r="W290" s="52"/>
      <c r="X290" s="18"/>
      <c r="Y290" s="53"/>
      <c r="Z290" s="50"/>
      <c r="AA290" s="18"/>
      <c r="AB290" s="18"/>
      <c r="AC290" s="18"/>
      <c r="AD290" s="18"/>
    </row>
    <row r="291" spans="1:30" ht="12.75" customHeight="1" x14ac:dyDescent="0.2">
      <c r="A291" s="98"/>
      <c r="D291" s="18" t="s">
        <v>7</v>
      </c>
      <c r="E291" s="27">
        <f>E286</f>
        <v>9000</v>
      </c>
      <c r="G291" s="92"/>
      <c r="H291" s="75" t="s">
        <v>257</v>
      </c>
      <c r="I291" s="28">
        <v>2000</v>
      </c>
      <c r="J291" s="153">
        <f t="shared" si="19"/>
        <v>2169.1099999999997</v>
      </c>
      <c r="K291" s="81"/>
      <c r="L291" s="68">
        <v>-248</v>
      </c>
      <c r="M291" s="38">
        <f t="shared" si="20"/>
        <v>-7024.23</v>
      </c>
      <c r="N291" s="28">
        <f t="shared" si="21"/>
        <v>20975.77</v>
      </c>
      <c r="O291" s="113" t="s">
        <v>289</v>
      </c>
      <c r="P291" s="120"/>
      <c r="Q291" s="20"/>
      <c r="R291" s="57"/>
      <c r="S291" s="57"/>
      <c r="T291" s="58"/>
      <c r="U291" s="31"/>
      <c r="V291" s="150"/>
      <c r="W291" s="20"/>
      <c r="X291" s="18"/>
      <c r="Y291" s="26"/>
      <c r="Z291" s="50"/>
      <c r="AA291" s="18"/>
      <c r="AB291" s="18"/>
      <c r="AC291" s="18"/>
      <c r="AD291" s="18"/>
    </row>
    <row r="292" spans="1:30" ht="12.75" customHeight="1" x14ac:dyDescent="0.2">
      <c r="A292" s="98"/>
      <c r="D292" s="42" t="s">
        <v>6</v>
      </c>
      <c r="E292" s="147"/>
      <c r="G292" s="92"/>
      <c r="H292" s="75" t="s">
        <v>313</v>
      </c>
      <c r="I292" s="28">
        <v>-380</v>
      </c>
      <c r="J292" s="153">
        <f t="shared" si="19"/>
        <v>1789.1099999999997</v>
      </c>
      <c r="K292" s="81"/>
      <c r="L292" s="68">
        <v>-400</v>
      </c>
      <c r="M292" s="38">
        <f t="shared" si="20"/>
        <v>-7424.23</v>
      </c>
      <c r="N292" s="28">
        <f t="shared" si="21"/>
        <v>20575.77</v>
      </c>
      <c r="O292" s="113" t="s">
        <v>290</v>
      </c>
      <c r="P292" s="120"/>
      <c r="Q292" s="20"/>
      <c r="R292" s="18"/>
      <c r="S292" s="18"/>
      <c r="T292" s="58"/>
      <c r="U292" s="80"/>
      <c r="V292" s="51"/>
      <c r="W292" s="20"/>
      <c r="X292" s="18"/>
      <c r="Y292" s="49"/>
      <c r="Z292" s="50"/>
      <c r="AA292" s="18"/>
      <c r="AB292" s="18"/>
      <c r="AC292" s="18"/>
      <c r="AD292" s="18"/>
    </row>
    <row r="293" spans="1:30" ht="12.75" customHeight="1" x14ac:dyDescent="0.2">
      <c r="A293" s="98"/>
      <c r="D293" s="18"/>
      <c r="E293" s="154"/>
      <c r="G293" s="92"/>
      <c r="H293" s="86" t="s">
        <v>39</v>
      </c>
      <c r="I293" s="28">
        <v>-500</v>
      </c>
      <c r="J293" s="153">
        <f t="shared" si="19"/>
        <v>1289.1099999999997</v>
      </c>
      <c r="K293" s="81"/>
      <c r="L293" s="68">
        <v>-260</v>
      </c>
      <c r="M293" s="38">
        <f t="shared" si="20"/>
        <v>-7684.23</v>
      </c>
      <c r="N293" s="28">
        <f t="shared" si="21"/>
        <v>20315.77</v>
      </c>
      <c r="O293" s="113" t="s">
        <v>105</v>
      </c>
      <c r="P293" s="120"/>
      <c r="Q293" s="20"/>
      <c r="R293" s="18"/>
      <c r="S293" s="18"/>
      <c r="T293" s="58"/>
      <c r="U293" s="80"/>
      <c r="V293" s="51"/>
      <c r="W293" s="20"/>
      <c r="X293" s="18"/>
      <c r="Y293" s="49"/>
      <c r="Z293" s="50"/>
      <c r="AA293" s="18"/>
      <c r="AB293" s="18"/>
      <c r="AC293" s="18"/>
      <c r="AD293" s="18"/>
    </row>
    <row r="294" spans="1:30" ht="12.75" customHeight="1" x14ac:dyDescent="0.2">
      <c r="A294" s="100"/>
      <c r="B294" s="100"/>
      <c r="C294" s="100"/>
      <c r="D294" s="190"/>
      <c r="E294" s="68"/>
      <c r="G294" s="92"/>
      <c r="H294" s="86" t="s">
        <v>39</v>
      </c>
      <c r="I294" s="28">
        <v>-1000</v>
      </c>
      <c r="J294" s="153">
        <f t="shared" si="19"/>
        <v>289.10999999999967</v>
      </c>
      <c r="K294" s="81"/>
      <c r="L294" s="68">
        <v>-54</v>
      </c>
      <c r="M294" s="38">
        <f t="shared" si="20"/>
        <v>-7738.23</v>
      </c>
      <c r="N294" s="28">
        <f t="shared" si="21"/>
        <v>20261.77</v>
      </c>
      <c r="O294" s="113" t="s">
        <v>291</v>
      </c>
      <c r="P294" s="120"/>
      <c r="Q294" s="81" t="s">
        <v>298</v>
      </c>
      <c r="R294" s="20"/>
      <c r="S294" s="48"/>
      <c r="T294" s="18"/>
      <c r="U294" s="80"/>
      <c r="V294" s="51"/>
      <c r="W294" s="20"/>
      <c r="X294" s="18"/>
      <c r="Y294" s="18"/>
      <c r="Z294" s="18"/>
      <c r="AA294" s="18"/>
      <c r="AB294" s="18"/>
      <c r="AC294" s="18"/>
      <c r="AD294" s="18"/>
    </row>
    <row r="295" spans="1:30" ht="12.75" customHeight="1" x14ac:dyDescent="0.2">
      <c r="A295" s="100"/>
      <c r="B295" s="100"/>
      <c r="C295" s="100"/>
      <c r="D295" s="190"/>
      <c r="E295" s="68"/>
      <c r="F295" s="18"/>
      <c r="G295" s="92"/>
      <c r="H295" s="75" t="s">
        <v>69</v>
      </c>
      <c r="I295" s="28">
        <v>-199.88</v>
      </c>
      <c r="J295" s="153">
        <f t="shared" si="19"/>
        <v>89.229999999999677</v>
      </c>
      <c r="K295" s="81"/>
      <c r="L295" s="121">
        <f>-73</f>
        <v>-73</v>
      </c>
      <c r="M295" s="39">
        <f t="shared" si="20"/>
        <v>-7811.23</v>
      </c>
      <c r="N295" s="30">
        <f t="shared" si="21"/>
        <v>20188.77</v>
      </c>
      <c r="O295" s="338" t="s">
        <v>292</v>
      </c>
      <c r="P295" s="339"/>
      <c r="Q295" s="160">
        <f>SUM(L288:L295)</f>
        <v>-2516.3200000000002</v>
      </c>
      <c r="R295" s="20"/>
      <c r="S295" s="48"/>
      <c r="T295" s="18"/>
      <c r="U295" s="80"/>
      <c r="V295" s="51"/>
      <c r="W295" s="20"/>
      <c r="X295" s="18"/>
      <c r="Y295" s="18"/>
      <c r="Z295" s="18"/>
      <c r="AA295" s="18"/>
      <c r="AB295" s="18"/>
      <c r="AC295" s="18"/>
      <c r="AD295" s="18"/>
    </row>
    <row r="296" spans="1:30" ht="12.75" customHeight="1" x14ac:dyDescent="0.2">
      <c r="A296" s="100"/>
      <c r="B296" s="100"/>
      <c r="C296" s="100"/>
      <c r="D296" s="219"/>
      <c r="E296" s="68"/>
      <c r="F296" s="18"/>
      <c r="G296" s="92"/>
      <c r="H296" s="75" t="s">
        <v>316</v>
      </c>
      <c r="I296" s="316">
        <v>5000</v>
      </c>
      <c r="J296" s="153">
        <f t="shared" si="19"/>
        <v>5089.2299999999996</v>
      </c>
      <c r="K296" s="81"/>
      <c r="L296" s="68">
        <v>-361.53</v>
      </c>
      <c r="M296" s="38">
        <f t="shared" si="20"/>
        <v>-8172.7599999999993</v>
      </c>
      <c r="N296" s="28">
        <f t="shared" si="21"/>
        <v>19827.240000000002</v>
      </c>
      <c r="O296" s="113" t="s">
        <v>61</v>
      </c>
      <c r="P296" s="119"/>
      <c r="Q296" s="81"/>
      <c r="R296" s="20"/>
      <c r="S296" s="48"/>
      <c r="T296" s="18"/>
      <c r="U296" s="80"/>
      <c r="V296" s="51"/>
      <c r="W296" s="20"/>
      <c r="X296" s="18"/>
      <c r="Y296" s="18"/>
      <c r="Z296" s="18"/>
      <c r="AA296" s="18"/>
      <c r="AB296" s="18"/>
      <c r="AC296" s="18"/>
      <c r="AD296" s="18"/>
    </row>
    <row r="297" spans="1:30" ht="12.75" customHeight="1" x14ac:dyDescent="0.2">
      <c r="A297" s="100"/>
      <c r="B297" s="100"/>
      <c r="C297" s="100"/>
      <c r="D297" s="219"/>
      <c r="E297" s="68"/>
      <c r="F297" s="18"/>
      <c r="G297" s="92"/>
      <c r="H297" s="86" t="s">
        <v>39</v>
      </c>
      <c r="I297" s="28">
        <v>-800</v>
      </c>
      <c r="J297" s="153">
        <f t="shared" si="19"/>
        <v>4289.2299999999996</v>
      </c>
      <c r="K297" s="81"/>
      <c r="L297" s="68">
        <v>-8000</v>
      </c>
      <c r="M297" s="38">
        <f t="shared" si="20"/>
        <v>-16172.759999999998</v>
      </c>
      <c r="N297" s="28">
        <f t="shared" si="21"/>
        <v>11827.240000000002</v>
      </c>
      <c r="O297" s="113" t="s">
        <v>58</v>
      </c>
      <c r="P297" s="119"/>
      <c r="Q297" s="81"/>
      <c r="R297" s="20"/>
      <c r="S297" s="48"/>
      <c r="T297" s="18"/>
      <c r="U297" s="80"/>
      <c r="V297" s="51"/>
      <c r="W297" s="20"/>
      <c r="X297" s="18"/>
      <c r="Y297" s="18"/>
      <c r="Z297" s="18"/>
      <c r="AA297" s="18"/>
      <c r="AB297" s="18"/>
      <c r="AC297" s="18"/>
      <c r="AD297" s="18"/>
    </row>
    <row r="298" spans="1:30" ht="12.75" customHeight="1" x14ac:dyDescent="0.2">
      <c r="A298" s="100"/>
      <c r="B298" s="100"/>
      <c r="C298" s="100"/>
      <c r="D298" s="219"/>
      <c r="E298" s="68"/>
      <c r="F298" s="18"/>
      <c r="G298" s="92"/>
      <c r="H298" s="86" t="s">
        <v>317</v>
      </c>
      <c r="I298" s="28">
        <f>-2.15-5-0.23</f>
        <v>-7.3800000000000008</v>
      </c>
      <c r="J298" s="153">
        <f t="shared" si="19"/>
        <v>4281.8499999999995</v>
      </c>
      <c r="K298" s="81"/>
      <c r="L298" s="68">
        <v>-1919.44</v>
      </c>
      <c r="M298" s="38">
        <f t="shared" si="20"/>
        <v>-18092.199999999997</v>
      </c>
      <c r="N298" s="28">
        <f t="shared" si="21"/>
        <v>9907.8000000000029</v>
      </c>
      <c r="O298" s="113" t="s">
        <v>293</v>
      </c>
      <c r="P298" s="119"/>
      <c r="Q298" s="81"/>
      <c r="R298" s="20"/>
      <c r="S298" s="48"/>
      <c r="T298" s="18"/>
      <c r="U298" s="80"/>
      <c r="V298" s="51"/>
      <c r="W298" s="20"/>
      <c r="X298" s="18"/>
      <c r="Y298" s="18"/>
      <c r="Z298" s="18"/>
      <c r="AA298" s="18"/>
      <c r="AB298" s="18"/>
      <c r="AC298" s="18"/>
      <c r="AD298" s="18"/>
    </row>
    <row r="299" spans="1:30" ht="12.75" customHeight="1" x14ac:dyDescent="0.2">
      <c r="A299" s="100"/>
      <c r="B299" s="100"/>
      <c r="C299" s="100"/>
      <c r="D299" s="189"/>
      <c r="E299" s="68"/>
      <c r="F299" s="18"/>
      <c r="G299" s="92"/>
      <c r="H299" s="75" t="s">
        <v>318</v>
      </c>
      <c r="I299" s="28">
        <v>-200</v>
      </c>
      <c r="J299" s="153">
        <f t="shared" si="19"/>
        <v>4081.8499999999995</v>
      </c>
      <c r="K299" s="81"/>
      <c r="L299" s="68">
        <v>-100</v>
      </c>
      <c r="M299" s="38">
        <f t="shared" si="20"/>
        <v>-18192.199999999997</v>
      </c>
      <c r="N299" s="28">
        <f t="shared" si="21"/>
        <v>9807.8000000000029</v>
      </c>
      <c r="O299" s="113" t="s">
        <v>294</v>
      </c>
      <c r="P299" s="119"/>
      <c r="Q299" s="81"/>
      <c r="R299" s="20"/>
      <c r="S299" s="48"/>
      <c r="T299" s="18"/>
      <c r="U299" s="80"/>
      <c r="V299" s="51"/>
      <c r="W299" s="20"/>
      <c r="X299" s="18"/>
      <c r="Y299" s="18"/>
      <c r="Z299" s="18"/>
      <c r="AA299" s="18"/>
      <c r="AB299" s="18"/>
      <c r="AC299" s="18"/>
      <c r="AD299" s="18"/>
    </row>
    <row r="300" spans="1:30" ht="12.75" customHeight="1" x14ac:dyDescent="0.2">
      <c r="A300" s="100"/>
      <c r="B300" s="100"/>
      <c r="C300" s="100"/>
      <c r="D300" s="189"/>
      <c r="E300" s="68"/>
      <c r="G300" s="92"/>
      <c r="H300" s="75" t="s">
        <v>319</v>
      </c>
      <c r="I300" s="28">
        <v>-371.51</v>
      </c>
      <c r="J300" s="153">
        <f t="shared" si="19"/>
        <v>3710.3399999999992</v>
      </c>
      <c r="K300" s="81"/>
      <c r="L300" s="68">
        <v>-2000</v>
      </c>
      <c r="M300" s="38">
        <f t="shared" si="20"/>
        <v>-20192.199999999997</v>
      </c>
      <c r="N300" s="28">
        <f t="shared" si="21"/>
        <v>7807.8000000000029</v>
      </c>
      <c r="O300" s="113" t="s">
        <v>297</v>
      </c>
      <c r="P300" s="119"/>
      <c r="Q300" s="81"/>
      <c r="R300" s="20"/>
      <c r="S300" s="48"/>
      <c r="T300" s="18"/>
      <c r="U300" s="80"/>
      <c r="V300" s="51"/>
      <c r="W300" s="20"/>
      <c r="X300" s="18"/>
      <c r="Y300" s="18"/>
      <c r="Z300" s="18"/>
      <c r="AA300" s="18"/>
      <c r="AB300" s="18"/>
      <c r="AC300" s="18"/>
      <c r="AD300" s="18"/>
    </row>
    <row r="301" spans="1:30" ht="12.75" customHeight="1" x14ac:dyDescent="0.2">
      <c r="A301" s="100"/>
      <c r="B301" s="100"/>
      <c r="C301" s="100"/>
      <c r="D301" s="189"/>
      <c r="E301" s="68"/>
      <c r="G301" s="92"/>
      <c r="H301" s="75" t="s">
        <v>257</v>
      </c>
      <c r="I301" s="28">
        <v>-505.24</v>
      </c>
      <c r="J301" s="153">
        <f t="shared" si="19"/>
        <v>3205.0999999999995</v>
      </c>
      <c r="K301" s="81"/>
      <c r="L301" s="68">
        <v>-262.70999999999998</v>
      </c>
      <c r="M301" s="38">
        <f t="shared" si="20"/>
        <v>-20454.909999999996</v>
      </c>
      <c r="N301" s="28">
        <f t="shared" si="21"/>
        <v>7545.0900000000038</v>
      </c>
      <c r="O301" s="113" t="s">
        <v>133</v>
      </c>
      <c r="P301" s="119"/>
      <c r="Q301" s="81"/>
      <c r="R301" s="20"/>
      <c r="S301" s="48"/>
      <c r="T301" s="18"/>
      <c r="U301" s="80"/>
      <c r="V301" s="51"/>
      <c r="W301" s="20"/>
      <c r="X301" s="18"/>
      <c r="Y301" s="18"/>
      <c r="Z301" s="18"/>
      <c r="AA301" s="18"/>
      <c r="AB301" s="18"/>
      <c r="AC301" s="18"/>
      <c r="AD301" s="18"/>
    </row>
    <row r="302" spans="1:30" ht="12.75" customHeight="1" x14ac:dyDescent="0.2">
      <c r="A302" s="100"/>
      <c r="B302" s="100"/>
      <c r="C302" s="100"/>
      <c r="D302" s="189"/>
      <c r="E302" s="68"/>
      <c r="G302" s="84"/>
      <c r="H302" s="75" t="s">
        <v>69</v>
      </c>
      <c r="I302" s="28">
        <v>-195.08</v>
      </c>
      <c r="J302" s="153">
        <f t="shared" si="19"/>
        <v>3010.0199999999995</v>
      </c>
      <c r="K302" s="81"/>
      <c r="L302" s="68">
        <v>-298.5</v>
      </c>
      <c r="M302" s="38">
        <f t="shared" si="20"/>
        <v>-20753.409999999996</v>
      </c>
      <c r="N302" s="28">
        <f t="shared" si="21"/>
        <v>7246.5900000000038</v>
      </c>
      <c r="O302" s="113" t="s">
        <v>299</v>
      </c>
      <c r="P302" s="119"/>
      <c r="Q302" s="81"/>
      <c r="R302" s="20"/>
      <c r="S302" s="48"/>
      <c r="T302" s="18"/>
      <c r="U302" s="80"/>
      <c r="V302" s="51"/>
      <c r="W302" s="20"/>
      <c r="X302" s="18"/>
      <c r="Y302" s="18"/>
      <c r="Z302" s="18"/>
      <c r="AA302" s="18"/>
      <c r="AB302" s="18"/>
      <c r="AC302" s="18"/>
      <c r="AD302" s="18"/>
    </row>
    <row r="303" spans="1:30" ht="12.75" customHeight="1" x14ac:dyDescent="0.2">
      <c r="A303" s="100"/>
      <c r="B303" s="100"/>
      <c r="C303" s="100"/>
      <c r="D303" s="189"/>
      <c r="E303" s="68"/>
      <c r="G303" s="84"/>
      <c r="H303" s="86" t="s">
        <v>62</v>
      </c>
      <c r="I303" s="28">
        <v>-352.1</v>
      </c>
      <c r="J303" s="153">
        <f t="shared" si="19"/>
        <v>2657.9199999999996</v>
      </c>
      <c r="K303" s="81"/>
      <c r="L303" s="68">
        <v>-394</v>
      </c>
      <c r="M303" s="38">
        <f t="shared" si="20"/>
        <v>-21147.409999999996</v>
      </c>
      <c r="N303" s="28">
        <f t="shared" si="21"/>
        <v>6852.5900000000038</v>
      </c>
      <c r="O303" s="113" t="s">
        <v>300</v>
      </c>
      <c r="P303" s="119"/>
      <c r="Q303" s="81"/>
      <c r="R303" s="20"/>
      <c r="S303" s="48"/>
      <c r="T303" s="18"/>
      <c r="U303" s="80"/>
      <c r="V303" s="51"/>
      <c r="W303" s="20"/>
      <c r="X303" s="18"/>
      <c r="Y303" s="18"/>
      <c r="Z303" s="18"/>
      <c r="AA303" s="18"/>
      <c r="AB303" s="18"/>
      <c r="AC303" s="18"/>
      <c r="AD303" s="18"/>
    </row>
    <row r="304" spans="1:30" ht="12.75" customHeight="1" x14ac:dyDescent="0.2">
      <c r="A304" s="100"/>
      <c r="B304" s="100"/>
      <c r="C304" s="100"/>
      <c r="D304" s="189"/>
      <c r="E304" s="68"/>
      <c r="G304" s="84"/>
      <c r="H304" s="75" t="s">
        <v>320</v>
      </c>
      <c r="I304" s="28">
        <f>-581.91-220.47</f>
        <v>-802.38</v>
      </c>
      <c r="J304" s="153">
        <f t="shared" si="19"/>
        <v>1855.5399999999995</v>
      </c>
      <c r="K304" s="81"/>
      <c r="L304" s="68">
        <v>-200</v>
      </c>
      <c r="M304" s="38">
        <f t="shared" si="20"/>
        <v>-21347.409999999996</v>
      </c>
      <c r="N304" s="28">
        <f t="shared" si="21"/>
        <v>6652.5900000000038</v>
      </c>
      <c r="O304" s="113" t="s">
        <v>301</v>
      </c>
      <c r="P304" s="119"/>
      <c r="Q304" s="81" t="s">
        <v>302</v>
      </c>
      <c r="R304" s="20"/>
      <c r="S304" s="48"/>
      <c r="T304" s="18"/>
      <c r="U304" s="80"/>
      <c r="V304" s="51"/>
      <c r="W304" s="20"/>
      <c r="X304" s="18"/>
      <c r="Y304" s="18"/>
      <c r="Z304" s="18"/>
      <c r="AA304" s="18"/>
      <c r="AB304" s="18"/>
      <c r="AC304" s="18"/>
      <c r="AD304" s="18"/>
    </row>
    <row r="305" spans="1:30" ht="12.75" customHeight="1" x14ac:dyDescent="0.2">
      <c r="A305" s="100"/>
      <c r="B305" s="100"/>
      <c r="C305" s="100"/>
      <c r="D305" s="189"/>
      <c r="E305" s="68"/>
      <c r="G305" s="84"/>
      <c r="H305" s="75" t="s">
        <v>259</v>
      </c>
      <c r="I305" s="28">
        <v>-459.44</v>
      </c>
      <c r="J305" s="153">
        <f t="shared" si="19"/>
        <v>1396.0999999999995</v>
      </c>
      <c r="K305" s="81"/>
      <c r="L305" s="68">
        <v>-197.95</v>
      </c>
      <c r="M305" s="38">
        <f t="shared" si="20"/>
        <v>-21545.359999999997</v>
      </c>
      <c r="N305" s="28">
        <f t="shared" si="21"/>
        <v>6454.6400000000031</v>
      </c>
      <c r="O305" s="113" t="s">
        <v>303</v>
      </c>
      <c r="P305" s="119"/>
      <c r="Q305" s="81"/>
      <c r="R305" s="20"/>
      <c r="S305" s="48"/>
      <c r="T305" s="18"/>
      <c r="U305" s="80"/>
      <c r="V305" s="51"/>
      <c r="W305" s="20"/>
      <c r="X305" s="18"/>
      <c r="Y305" s="18"/>
      <c r="Z305" s="18"/>
      <c r="AA305" s="18"/>
      <c r="AB305" s="18"/>
      <c r="AC305" s="18"/>
      <c r="AD305" s="18"/>
    </row>
    <row r="306" spans="1:30" ht="12.75" customHeight="1" x14ac:dyDescent="0.2">
      <c r="A306" s="100"/>
      <c r="B306" s="100"/>
      <c r="C306" s="100"/>
      <c r="D306" s="189"/>
      <c r="E306" s="68"/>
      <c r="G306" s="84"/>
      <c r="H306" s="75" t="s">
        <v>321</v>
      </c>
      <c r="I306" s="28">
        <v>-1142</v>
      </c>
      <c r="J306" s="153">
        <f t="shared" si="19"/>
        <v>254.09999999999945</v>
      </c>
      <c r="K306" s="81"/>
      <c r="L306" s="68">
        <v>-225</v>
      </c>
      <c r="M306" s="38">
        <f t="shared" si="20"/>
        <v>-21770.359999999997</v>
      </c>
      <c r="N306" s="28">
        <f t="shared" si="21"/>
        <v>6229.6400000000031</v>
      </c>
      <c r="O306" s="113" t="s">
        <v>304</v>
      </c>
      <c r="P306" s="119"/>
      <c r="Q306" s="81"/>
      <c r="R306" s="20"/>
      <c r="S306" s="48"/>
      <c r="T306" s="18"/>
      <c r="U306" s="80"/>
      <c r="V306" s="51"/>
      <c r="W306" s="20"/>
      <c r="X306" s="18"/>
      <c r="Y306" s="18"/>
      <c r="Z306" s="18"/>
      <c r="AA306" s="18"/>
      <c r="AB306" s="18"/>
      <c r="AC306" s="18"/>
      <c r="AD306" s="18"/>
    </row>
    <row r="307" spans="1:30" ht="12.75" customHeight="1" x14ac:dyDescent="0.2">
      <c r="A307" s="100"/>
      <c r="B307" s="100"/>
      <c r="C307" s="100"/>
      <c r="D307" s="189"/>
      <c r="E307" s="68"/>
      <c r="G307" s="84"/>
      <c r="H307" s="75" t="s">
        <v>320</v>
      </c>
      <c r="I307" s="28">
        <f>-296.99-256.24-89.2+300</f>
        <v>-342.43000000000006</v>
      </c>
      <c r="J307" s="153">
        <f t="shared" si="19"/>
        <v>-88.330000000000609</v>
      </c>
      <c r="K307" s="81"/>
      <c r="L307" s="68">
        <v>-440</v>
      </c>
      <c r="M307" s="38">
        <f t="shared" si="20"/>
        <v>-22210.359999999997</v>
      </c>
      <c r="N307" s="28">
        <f t="shared" si="21"/>
        <v>5789.6400000000031</v>
      </c>
      <c r="O307" s="113" t="s">
        <v>306</v>
      </c>
      <c r="P307" s="119"/>
      <c r="Q307" s="81"/>
      <c r="R307" s="20"/>
      <c r="S307" s="48"/>
      <c r="T307" s="18"/>
      <c r="U307" s="80"/>
      <c r="V307" s="51"/>
      <c r="W307" s="20"/>
      <c r="X307" s="18"/>
      <c r="Y307" s="18"/>
      <c r="Z307" s="18"/>
      <c r="AA307" s="18"/>
      <c r="AB307" s="18"/>
      <c r="AC307" s="18"/>
      <c r="AD307" s="18"/>
    </row>
    <row r="308" spans="1:30" ht="12.75" customHeight="1" x14ac:dyDescent="0.2">
      <c r="A308" s="100"/>
      <c r="B308" s="100"/>
      <c r="C308" s="100"/>
      <c r="D308" s="189"/>
      <c r="E308" s="68"/>
      <c r="G308" s="200"/>
      <c r="H308" s="86" t="s">
        <v>31</v>
      </c>
      <c r="I308" s="28">
        <v>9000</v>
      </c>
      <c r="J308" s="153">
        <f t="shared" si="19"/>
        <v>8911.67</v>
      </c>
      <c r="K308" s="81"/>
      <c r="L308" s="68">
        <v>-500</v>
      </c>
      <c r="M308" s="38">
        <f t="shared" si="20"/>
        <v>-22710.359999999997</v>
      </c>
      <c r="N308" s="28">
        <f t="shared" si="21"/>
        <v>5289.6400000000031</v>
      </c>
      <c r="O308" s="113" t="s">
        <v>307</v>
      </c>
      <c r="P308" s="119"/>
      <c r="Q308" s="81"/>
      <c r="R308" s="20"/>
      <c r="S308" s="48"/>
      <c r="T308" s="18"/>
      <c r="U308" s="80"/>
      <c r="V308" s="51"/>
      <c r="W308" s="20"/>
      <c r="X308" s="18"/>
      <c r="Y308" s="18"/>
      <c r="Z308" s="18"/>
      <c r="AA308" s="18"/>
      <c r="AB308" s="18"/>
      <c r="AC308" s="18"/>
      <c r="AD308" s="18"/>
    </row>
    <row r="309" spans="1:30" ht="12.75" customHeight="1" x14ac:dyDescent="0.2">
      <c r="A309" s="100"/>
      <c r="B309" s="100"/>
      <c r="C309" s="100"/>
      <c r="D309" s="189"/>
      <c r="E309" s="68"/>
      <c r="G309" s="200"/>
      <c r="H309" s="86" t="s">
        <v>48</v>
      </c>
      <c r="I309" s="28">
        <v>-2420.7399999999998</v>
      </c>
      <c r="J309" s="153">
        <f t="shared" si="19"/>
        <v>6490.93</v>
      </c>
      <c r="K309" s="81"/>
      <c r="L309" s="68">
        <f>-42-42</f>
        <v>-84</v>
      </c>
      <c r="M309" s="38">
        <f t="shared" si="20"/>
        <v>-22794.359999999997</v>
      </c>
      <c r="N309" s="28">
        <f t="shared" si="21"/>
        <v>5205.6400000000031</v>
      </c>
      <c r="O309" s="113" t="s">
        <v>308</v>
      </c>
      <c r="P309" s="119"/>
      <c r="Q309" s="81"/>
      <c r="R309" s="20"/>
      <c r="S309" s="48"/>
      <c r="T309" s="18"/>
      <c r="U309" s="80"/>
      <c r="V309" s="51"/>
      <c r="W309" s="20"/>
      <c r="X309" s="18"/>
      <c r="Y309" s="18"/>
      <c r="Z309" s="18"/>
      <c r="AA309" s="18"/>
      <c r="AB309" s="18"/>
      <c r="AC309" s="18"/>
      <c r="AD309" s="18"/>
    </row>
    <row r="310" spans="1:30" ht="12.75" customHeight="1" x14ac:dyDescent="0.2">
      <c r="A310" s="100"/>
      <c r="B310" s="100"/>
      <c r="C310" s="100"/>
      <c r="D310" s="189"/>
      <c r="E310" s="68"/>
      <c r="F310" s="151"/>
      <c r="G310" s="200"/>
      <c r="H310" s="86" t="s">
        <v>87</v>
      </c>
      <c r="I310" s="28">
        <v>-500</v>
      </c>
      <c r="J310" s="153">
        <f t="shared" si="19"/>
        <v>5990.93</v>
      </c>
      <c r="K310" s="81"/>
      <c r="L310" s="68">
        <v>-40</v>
      </c>
      <c r="M310" s="38">
        <f t="shared" si="20"/>
        <v>-22834.359999999997</v>
      </c>
      <c r="N310" s="28">
        <f t="shared" si="21"/>
        <v>5165.6400000000031</v>
      </c>
      <c r="O310" s="113" t="s">
        <v>309</v>
      </c>
      <c r="P310" s="119"/>
      <c r="Q310" s="81"/>
      <c r="R310" s="20"/>
      <c r="S310" s="48"/>
      <c r="T310" s="18"/>
      <c r="U310" s="80"/>
      <c r="V310" s="51"/>
      <c r="W310" s="20"/>
      <c r="X310" s="18"/>
      <c r="Y310" s="18"/>
      <c r="Z310" s="18"/>
      <c r="AA310" s="18"/>
      <c r="AB310" s="18"/>
      <c r="AC310" s="18"/>
      <c r="AD310" s="18"/>
    </row>
    <row r="311" spans="1:30" ht="12.75" customHeight="1" x14ac:dyDescent="0.2">
      <c r="A311" s="100"/>
      <c r="B311" s="100"/>
      <c r="C311" s="100"/>
      <c r="D311" s="189"/>
      <c r="E311" s="68"/>
      <c r="F311" s="151"/>
      <c r="G311" s="200"/>
      <c r="H311" s="86" t="s">
        <v>117</v>
      </c>
      <c r="I311" s="28">
        <v>-225</v>
      </c>
      <c r="J311" s="153">
        <f t="shared" si="19"/>
        <v>5765.93</v>
      </c>
      <c r="K311" s="81"/>
      <c r="L311" s="68">
        <v>-60.7</v>
      </c>
      <c r="M311" s="38">
        <f t="shared" si="20"/>
        <v>-22895.059999999998</v>
      </c>
      <c r="N311" s="28">
        <f t="shared" si="21"/>
        <v>5104.9400000000023</v>
      </c>
      <c r="O311" s="113" t="s">
        <v>102</v>
      </c>
      <c r="P311" s="119"/>
      <c r="Q311" s="81"/>
      <c r="R311" s="20"/>
      <c r="S311" s="48"/>
      <c r="T311" s="18"/>
      <c r="U311" s="80"/>
      <c r="V311" s="51"/>
      <c r="W311" s="20"/>
      <c r="X311" s="18"/>
      <c r="Y311" s="18"/>
      <c r="Z311" s="18"/>
      <c r="AA311" s="18"/>
      <c r="AB311" s="18"/>
      <c r="AC311" s="18"/>
      <c r="AD311" s="18"/>
    </row>
    <row r="312" spans="1:30" ht="12.75" customHeight="1" x14ac:dyDescent="0.2">
      <c r="A312" s="100"/>
      <c r="B312" s="100"/>
      <c r="C312" s="100"/>
      <c r="D312" s="189"/>
      <c r="E312" s="68"/>
      <c r="F312" s="295"/>
      <c r="G312" s="84" t="s">
        <v>50</v>
      </c>
      <c r="H312" s="86" t="s">
        <v>44</v>
      </c>
      <c r="I312" s="28">
        <v>-59</v>
      </c>
      <c r="J312" s="153">
        <f t="shared" si="19"/>
        <v>5706.93</v>
      </c>
      <c r="K312" s="81"/>
      <c r="L312" s="68">
        <v>249</v>
      </c>
      <c r="M312" s="38">
        <f t="shared" si="20"/>
        <v>-22646.059999999998</v>
      </c>
      <c r="N312" s="28">
        <f t="shared" si="21"/>
        <v>5353.9400000000023</v>
      </c>
      <c r="O312" s="113" t="s">
        <v>295</v>
      </c>
      <c r="P312" s="119"/>
      <c r="Q312" s="81"/>
      <c r="R312" s="20"/>
      <c r="S312" s="48"/>
      <c r="T312" s="18"/>
      <c r="U312" s="80"/>
      <c r="V312" s="51"/>
      <c r="W312" s="20"/>
      <c r="X312" s="18"/>
      <c r="Y312" s="18"/>
      <c r="Z312" s="18"/>
      <c r="AA312" s="18"/>
      <c r="AB312" s="18"/>
      <c r="AC312" s="18"/>
      <c r="AD312" s="18"/>
    </row>
    <row r="313" spans="1:30" ht="12.75" customHeight="1" x14ac:dyDescent="0.2">
      <c r="A313" s="100"/>
      <c r="B313" s="100"/>
      <c r="C313" s="100"/>
      <c r="D313" s="189"/>
      <c r="E313" s="68"/>
      <c r="F313" s="167"/>
      <c r="G313" s="84" t="s">
        <v>50</v>
      </c>
      <c r="H313" s="86" t="s">
        <v>37</v>
      </c>
      <c r="I313" s="28">
        <v>-508.5</v>
      </c>
      <c r="J313" s="153">
        <f t="shared" si="19"/>
        <v>5198.43</v>
      </c>
      <c r="K313" s="81"/>
      <c r="L313" s="68">
        <v>530</v>
      </c>
      <c r="M313" s="38">
        <f t="shared" si="20"/>
        <v>-22116.059999999998</v>
      </c>
      <c r="N313" s="28">
        <f t="shared" si="21"/>
        <v>5883.9400000000023</v>
      </c>
      <c r="O313" s="113" t="s">
        <v>296</v>
      </c>
      <c r="P313" s="119"/>
      <c r="Q313" s="81"/>
      <c r="R313" s="20"/>
      <c r="S313" s="48"/>
      <c r="T313" s="18"/>
      <c r="U313" s="80"/>
      <c r="V313" s="51"/>
      <c r="W313" s="20"/>
      <c r="X313" s="18"/>
      <c r="Y313" s="18"/>
      <c r="Z313" s="18"/>
      <c r="AA313" s="18"/>
      <c r="AB313" s="18"/>
      <c r="AC313" s="18"/>
      <c r="AD313" s="18"/>
    </row>
    <row r="314" spans="1:30" ht="12.75" customHeight="1" x14ac:dyDescent="0.2">
      <c r="A314" s="100"/>
      <c r="B314" s="100"/>
      <c r="C314" s="100"/>
      <c r="D314" s="189"/>
      <c r="E314" s="68"/>
      <c r="G314" s="45" t="s">
        <v>46</v>
      </c>
      <c r="H314" s="87" t="s">
        <v>8</v>
      </c>
      <c r="I314" s="74">
        <v>-613.99</v>
      </c>
      <c r="J314" s="153">
        <f t="shared" si="19"/>
        <v>4584.4400000000005</v>
      </c>
      <c r="K314" s="81"/>
      <c r="L314" s="68">
        <v>-340</v>
      </c>
      <c r="M314" s="38">
        <f t="shared" si="20"/>
        <v>-22456.059999999998</v>
      </c>
      <c r="N314" s="28">
        <f t="shared" si="21"/>
        <v>5543.9400000000023</v>
      </c>
      <c r="O314" s="113" t="s">
        <v>310</v>
      </c>
      <c r="P314" s="119"/>
      <c r="Q314" s="81"/>
      <c r="R314" s="20"/>
      <c r="S314" s="48"/>
      <c r="T314" s="18"/>
      <c r="U314" s="80"/>
      <c r="V314" s="51"/>
      <c r="W314" s="20"/>
      <c r="X314" s="18"/>
      <c r="Y314" s="18"/>
      <c r="Z314" s="18"/>
      <c r="AA314" s="18"/>
      <c r="AB314" s="18"/>
      <c r="AC314" s="18"/>
      <c r="AD314" s="18"/>
    </row>
    <row r="315" spans="1:30" ht="12.75" customHeight="1" x14ac:dyDescent="0.2">
      <c r="A315" s="100"/>
      <c r="B315" s="100"/>
      <c r="C315" s="100"/>
      <c r="D315" s="189"/>
      <c r="E315" s="68"/>
      <c r="F315" s="183"/>
      <c r="G315" s="84" t="s">
        <v>46</v>
      </c>
      <c r="H315" s="88" t="s">
        <v>34</v>
      </c>
      <c r="I315" s="74">
        <v>-955</v>
      </c>
      <c r="J315" s="153">
        <f t="shared" si="19"/>
        <v>3629.4400000000005</v>
      </c>
      <c r="K315" s="81"/>
      <c r="L315" s="68">
        <f>-4182.85-50-200</f>
        <v>-4432.8500000000004</v>
      </c>
      <c r="M315" s="38">
        <f t="shared" si="20"/>
        <v>-26888.909999999996</v>
      </c>
      <c r="N315" s="28">
        <f t="shared" si="21"/>
        <v>1111.0900000000038</v>
      </c>
      <c r="O315" s="113" t="s">
        <v>311</v>
      </c>
      <c r="P315" s="119"/>
      <c r="Q315" s="81"/>
      <c r="R315" s="20"/>
      <c r="S315" s="48"/>
      <c r="T315" s="18"/>
      <c r="U315" s="80"/>
      <c r="V315" s="51"/>
      <c r="W315" s="20"/>
      <c r="X315" s="18"/>
      <c r="Y315" s="18"/>
      <c r="Z315" s="18"/>
      <c r="AA315" s="18"/>
      <c r="AB315" s="18"/>
      <c r="AC315" s="18"/>
      <c r="AD315" s="18"/>
    </row>
    <row r="316" spans="1:30" ht="12.75" customHeight="1" x14ac:dyDescent="0.2">
      <c r="A316" s="100"/>
      <c r="B316" s="100"/>
      <c r="C316" s="100"/>
      <c r="D316" s="219"/>
      <c r="E316" s="68"/>
      <c r="F316" s="199"/>
      <c r="G316" s="84" t="s">
        <v>46</v>
      </c>
      <c r="H316" s="88" t="s">
        <v>10</v>
      </c>
      <c r="I316" s="68">
        <v>-685.72</v>
      </c>
      <c r="J316" s="153">
        <f t="shared" si="19"/>
        <v>2943.7200000000003</v>
      </c>
      <c r="K316" s="18"/>
      <c r="L316" s="68">
        <v>-10</v>
      </c>
      <c r="M316" s="38">
        <f t="shared" si="20"/>
        <v>-26898.909999999996</v>
      </c>
      <c r="N316" s="28">
        <f t="shared" si="21"/>
        <v>1101.0900000000038</v>
      </c>
      <c r="O316" s="113" t="s">
        <v>306</v>
      </c>
      <c r="P316" s="119"/>
      <c r="Q316" s="81"/>
      <c r="R316" s="20"/>
      <c r="S316" s="48"/>
      <c r="T316" s="18"/>
      <c r="U316" s="80"/>
      <c r="V316" s="51"/>
      <c r="W316" s="20"/>
      <c r="X316" s="18"/>
      <c r="Y316" s="18"/>
      <c r="Z316" s="18"/>
      <c r="AA316" s="18"/>
      <c r="AB316" s="18"/>
      <c r="AC316" s="18"/>
      <c r="AD316" s="18"/>
    </row>
    <row r="317" spans="1:30" ht="12.75" customHeight="1" x14ac:dyDescent="0.2">
      <c r="A317" s="100"/>
      <c r="B317" s="100"/>
      <c r="C317" s="100"/>
      <c r="D317" s="219"/>
      <c r="E317" s="68"/>
      <c r="F317" s="199"/>
      <c r="G317" s="84" t="s">
        <v>46</v>
      </c>
      <c r="H317" s="59" t="s">
        <v>92</v>
      </c>
      <c r="I317" s="232">
        <f>-1081.03</f>
        <v>-1081.03</v>
      </c>
      <c r="J317" s="153">
        <f t="shared" si="19"/>
        <v>1862.6900000000003</v>
      </c>
      <c r="K317" s="18"/>
      <c r="L317" s="68">
        <v>-76.7</v>
      </c>
      <c r="M317" s="38">
        <f t="shared" si="20"/>
        <v>-26975.609999999997</v>
      </c>
      <c r="N317" s="28">
        <f t="shared" si="21"/>
        <v>1024.3900000000031</v>
      </c>
      <c r="O317" s="113" t="s">
        <v>266</v>
      </c>
      <c r="P317" s="119"/>
      <c r="Q317" s="81"/>
      <c r="R317" s="20"/>
      <c r="S317" s="48"/>
      <c r="T317" s="18"/>
      <c r="U317" s="80"/>
      <c r="V317" s="51"/>
      <c r="W317" s="20"/>
      <c r="X317" s="18"/>
      <c r="Y317" s="18"/>
      <c r="Z317" s="18"/>
      <c r="AA317" s="18"/>
      <c r="AB317" s="18"/>
      <c r="AC317" s="18"/>
      <c r="AD317" s="18"/>
    </row>
    <row r="318" spans="1:30" ht="12.75" customHeight="1" x14ac:dyDescent="0.2">
      <c r="A318" s="100"/>
      <c r="B318" s="100"/>
      <c r="C318" s="100"/>
      <c r="D318" s="219"/>
      <c r="E318" s="68"/>
      <c r="F318" s="199"/>
      <c r="G318" s="99" t="s">
        <v>46</v>
      </c>
      <c r="H318" s="201" t="s">
        <v>89</v>
      </c>
      <c r="I318" s="209">
        <v>-73.739999999999995</v>
      </c>
      <c r="J318" s="153">
        <f t="shared" si="19"/>
        <v>1788.9500000000003</v>
      </c>
      <c r="K318" s="18"/>
      <c r="L318" s="68">
        <f>-53-53-78-78</f>
        <v>-262</v>
      </c>
      <c r="M318" s="38">
        <f t="shared" si="20"/>
        <v>-27237.609999999997</v>
      </c>
      <c r="N318" s="28">
        <f t="shared" si="21"/>
        <v>762.39000000000306</v>
      </c>
      <c r="O318" s="113" t="s">
        <v>312</v>
      </c>
      <c r="P318" s="119"/>
      <c r="Q318" s="81"/>
      <c r="R318" s="20"/>
      <c r="S318" s="48"/>
      <c r="T318" s="18"/>
      <c r="U318" s="80"/>
      <c r="V318" s="51"/>
      <c r="W318" s="20"/>
      <c r="X318" s="18"/>
      <c r="Y318" s="18"/>
      <c r="Z318" s="18"/>
      <c r="AA318" s="18"/>
      <c r="AB318" s="18"/>
      <c r="AC318" s="18"/>
      <c r="AD318" s="18"/>
    </row>
    <row r="319" spans="1:30" ht="12.75" customHeight="1" x14ac:dyDescent="0.2">
      <c r="A319" s="100"/>
      <c r="B319" s="100"/>
      <c r="C319" s="100"/>
      <c r="D319" s="219"/>
      <c r="E319" s="68"/>
      <c r="F319" s="199"/>
      <c r="G319" s="99" t="s">
        <v>47</v>
      </c>
      <c r="H319" s="89" t="s">
        <v>81</v>
      </c>
      <c r="I319" s="110">
        <v>-52.28</v>
      </c>
      <c r="J319" s="156">
        <f t="shared" si="19"/>
        <v>1736.6700000000003</v>
      </c>
      <c r="K319" s="18"/>
      <c r="L319" s="68">
        <v>-260.64</v>
      </c>
      <c r="M319" s="38">
        <f t="shared" si="20"/>
        <v>-27498.249999999996</v>
      </c>
      <c r="N319" s="28">
        <f t="shared" si="21"/>
        <v>501.75000000000364</v>
      </c>
      <c r="O319" s="113" t="s">
        <v>62</v>
      </c>
      <c r="P319" s="119"/>
      <c r="Q319" s="81"/>
      <c r="R319" s="20"/>
      <c r="S319" s="48"/>
      <c r="T319" s="18"/>
      <c r="U319" s="80"/>
      <c r="V319" s="51"/>
      <c r="W319" s="20"/>
      <c r="X319" s="18"/>
      <c r="Y319" s="18"/>
      <c r="Z319" s="18"/>
      <c r="AA319" s="18"/>
      <c r="AB319" s="18"/>
      <c r="AC319" s="18"/>
      <c r="AD319" s="18"/>
    </row>
    <row r="320" spans="1:30" ht="12.75" customHeight="1" x14ac:dyDescent="0.2">
      <c r="A320" s="100"/>
      <c r="B320" s="100"/>
      <c r="C320" s="100"/>
      <c r="D320" s="189"/>
      <c r="E320" s="23"/>
      <c r="F320" s="199"/>
      <c r="H320" s="19"/>
      <c r="I320" s="73">
        <f>SUM(I287:I319)</f>
        <v>1736.6700000000003</v>
      </c>
      <c r="J320" s="170"/>
      <c r="K320" s="18"/>
      <c r="L320" s="68">
        <v>500</v>
      </c>
      <c r="M320" s="38">
        <f t="shared" si="20"/>
        <v>-26998.249999999996</v>
      </c>
      <c r="N320" s="28">
        <f t="shared" si="21"/>
        <v>1001.7500000000036</v>
      </c>
      <c r="O320" s="113" t="s">
        <v>58</v>
      </c>
      <c r="P320" s="119"/>
      <c r="Q320" s="81"/>
      <c r="R320" s="20"/>
      <c r="S320" s="48"/>
      <c r="T320" s="18"/>
      <c r="U320" s="80"/>
      <c r="V320" s="51"/>
      <c r="W320" s="20"/>
      <c r="X320" s="18"/>
      <c r="Y320" s="18"/>
      <c r="Z320" s="18"/>
      <c r="AA320" s="18"/>
      <c r="AB320" s="18"/>
      <c r="AC320" s="18"/>
      <c r="AD320" s="18"/>
    </row>
    <row r="321" spans="1:30" ht="12.75" customHeight="1" x14ac:dyDescent="0.2">
      <c r="A321" s="100"/>
      <c r="B321" s="100"/>
      <c r="C321" s="100"/>
      <c r="D321" s="189"/>
      <c r="E321" s="23"/>
      <c r="F321" s="199"/>
      <c r="H321" s="19"/>
      <c r="I321" s="20"/>
      <c r="J321" s="170"/>
      <c r="K321" s="18"/>
      <c r="L321" s="68">
        <v>-579</v>
      </c>
      <c r="M321" s="38">
        <f t="shared" si="20"/>
        <v>-27577.249999999996</v>
      </c>
      <c r="N321" s="28">
        <f t="shared" si="21"/>
        <v>422.75000000000364</v>
      </c>
      <c r="O321" s="113" t="s">
        <v>314</v>
      </c>
      <c r="P321" s="119"/>
      <c r="Q321" s="81"/>
      <c r="R321" s="20"/>
      <c r="S321" s="48"/>
      <c r="T321" s="18"/>
      <c r="U321" s="80"/>
      <c r="V321" s="51"/>
      <c r="W321" s="20"/>
      <c r="X321" s="18"/>
      <c r="Y321" s="18"/>
      <c r="Z321" s="18"/>
      <c r="AA321" s="18"/>
      <c r="AB321" s="18"/>
      <c r="AC321" s="18"/>
      <c r="AD321" s="18"/>
    </row>
    <row r="322" spans="1:30" ht="12.75" customHeight="1" x14ac:dyDescent="0.2">
      <c r="A322" s="100"/>
      <c r="B322" s="100"/>
      <c r="C322" s="100"/>
      <c r="D322" s="189"/>
      <c r="E322" s="23"/>
      <c r="F322" s="199"/>
      <c r="H322" s="19"/>
      <c r="I322" s="20"/>
      <c r="J322" s="170"/>
      <c r="K322" s="18"/>
      <c r="L322" s="68">
        <v>1000</v>
      </c>
      <c r="M322" s="38">
        <f t="shared" si="20"/>
        <v>-26577.249999999996</v>
      </c>
      <c r="N322" s="28">
        <f t="shared" si="21"/>
        <v>1422.7500000000036</v>
      </c>
      <c r="O322" s="113" t="s">
        <v>58</v>
      </c>
      <c r="P322" s="119"/>
      <c r="Q322" s="81"/>
      <c r="R322" s="20"/>
      <c r="S322" s="48"/>
      <c r="T322" s="18"/>
      <c r="U322" s="80"/>
      <c r="V322" s="51"/>
      <c r="W322" s="20"/>
      <c r="X322" s="18"/>
      <c r="Y322" s="18"/>
      <c r="Z322" s="18"/>
      <c r="AA322" s="18"/>
      <c r="AB322" s="18"/>
      <c r="AC322" s="18"/>
      <c r="AD322" s="18"/>
    </row>
    <row r="323" spans="1:30" ht="12.75" customHeight="1" x14ac:dyDescent="0.2">
      <c r="A323" s="100"/>
      <c r="B323" s="100"/>
      <c r="C323" s="100"/>
      <c r="D323" s="189"/>
      <c r="E323" s="23"/>
      <c r="F323" s="199"/>
      <c r="H323" s="19"/>
      <c r="I323" s="20"/>
      <c r="J323" s="170"/>
      <c r="K323" s="18"/>
      <c r="L323" s="68">
        <v>-1272.31</v>
      </c>
      <c r="M323" s="38">
        <f t="shared" si="20"/>
        <v>-27849.559999999998</v>
      </c>
      <c r="N323" s="28">
        <f t="shared" si="21"/>
        <v>150.44000000000233</v>
      </c>
      <c r="O323" s="113" t="s">
        <v>315</v>
      </c>
      <c r="P323" s="119"/>
      <c r="Q323" s="81"/>
      <c r="R323" s="20"/>
      <c r="S323" s="48"/>
      <c r="T323" s="18"/>
      <c r="U323" s="80"/>
      <c r="V323" s="51"/>
      <c r="W323" s="20"/>
      <c r="X323" s="18"/>
      <c r="Y323" s="18"/>
      <c r="Z323" s="18"/>
      <c r="AA323" s="18"/>
      <c r="AB323" s="18"/>
      <c r="AC323" s="18"/>
      <c r="AD323" s="18"/>
    </row>
    <row r="324" spans="1:30" ht="12.75" customHeight="1" x14ac:dyDescent="0.2">
      <c r="A324" s="100"/>
      <c r="B324" s="100"/>
      <c r="C324" s="100"/>
      <c r="D324" s="189"/>
      <c r="E324" s="23"/>
      <c r="F324" s="199"/>
      <c r="H324" s="19"/>
      <c r="I324" s="20"/>
      <c r="J324" s="170"/>
      <c r="K324" s="18"/>
      <c r="L324" s="68">
        <v>800</v>
      </c>
      <c r="M324" s="38">
        <f t="shared" si="20"/>
        <v>-27049.559999999998</v>
      </c>
      <c r="N324" s="28">
        <f t="shared" si="21"/>
        <v>950.44000000000233</v>
      </c>
      <c r="O324" s="113" t="s">
        <v>58</v>
      </c>
      <c r="P324" s="119"/>
      <c r="Q324" s="81"/>
      <c r="R324" s="20"/>
      <c r="S324" s="48"/>
      <c r="T324" s="18"/>
      <c r="U324" s="80"/>
      <c r="V324" s="51"/>
      <c r="W324" s="20"/>
      <c r="X324" s="18"/>
      <c r="Y324" s="18"/>
      <c r="Z324" s="18"/>
      <c r="AA324" s="18"/>
      <c r="AB324" s="18"/>
      <c r="AC324" s="18"/>
      <c r="AD324" s="18"/>
    </row>
    <row r="325" spans="1:30" ht="12.75" customHeight="1" x14ac:dyDescent="0.2">
      <c r="A325" s="100"/>
      <c r="B325" s="100"/>
      <c r="C325" s="100"/>
      <c r="D325" s="189"/>
      <c r="E325" s="23"/>
      <c r="F325" s="199"/>
      <c r="H325" s="19"/>
      <c r="I325" s="20"/>
      <c r="J325" s="170"/>
      <c r="K325" s="18"/>
      <c r="L325" s="68">
        <v>-60.77</v>
      </c>
      <c r="M325" s="38">
        <f t="shared" si="20"/>
        <v>-27110.329999999998</v>
      </c>
      <c r="N325" s="28">
        <f t="shared" si="21"/>
        <v>889.67000000000189</v>
      </c>
      <c r="O325" s="113" t="s">
        <v>303</v>
      </c>
      <c r="P325" s="119"/>
      <c r="Q325" s="81"/>
      <c r="R325" s="20"/>
      <c r="S325" s="48"/>
      <c r="T325" s="18"/>
      <c r="U325" s="80"/>
      <c r="V325" s="51"/>
      <c r="W325" s="20"/>
      <c r="X325" s="18"/>
      <c r="Y325" s="18"/>
      <c r="Z325" s="18"/>
      <c r="AA325" s="18"/>
      <c r="AB325" s="18"/>
      <c r="AC325" s="18"/>
      <c r="AD325" s="18"/>
    </row>
    <row r="326" spans="1:30" ht="12.75" customHeight="1" x14ac:dyDescent="0.2">
      <c r="A326" s="100"/>
      <c r="B326" s="100"/>
      <c r="C326" s="100"/>
      <c r="D326" s="341"/>
      <c r="E326" s="23"/>
      <c r="F326" s="199"/>
      <c r="H326" s="19"/>
      <c r="I326" s="20"/>
      <c r="J326" s="170"/>
      <c r="K326" s="18"/>
      <c r="L326" s="68">
        <v>-132.5</v>
      </c>
      <c r="M326" s="38">
        <f t="shared" si="20"/>
        <v>-27242.829999999998</v>
      </c>
      <c r="N326" s="28">
        <f t="shared" si="21"/>
        <v>757.17000000000189</v>
      </c>
      <c r="O326" s="113" t="s">
        <v>113</v>
      </c>
      <c r="P326" s="119"/>
      <c r="Q326" s="81"/>
      <c r="R326" s="20"/>
      <c r="S326" s="48"/>
      <c r="T326" s="18"/>
      <c r="U326" s="80"/>
      <c r="V326" s="51"/>
      <c r="W326" s="20"/>
      <c r="X326" s="18"/>
      <c r="Y326" s="18"/>
      <c r="Z326" s="18"/>
      <c r="AA326" s="18"/>
      <c r="AB326" s="18"/>
      <c r="AC326" s="18"/>
      <c r="AD326" s="18"/>
    </row>
    <row r="327" spans="1:30" ht="12.75" customHeight="1" x14ac:dyDescent="0.2">
      <c r="A327" s="100"/>
      <c r="B327" s="100"/>
      <c r="C327" s="100"/>
      <c r="D327" s="189"/>
      <c r="E327" s="23"/>
      <c r="F327" s="199"/>
      <c r="H327" s="19"/>
      <c r="I327" s="20"/>
      <c r="J327" s="170"/>
      <c r="K327" s="18"/>
      <c r="L327" s="68">
        <v>-72.5</v>
      </c>
      <c r="M327" s="38">
        <f t="shared" si="20"/>
        <v>-27315.329999999998</v>
      </c>
      <c r="N327" s="28">
        <f t="shared" si="21"/>
        <v>684.67000000000189</v>
      </c>
      <c r="O327" s="113" t="s">
        <v>130</v>
      </c>
      <c r="P327" s="119"/>
      <c r="Q327" s="81"/>
      <c r="R327" s="20"/>
      <c r="S327" s="48"/>
      <c r="T327" s="18"/>
      <c r="U327" s="80"/>
      <c r="V327" s="51"/>
      <c r="W327" s="20"/>
      <c r="X327" s="18"/>
      <c r="Y327" s="18"/>
      <c r="Z327" s="18"/>
      <c r="AA327" s="18"/>
      <c r="AB327" s="18"/>
      <c r="AC327" s="18"/>
      <c r="AD327" s="18"/>
    </row>
    <row r="328" spans="1:30" ht="12.75" customHeight="1" x14ac:dyDescent="0.2">
      <c r="A328" s="100"/>
      <c r="B328" s="100"/>
      <c r="C328" s="100"/>
      <c r="D328" s="189"/>
      <c r="E328" s="23"/>
      <c r="F328" s="199"/>
      <c r="H328" s="19"/>
      <c r="I328" s="20"/>
      <c r="J328" s="170"/>
      <c r="K328" s="18"/>
      <c r="L328" s="68">
        <v>-142</v>
      </c>
      <c r="M328" s="38">
        <f t="shared" si="20"/>
        <v>-27457.329999999998</v>
      </c>
      <c r="N328" s="28">
        <f t="shared" si="21"/>
        <v>542.67000000000189</v>
      </c>
      <c r="O328" s="113" t="s">
        <v>301</v>
      </c>
      <c r="P328" s="119"/>
      <c r="Q328" s="81"/>
      <c r="R328" s="20"/>
      <c r="S328" s="48"/>
      <c r="T328" s="18"/>
      <c r="U328" s="80"/>
      <c r="V328" s="51"/>
      <c r="W328" s="20"/>
      <c r="X328" s="18"/>
      <c r="Y328" s="18"/>
      <c r="Z328" s="18"/>
      <c r="AA328" s="18"/>
      <c r="AB328" s="18"/>
      <c r="AC328" s="18"/>
      <c r="AD328" s="18"/>
    </row>
    <row r="329" spans="1:30" ht="12.75" customHeight="1" x14ac:dyDescent="0.2">
      <c r="A329" s="100"/>
      <c r="B329" s="100"/>
      <c r="C329" s="100"/>
      <c r="D329" s="189"/>
      <c r="E329" s="23"/>
      <c r="F329" s="199"/>
      <c r="H329" s="19"/>
      <c r="I329" s="20"/>
      <c r="J329" s="170"/>
      <c r="K329" s="18"/>
      <c r="L329" s="68">
        <v>-136</v>
      </c>
      <c r="M329" s="38">
        <f t="shared" si="20"/>
        <v>-27593.329999999998</v>
      </c>
      <c r="N329" s="28">
        <f t="shared" si="21"/>
        <v>406.67000000000189</v>
      </c>
      <c r="O329" s="113" t="s">
        <v>322</v>
      </c>
      <c r="P329" s="119"/>
      <c r="Q329" s="81"/>
      <c r="R329" s="20"/>
      <c r="S329" s="48"/>
      <c r="T329" s="18"/>
      <c r="U329" s="80"/>
      <c r="V329" s="51"/>
      <c r="W329" s="20"/>
      <c r="X329" s="18"/>
      <c r="Y329" s="18"/>
      <c r="Z329" s="18"/>
      <c r="AA329" s="18"/>
      <c r="AB329" s="18"/>
      <c r="AC329" s="18"/>
      <c r="AD329" s="18"/>
    </row>
    <row r="330" spans="1:30" ht="12.75" customHeight="1" x14ac:dyDescent="0.2">
      <c r="A330" s="100"/>
      <c r="B330" s="100"/>
      <c r="C330" s="100"/>
      <c r="D330" s="189"/>
      <c r="E330" s="23"/>
      <c r="F330" s="199"/>
      <c r="H330" s="19"/>
      <c r="I330" s="20"/>
      <c r="J330" s="170"/>
      <c r="K330" s="18"/>
      <c r="L330" s="68">
        <v>-160</v>
      </c>
      <c r="M330" s="38">
        <f t="shared" si="20"/>
        <v>-27753.329999999998</v>
      </c>
      <c r="N330" s="28">
        <f t="shared" si="21"/>
        <v>246.67000000000189</v>
      </c>
      <c r="O330" s="113" t="s">
        <v>323</v>
      </c>
      <c r="P330" s="119"/>
      <c r="Q330" s="81"/>
      <c r="R330" s="20"/>
      <c r="S330" s="48"/>
      <c r="T330" s="18"/>
      <c r="U330" s="80"/>
      <c r="V330" s="51"/>
      <c r="W330" s="20"/>
      <c r="X330" s="18"/>
      <c r="Y330" s="18"/>
      <c r="Z330" s="18"/>
      <c r="AA330" s="18"/>
      <c r="AB330" s="18"/>
      <c r="AC330" s="18"/>
      <c r="AD330" s="18"/>
    </row>
    <row r="331" spans="1:30" ht="12.75" customHeight="1" x14ac:dyDescent="0.2">
      <c r="A331" s="100"/>
      <c r="B331" s="100"/>
      <c r="C331" s="100"/>
      <c r="D331" s="189"/>
      <c r="E331" s="23"/>
      <c r="K331" s="18"/>
      <c r="L331" s="68">
        <v>-9.5</v>
      </c>
      <c r="M331" s="38">
        <f t="shared" si="20"/>
        <v>-27762.829999999998</v>
      </c>
      <c r="N331" s="28">
        <f t="shared" si="21"/>
        <v>237.17000000000189</v>
      </c>
      <c r="O331" s="113" t="s">
        <v>125</v>
      </c>
      <c r="P331" s="119"/>
      <c r="Q331" s="81"/>
      <c r="R331" s="20"/>
      <c r="S331" s="48"/>
      <c r="T331" s="18"/>
      <c r="U331" s="80"/>
      <c r="V331" s="51"/>
      <c r="W331" s="20"/>
      <c r="X331" s="18"/>
      <c r="Y331" s="18"/>
      <c r="Z331" s="18"/>
      <c r="AA331" s="18"/>
      <c r="AB331" s="18"/>
      <c r="AC331" s="18"/>
      <c r="AD331" s="18"/>
    </row>
    <row r="332" spans="1:30" ht="12.75" customHeight="1" x14ac:dyDescent="0.2">
      <c r="A332" s="100"/>
      <c r="B332" s="100"/>
      <c r="C332" s="100"/>
      <c r="K332" s="18"/>
      <c r="L332" s="68">
        <v>-7.5</v>
      </c>
      <c r="M332" s="39">
        <f t="shared" si="20"/>
        <v>-27770.329999999998</v>
      </c>
      <c r="N332" s="28">
        <f t="shared" si="21"/>
        <v>229.67000000000189</v>
      </c>
      <c r="O332" s="113" t="s">
        <v>234</v>
      </c>
      <c r="P332" s="119"/>
      <c r="Q332" s="81"/>
      <c r="R332" s="20"/>
      <c r="S332" s="48"/>
      <c r="T332" s="18"/>
      <c r="U332" s="80"/>
      <c r="V332" s="51"/>
      <c r="W332" s="20"/>
      <c r="X332" s="18"/>
      <c r="Y332" s="18"/>
      <c r="Z332" s="18"/>
      <c r="AA332" s="18"/>
      <c r="AB332" s="18"/>
      <c r="AC332" s="18"/>
      <c r="AD332" s="18"/>
    </row>
    <row r="333" spans="1:30" ht="12.75" customHeight="1" x14ac:dyDescent="0.2">
      <c r="A333" s="100"/>
      <c r="B333" s="100"/>
      <c r="C333" s="100"/>
      <c r="K333" s="18"/>
      <c r="L333" s="35">
        <f>SUM(L287:L332)</f>
        <v>-27770.329999999998</v>
      </c>
      <c r="M333" s="91"/>
      <c r="N333" s="96"/>
      <c r="O333" s="113"/>
      <c r="P333" s="119"/>
      <c r="Q333" s="81"/>
      <c r="R333" s="20"/>
      <c r="S333" s="48"/>
      <c r="T333" s="18"/>
      <c r="U333" s="80"/>
      <c r="V333" s="51"/>
      <c r="W333" s="20"/>
      <c r="X333" s="18"/>
      <c r="Y333" s="18"/>
      <c r="Z333" s="18"/>
      <c r="AA333" s="18"/>
      <c r="AB333" s="18"/>
      <c r="AC333" s="18"/>
      <c r="AD333" s="18"/>
    </row>
    <row r="334" spans="1:30" s="42" customFormat="1" x14ac:dyDescent="0.2">
      <c r="E334" s="15"/>
      <c r="G334" s="83"/>
      <c r="I334" s="15"/>
      <c r="L334" s="15"/>
      <c r="M334" s="15"/>
      <c r="N334" s="15"/>
      <c r="O334" s="118"/>
      <c r="U334" s="15"/>
      <c r="V334" s="65"/>
      <c r="W334" s="15"/>
    </row>
    <row r="336" spans="1:30" ht="12.75" customHeight="1" x14ac:dyDescent="0.2">
      <c r="B336" s="419" t="s">
        <v>288</v>
      </c>
      <c r="C336" s="419"/>
      <c r="D336" s="419"/>
      <c r="E336" s="419"/>
      <c r="G336" s="84"/>
      <c r="H336" s="54"/>
      <c r="I336" s="420" t="s">
        <v>33</v>
      </c>
      <c r="J336" s="361"/>
      <c r="K336" s="191"/>
      <c r="L336" s="422" t="s">
        <v>30</v>
      </c>
      <c r="M336" s="424" t="s">
        <v>97</v>
      </c>
      <c r="N336" s="424"/>
      <c r="O336" s="116"/>
      <c r="S336" s="24"/>
      <c r="T336" s="24"/>
      <c r="U336" s="20"/>
      <c r="V336" s="192"/>
      <c r="W336" s="20"/>
      <c r="X336" s="18"/>
      <c r="Y336" s="18"/>
      <c r="Z336" s="18"/>
      <c r="AA336" s="18"/>
      <c r="AB336" s="18"/>
      <c r="AC336" s="18"/>
      <c r="AD336" s="18"/>
    </row>
    <row r="337" spans="1:30" ht="12.75" customHeight="1" x14ac:dyDescent="0.2">
      <c r="C337" s="16" t="s">
        <v>77</v>
      </c>
      <c r="D337" s="14"/>
      <c r="E337" s="171">
        <v>9000</v>
      </c>
      <c r="G337" s="85" t="s">
        <v>49</v>
      </c>
      <c r="H337" s="72"/>
      <c r="I337" s="421"/>
      <c r="J337" s="361" t="s">
        <v>26</v>
      </c>
      <c r="K337" s="191"/>
      <c r="L337" s="423"/>
      <c r="M337" s="362" t="s">
        <v>26</v>
      </c>
      <c r="N337" s="363" t="s">
        <v>32</v>
      </c>
      <c r="O337" s="116"/>
      <c r="S337" s="61"/>
      <c r="T337" s="57"/>
      <c r="U337" s="60"/>
      <c r="V337" s="46"/>
      <c r="W337" s="47"/>
      <c r="X337" s="18"/>
      <c r="Y337" s="26"/>
      <c r="Z337" s="18"/>
      <c r="AA337" s="18"/>
      <c r="AB337" s="18"/>
      <c r="AC337" s="18"/>
      <c r="AD337" s="18"/>
    </row>
    <row r="338" spans="1:30" ht="12.75" customHeight="1" x14ac:dyDescent="0.2">
      <c r="C338" s="16"/>
      <c r="D338" s="14" t="s">
        <v>11</v>
      </c>
      <c r="E338" s="30"/>
      <c r="G338" s="90"/>
      <c r="H338" s="78" t="s">
        <v>52</v>
      </c>
      <c r="I338" s="28">
        <f>$J$319</f>
        <v>1736.6700000000003</v>
      </c>
      <c r="J338" s="37">
        <f>I338</f>
        <v>1736.6700000000003</v>
      </c>
      <c r="K338" s="20"/>
      <c r="L338" s="28">
        <f>$M$332</f>
        <v>-27770.329999999998</v>
      </c>
      <c r="M338" s="37">
        <f>L338</f>
        <v>-27770.329999999998</v>
      </c>
      <c r="N338" s="28">
        <f>28000+M338</f>
        <v>229.67000000000189</v>
      </c>
      <c r="O338" s="117" t="s">
        <v>67</v>
      </c>
      <c r="P338" s="111" t="s">
        <v>68</v>
      </c>
      <c r="R338" s="120"/>
      <c r="S338" s="57"/>
      <c r="T338" s="57"/>
      <c r="U338" s="28"/>
      <c r="V338" s="149"/>
      <c r="W338" s="20"/>
      <c r="X338" s="18"/>
      <c r="Y338" s="49"/>
      <c r="Z338" s="50"/>
      <c r="AA338" s="18"/>
      <c r="AB338" s="18"/>
      <c r="AC338" s="18"/>
      <c r="AD338" s="18"/>
    </row>
    <row r="339" spans="1:30" ht="12.75" customHeight="1" x14ac:dyDescent="0.2">
      <c r="C339" s="17" t="s">
        <v>5</v>
      </c>
      <c r="D339" s="14"/>
      <c r="E339" s="14">
        <f>SUM(E337:E338)</f>
        <v>9000</v>
      </c>
      <c r="G339" s="92"/>
      <c r="H339" s="75" t="s">
        <v>98</v>
      </c>
      <c r="I339" s="28">
        <f>-5-10-1.1-1.1-10-1.1</f>
        <v>-28.300000000000004</v>
      </c>
      <c r="J339" s="153">
        <f t="shared" ref="J339:J363" si="22">J338+I339</f>
        <v>1708.3700000000003</v>
      </c>
      <c r="K339" s="25"/>
      <c r="L339" s="68">
        <v>-224.8</v>
      </c>
      <c r="M339" s="38">
        <f>M338+L339</f>
        <v>-27995.129999999997</v>
      </c>
      <c r="N339" s="28">
        <f>28000+M339</f>
        <v>4.8700000000026193</v>
      </c>
      <c r="O339" s="113" t="s">
        <v>61</v>
      </c>
      <c r="P339" s="120"/>
      <c r="Q339" s="18"/>
      <c r="R339" s="57"/>
      <c r="S339" s="57"/>
      <c r="T339" s="58"/>
      <c r="U339" s="31"/>
      <c r="V339" s="150"/>
      <c r="W339" s="20"/>
      <c r="X339" s="18"/>
      <c r="Y339" s="49"/>
      <c r="Z339" s="50"/>
      <c r="AA339" s="18"/>
      <c r="AB339" s="18"/>
      <c r="AC339" s="18"/>
      <c r="AD339" s="18"/>
    </row>
    <row r="340" spans="1:30" ht="12.75" customHeight="1" x14ac:dyDescent="0.2">
      <c r="A340" s="98"/>
      <c r="G340" s="92"/>
      <c r="H340" s="75" t="s">
        <v>325</v>
      </c>
      <c r="I340" s="28">
        <v>72.930000000000007</v>
      </c>
      <c r="J340" s="153">
        <f t="shared" si="22"/>
        <v>1781.3000000000004</v>
      </c>
      <c r="K340" s="81"/>
      <c r="L340" s="68">
        <v>545.36</v>
      </c>
      <c r="M340" s="38">
        <f t="shared" ref="M340:M343" si="23">M339+L340</f>
        <v>-27449.769999999997</v>
      </c>
      <c r="N340" s="28">
        <f>28000+M340</f>
        <v>550.2300000000032</v>
      </c>
      <c r="O340" s="113" t="s">
        <v>334</v>
      </c>
      <c r="P340" s="120"/>
      <c r="Q340" s="18"/>
      <c r="R340" s="58"/>
      <c r="S340" s="58"/>
      <c r="T340" s="58"/>
      <c r="U340" s="31"/>
      <c r="V340" s="150"/>
      <c r="W340" s="20"/>
      <c r="X340" s="18"/>
      <c r="Y340" s="49"/>
      <c r="Z340" s="50"/>
      <c r="AA340" s="18"/>
      <c r="AB340" s="18"/>
      <c r="AC340" s="18"/>
      <c r="AD340" s="18"/>
    </row>
    <row r="341" spans="1:30" ht="12.75" customHeight="1" x14ac:dyDescent="0.2">
      <c r="A341" s="98"/>
      <c r="C341" s="43" t="s">
        <v>9</v>
      </c>
      <c r="E341" s="27"/>
      <c r="G341" s="92"/>
      <c r="H341" s="75" t="s">
        <v>332</v>
      </c>
      <c r="I341" s="28">
        <v>-470</v>
      </c>
      <c r="J341" s="153">
        <f t="shared" si="22"/>
        <v>1311.3000000000004</v>
      </c>
      <c r="K341" s="81"/>
      <c r="L341" s="68">
        <v>-127.12</v>
      </c>
      <c r="M341" s="38">
        <f t="shared" si="23"/>
        <v>-27576.889999999996</v>
      </c>
      <c r="N341" s="28">
        <f t="shared" ref="N341:N343" si="24">28000+M341</f>
        <v>423.11000000000422</v>
      </c>
      <c r="O341" s="113" t="s">
        <v>335</v>
      </c>
      <c r="P341" s="120"/>
      <c r="Q341" s="18"/>
      <c r="R341" s="55"/>
      <c r="S341" s="57"/>
      <c r="T341" s="58"/>
      <c r="U341" s="31"/>
      <c r="V341" s="150"/>
      <c r="W341" s="52"/>
      <c r="X341" s="18"/>
      <c r="Y341" s="53"/>
      <c r="Z341" s="50"/>
      <c r="AA341" s="18"/>
      <c r="AB341" s="18"/>
      <c r="AC341" s="18"/>
      <c r="AD341" s="18"/>
    </row>
    <row r="342" spans="1:30" ht="12.75" customHeight="1" x14ac:dyDescent="0.2">
      <c r="A342" s="98"/>
      <c r="D342" s="18" t="s">
        <v>7</v>
      </c>
      <c r="E342" s="27">
        <f>E337</f>
        <v>9000</v>
      </c>
      <c r="G342" s="92"/>
      <c r="H342" s="75" t="s">
        <v>333</v>
      </c>
      <c r="I342" s="28">
        <v>-491.93</v>
      </c>
      <c r="J342" s="153">
        <f t="shared" si="22"/>
        <v>819.37000000000035</v>
      </c>
      <c r="K342" s="81"/>
      <c r="L342" s="68">
        <v>-279</v>
      </c>
      <c r="M342" s="38">
        <f t="shared" si="23"/>
        <v>-27855.889999999996</v>
      </c>
      <c r="N342" s="28">
        <f t="shared" si="24"/>
        <v>144.11000000000422</v>
      </c>
      <c r="O342" s="113" t="s">
        <v>348</v>
      </c>
      <c r="P342" s="120"/>
      <c r="Q342" s="20"/>
      <c r="R342" s="57"/>
      <c r="S342" s="57"/>
      <c r="T342" s="58"/>
      <c r="U342" s="31"/>
      <c r="V342" s="150"/>
      <c r="W342" s="20"/>
      <c r="X342" s="18"/>
      <c r="Y342" s="26"/>
      <c r="Z342" s="50"/>
      <c r="AA342" s="18"/>
      <c r="AB342" s="18"/>
      <c r="AC342" s="18"/>
      <c r="AD342" s="18"/>
    </row>
    <row r="343" spans="1:30" ht="12.75" customHeight="1" x14ac:dyDescent="0.2">
      <c r="A343" s="98"/>
      <c r="D343" s="42" t="s">
        <v>6</v>
      </c>
      <c r="E343" s="147"/>
      <c r="G343" s="92"/>
      <c r="H343" s="75" t="s">
        <v>326</v>
      </c>
      <c r="I343" s="28">
        <f>150+460</f>
        <v>610</v>
      </c>
      <c r="J343" s="153">
        <f t="shared" si="22"/>
        <v>1429.3700000000003</v>
      </c>
      <c r="K343" s="81"/>
      <c r="L343" s="68">
        <f>-53-53</f>
        <v>-106</v>
      </c>
      <c r="M343" s="39">
        <f t="shared" si="23"/>
        <v>-27961.889999999996</v>
      </c>
      <c r="N343" s="28">
        <f t="shared" si="24"/>
        <v>38.11000000000422</v>
      </c>
      <c r="O343" s="113" t="s">
        <v>88</v>
      </c>
      <c r="P343" s="120"/>
      <c r="Q343" s="20"/>
      <c r="R343" s="18"/>
      <c r="S343" s="18"/>
      <c r="T343" s="58"/>
      <c r="U343" s="80"/>
      <c r="V343" s="51"/>
      <c r="W343" s="20"/>
      <c r="X343" s="18"/>
      <c r="Y343" s="49"/>
      <c r="Z343" s="50"/>
      <c r="AA343" s="18"/>
      <c r="AB343" s="18"/>
      <c r="AC343" s="18"/>
      <c r="AD343" s="18"/>
    </row>
    <row r="344" spans="1:30" ht="12.75" customHeight="1" x14ac:dyDescent="0.2">
      <c r="A344" s="98"/>
      <c r="D344" s="18"/>
      <c r="E344" s="154"/>
      <c r="G344" s="92"/>
      <c r="H344" s="75" t="s">
        <v>324</v>
      </c>
      <c r="I344" s="316">
        <v>10000</v>
      </c>
      <c r="J344" s="153">
        <f t="shared" si="22"/>
        <v>11429.37</v>
      </c>
      <c r="K344" s="81"/>
      <c r="L344" s="35">
        <f>SUM(L338:L343)</f>
        <v>-27961.889999999996</v>
      </c>
      <c r="M344" s="91"/>
      <c r="N344" s="96"/>
      <c r="O344" s="113"/>
      <c r="P344" s="119"/>
      <c r="Q344" s="81"/>
      <c r="R344" s="18"/>
      <c r="S344" s="18"/>
      <c r="T344" s="58"/>
      <c r="U344" s="80"/>
      <c r="V344" s="51"/>
      <c r="W344" s="20"/>
      <c r="X344" s="18"/>
      <c r="Y344" s="49"/>
      <c r="Z344" s="50"/>
      <c r="AA344" s="18"/>
      <c r="AB344" s="18"/>
      <c r="AC344" s="18"/>
      <c r="AD344" s="18"/>
    </row>
    <row r="345" spans="1:30" ht="12.75" customHeight="1" x14ac:dyDescent="0.2">
      <c r="A345" s="100"/>
      <c r="B345" s="100"/>
      <c r="C345" s="100"/>
      <c r="D345" s="190"/>
      <c r="E345" s="68"/>
      <c r="G345" s="92"/>
      <c r="H345" s="193" t="s">
        <v>119</v>
      </c>
      <c r="I345" s="71">
        <v>-5500</v>
      </c>
      <c r="J345" s="153">
        <f t="shared" si="22"/>
        <v>5929.3700000000008</v>
      </c>
      <c r="K345" s="81"/>
      <c r="L345" s="36"/>
      <c r="M345" s="91"/>
      <c r="N345" s="96"/>
      <c r="O345" s="113"/>
      <c r="P345" s="119"/>
      <c r="Q345" s="81"/>
      <c r="R345" s="20"/>
      <c r="S345" s="48"/>
      <c r="T345" s="18"/>
      <c r="U345" s="80"/>
      <c r="V345" s="51"/>
      <c r="W345" s="20"/>
      <c r="X345" s="18"/>
      <c r="Y345" s="18"/>
      <c r="Z345" s="18"/>
      <c r="AA345" s="18"/>
      <c r="AB345" s="18"/>
      <c r="AC345" s="18"/>
      <c r="AD345" s="18"/>
    </row>
    <row r="346" spans="1:30" ht="12.75" customHeight="1" x14ac:dyDescent="0.2">
      <c r="A346" s="100"/>
      <c r="B346" s="100"/>
      <c r="C346" s="100"/>
      <c r="D346" s="190"/>
      <c r="E346" s="68"/>
      <c r="F346" s="18"/>
      <c r="G346" s="92"/>
      <c r="H346" s="193" t="s">
        <v>152</v>
      </c>
      <c r="I346" s="28">
        <v>-300</v>
      </c>
      <c r="J346" s="153">
        <f t="shared" si="22"/>
        <v>5629.3700000000008</v>
      </c>
      <c r="K346" s="81"/>
      <c r="L346" s="284"/>
      <c r="M346" s="54"/>
      <c r="N346" s="195"/>
      <c r="O346" s="113"/>
      <c r="P346" s="119"/>
      <c r="Q346" s="81"/>
      <c r="R346" s="20"/>
      <c r="S346" s="48"/>
      <c r="T346" s="18"/>
      <c r="U346" s="80"/>
      <c r="V346" s="51"/>
      <c r="W346" s="20"/>
      <c r="X346" s="18"/>
      <c r="Y346" s="18"/>
      <c r="Z346" s="18"/>
      <c r="AA346" s="18"/>
      <c r="AB346" s="18"/>
      <c r="AC346" s="18"/>
      <c r="AD346" s="18"/>
    </row>
    <row r="347" spans="1:30" ht="12.75" customHeight="1" x14ac:dyDescent="0.2">
      <c r="A347" s="100"/>
      <c r="B347" s="100"/>
      <c r="C347" s="100"/>
      <c r="D347" s="219"/>
      <c r="E347" s="68"/>
      <c r="F347" s="18"/>
      <c r="G347" s="92"/>
      <c r="H347" s="75" t="s">
        <v>336</v>
      </c>
      <c r="I347" s="28">
        <v>-400</v>
      </c>
      <c r="J347" s="153">
        <f t="shared" si="22"/>
        <v>5229.3700000000008</v>
      </c>
      <c r="K347" s="81"/>
      <c r="L347" s="302"/>
      <c r="M347" s="54"/>
      <c r="N347" s="195"/>
      <c r="O347" s="278"/>
      <c r="P347" s="119"/>
      <c r="Q347" s="81"/>
      <c r="R347" s="20"/>
      <c r="S347" s="48"/>
      <c r="T347" s="18"/>
      <c r="U347" s="80"/>
      <c r="V347" s="51"/>
      <c r="W347" s="20"/>
      <c r="X347" s="18"/>
      <c r="Y347" s="18"/>
      <c r="Z347" s="18"/>
      <c r="AA347" s="18"/>
      <c r="AB347" s="18"/>
      <c r="AC347" s="18"/>
      <c r="AD347" s="18"/>
    </row>
    <row r="348" spans="1:30" ht="12.75" customHeight="1" x14ac:dyDescent="0.2">
      <c r="A348" s="100"/>
      <c r="B348" s="100"/>
      <c r="C348" s="100"/>
      <c r="D348" s="219"/>
      <c r="E348" s="68"/>
      <c r="F348" s="18"/>
      <c r="G348" s="92"/>
      <c r="H348" s="75" t="s">
        <v>124</v>
      </c>
      <c r="I348" s="28">
        <v>-420</v>
      </c>
      <c r="J348" s="153">
        <f t="shared" si="22"/>
        <v>4809.3700000000008</v>
      </c>
      <c r="K348" s="81"/>
      <c r="L348" s="302"/>
      <c r="M348" s="54"/>
      <c r="N348" s="195"/>
      <c r="O348" s="278"/>
      <c r="P348" s="119"/>
      <c r="Q348" s="81"/>
      <c r="R348" s="20"/>
      <c r="S348" s="48"/>
      <c r="T348" s="18"/>
      <c r="U348" s="80"/>
      <c r="V348" s="51"/>
      <c r="W348" s="20"/>
      <c r="X348" s="18"/>
      <c r="Y348" s="18"/>
      <c r="Z348" s="18"/>
      <c r="AA348" s="18"/>
      <c r="AB348" s="18"/>
      <c r="AC348" s="18"/>
      <c r="AD348" s="18"/>
    </row>
    <row r="349" spans="1:30" ht="12.75" customHeight="1" x14ac:dyDescent="0.2">
      <c r="A349" s="100"/>
      <c r="B349" s="100"/>
      <c r="C349" s="100"/>
      <c r="D349" s="189"/>
      <c r="E349" s="68"/>
      <c r="G349" s="84"/>
      <c r="H349" s="86" t="s">
        <v>339</v>
      </c>
      <c r="I349" s="28">
        <v>-300</v>
      </c>
      <c r="J349" s="153">
        <f t="shared" si="22"/>
        <v>4509.3700000000008</v>
      </c>
      <c r="K349" s="81"/>
      <c r="L349" s="305"/>
      <c r="M349" s="54"/>
      <c r="N349" s="195"/>
      <c r="O349" s="278"/>
      <c r="P349" s="119"/>
      <c r="Q349" s="81"/>
      <c r="R349" s="20"/>
      <c r="S349" s="48"/>
      <c r="T349" s="18"/>
      <c r="U349" s="80"/>
      <c r="V349" s="51"/>
      <c r="W349" s="20"/>
      <c r="X349" s="18"/>
      <c r="Y349" s="18"/>
      <c r="Z349" s="18"/>
      <c r="AA349" s="18"/>
      <c r="AB349" s="18"/>
      <c r="AC349" s="18"/>
      <c r="AD349" s="18"/>
    </row>
    <row r="350" spans="1:30" ht="12.75" customHeight="1" x14ac:dyDescent="0.2">
      <c r="A350" s="100"/>
      <c r="B350" s="100"/>
      <c r="C350" s="100"/>
      <c r="D350" s="189"/>
      <c r="E350" s="68"/>
      <c r="G350" s="84"/>
      <c r="H350" s="86" t="s">
        <v>340</v>
      </c>
      <c r="I350" s="28">
        <v>-300</v>
      </c>
      <c r="J350" s="153">
        <f t="shared" si="22"/>
        <v>4209.3700000000008</v>
      </c>
      <c r="K350" s="81"/>
      <c r="L350" s="305"/>
      <c r="M350" s="54"/>
      <c r="N350" s="195"/>
      <c r="O350" s="278"/>
      <c r="P350" s="119"/>
      <c r="Q350" s="81"/>
      <c r="R350" s="20"/>
      <c r="S350" s="48"/>
      <c r="T350" s="18"/>
      <c r="U350" s="80"/>
      <c r="V350" s="51"/>
      <c r="W350" s="20"/>
      <c r="X350" s="18"/>
      <c r="Y350" s="18"/>
      <c r="Z350" s="18"/>
      <c r="AA350" s="18"/>
      <c r="AB350" s="18"/>
      <c r="AC350" s="18"/>
      <c r="AD350" s="18"/>
    </row>
    <row r="351" spans="1:30" ht="12.75" customHeight="1" x14ac:dyDescent="0.2">
      <c r="A351" s="100"/>
      <c r="B351" s="100"/>
      <c r="C351" s="100"/>
      <c r="D351" s="189"/>
      <c r="E351" s="68"/>
      <c r="G351" s="84"/>
      <c r="H351" s="86" t="s">
        <v>341</v>
      </c>
      <c r="I351" s="28">
        <v>-120</v>
      </c>
      <c r="J351" s="153">
        <f t="shared" si="22"/>
        <v>4089.3700000000008</v>
      </c>
      <c r="K351" s="81"/>
      <c r="L351" s="305"/>
      <c r="M351" s="54"/>
      <c r="N351" s="195"/>
      <c r="O351" s="278"/>
      <c r="P351" s="119"/>
      <c r="Q351" s="20"/>
      <c r="R351" s="20"/>
      <c r="S351" s="48"/>
      <c r="T351" s="18"/>
      <c r="U351" s="80"/>
      <c r="V351" s="51"/>
      <c r="W351" s="20"/>
      <c r="X351" s="18"/>
      <c r="Y351" s="18"/>
      <c r="Z351" s="18"/>
      <c r="AA351" s="18"/>
      <c r="AB351" s="18"/>
      <c r="AC351" s="18"/>
      <c r="AD351" s="18"/>
    </row>
    <row r="352" spans="1:30" ht="12.75" customHeight="1" x14ac:dyDescent="0.2">
      <c r="A352" s="100"/>
      <c r="B352" s="100"/>
      <c r="C352" s="100"/>
      <c r="D352" s="189"/>
      <c r="E352" s="68"/>
      <c r="G352" s="84"/>
      <c r="H352" s="86" t="s">
        <v>69</v>
      </c>
      <c r="I352" s="214">
        <v>-283.41000000000003</v>
      </c>
      <c r="J352" s="153">
        <f t="shared" si="22"/>
        <v>3805.9600000000009</v>
      </c>
      <c r="K352" s="81"/>
      <c r="L352" s="306"/>
      <c r="M352" s="54"/>
      <c r="N352" s="328"/>
      <c r="O352" s="278"/>
      <c r="P352" s="112"/>
      <c r="Q352" s="20"/>
      <c r="R352" s="20"/>
      <c r="S352" s="48"/>
      <c r="T352" s="18"/>
      <c r="U352" s="80"/>
      <c r="V352" s="51"/>
      <c r="W352" s="20"/>
      <c r="X352" s="18"/>
      <c r="Y352" s="18"/>
      <c r="Z352" s="18"/>
      <c r="AA352" s="18"/>
      <c r="AB352" s="18"/>
      <c r="AC352" s="18"/>
      <c r="AD352" s="18"/>
    </row>
    <row r="353" spans="1:30" ht="12.75" customHeight="1" x14ac:dyDescent="0.2">
      <c r="A353" s="100"/>
      <c r="B353" s="100"/>
      <c r="C353" s="100"/>
      <c r="D353" s="189"/>
      <c r="E353" s="68"/>
      <c r="G353" s="84"/>
      <c r="H353" s="86" t="s">
        <v>349</v>
      </c>
      <c r="I353" s="214">
        <v>-40.5</v>
      </c>
      <c r="J353" s="153">
        <f t="shared" si="22"/>
        <v>3765.4600000000009</v>
      </c>
      <c r="K353" s="81"/>
      <c r="L353" s="306"/>
      <c r="M353" s="54"/>
      <c r="N353" s="328"/>
      <c r="O353" s="278"/>
      <c r="P353" s="112"/>
      <c r="Q353" s="20"/>
      <c r="R353" s="20"/>
      <c r="S353" s="48"/>
      <c r="T353" s="18"/>
      <c r="U353" s="80"/>
      <c r="V353" s="51"/>
      <c r="W353" s="20"/>
      <c r="X353" s="18"/>
      <c r="Y353" s="18"/>
      <c r="Z353" s="18"/>
      <c r="AA353" s="18"/>
      <c r="AB353" s="18"/>
      <c r="AC353" s="18"/>
      <c r="AD353" s="18"/>
    </row>
    <row r="354" spans="1:30" ht="12.75" customHeight="1" x14ac:dyDescent="0.2">
      <c r="A354" s="100"/>
      <c r="B354" s="100"/>
      <c r="C354" s="100"/>
      <c r="D354" s="189"/>
      <c r="E354" s="68"/>
      <c r="G354" s="84"/>
      <c r="H354" s="86" t="s">
        <v>350</v>
      </c>
      <c r="I354" s="214">
        <v>-56.47</v>
      </c>
      <c r="J354" s="153">
        <f t="shared" si="22"/>
        <v>3708.9900000000011</v>
      </c>
      <c r="K354" s="81"/>
      <c r="L354" s="340"/>
      <c r="M354" s="54"/>
      <c r="N354" s="328"/>
      <c r="O354" s="278"/>
      <c r="P354" s="112"/>
      <c r="Q354" s="20"/>
      <c r="R354" s="20"/>
      <c r="S354" s="48"/>
      <c r="T354" s="18"/>
      <c r="U354" s="80"/>
      <c r="V354" s="51"/>
      <c r="W354" s="20"/>
      <c r="X354" s="18"/>
      <c r="Y354" s="18"/>
      <c r="Z354" s="18"/>
      <c r="AA354" s="18"/>
      <c r="AB354" s="18"/>
      <c r="AC354" s="18"/>
      <c r="AD354" s="18"/>
    </row>
    <row r="355" spans="1:30" ht="12.75" customHeight="1" x14ac:dyDescent="0.2">
      <c r="A355" s="100"/>
      <c r="B355" s="100"/>
      <c r="C355" s="100"/>
      <c r="D355" s="189"/>
      <c r="E355" s="68"/>
      <c r="G355" s="84"/>
      <c r="H355" s="86" t="s">
        <v>351</v>
      </c>
      <c r="I355" s="214">
        <v>-400</v>
      </c>
      <c r="J355" s="153">
        <f t="shared" si="22"/>
        <v>3308.9900000000011</v>
      </c>
      <c r="K355" s="81"/>
      <c r="L355" s="340"/>
      <c r="M355" s="54"/>
      <c r="N355" s="328"/>
      <c r="O355" s="158"/>
      <c r="P355" s="112"/>
      <c r="Q355" s="20"/>
      <c r="R355" s="20"/>
      <c r="S355" s="48"/>
      <c r="T355" s="18"/>
      <c r="U355" s="80"/>
      <c r="V355" s="51"/>
      <c r="W355" s="20"/>
      <c r="X355" s="18"/>
      <c r="Y355" s="18"/>
      <c r="Z355" s="18"/>
      <c r="AA355" s="18"/>
      <c r="AB355" s="18"/>
      <c r="AC355" s="18"/>
      <c r="AD355" s="18"/>
    </row>
    <row r="356" spans="1:30" ht="12.75" customHeight="1" x14ac:dyDescent="0.2">
      <c r="A356" s="100"/>
      <c r="B356" s="100"/>
      <c r="C356" s="100"/>
      <c r="D356" s="189"/>
      <c r="E356" s="68"/>
      <c r="G356" s="84"/>
      <c r="H356" s="86" t="s">
        <v>352</v>
      </c>
      <c r="I356" s="214">
        <v>-280.08</v>
      </c>
      <c r="J356" s="153">
        <f t="shared" si="22"/>
        <v>3028.9100000000012</v>
      </c>
      <c r="K356" s="81"/>
      <c r="L356" s="340"/>
      <c r="M356" s="54"/>
      <c r="N356" s="328"/>
      <c r="O356" s="158"/>
      <c r="P356" s="307"/>
      <c r="Q356" s="20"/>
      <c r="R356" s="20"/>
      <c r="S356" s="48"/>
      <c r="T356" s="18"/>
      <c r="U356" s="80"/>
      <c r="V356" s="51"/>
      <c r="W356" s="20"/>
      <c r="X356" s="18"/>
      <c r="Y356" s="18"/>
      <c r="Z356" s="18"/>
      <c r="AA356" s="18"/>
      <c r="AB356" s="18"/>
      <c r="AC356" s="18"/>
      <c r="AD356" s="18"/>
    </row>
    <row r="357" spans="1:30" ht="12.75" customHeight="1" x14ac:dyDescent="0.2">
      <c r="A357" s="100"/>
      <c r="B357" s="100"/>
      <c r="C357" s="100"/>
      <c r="D357" s="189"/>
      <c r="E357" s="68"/>
      <c r="G357" s="84"/>
      <c r="H357" s="75" t="s">
        <v>325</v>
      </c>
      <c r="I357" s="28">
        <v>1081.02</v>
      </c>
      <c r="J357" s="153">
        <f t="shared" si="22"/>
        <v>4109.9300000000012</v>
      </c>
      <c r="K357" s="81"/>
      <c r="L357" s="340"/>
      <c r="M357" s="54"/>
      <c r="N357" s="328"/>
      <c r="O357" s="158"/>
      <c r="P357" s="307"/>
      <c r="Q357" s="307"/>
      <c r="R357" s="20"/>
      <c r="S357" s="48"/>
      <c r="T357" s="18"/>
      <c r="U357" s="80"/>
      <c r="V357" s="51"/>
      <c r="W357" s="20"/>
      <c r="X357" s="18"/>
      <c r="Y357" s="18"/>
      <c r="Z357" s="18"/>
      <c r="AA357" s="18"/>
      <c r="AB357" s="18"/>
      <c r="AC357" s="18"/>
      <c r="AD357" s="18"/>
    </row>
    <row r="358" spans="1:30" ht="12.75" customHeight="1" x14ac:dyDescent="0.2">
      <c r="A358" s="100"/>
      <c r="B358" s="100"/>
      <c r="C358" s="100"/>
      <c r="D358" s="189"/>
      <c r="E358" s="68"/>
      <c r="G358" s="84"/>
      <c r="H358" s="75" t="s">
        <v>139</v>
      </c>
      <c r="I358" s="214">
        <f>-215.44-169.9-200.08-320-550</f>
        <v>-1455.42</v>
      </c>
      <c r="J358" s="153">
        <f t="shared" si="22"/>
        <v>2654.5100000000011</v>
      </c>
      <c r="K358" s="81"/>
      <c r="L358" s="194"/>
      <c r="M358" s="54"/>
      <c r="N358" s="195"/>
      <c r="O358" s="158"/>
      <c r="P358" s="307"/>
      <c r="Q358" s="307"/>
      <c r="R358" s="20"/>
      <c r="S358" s="48"/>
      <c r="T358" s="18"/>
      <c r="U358" s="80"/>
      <c r="V358" s="51"/>
      <c r="W358" s="20"/>
      <c r="X358" s="18"/>
      <c r="Y358" s="18"/>
      <c r="Z358" s="18"/>
      <c r="AA358" s="18"/>
      <c r="AB358" s="18"/>
      <c r="AC358" s="18"/>
      <c r="AD358" s="18"/>
    </row>
    <row r="359" spans="1:30" ht="12.75" customHeight="1" x14ac:dyDescent="0.2">
      <c r="A359" s="100"/>
      <c r="B359" s="100"/>
      <c r="C359" s="100"/>
      <c r="D359" s="189"/>
      <c r="E359" s="68"/>
      <c r="G359" s="84"/>
      <c r="H359" s="75" t="s">
        <v>353</v>
      </c>
      <c r="I359" s="214">
        <f>-79.13-50-1.1-5-1.1</f>
        <v>-136.32999999999998</v>
      </c>
      <c r="J359" s="153">
        <f t="shared" si="22"/>
        <v>2518.1800000000012</v>
      </c>
      <c r="K359" s="81"/>
      <c r="L359" s="194"/>
      <c r="M359" s="54"/>
      <c r="N359" s="195"/>
      <c r="O359" s="308"/>
      <c r="P359" s="307"/>
      <c r="Q359" s="20"/>
      <c r="R359" s="20"/>
      <c r="S359" s="48"/>
      <c r="T359" s="18"/>
      <c r="U359" s="80"/>
      <c r="V359" s="51"/>
      <c r="W359" s="20"/>
      <c r="X359" s="18"/>
      <c r="Y359" s="18"/>
      <c r="Z359" s="18"/>
      <c r="AA359" s="18"/>
      <c r="AB359" s="18"/>
      <c r="AC359" s="18"/>
      <c r="AD359" s="18"/>
    </row>
    <row r="360" spans="1:30" ht="12.75" customHeight="1" x14ac:dyDescent="0.2">
      <c r="A360" s="100"/>
      <c r="B360" s="100"/>
      <c r="C360" s="100"/>
      <c r="D360" s="189"/>
      <c r="E360" s="68"/>
      <c r="G360" s="84"/>
      <c r="H360" s="75" t="s">
        <v>70</v>
      </c>
      <c r="I360" s="214">
        <v>-200</v>
      </c>
      <c r="J360" s="153">
        <f t="shared" si="22"/>
        <v>2318.1800000000012</v>
      </c>
      <c r="K360" s="81"/>
      <c r="L360" s="194"/>
      <c r="M360" s="54"/>
      <c r="N360" s="195"/>
      <c r="O360" s="308"/>
      <c r="P360" s="307"/>
      <c r="Q360" s="20"/>
      <c r="R360" s="20"/>
      <c r="S360" s="48"/>
      <c r="T360" s="18"/>
      <c r="U360" s="80"/>
      <c r="V360" s="51"/>
      <c r="W360" s="20"/>
      <c r="X360" s="18"/>
      <c r="Y360" s="18"/>
      <c r="Z360" s="18"/>
      <c r="AA360" s="18"/>
      <c r="AB360" s="18"/>
      <c r="AC360" s="18"/>
      <c r="AD360" s="18"/>
    </row>
    <row r="361" spans="1:30" ht="12.75" customHeight="1" x14ac:dyDescent="0.2">
      <c r="A361" s="100"/>
      <c r="B361" s="100"/>
      <c r="C361" s="100"/>
      <c r="D361" s="189"/>
      <c r="E361" s="68"/>
      <c r="G361" s="84"/>
      <c r="H361" s="75" t="s">
        <v>354</v>
      </c>
      <c r="I361" s="214">
        <v>-2150.94</v>
      </c>
      <c r="J361" s="153">
        <f t="shared" si="22"/>
        <v>167.24000000000115</v>
      </c>
      <c r="K361" s="81"/>
      <c r="L361" s="194"/>
      <c r="M361" s="54"/>
      <c r="N361" s="195"/>
      <c r="O361" s="308"/>
      <c r="P361" s="307"/>
      <c r="Q361" s="20"/>
      <c r="R361" s="20"/>
      <c r="S361" s="48"/>
      <c r="T361" s="18"/>
      <c r="U361" s="80"/>
      <c r="V361" s="51"/>
      <c r="W361" s="20"/>
      <c r="X361" s="18"/>
      <c r="Y361" s="18"/>
      <c r="Z361" s="18"/>
      <c r="AA361" s="18"/>
      <c r="AB361" s="18"/>
      <c r="AC361" s="18"/>
      <c r="AD361" s="18"/>
    </row>
    <row r="362" spans="1:30" ht="12.75" customHeight="1" x14ac:dyDescent="0.2">
      <c r="A362" s="100"/>
      <c r="B362" s="100"/>
      <c r="C362" s="100"/>
      <c r="D362" s="189"/>
      <c r="E362" s="68"/>
      <c r="G362" s="84"/>
      <c r="H362" s="75" t="s">
        <v>355</v>
      </c>
      <c r="I362" s="214">
        <v>-52.9</v>
      </c>
      <c r="J362" s="153">
        <f t="shared" si="22"/>
        <v>114.34000000000114</v>
      </c>
      <c r="K362" s="81"/>
      <c r="L362" s="194"/>
      <c r="M362" s="54"/>
      <c r="N362" s="195"/>
      <c r="O362" s="308"/>
      <c r="P362" s="307"/>
      <c r="Q362" s="20"/>
      <c r="R362" s="20"/>
      <c r="S362" s="48"/>
      <c r="T362" s="18"/>
      <c r="U362" s="80"/>
      <c r="V362" s="51"/>
      <c r="W362" s="20"/>
      <c r="X362" s="18"/>
      <c r="Y362" s="18"/>
      <c r="Z362" s="18"/>
      <c r="AA362" s="18"/>
      <c r="AB362" s="18"/>
      <c r="AC362" s="18"/>
      <c r="AD362" s="18"/>
    </row>
    <row r="363" spans="1:30" ht="12.75" customHeight="1" x14ac:dyDescent="0.2">
      <c r="A363" s="100"/>
      <c r="B363" s="100"/>
      <c r="C363" s="100"/>
      <c r="D363" s="189"/>
      <c r="E363" s="68"/>
      <c r="G363" s="84"/>
      <c r="H363" s="75" t="s">
        <v>356</v>
      </c>
      <c r="I363" s="316">
        <v>2000</v>
      </c>
      <c r="J363" s="153">
        <f t="shared" si="22"/>
        <v>2114.3400000000011</v>
      </c>
      <c r="K363" s="81"/>
      <c r="L363" s="194"/>
      <c r="M363" s="54"/>
      <c r="N363" s="195"/>
      <c r="O363" s="308"/>
      <c r="P363" s="307"/>
      <c r="Q363" s="20"/>
      <c r="R363" s="20"/>
      <c r="S363" s="48"/>
      <c r="T363" s="18"/>
      <c r="U363" s="80"/>
      <c r="V363" s="51"/>
      <c r="W363" s="20"/>
      <c r="X363" s="18"/>
      <c r="Y363" s="18"/>
      <c r="Z363" s="18"/>
      <c r="AA363" s="18"/>
      <c r="AB363" s="18"/>
      <c r="AC363" s="18"/>
      <c r="AD363" s="18"/>
    </row>
    <row r="364" spans="1:30" ht="12.75" customHeight="1" x14ac:dyDescent="0.2">
      <c r="A364" s="100"/>
      <c r="B364" s="100"/>
      <c r="C364" s="100"/>
      <c r="D364" s="189"/>
      <c r="E364" s="68"/>
      <c r="G364" s="84"/>
      <c r="H364" s="75" t="s">
        <v>357</v>
      </c>
      <c r="I364" s="28">
        <v>-444.36</v>
      </c>
      <c r="J364" s="153">
        <f>J363+I364</f>
        <v>1669.9800000000009</v>
      </c>
      <c r="K364" s="81"/>
      <c r="L364" s="194"/>
      <c r="M364" s="54"/>
      <c r="N364" s="195"/>
      <c r="O364" s="308"/>
      <c r="P364" s="307"/>
      <c r="Q364" s="20"/>
      <c r="R364" s="20"/>
      <c r="S364" s="48"/>
      <c r="T364" s="18"/>
      <c r="U364" s="80"/>
      <c r="V364" s="51"/>
      <c r="W364" s="20"/>
      <c r="X364" s="18"/>
      <c r="Y364" s="18"/>
      <c r="Z364" s="18"/>
      <c r="AA364" s="18"/>
      <c r="AB364" s="18"/>
      <c r="AC364" s="18"/>
      <c r="AD364" s="18"/>
    </row>
    <row r="365" spans="1:30" ht="12.75" customHeight="1" x14ac:dyDescent="0.2">
      <c r="A365" s="100"/>
      <c r="B365" s="100"/>
      <c r="C365" s="100"/>
      <c r="D365" s="189"/>
      <c r="E365" s="68"/>
      <c r="G365" s="84"/>
      <c r="H365" s="75" t="s">
        <v>358</v>
      </c>
      <c r="I365" s="28">
        <v>-710</v>
      </c>
      <c r="J365" s="153">
        <f t="shared" ref="J365:J390" si="25">J364+I365</f>
        <v>959.98000000000093</v>
      </c>
      <c r="K365" s="81"/>
      <c r="L365" s="194"/>
      <c r="M365" s="54"/>
      <c r="N365" s="195"/>
      <c r="O365" s="308"/>
      <c r="P365" s="307"/>
      <c r="Q365" s="20"/>
      <c r="R365" s="20"/>
      <c r="S365" s="48"/>
      <c r="T365" s="18"/>
      <c r="U365" s="80"/>
      <c r="V365" s="51"/>
      <c r="W365" s="20"/>
      <c r="X365" s="18"/>
      <c r="Y365" s="18"/>
      <c r="Z365" s="18"/>
      <c r="AA365" s="18"/>
      <c r="AB365" s="18"/>
      <c r="AC365" s="18"/>
      <c r="AD365" s="18"/>
    </row>
    <row r="366" spans="1:30" ht="12.75" customHeight="1" x14ac:dyDescent="0.2">
      <c r="A366" s="100"/>
      <c r="B366" s="100"/>
      <c r="C366" s="100"/>
      <c r="D366" s="189"/>
      <c r="E366" s="68"/>
      <c r="G366" s="84"/>
      <c r="H366" s="75" t="s">
        <v>70</v>
      </c>
      <c r="I366" s="28">
        <v>-102</v>
      </c>
      <c r="J366" s="153">
        <f t="shared" si="25"/>
        <v>857.98000000000093</v>
      </c>
      <c r="K366" s="81"/>
      <c r="L366" s="194"/>
      <c r="M366" s="54"/>
      <c r="N366" s="195"/>
      <c r="O366" s="308"/>
      <c r="P366" s="307"/>
      <c r="Q366" s="20"/>
      <c r="R366" s="20"/>
      <c r="S366" s="48"/>
      <c r="T366" s="18"/>
      <c r="U366" s="80"/>
      <c r="V366" s="51"/>
      <c r="W366" s="20"/>
      <c r="X366" s="18"/>
      <c r="Y366" s="18"/>
      <c r="Z366" s="18"/>
      <c r="AA366" s="18"/>
      <c r="AB366" s="18"/>
      <c r="AC366" s="18"/>
      <c r="AD366" s="18"/>
    </row>
    <row r="367" spans="1:30" ht="12.75" customHeight="1" x14ac:dyDescent="0.2">
      <c r="A367" s="100"/>
      <c r="B367" s="100"/>
      <c r="C367" s="100"/>
      <c r="D367" s="189"/>
      <c r="E367" s="68"/>
      <c r="G367" s="84"/>
      <c r="H367" s="75" t="s">
        <v>359</v>
      </c>
      <c r="I367" s="28">
        <v>-256.75</v>
      </c>
      <c r="J367" s="153">
        <f t="shared" si="25"/>
        <v>601.23000000000093</v>
      </c>
      <c r="K367" s="81"/>
      <c r="L367" s="194"/>
      <c r="M367" s="54"/>
      <c r="N367" s="195"/>
      <c r="O367" s="308"/>
      <c r="P367" s="307"/>
      <c r="Q367" s="20"/>
      <c r="R367" s="20"/>
      <c r="S367" s="48"/>
      <c r="T367" s="18"/>
      <c r="U367" s="80"/>
      <c r="V367" s="51"/>
      <c r="W367" s="20"/>
      <c r="X367" s="18"/>
      <c r="Y367" s="18"/>
      <c r="Z367" s="18"/>
      <c r="AA367" s="18"/>
      <c r="AB367" s="18"/>
      <c r="AC367" s="18"/>
      <c r="AD367" s="18"/>
    </row>
    <row r="368" spans="1:30" ht="12.75" customHeight="1" x14ac:dyDescent="0.2">
      <c r="A368" s="100"/>
      <c r="B368" s="100"/>
      <c r="C368" s="100"/>
      <c r="D368" s="189"/>
      <c r="E368" s="68"/>
      <c r="G368" s="84"/>
      <c r="H368" s="75" t="s">
        <v>360</v>
      </c>
      <c r="I368" s="28">
        <v>-160.66999999999999</v>
      </c>
      <c r="J368" s="153">
        <f t="shared" si="25"/>
        <v>440.56000000000097</v>
      </c>
      <c r="K368" s="81"/>
      <c r="L368" s="194"/>
      <c r="M368" s="54"/>
      <c r="N368" s="195"/>
      <c r="O368" s="308"/>
      <c r="P368" s="307"/>
      <c r="Q368" s="20"/>
      <c r="R368" s="20"/>
      <c r="S368" s="48"/>
      <c r="T368" s="18"/>
      <c r="U368" s="80"/>
      <c r="V368" s="51"/>
      <c r="W368" s="20"/>
      <c r="X368" s="18"/>
      <c r="Y368" s="18"/>
      <c r="Z368" s="18"/>
      <c r="AA368" s="18"/>
      <c r="AB368" s="18"/>
      <c r="AC368" s="18"/>
      <c r="AD368" s="18"/>
    </row>
    <row r="369" spans="1:30" ht="12.75" customHeight="1" x14ac:dyDescent="0.2">
      <c r="A369" s="100"/>
      <c r="B369" s="100"/>
      <c r="C369" s="100"/>
      <c r="D369" s="189"/>
      <c r="E369" s="68"/>
      <c r="G369" s="84"/>
      <c r="H369" s="75" t="s">
        <v>361</v>
      </c>
      <c r="I369" s="28">
        <v>-408</v>
      </c>
      <c r="J369" s="153">
        <f t="shared" si="25"/>
        <v>32.560000000000969</v>
      </c>
      <c r="K369" s="81"/>
      <c r="L369" s="194"/>
      <c r="M369" s="54"/>
      <c r="N369" s="195"/>
      <c r="O369" s="308"/>
      <c r="P369" s="307"/>
      <c r="Q369" s="20"/>
      <c r="R369" s="20"/>
      <c r="S369" s="48"/>
      <c r="T369" s="18"/>
      <c r="U369" s="80"/>
      <c r="V369" s="51"/>
      <c r="W369" s="20"/>
      <c r="X369" s="18"/>
      <c r="Y369" s="18"/>
      <c r="Z369" s="18"/>
      <c r="AA369" s="18"/>
      <c r="AB369" s="18"/>
      <c r="AC369" s="18"/>
      <c r="AD369" s="18"/>
    </row>
    <row r="370" spans="1:30" ht="12.75" customHeight="1" x14ac:dyDescent="0.2">
      <c r="A370" s="100"/>
      <c r="B370" s="100"/>
      <c r="C370" s="100"/>
      <c r="D370" s="189"/>
      <c r="E370" s="68"/>
      <c r="G370" s="84"/>
      <c r="H370" s="75" t="s">
        <v>356</v>
      </c>
      <c r="I370" s="316">
        <v>1500</v>
      </c>
      <c r="J370" s="153">
        <f t="shared" si="25"/>
        <v>1532.5600000000009</v>
      </c>
      <c r="K370" s="81"/>
      <c r="L370" s="194"/>
      <c r="M370" s="54"/>
      <c r="N370" s="195"/>
      <c r="O370" s="308"/>
      <c r="P370" s="307"/>
      <c r="Q370" s="20"/>
      <c r="R370" s="20"/>
      <c r="S370" s="48"/>
      <c r="T370" s="18"/>
      <c r="U370" s="80"/>
      <c r="V370" s="51"/>
      <c r="W370" s="20"/>
      <c r="X370" s="18"/>
      <c r="Y370" s="18"/>
      <c r="Z370" s="18"/>
      <c r="AA370" s="18"/>
      <c r="AB370" s="18"/>
      <c r="AC370" s="18"/>
      <c r="AD370" s="18"/>
    </row>
    <row r="371" spans="1:30" ht="12.75" customHeight="1" x14ac:dyDescent="0.2">
      <c r="A371" s="100"/>
      <c r="B371" s="100"/>
      <c r="C371" s="100"/>
      <c r="D371" s="189"/>
      <c r="E371" s="68"/>
      <c r="G371" s="84"/>
      <c r="H371" s="75" t="s">
        <v>362</v>
      </c>
      <c r="I371" s="28">
        <v>-263.39999999999998</v>
      </c>
      <c r="J371" s="153">
        <f t="shared" si="25"/>
        <v>1269.1600000000008</v>
      </c>
      <c r="K371" s="81"/>
      <c r="L371" s="194"/>
      <c r="M371" s="54"/>
      <c r="N371" s="195"/>
      <c r="O371" s="308"/>
      <c r="P371" s="307"/>
      <c r="Q371" s="20"/>
      <c r="R371" s="20"/>
      <c r="S371" s="48"/>
      <c r="T371" s="18"/>
      <c r="U371" s="80"/>
      <c r="V371" s="51"/>
      <c r="W371" s="20"/>
      <c r="X371" s="18"/>
      <c r="Y371" s="18"/>
      <c r="Z371" s="18"/>
      <c r="AA371" s="18"/>
      <c r="AB371" s="18"/>
      <c r="AC371" s="18"/>
      <c r="AD371" s="18"/>
    </row>
    <row r="372" spans="1:30" ht="12.75" customHeight="1" x14ac:dyDescent="0.2">
      <c r="A372" s="100"/>
      <c r="B372" s="100"/>
      <c r="C372" s="100"/>
      <c r="D372" s="189"/>
      <c r="E372" s="68"/>
      <c r="G372" s="84"/>
      <c r="H372" s="75" t="s">
        <v>363</v>
      </c>
      <c r="I372" s="28">
        <v>-400</v>
      </c>
      <c r="J372" s="153">
        <f t="shared" si="25"/>
        <v>869.16000000000076</v>
      </c>
      <c r="K372" s="81"/>
      <c r="L372" s="194"/>
      <c r="M372" s="54"/>
      <c r="N372" s="195"/>
      <c r="O372" s="308"/>
      <c r="P372" s="307"/>
      <c r="Q372" s="20"/>
      <c r="R372" s="20"/>
      <c r="S372" s="48"/>
      <c r="T372" s="18"/>
      <c r="U372" s="80"/>
      <c r="V372" s="51"/>
      <c r="W372" s="20"/>
      <c r="X372" s="18"/>
      <c r="Y372" s="18"/>
      <c r="Z372" s="18"/>
      <c r="AA372" s="18"/>
      <c r="AB372" s="18"/>
      <c r="AC372" s="18"/>
      <c r="AD372" s="18"/>
    </row>
    <row r="373" spans="1:30" ht="12.75" customHeight="1" x14ac:dyDescent="0.2">
      <c r="A373" s="100"/>
      <c r="B373" s="100"/>
      <c r="C373" s="100"/>
      <c r="D373" s="189"/>
      <c r="E373" s="68"/>
      <c r="G373" s="84"/>
      <c r="H373" s="75" t="s">
        <v>364</v>
      </c>
      <c r="I373" s="28">
        <f>-550-6.7-10.6-7.5</f>
        <v>-574.80000000000007</v>
      </c>
      <c r="J373" s="153">
        <f t="shared" si="25"/>
        <v>294.3600000000007</v>
      </c>
      <c r="K373" s="81"/>
      <c r="L373" s="194"/>
      <c r="M373" s="54"/>
      <c r="N373" s="195"/>
      <c r="O373" s="308"/>
      <c r="P373" s="307"/>
      <c r="Q373" s="20"/>
      <c r="R373" s="20"/>
      <c r="S373" s="48"/>
      <c r="T373" s="18"/>
      <c r="U373" s="80"/>
      <c r="V373" s="51"/>
      <c r="W373" s="20"/>
      <c r="X373" s="18"/>
      <c r="Y373" s="18"/>
      <c r="Z373" s="18"/>
      <c r="AA373" s="18"/>
      <c r="AB373" s="18"/>
      <c r="AC373" s="18"/>
      <c r="AD373" s="18"/>
    </row>
    <row r="374" spans="1:30" ht="12.75" customHeight="1" x14ac:dyDescent="0.2">
      <c r="A374" s="100"/>
      <c r="B374" s="100"/>
      <c r="C374" s="100"/>
      <c r="D374" s="189"/>
      <c r="E374" s="68"/>
      <c r="G374" s="84"/>
      <c r="H374" s="75" t="s">
        <v>365</v>
      </c>
      <c r="I374" s="28">
        <f>-227.9-48.9</f>
        <v>-276.8</v>
      </c>
      <c r="J374" s="153">
        <f t="shared" si="25"/>
        <v>17.560000000000684</v>
      </c>
      <c r="K374" s="81"/>
      <c r="L374" s="194"/>
      <c r="M374" s="54"/>
      <c r="N374" s="195"/>
      <c r="O374" s="308"/>
      <c r="P374" s="307"/>
      <c r="Q374" s="20"/>
      <c r="R374" s="20"/>
      <c r="S374" s="48"/>
      <c r="T374" s="18"/>
      <c r="U374" s="80"/>
      <c r="V374" s="51"/>
      <c r="W374" s="20"/>
      <c r="X374" s="18"/>
      <c r="Y374" s="18"/>
      <c r="Z374" s="18"/>
      <c r="AA374" s="18"/>
      <c r="AB374" s="18"/>
      <c r="AC374" s="18"/>
      <c r="AD374" s="18"/>
    </row>
    <row r="375" spans="1:30" ht="12.75" customHeight="1" x14ac:dyDescent="0.2">
      <c r="A375" s="100"/>
      <c r="B375" s="100"/>
      <c r="C375" s="100"/>
      <c r="D375" s="189"/>
      <c r="E375" s="68"/>
      <c r="G375" s="84"/>
      <c r="H375" s="75" t="s">
        <v>366</v>
      </c>
      <c r="I375" s="28">
        <f>-15-1.1</f>
        <v>-16.100000000000001</v>
      </c>
      <c r="J375" s="153">
        <f t="shared" si="25"/>
        <v>1.460000000000683</v>
      </c>
      <c r="K375" s="81"/>
      <c r="L375" s="194"/>
      <c r="M375" s="54"/>
      <c r="N375" s="195"/>
      <c r="O375" s="308"/>
      <c r="P375" s="307"/>
      <c r="Q375" s="20"/>
      <c r="R375" s="20"/>
      <c r="S375" s="48"/>
      <c r="T375" s="18"/>
      <c r="U375" s="80"/>
      <c r="V375" s="51"/>
      <c r="W375" s="20"/>
      <c r="X375" s="18"/>
      <c r="Y375" s="18"/>
      <c r="Z375" s="18"/>
      <c r="AA375" s="18"/>
      <c r="AB375" s="18"/>
      <c r="AC375" s="18"/>
      <c r="AD375" s="18"/>
    </row>
    <row r="376" spans="1:30" ht="12.75" customHeight="1" x14ac:dyDescent="0.2">
      <c r="A376" s="100"/>
      <c r="B376" s="100"/>
      <c r="C376" s="100"/>
      <c r="D376" s="189"/>
      <c r="E376" s="68"/>
      <c r="G376" s="84"/>
      <c r="H376" s="86" t="s">
        <v>31</v>
      </c>
      <c r="I376" s="28">
        <v>9000</v>
      </c>
      <c r="J376" s="153">
        <f t="shared" si="25"/>
        <v>9001.4600000000009</v>
      </c>
      <c r="K376" s="81"/>
      <c r="L376" s="194"/>
      <c r="M376" s="54"/>
      <c r="N376" s="195"/>
      <c r="O376" s="308"/>
      <c r="P376" s="307"/>
      <c r="Q376" s="20"/>
      <c r="R376" s="20"/>
      <c r="S376" s="48"/>
      <c r="T376" s="18"/>
      <c r="U376" s="80"/>
      <c r="V376" s="51"/>
      <c r="W376" s="20"/>
      <c r="X376" s="18"/>
      <c r="Y376" s="18"/>
      <c r="Z376" s="18"/>
      <c r="AA376" s="18"/>
      <c r="AB376" s="18"/>
      <c r="AC376" s="18"/>
      <c r="AD376" s="18"/>
    </row>
    <row r="377" spans="1:30" ht="12.75" customHeight="1" x14ac:dyDescent="0.2">
      <c r="A377" s="100"/>
      <c r="B377" s="100"/>
      <c r="C377" s="100"/>
      <c r="D377" s="189"/>
      <c r="E377" s="68"/>
      <c r="G377" s="84"/>
      <c r="H377" s="86" t="s">
        <v>48</v>
      </c>
      <c r="I377" s="28">
        <v>-2420.7399999999998</v>
      </c>
      <c r="J377" s="153">
        <f t="shared" si="25"/>
        <v>6580.7200000000012</v>
      </c>
      <c r="K377" s="81"/>
      <c r="L377" s="194"/>
      <c r="M377" s="54"/>
      <c r="N377" s="195"/>
      <c r="O377" s="308"/>
      <c r="P377" s="307"/>
      <c r="Q377" s="20"/>
      <c r="R377" s="20"/>
      <c r="S377" s="48"/>
      <c r="T377" s="18"/>
      <c r="U377" s="80"/>
      <c r="V377" s="51"/>
      <c r="W377" s="20"/>
      <c r="X377" s="18"/>
      <c r="Y377" s="18"/>
      <c r="Z377" s="18"/>
      <c r="AA377" s="18"/>
      <c r="AB377" s="18"/>
      <c r="AC377" s="18"/>
      <c r="AD377" s="18"/>
    </row>
    <row r="378" spans="1:30" ht="12.75" customHeight="1" x14ac:dyDescent="0.2">
      <c r="A378" s="100"/>
      <c r="B378" s="100"/>
      <c r="C378" s="100"/>
      <c r="D378" s="189"/>
      <c r="E378" s="68"/>
      <c r="G378" s="84"/>
      <c r="H378" s="86" t="s">
        <v>44</v>
      </c>
      <c r="I378" s="28">
        <v>-59</v>
      </c>
      <c r="J378" s="153">
        <f t="shared" si="25"/>
        <v>6521.7200000000012</v>
      </c>
      <c r="K378" s="81"/>
      <c r="L378" s="194"/>
      <c r="M378" s="54"/>
      <c r="N378" s="195"/>
      <c r="O378" s="308"/>
      <c r="P378" s="307"/>
      <c r="Q378" s="20"/>
      <c r="R378" s="20"/>
      <c r="S378" s="48"/>
      <c r="T378" s="18"/>
      <c r="U378" s="80"/>
      <c r="V378" s="51"/>
      <c r="W378" s="20"/>
      <c r="X378" s="18"/>
      <c r="Y378" s="18"/>
      <c r="Z378" s="18"/>
      <c r="AA378" s="18"/>
      <c r="AB378" s="18"/>
      <c r="AC378" s="18"/>
      <c r="AD378" s="18"/>
    </row>
    <row r="379" spans="1:30" ht="12.75" customHeight="1" x14ac:dyDescent="0.2">
      <c r="A379" s="100"/>
      <c r="B379" s="100"/>
      <c r="C379" s="100"/>
      <c r="D379" s="189"/>
      <c r="E379" s="68"/>
      <c r="G379" s="84"/>
      <c r="H379" s="75" t="s">
        <v>316</v>
      </c>
      <c r="I379" s="316">
        <v>9500</v>
      </c>
      <c r="J379" s="153">
        <f t="shared" si="25"/>
        <v>16021.720000000001</v>
      </c>
      <c r="K379" s="81"/>
      <c r="L379" s="194"/>
      <c r="M379" s="54"/>
      <c r="N379" s="195"/>
      <c r="O379" s="308"/>
      <c r="P379" s="307"/>
      <c r="Q379" s="20"/>
      <c r="R379" s="20"/>
      <c r="S379" s="48"/>
      <c r="T379" s="18"/>
      <c r="U379" s="80"/>
      <c r="V379" s="51"/>
      <c r="W379" s="20"/>
      <c r="X379" s="18"/>
      <c r="Y379" s="18"/>
      <c r="Z379" s="18"/>
      <c r="AA379" s="18"/>
      <c r="AB379" s="18"/>
      <c r="AC379" s="18"/>
      <c r="AD379" s="18"/>
    </row>
    <row r="380" spans="1:30" ht="12.75" customHeight="1" x14ac:dyDescent="0.2">
      <c r="A380" s="100"/>
      <c r="B380" s="100"/>
      <c r="C380" s="100"/>
      <c r="D380" s="189"/>
      <c r="E380" s="68"/>
      <c r="F380" s="229"/>
      <c r="G380" s="200"/>
      <c r="H380" s="86" t="s">
        <v>37</v>
      </c>
      <c r="I380" s="28">
        <v>-508.5</v>
      </c>
      <c r="J380" s="153">
        <f t="shared" si="25"/>
        <v>15513.220000000001</v>
      </c>
      <c r="K380" s="81"/>
      <c r="L380" s="194"/>
      <c r="M380" s="54"/>
      <c r="N380" s="195"/>
      <c r="O380" s="308"/>
      <c r="P380" s="307"/>
      <c r="Q380" s="20"/>
      <c r="R380" s="20"/>
      <c r="S380" s="48"/>
      <c r="T380" s="18"/>
      <c r="U380" s="80"/>
      <c r="V380" s="51"/>
      <c r="W380" s="20"/>
      <c r="X380" s="18"/>
      <c r="Y380" s="18"/>
      <c r="Z380" s="18"/>
      <c r="AA380" s="18"/>
      <c r="AB380" s="18"/>
      <c r="AC380" s="18"/>
      <c r="AD380" s="18"/>
    </row>
    <row r="381" spans="1:30" ht="12.75" customHeight="1" x14ac:dyDescent="0.2">
      <c r="A381" s="100"/>
      <c r="B381" s="100"/>
      <c r="C381" s="100"/>
      <c r="D381" s="189"/>
      <c r="E381" s="68"/>
      <c r="F381" s="229"/>
      <c r="G381" s="200"/>
      <c r="H381" s="193" t="s">
        <v>121</v>
      </c>
      <c r="I381" s="71">
        <v>-5500</v>
      </c>
      <c r="J381" s="153">
        <f t="shared" si="25"/>
        <v>10013.220000000001</v>
      </c>
      <c r="K381" s="81"/>
      <c r="L381" s="194"/>
      <c r="M381" s="54"/>
      <c r="N381" s="195"/>
      <c r="O381" s="308"/>
      <c r="P381" s="307"/>
      <c r="Q381" s="20"/>
      <c r="R381" s="20"/>
      <c r="S381" s="48"/>
      <c r="T381" s="18"/>
      <c r="U381" s="80"/>
      <c r="V381" s="51"/>
      <c r="W381" s="20"/>
      <c r="X381" s="18"/>
      <c r="Y381" s="18"/>
      <c r="Z381" s="18"/>
      <c r="AA381" s="18"/>
      <c r="AB381" s="18"/>
      <c r="AC381" s="18"/>
      <c r="AD381" s="18"/>
    </row>
    <row r="382" spans="1:30" ht="12.75" customHeight="1" x14ac:dyDescent="0.2">
      <c r="A382" s="100"/>
      <c r="B382" s="100"/>
      <c r="C382" s="100"/>
      <c r="D382" s="189"/>
      <c r="E382" s="68"/>
      <c r="F382" s="210"/>
      <c r="G382" s="200"/>
      <c r="H382" s="193" t="s">
        <v>152</v>
      </c>
      <c r="I382" s="28">
        <v>-300</v>
      </c>
      <c r="J382" s="153">
        <f t="shared" si="25"/>
        <v>9713.2200000000012</v>
      </c>
      <c r="K382" s="81"/>
      <c r="L382" s="194"/>
      <c r="M382" s="54"/>
      <c r="N382" s="195"/>
      <c r="O382" s="308"/>
      <c r="P382" s="307"/>
      <c r="Q382" s="20"/>
      <c r="R382" s="20"/>
      <c r="S382" s="48"/>
      <c r="T382" s="18"/>
      <c r="U382" s="80"/>
      <c r="V382" s="51"/>
      <c r="W382" s="20"/>
      <c r="X382" s="18"/>
      <c r="Y382" s="18"/>
      <c r="Z382" s="18"/>
      <c r="AA382" s="18"/>
      <c r="AB382" s="18"/>
      <c r="AC382" s="18"/>
      <c r="AD382" s="18"/>
    </row>
    <row r="383" spans="1:30" ht="12.75" customHeight="1" x14ac:dyDescent="0.2">
      <c r="A383" s="100"/>
      <c r="B383" s="100"/>
      <c r="C383" s="100"/>
      <c r="D383" s="189"/>
      <c r="E383" s="68"/>
      <c r="F383" s="360"/>
      <c r="G383" s="200"/>
      <c r="H383" s="86" t="s">
        <v>87</v>
      </c>
      <c r="I383" s="28">
        <v>-500</v>
      </c>
      <c r="J383" s="153">
        <f t="shared" si="25"/>
        <v>9213.2200000000012</v>
      </c>
      <c r="K383" s="81"/>
      <c r="L383" s="194"/>
      <c r="M383" s="54"/>
      <c r="N383" s="195"/>
      <c r="O383" s="308"/>
      <c r="P383" s="307"/>
      <c r="Q383" s="20"/>
      <c r="R383" s="20"/>
      <c r="S383" s="48"/>
      <c r="T383" s="18"/>
      <c r="U383" s="80"/>
      <c r="V383" s="51"/>
      <c r="W383" s="20"/>
      <c r="X383" s="18"/>
      <c r="Y383" s="18"/>
      <c r="Z383" s="18"/>
      <c r="AA383" s="18"/>
      <c r="AB383" s="18"/>
      <c r="AC383" s="18"/>
      <c r="AD383" s="18"/>
    </row>
    <row r="384" spans="1:30" ht="12.75" customHeight="1" x14ac:dyDescent="0.2">
      <c r="A384" s="100"/>
      <c r="B384" s="100"/>
      <c r="C384" s="100"/>
      <c r="D384" s="189"/>
      <c r="E384" s="68"/>
      <c r="F384" s="151"/>
      <c r="G384" s="200"/>
      <c r="H384" s="86" t="s">
        <v>117</v>
      </c>
      <c r="I384" s="28">
        <v>-220</v>
      </c>
      <c r="J384" s="153">
        <f t="shared" si="25"/>
        <v>8993.2200000000012</v>
      </c>
      <c r="K384" s="81"/>
      <c r="L384" s="194"/>
      <c r="M384" s="54"/>
      <c r="N384" s="195"/>
      <c r="O384" s="308"/>
      <c r="P384" s="307"/>
      <c r="Q384" s="20"/>
      <c r="R384" s="20"/>
      <c r="S384" s="48"/>
      <c r="T384" s="18"/>
      <c r="U384" s="80"/>
      <c r="V384" s="51"/>
      <c r="W384" s="20"/>
      <c r="X384" s="18"/>
      <c r="Y384" s="18"/>
      <c r="Z384" s="18"/>
      <c r="AA384" s="18"/>
      <c r="AB384" s="18"/>
      <c r="AC384" s="18"/>
      <c r="AD384" s="18"/>
    </row>
    <row r="385" spans="1:30" ht="12.75" customHeight="1" x14ac:dyDescent="0.2">
      <c r="A385" s="100"/>
      <c r="B385" s="100"/>
      <c r="C385" s="100"/>
      <c r="D385" s="219"/>
      <c r="E385" s="68"/>
      <c r="G385" s="45" t="s">
        <v>46</v>
      </c>
      <c r="H385" s="87" t="s">
        <v>8</v>
      </c>
      <c r="I385" s="74">
        <v>-638.02</v>
      </c>
      <c r="J385" s="153">
        <f t="shared" si="25"/>
        <v>8355.2000000000007</v>
      </c>
      <c r="K385" s="18"/>
      <c r="L385" s="194"/>
      <c r="M385" s="54"/>
      <c r="N385" s="195"/>
      <c r="O385" s="308"/>
      <c r="P385" s="307"/>
      <c r="Q385" s="20"/>
      <c r="R385" s="20"/>
      <c r="S385" s="48"/>
      <c r="T385" s="18"/>
      <c r="U385" s="80"/>
      <c r="V385" s="51"/>
      <c r="W385" s="20"/>
      <c r="X385" s="18"/>
      <c r="Y385" s="18"/>
      <c r="Z385" s="18"/>
      <c r="AA385" s="18"/>
      <c r="AB385" s="18"/>
      <c r="AC385" s="18"/>
      <c r="AD385" s="18"/>
    </row>
    <row r="386" spans="1:30" ht="12.75" customHeight="1" x14ac:dyDescent="0.2">
      <c r="A386" s="100"/>
      <c r="B386" s="100"/>
      <c r="C386" s="100"/>
      <c r="D386" s="189"/>
      <c r="E386" s="23"/>
      <c r="F386" s="183"/>
      <c r="G386" s="84" t="s">
        <v>46</v>
      </c>
      <c r="H386" s="88" t="s">
        <v>34</v>
      </c>
      <c r="I386" s="74">
        <v>-1280</v>
      </c>
      <c r="J386" s="153">
        <f t="shared" si="25"/>
        <v>7075.2000000000007</v>
      </c>
      <c r="K386" s="18"/>
      <c r="L386" s="194"/>
      <c r="M386" s="54"/>
      <c r="N386" s="195"/>
      <c r="O386" s="308"/>
      <c r="P386" s="307"/>
      <c r="Q386" s="20"/>
      <c r="R386" s="20"/>
      <c r="S386" s="48"/>
      <c r="T386" s="18"/>
      <c r="U386" s="80"/>
      <c r="V386" s="51"/>
      <c r="W386" s="20"/>
      <c r="X386" s="18"/>
      <c r="Y386" s="18"/>
      <c r="Z386" s="18"/>
      <c r="AA386" s="18"/>
      <c r="AB386" s="18"/>
      <c r="AC386" s="18"/>
      <c r="AD386" s="18"/>
    </row>
    <row r="387" spans="1:30" ht="12.75" customHeight="1" x14ac:dyDescent="0.2">
      <c r="A387" s="100"/>
      <c r="B387" s="100"/>
      <c r="C387" s="100"/>
      <c r="D387" s="189"/>
      <c r="E387" s="23"/>
      <c r="F387" s="199"/>
      <c r="G387" s="84" t="s">
        <v>46</v>
      </c>
      <c r="H387" s="88" t="s">
        <v>10</v>
      </c>
      <c r="I387" s="68">
        <v>-736.55</v>
      </c>
      <c r="J387" s="153">
        <f t="shared" si="25"/>
        <v>6338.6500000000005</v>
      </c>
      <c r="K387" s="18"/>
      <c r="L387" s="194"/>
      <c r="M387" s="54"/>
      <c r="N387" s="195"/>
      <c r="O387" s="308"/>
      <c r="P387" s="307"/>
      <c r="Q387" s="20"/>
      <c r="R387" s="20"/>
      <c r="S387" s="48"/>
      <c r="T387" s="18"/>
      <c r="U387" s="80"/>
      <c r="V387" s="51"/>
      <c r="W387" s="20"/>
      <c r="X387" s="18"/>
      <c r="Y387" s="18"/>
      <c r="Z387" s="18"/>
      <c r="AA387" s="18"/>
      <c r="AB387" s="18"/>
      <c r="AC387" s="18"/>
      <c r="AD387" s="18"/>
    </row>
    <row r="388" spans="1:30" ht="12.75" customHeight="1" x14ac:dyDescent="0.2">
      <c r="A388" s="100"/>
      <c r="B388" s="100"/>
      <c r="C388" s="100"/>
      <c r="D388" s="189"/>
      <c r="E388" s="365"/>
      <c r="F388" s="199"/>
      <c r="G388" s="200" t="s">
        <v>46</v>
      </c>
      <c r="H388" s="201" t="s">
        <v>92</v>
      </c>
      <c r="I388" s="28">
        <f>-1081.02</f>
        <v>-1081.02</v>
      </c>
      <c r="J388" s="364">
        <f t="shared" si="25"/>
        <v>5257.630000000001</v>
      </c>
      <c r="K388" s="18"/>
      <c r="L388" s="194"/>
      <c r="M388" s="54"/>
      <c r="N388" s="195"/>
      <c r="O388" s="308"/>
      <c r="P388" s="307"/>
      <c r="Q388" s="20"/>
      <c r="R388" s="20"/>
      <c r="S388" s="48"/>
      <c r="T388" s="18"/>
      <c r="U388" s="80"/>
      <c r="V388" s="51"/>
      <c r="W388" s="20"/>
      <c r="X388" s="18"/>
      <c r="Y388" s="18"/>
      <c r="Z388" s="18"/>
      <c r="AA388" s="18"/>
      <c r="AB388" s="18"/>
      <c r="AC388" s="18"/>
      <c r="AD388" s="18"/>
    </row>
    <row r="389" spans="1:30" ht="12.75" customHeight="1" x14ac:dyDescent="0.2">
      <c r="A389" s="100"/>
      <c r="B389" s="100"/>
      <c r="C389" s="100"/>
      <c r="D389" s="189"/>
      <c r="E389" s="23"/>
      <c r="F389" s="199"/>
      <c r="G389" s="99" t="s">
        <v>46</v>
      </c>
      <c r="H389" s="201" t="s">
        <v>89</v>
      </c>
      <c r="I389" s="209">
        <v>-73.739999999999995</v>
      </c>
      <c r="J389" s="153">
        <f t="shared" si="25"/>
        <v>5183.8900000000012</v>
      </c>
      <c r="K389" s="18"/>
      <c r="L389" s="194"/>
      <c r="M389" s="54"/>
      <c r="N389" s="195"/>
      <c r="O389" s="308"/>
      <c r="P389" s="307"/>
      <c r="Q389" s="20"/>
      <c r="R389" s="20"/>
      <c r="S389" s="48"/>
      <c r="T389" s="18"/>
      <c r="U389" s="80"/>
      <c r="V389" s="51"/>
      <c r="W389" s="20"/>
      <c r="X389" s="18"/>
      <c r="Y389" s="18"/>
      <c r="Z389" s="18"/>
      <c r="AA389" s="18"/>
      <c r="AB389" s="18"/>
      <c r="AC389" s="18"/>
      <c r="AD389" s="18"/>
    </row>
    <row r="390" spans="1:30" ht="12.75" customHeight="1" x14ac:dyDescent="0.2">
      <c r="A390" s="100"/>
      <c r="B390" s="100"/>
      <c r="C390" s="100"/>
      <c r="D390" s="341"/>
      <c r="E390" s="23"/>
      <c r="F390" s="199"/>
      <c r="G390" s="99" t="s">
        <v>47</v>
      </c>
      <c r="H390" s="89" t="s">
        <v>81</v>
      </c>
      <c r="I390" s="110">
        <v>-52.28</v>
      </c>
      <c r="J390" s="156">
        <f t="shared" si="25"/>
        <v>5131.6100000000015</v>
      </c>
      <c r="K390" s="18"/>
      <c r="L390" s="194"/>
      <c r="M390" s="54"/>
      <c r="N390" s="195"/>
      <c r="O390" s="308"/>
      <c r="P390" s="307"/>
      <c r="Q390" s="20"/>
      <c r="R390" s="20"/>
      <c r="S390" s="48"/>
      <c r="T390" s="18"/>
      <c r="U390" s="80"/>
      <c r="V390" s="51"/>
      <c r="W390" s="20"/>
      <c r="X390" s="18"/>
      <c r="Y390" s="18"/>
      <c r="Z390" s="18"/>
      <c r="AA390" s="18"/>
      <c r="AB390" s="18"/>
      <c r="AC390" s="18"/>
      <c r="AD390" s="18"/>
    </row>
    <row r="391" spans="1:30" ht="12.75" customHeight="1" x14ac:dyDescent="0.2">
      <c r="A391" s="100"/>
      <c r="B391" s="100"/>
      <c r="C391" s="100"/>
      <c r="F391" s="199"/>
      <c r="H391" s="19"/>
      <c r="I391" s="73">
        <f>SUM(I338:I390)</f>
        <v>5131.6100000000015</v>
      </c>
      <c r="J391" s="170"/>
      <c r="K391" s="18"/>
      <c r="L391" s="194"/>
      <c r="M391" s="54"/>
      <c r="N391" s="195"/>
      <c r="O391" s="308"/>
      <c r="P391" s="307"/>
      <c r="Q391" s="20"/>
      <c r="R391" s="20"/>
      <c r="S391" s="48"/>
      <c r="T391" s="18"/>
      <c r="U391" s="80"/>
      <c r="V391" s="51"/>
      <c r="W391" s="20"/>
      <c r="X391" s="18"/>
      <c r="Y391" s="18"/>
      <c r="Z391" s="18"/>
      <c r="AA391" s="18"/>
      <c r="AB391" s="18"/>
      <c r="AC391" s="18"/>
      <c r="AD391" s="18"/>
    </row>
    <row r="392" spans="1:30" s="42" customFormat="1" x14ac:dyDescent="0.2">
      <c r="E392" s="15"/>
      <c r="G392" s="83"/>
      <c r="I392" s="15"/>
      <c r="L392" s="15"/>
      <c r="M392" s="15"/>
      <c r="N392" s="15"/>
      <c r="O392" s="118"/>
      <c r="U392" s="15"/>
      <c r="V392" s="65"/>
      <c r="W392" s="15"/>
    </row>
    <row r="394" spans="1:30" ht="12.75" customHeight="1" x14ac:dyDescent="0.2">
      <c r="B394" s="419" t="s">
        <v>342</v>
      </c>
      <c r="C394" s="419"/>
      <c r="D394" s="419"/>
      <c r="E394" s="419"/>
      <c r="G394" s="84"/>
      <c r="H394" s="54"/>
      <c r="I394" s="420" t="s">
        <v>33</v>
      </c>
      <c r="J394" s="367"/>
      <c r="K394" s="191"/>
      <c r="L394" s="422" t="s">
        <v>30</v>
      </c>
      <c r="M394" s="424" t="s">
        <v>97</v>
      </c>
      <c r="N394" s="424"/>
      <c r="O394" s="116"/>
      <c r="S394" s="24"/>
      <c r="T394" s="24"/>
      <c r="U394" s="20"/>
      <c r="V394" s="192"/>
      <c r="W394" s="20"/>
      <c r="X394" s="18"/>
      <c r="Y394" s="18"/>
      <c r="Z394" s="18"/>
      <c r="AA394" s="18"/>
      <c r="AB394" s="18"/>
      <c r="AC394" s="18"/>
      <c r="AD394" s="18"/>
    </row>
    <row r="395" spans="1:30" ht="12.75" customHeight="1" x14ac:dyDescent="0.2">
      <c r="C395" s="16" t="s">
        <v>77</v>
      </c>
      <c r="D395" s="14"/>
      <c r="E395" s="171">
        <v>9000</v>
      </c>
      <c r="G395" s="85" t="s">
        <v>49</v>
      </c>
      <c r="H395" s="72"/>
      <c r="I395" s="421"/>
      <c r="J395" s="367" t="s">
        <v>26</v>
      </c>
      <c r="K395" s="191"/>
      <c r="L395" s="423"/>
      <c r="M395" s="368" t="s">
        <v>26</v>
      </c>
      <c r="N395" s="369" t="s">
        <v>32</v>
      </c>
      <c r="O395" s="116"/>
      <c r="S395" s="61"/>
      <c r="T395" s="57"/>
      <c r="U395" s="60"/>
      <c r="V395" s="46"/>
      <c r="W395" s="47"/>
      <c r="X395" s="18"/>
      <c r="Y395" s="26"/>
      <c r="Z395" s="18"/>
      <c r="AA395" s="18"/>
      <c r="AB395" s="18"/>
      <c r="AC395" s="18"/>
      <c r="AD395" s="18"/>
    </row>
    <row r="396" spans="1:30" ht="12.75" customHeight="1" x14ac:dyDescent="0.2">
      <c r="C396" s="16"/>
      <c r="D396" s="14" t="s">
        <v>11</v>
      </c>
      <c r="E396" s="30"/>
      <c r="G396" s="90"/>
      <c r="H396" s="78" t="s">
        <v>52</v>
      </c>
      <c r="I396" s="28">
        <f>$J$390</f>
        <v>5131.6100000000015</v>
      </c>
      <c r="J396" s="37">
        <f>I396</f>
        <v>5131.6100000000015</v>
      </c>
      <c r="K396" s="20"/>
      <c r="L396" s="28">
        <f>$M$343</f>
        <v>-27961.889999999996</v>
      </c>
      <c r="M396" s="37">
        <f>L396</f>
        <v>-27961.889999999996</v>
      </c>
      <c r="N396" s="28">
        <f>28000+M396</f>
        <v>38.11000000000422</v>
      </c>
      <c r="O396" s="117" t="s">
        <v>67</v>
      </c>
      <c r="P396" s="111" t="s">
        <v>68</v>
      </c>
      <c r="R396" s="120"/>
      <c r="S396" s="57"/>
      <c r="T396" s="57"/>
      <c r="U396" s="28"/>
      <c r="V396" s="149"/>
      <c r="W396" s="20"/>
      <c r="X396" s="18"/>
      <c r="Y396" s="49"/>
      <c r="Z396" s="50"/>
      <c r="AA396" s="18"/>
      <c r="AB396" s="18"/>
      <c r="AC396" s="18"/>
      <c r="AD396" s="18"/>
    </row>
    <row r="397" spans="1:30" ht="12.75" customHeight="1" x14ac:dyDescent="0.2">
      <c r="C397" s="17" t="s">
        <v>5</v>
      </c>
      <c r="D397" s="14"/>
      <c r="E397" s="14">
        <f>SUM(E395:E396)</f>
        <v>9000</v>
      </c>
      <c r="G397" s="92"/>
      <c r="H397" s="75" t="s">
        <v>69</v>
      </c>
      <c r="I397" s="28">
        <v>-547.48</v>
      </c>
      <c r="J397" s="153">
        <f t="shared" ref="J397:J441" si="26">J396+I397</f>
        <v>4584.130000000001</v>
      </c>
      <c r="K397" s="25"/>
      <c r="L397" s="68">
        <v>850</v>
      </c>
      <c r="M397" s="38">
        <f>M396+L397</f>
        <v>-27111.889999999996</v>
      </c>
      <c r="N397" s="28">
        <f>28000+M397</f>
        <v>888.11000000000422</v>
      </c>
      <c r="O397" s="113" t="s">
        <v>86</v>
      </c>
      <c r="P397" s="120"/>
      <c r="Q397" s="18"/>
      <c r="R397" s="57"/>
      <c r="S397" s="57"/>
      <c r="T397" s="58"/>
      <c r="U397" s="31"/>
      <c r="V397" s="150"/>
      <c r="W397" s="20"/>
      <c r="X397" s="18"/>
      <c r="Y397" s="49"/>
      <c r="Z397" s="50"/>
      <c r="AA397" s="18"/>
      <c r="AB397" s="18"/>
      <c r="AC397" s="18"/>
      <c r="AD397" s="18"/>
    </row>
    <row r="398" spans="1:30" ht="12.75" customHeight="1" x14ac:dyDescent="0.2">
      <c r="A398" s="98"/>
      <c r="G398" s="92"/>
      <c r="H398" s="75" t="s">
        <v>370</v>
      </c>
      <c r="I398" s="28">
        <v>-4000</v>
      </c>
      <c r="J398" s="153">
        <f t="shared" si="26"/>
        <v>584.13000000000102</v>
      </c>
      <c r="K398" s="81"/>
      <c r="L398" s="68">
        <v>-525.66999999999996</v>
      </c>
      <c r="M398" s="38">
        <f t="shared" ref="M398:M402" si="27">M397+L398</f>
        <v>-27637.559999999994</v>
      </c>
      <c r="N398" s="28">
        <f>28000+M398</f>
        <v>362.44000000000597</v>
      </c>
      <c r="O398" s="113" t="s">
        <v>61</v>
      </c>
      <c r="P398" s="120"/>
      <c r="Q398" s="18"/>
      <c r="R398" s="58"/>
      <c r="S398" s="58"/>
      <c r="T398" s="58"/>
      <c r="U398" s="31"/>
      <c r="V398" s="150"/>
      <c r="W398" s="20"/>
      <c r="X398" s="18"/>
      <c r="Y398" s="49"/>
      <c r="Z398" s="50"/>
      <c r="AA398" s="18"/>
      <c r="AB398" s="18"/>
      <c r="AC398" s="18"/>
      <c r="AD398" s="18"/>
    </row>
    <row r="399" spans="1:30" ht="12.75" customHeight="1" x14ac:dyDescent="0.2">
      <c r="A399" s="98"/>
      <c r="C399" s="43" t="s">
        <v>9</v>
      </c>
      <c r="E399" s="27"/>
      <c r="G399" s="92"/>
      <c r="H399" s="75" t="s">
        <v>371</v>
      </c>
      <c r="I399" s="28">
        <v>-147.57</v>
      </c>
      <c r="J399" s="153">
        <f t="shared" si="26"/>
        <v>436.56000000000103</v>
      </c>
      <c r="K399" s="81"/>
      <c r="L399" s="68">
        <v>-199</v>
      </c>
      <c r="M399" s="38">
        <f t="shared" si="27"/>
        <v>-27836.559999999994</v>
      </c>
      <c r="N399" s="28">
        <f t="shared" ref="N399:N402" si="28">28000+M399</f>
        <v>163.44000000000597</v>
      </c>
      <c r="O399" s="113" t="s">
        <v>375</v>
      </c>
      <c r="P399" s="120"/>
      <c r="Q399" s="18"/>
      <c r="R399" s="55"/>
      <c r="S399" s="57"/>
      <c r="T399" s="58"/>
      <c r="U399" s="31"/>
      <c r="V399" s="150"/>
      <c r="W399" s="52"/>
      <c r="X399" s="18"/>
      <c r="Y399" s="53"/>
      <c r="Z399" s="50"/>
      <c r="AA399" s="18"/>
      <c r="AB399" s="18"/>
      <c r="AC399" s="18"/>
      <c r="AD399" s="18"/>
    </row>
    <row r="400" spans="1:30" ht="12.75" customHeight="1" x14ac:dyDescent="0.2">
      <c r="A400" s="98"/>
      <c r="D400" s="18" t="s">
        <v>7</v>
      </c>
      <c r="E400" s="27">
        <f>E395</f>
        <v>9000</v>
      </c>
      <c r="G400" s="92"/>
      <c r="H400" s="75" t="s">
        <v>356</v>
      </c>
      <c r="I400" s="28">
        <v>500</v>
      </c>
      <c r="J400" s="153">
        <f t="shared" si="26"/>
        <v>936.56000000000108</v>
      </c>
      <c r="K400" s="81"/>
      <c r="L400" s="68">
        <v>-76.599999999999994</v>
      </c>
      <c r="M400" s="38">
        <f t="shared" si="27"/>
        <v>-27913.159999999993</v>
      </c>
      <c r="N400" s="28">
        <f t="shared" si="28"/>
        <v>86.840000000007421</v>
      </c>
      <c r="O400" s="113" t="s">
        <v>102</v>
      </c>
      <c r="P400" s="120"/>
      <c r="Q400" s="20"/>
      <c r="R400" s="57"/>
      <c r="S400" s="57"/>
      <c r="T400" s="58"/>
      <c r="U400" s="31"/>
      <c r="V400" s="150"/>
      <c r="W400" s="20"/>
      <c r="X400" s="18"/>
      <c r="Y400" s="26"/>
      <c r="Z400" s="50"/>
      <c r="AA400" s="18"/>
      <c r="AB400" s="18"/>
      <c r="AC400" s="18"/>
      <c r="AD400" s="18"/>
    </row>
    <row r="401" spans="1:30" ht="12.75" customHeight="1" x14ac:dyDescent="0.2">
      <c r="A401" s="98"/>
      <c r="D401" s="42" t="s">
        <v>6</v>
      </c>
      <c r="E401" s="147"/>
      <c r="G401" s="92"/>
      <c r="H401" s="75" t="s">
        <v>372</v>
      </c>
      <c r="I401" s="28">
        <v>-200</v>
      </c>
      <c r="J401" s="153">
        <f t="shared" si="26"/>
        <v>736.56000000000108</v>
      </c>
      <c r="K401" s="81"/>
      <c r="L401" s="68">
        <f>-31-31</f>
        <v>-62</v>
      </c>
      <c r="M401" s="38">
        <f t="shared" si="27"/>
        <v>-27975.159999999993</v>
      </c>
      <c r="N401" s="28">
        <f t="shared" si="28"/>
        <v>24.840000000007421</v>
      </c>
      <c r="O401" s="113" t="s">
        <v>378</v>
      </c>
      <c r="P401" s="120"/>
      <c r="Q401" s="20"/>
      <c r="R401" s="18"/>
      <c r="S401" s="18"/>
      <c r="T401" s="58"/>
      <c r="U401" s="80"/>
      <c r="V401" s="51"/>
      <c r="W401" s="20"/>
      <c r="X401" s="18"/>
      <c r="Y401" s="49"/>
      <c r="Z401" s="50"/>
      <c r="AA401" s="18"/>
      <c r="AB401" s="18"/>
      <c r="AC401" s="18"/>
      <c r="AD401" s="18"/>
    </row>
    <row r="402" spans="1:30" ht="12.75" customHeight="1" x14ac:dyDescent="0.2">
      <c r="A402" s="98"/>
      <c r="D402" s="18"/>
      <c r="E402" s="154"/>
      <c r="G402" s="92"/>
      <c r="H402" s="75" t="s">
        <v>373</v>
      </c>
      <c r="I402" s="28">
        <v>-68.5</v>
      </c>
      <c r="J402" s="153">
        <f t="shared" si="26"/>
        <v>668.06000000000108</v>
      </c>
      <c r="K402" s="81"/>
      <c r="L402" s="68">
        <v>1020</v>
      </c>
      <c r="M402" s="38">
        <f t="shared" si="27"/>
        <v>-26955.159999999993</v>
      </c>
      <c r="N402" s="28">
        <f t="shared" si="28"/>
        <v>1044.8400000000074</v>
      </c>
      <c r="O402" s="113" t="s">
        <v>391</v>
      </c>
      <c r="P402" s="119"/>
      <c r="Q402" s="81"/>
      <c r="R402" s="18"/>
      <c r="S402" s="18"/>
      <c r="T402" s="58"/>
      <c r="U402" s="80"/>
      <c r="V402" s="51"/>
      <c r="W402" s="20"/>
      <c r="X402" s="18"/>
      <c r="Y402" s="49"/>
      <c r="Z402" s="50"/>
      <c r="AA402" s="18"/>
      <c r="AB402" s="18"/>
      <c r="AC402" s="18"/>
      <c r="AD402" s="18"/>
    </row>
    <row r="403" spans="1:30" ht="12.75" customHeight="1" x14ac:dyDescent="0.2">
      <c r="A403" s="100"/>
      <c r="B403" s="100"/>
      <c r="C403" s="100"/>
      <c r="D403" s="190"/>
      <c r="E403" s="68"/>
      <c r="G403" s="92"/>
      <c r="H403" s="75" t="s">
        <v>374</v>
      </c>
      <c r="I403" s="71">
        <f>-70.49-113.47-150.9</f>
        <v>-334.86</v>
      </c>
      <c r="J403" s="153">
        <f t="shared" si="26"/>
        <v>333.20000000000107</v>
      </c>
      <c r="K403" s="81"/>
      <c r="L403" s="291">
        <f>SUM(L396:L402)</f>
        <v>-26955.159999999993</v>
      </c>
      <c r="M403" s="91"/>
      <c r="N403" s="96"/>
      <c r="O403" s="113"/>
      <c r="P403" s="119"/>
      <c r="Q403" s="81"/>
      <c r="R403" s="20"/>
      <c r="S403" s="48"/>
      <c r="T403" s="18"/>
      <c r="U403" s="80"/>
      <c r="V403" s="51"/>
      <c r="W403" s="20"/>
      <c r="X403" s="18"/>
      <c r="Y403" s="18"/>
      <c r="Z403" s="18"/>
      <c r="AA403" s="18"/>
      <c r="AB403" s="18"/>
      <c r="AC403" s="18"/>
      <c r="AD403" s="18"/>
    </row>
    <row r="404" spans="1:30" ht="12.75" customHeight="1" x14ac:dyDescent="0.2">
      <c r="A404" s="100"/>
      <c r="B404" s="100"/>
      <c r="C404" s="100"/>
      <c r="D404" s="190"/>
      <c r="E404" s="68"/>
      <c r="F404" s="18"/>
      <c r="G404" s="92"/>
      <c r="H404" s="75" t="s">
        <v>376</v>
      </c>
      <c r="I404" s="28">
        <v>-177</v>
      </c>
      <c r="J404" s="153">
        <f t="shared" si="26"/>
        <v>156.20000000000107</v>
      </c>
      <c r="K404" s="81"/>
      <c r="L404" s="36"/>
      <c r="M404" s="91"/>
      <c r="N404" s="96"/>
      <c r="O404" s="113"/>
      <c r="P404" s="119"/>
      <c r="Q404" s="81"/>
      <c r="R404" s="20"/>
      <c r="S404" s="48"/>
      <c r="T404" s="18"/>
      <c r="U404" s="80"/>
      <c r="V404" s="51"/>
      <c r="W404" s="20"/>
      <c r="X404" s="18"/>
      <c r="Y404" s="18"/>
      <c r="Z404" s="18"/>
      <c r="AA404" s="18"/>
      <c r="AB404" s="18"/>
      <c r="AC404" s="18"/>
      <c r="AD404" s="18"/>
    </row>
    <row r="405" spans="1:30" ht="12.75" customHeight="1" x14ac:dyDescent="0.2">
      <c r="A405" s="100"/>
      <c r="B405" s="100"/>
      <c r="C405" s="100"/>
      <c r="D405" s="219"/>
      <c r="E405" s="68"/>
      <c r="F405" s="18"/>
      <c r="G405" s="92"/>
      <c r="H405" s="75" t="s">
        <v>377</v>
      </c>
      <c r="I405" s="28">
        <f>-60.8-62.9-200-700-44.9</f>
        <v>-1068.6000000000001</v>
      </c>
      <c r="J405" s="153">
        <f t="shared" si="26"/>
        <v>-912.39999999999907</v>
      </c>
      <c r="K405" s="81"/>
      <c r="L405" s="284"/>
      <c r="M405" s="54"/>
      <c r="N405" s="195"/>
      <c r="O405" s="278"/>
      <c r="P405" s="119"/>
      <c r="Q405" s="81"/>
      <c r="R405" s="20"/>
      <c r="S405" s="48"/>
      <c r="T405" s="18"/>
      <c r="U405" s="80"/>
      <c r="V405" s="51"/>
      <c r="W405" s="20"/>
      <c r="X405" s="18"/>
      <c r="Y405" s="18"/>
      <c r="Z405" s="18"/>
      <c r="AA405" s="18"/>
      <c r="AB405" s="18"/>
      <c r="AC405" s="18"/>
      <c r="AD405" s="18"/>
    </row>
    <row r="406" spans="1:30" ht="12.75" customHeight="1" x14ac:dyDescent="0.2">
      <c r="A406" s="100"/>
      <c r="B406" s="100"/>
      <c r="C406" s="100"/>
      <c r="D406" s="219"/>
      <c r="E406" s="68"/>
      <c r="F406" s="18"/>
      <c r="G406" s="92"/>
      <c r="H406" s="75" t="s">
        <v>325</v>
      </c>
      <c r="I406" s="28">
        <v>1068.3399999999999</v>
      </c>
      <c r="J406" s="153">
        <f t="shared" si="26"/>
        <v>155.94000000000085</v>
      </c>
      <c r="K406" s="81"/>
      <c r="L406" s="302"/>
      <c r="M406" s="54"/>
      <c r="N406" s="195"/>
      <c r="O406" s="278"/>
      <c r="P406" s="119"/>
      <c r="Q406" s="81"/>
      <c r="R406" s="20"/>
      <c r="S406" s="48"/>
      <c r="T406" s="18"/>
      <c r="U406" s="80"/>
      <c r="V406" s="51"/>
      <c r="W406" s="20"/>
      <c r="X406" s="18"/>
      <c r="Y406" s="18"/>
      <c r="Z406" s="18"/>
      <c r="AA406" s="18"/>
      <c r="AB406" s="18"/>
      <c r="AC406" s="18"/>
      <c r="AD406" s="18"/>
    </row>
    <row r="407" spans="1:30" ht="12.75" customHeight="1" x14ac:dyDescent="0.2">
      <c r="A407" s="100"/>
      <c r="B407" s="100"/>
      <c r="C407" s="100"/>
      <c r="D407" s="189"/>
      <c r="E407" s="68"/>
      <c r="G407" s="84"/>
      <c r="H407" s="86" t="s">
        <v>356</v>
      </c>
      <c r="I407" s="28">
        <v>250</v>
      </c>
      <c r="J407" s="153">
        <f t="shared" si="26"/>
        <v>405.94000000000085</v>
      </c>
      <c r="K407" s="81"/>
      <c r="L407" s="302"/>
      <c r="M407" s="54"/>
      <c r="N407" s="195"/>
      <c r="O407" s="278"/>
      <c r="P407" s="119"/>
      <c r="Q407" s="81"/>
      <c r="R407" s="20"/>
      <c r="S407" s="48"/>
      <c r="T407" s="18"/>
      <c r="U407" s="80"/>
      <c r="V407" s="51"/>
      <c r="W407" s="20"/>
      <c r="X407" s="18"/>
      <c r="Y407" s="18"/>
      <c r="Z407" s="18"/>
      <c r="AA407" s="18"/>
      <c r="AB407" s="18"/>
      <c r="AC407" s="18"/>
      <c r="AD407" s="18"/>
    </row>
    <row r="408" spans="1:30" ht="12.75" customHeight="1" x14ac:dyDescent="0.2">
      <c r="A408" s="100"/>
      <c r="B408" s="100"/>
      <c r="C408" s="100"/>
      <c r="D408" s="189"/>
      <c r="E408" s="68"/>
      <c r="G408" s="84"/>
      <c r="H408" s="86" t="s">
        <v>374</v>
      </c>
      <c r="I408" s="28">
        <f>-89.29-84.1-123-43.9</f>
        <v>-340.28999999999996</v>
      </c>
      <c r="J408" s="153">
        <f t="shared" si="26"/>
        <v>65.650000000000887</v>
      </c>
      <c r="K408" s="81"/>
      <c r="L408" s="305"/>
      <c r="M408" s="54"/>
      <c r="N408" s="195"/>
      <c r="O408" s="278"/>
      <c r="P408" s="119"/>
      <c r="Q408" s="81"/>
      <c r="R408" s="20"/>
      <c r="S408" s="48"/>
      <c r="T408" s="18"/>
      <c r="U408" s="80"/>
      <c r="V408" s="51"/>
      <c r="W408" s="20"/>
      <c r="X408" s="18"/>
      <c r="Y408" s="18"/>
      <c r="Z408" s="18"/>
      <c r="AA408" s="18"/>
      <c r="AB408" s="18"/>
      <c r="AC408" s="18"/>
      <c r="AD408" s="18"/>
    </row>
    <row r="409" spans="1:30" ht="12.75" customHeight="1" x14ac:dyDescent="0.2">
      <c r="A409" s="100"/>
      <c r="B409" s="100"/>
      <c r="C409" s="100"/>
      <c r="D409" s="189"/>
      <c r="E409" s="68"/>
      <c r="G409" s="84"/>
      <c r="H409" s="86" t="s">
        <v>356</v>
      </c>
      <c r="I409" s="28">
        <f>1000-68.97-313.48-489.35-35-1.1</f>
        <v>92.099999999999937</v>
      </c>
      <c r="J409" s="153">
        <f t="shared" si="26"/>
        <v>157.75000000000082</v>
      </c>
      <c r="K409" s="81"/>
      <c r="L409" s="305"/>
      <c r="M409" s="54"/>
      <c r="N409" s="195"/>
      <c r="O409" s="278"/>
      <c r="P409" s="119"/>
      <c r="Q409" s="20"/>
      <c r="R409" s="20"/>
      <c r="S409" s="48"/>
      <c r="T409" s="18"/>
      <c r="U409" s="80"/>
      <c r="V409" s="51"/>
      <c r="W409" s="20"/>
      <c r="X409" s="18"/>
      <c r="Y409" s="18"/>
      <c r="Z409" s="18"/>
      <c r="AA409" s="18"/>
      <c r="AB409" s="18"/>
      <c r="AC409" s="18"/>
      <c r="AD409" s="18"/>
    </row>
    <row r="410" spans="1:30" ht="12.75" customHeight="1" x14ac:dyDescent="0.2">
      <c r="A410" s="100"/>
      <c r="B410" s="100"/>
      <c r="C410" s="100"/>
      <c r="D410" s="189"/>
      <c r="E410" s="68"/>
      <c r="G410" s="84"/>
      <c r="H410" s="86" t="s">
        <v>101</v>
      </c>
      <c r="I410" s="28">
        <f>-100-1.1</f>
        <v>-101.1</v>
      </c>
      <c r="J410" s="153">
        <f t="shared" si="26"/>
        <v>56.65000000000083</v>
      </c>
      <c r="K410" s="81"/>
      <c r="L410" s="305"/>
      <c r="M410" s="54"/>
      <c r="N410" s="195"/>
      <c r="O410" s="278"/>
      <c r="P410" s="112"/>
      <c r="Q410" s="20"/>
      <c r="R410" s="20"/>
      <c r="S410" s="48"/>
      <c r="T410" s="18"/>
      <c r="U410" s="80"/>
      <c r="V410" s="51"/>
      <c r="W410" s="20"/>
      <c r="X410" s="18"/>
      <c r="Y410" s="18"/>
      <c r="Z410" s="18"/>
      <c r="AA410" s="18"/>
      <c r="AB410" s="18"/>
      <c r="AC410" s="18"/>
      <c r="AD410" s="18"/>
    </row>
    <row r="411" spans="1:30" ht="12.75" customHeight="1" x14ac:dyDescent="0.2">
      <c r="A411" s="100"/>
      <c r="B411" s="100"/>
      <c r="C411" s="100"/>
      <c r="D411" s="189"/>
      <c r="E411" s="68"/>
      <c r="G411" s="84"/>
      <c r="H411" s="86" t="s">
        <v>356</v>
      </c>
      <c r="I411" s="28">
        <v>1000</v>
      </c>
      <c r="J411" s="153">
        <f t="shared" si="26"/>
        <v>1056.6500000000008</v>
      </c>
      <c r="K411" s="81"/>
      <c r="L411" s="306"/>
      <c r="M411" s="54"/>
      <c r="N411" s="328"/>
      <c r="O411" s="278"/>
      <c r="P411" s="112"/>
      <c r="Q411" s="20"/>
      <c r="R411" s="20"/>
      <c r="S411" s="48"/>
      <c r="T411" s="18"/>
      <c r="U411" s="80"/>
      <c r="V411" s="51"/>
      <c r="W411" s="20"/>
      <c r="X411" s="18"/>
      <c r="Y411" s="18"/>
      <c r="Z411" s="18"/>
      <c r="AA411" s="18"/>
      <c r="AB411" s="18"/>
      <c r="AC411" s="18"/>
      <c r="AD411" s="18"/>
    </row>
    <row r="412" spans="1:30" ht="12.75" customHeight="1" x14ac:dyDescent="0.2">
      <c r="A412" s="100"/>
      <c r="B412" s="100"/>
      <c r="C412" s="100"/>
      <c r="D412" s="189"/>
      <c r="E412" s="68"/>
      <c r="G412" s="84"/>
      <c r="H412" s="86" t="s">
        <v>379</v>
      </c>
      <c r="I412" s="28">
        <v>-680</v>
      </c>
      <c r="J412" s="153">
        <f t="shared" si="26"/>
        <v>376.65000000000077</v>
      </c>
      <c r="K412" s="81"/>
      <c r="L412" s="306"/>
      <c r="M412" s="54"/>
      <c r="N412" s="328"/>
      <c r="O412" s="278"/>
      <c r="P412" s="112"/>
      <c r="Q412" s="20"/>
      <c r="R412" s="20"/>
      <c r="S412" s="48"/>
      <c r="T412" s="18"/>
      <c r="U412" s="80"/>
      <c r="V412" s="51"/>
      <c r="W412" s="20"/>
      <c r="X412" s="18"/>
      <c r="Y412" s="18"/>
      <c r="Z412" s="18"/>
      <c r="AA412" s="18"/>
      <c r="AB412" s="18"/>
      <c r="AC412" s="18"/>
      <c r="AD412" s="18"/>
    </row>
    <row r="413" spans="1:30" ht="12.75" customHeight="1" x14ac:dyDescent="0.2">
      <c r="A413" s="100"/>
      <c r="B413" s="100"/>
      <c r="C413" s="100"/>
      <c r="D413" s="189"/>
      <c r="E413" s="68"/>
      <c r="G413" s="84"/>
      <c r="H413" s="86" t="s">
        <v>380</v>
      </c>
      <c r="I413" s="28">
        <f>-84.95-171.8</f>
        <v>-256.75</v>
      </c>
      <c r="J413" s="153">
        <f t="shared" si="26"/>
        <v>119.90000000000077</v>
      </c>
      <c r="K413" s="81"/>
      <c r="L413" s="340"/>
      <c r="M413" s="54"/>
      <c r="N413" s="328"/>
      <c r="O413" s="158"/>
      <c r="P413" s="112"/>
      <c r="Q413" s="20"/>
      <c r="R413" s="20"/>
      <c r="S413" s="48"/>
      <c r="T413" s="18"/>
      <c r="U413" s="80"/>
      <c r="V413" s="51"/>
      <c r="W413" s="20"/>
      <c r="X413" s="18"/>
      <c r="Y413" s="18"/>
      <c r="Z413" s="18"/>
      <c r="AA413" s="18"/>
      <c r="AB413" s="18"/>
      <c r="AC413" s="18"/>
      <c r="AD413" s="18"/>
    </row>
    <row r="414" spans="1:30" ht="12.75" customHeight="1" x14ac:dyDescent="0.2">
      <c r="A414" s="100"/>
      <c r="B414" s="100"/>
      <c r="C414" s="100"/>
      <c r="D414" s="189"/>
      <c r="E414" s="68"/>
      <c r="G414" s="84"/>
      <c r="H414" s="86" t="s">
        <v>178</v>
      </c>
      <c r="I414" s="28">
        <f>-100-6.7-16-5.2</f>
        <v>-127.9</v>
      </c>
      <c r="J414" s="153">
        <f t="shared" si="26"/>
        <v>-7.9999999999992326</v>
      </c>
      <c r="K414" s="81"/>
      <c r="L414" s="340"/>
      <c r="M414" s="54"/>
      <c r="N414" s="328"/>
      <c r="O414" s="158"/>
      <c r="P414" s="307"/>
      <c r="Q414" s="20"/>
      <c r="R414" s="20"/>
      <c r="S414" s="48"/>
      <c r="T414" s="18"/>
      <c r="U414" s="80"/>
      <c r="V414" s="51"/>
      <c r="W414" s="20"/>
      <c r="X414" s="18"/>
      <c r="Y414" s="18"/>
      <c r="Z414" s="18"/>
      <c r="AA414" s="18"/>
      <c r="AB414" s="18"/>
      <c r="AC414" s="18"/>
      <c r="AD414" s="18"/>
    </row>
    <row r="415" spans="1:30" ht="12.75" customHeight="1" x14ac:dyDescent="0.2">
      <c r="A415" s="100"/>
      <c r="B415" s="100"/>
      <c r="C415" s="100"/>
      <c r="D415" s="189"/>
      <c r="E415" s="68"/>
      <c r="G415" s="84"/>
      <c r="H415" s="75" t="s">
        <v>356</v>
      </c>
      <c r="I415" s="28">
        <v>240</v>
      </c>
      <c r="J415" s="153">
        <f t="shared" si="26"/>
        <v>232.00000000000077</v>
      </c>
      <c r="K415" s="81"/>
      <c r="L415" s="340"/>
      <c r="M415" s="54"/>
      <c r="N415" s="328"/>
      <c r="O415" s="158"/>
      <c r="P415" s="307"/>
      <c r="Q415" s="307"/>
      <c r="R415" s="20"/>
      <c r="S415" s="48"/>
      <c r="T415" s="18"/>
      <c r="U415" s="80"/>
      <c r="V415" s="51"/>
      <c r="W415" s="20"/>
      <c r="X415" s="18"/>
      <c r="Y415" s="18"/>
      <c r="Z415" s="18"/>
      <c r="AA415" s="18"/>
      <c r="AB415" s="18"/>
      <c r="AC415" s="18"/>
      <c r="AD415" s="18"/>
    </row>
    <row r="416" spans="1:30" ht="12.75" customHeight="1" x14ac:dyDescent="0.2">
      <c r="A416" s="100"/>
      <c r="B416" s="100"/>
      <c r="C416" s="100"/>
      <c r="D416" s="189"/>
      <c r="E416" s="68"/>
      <c r="G416" s="84"/>
      <c r="H416" s="75" t="s">
        <v>381</v>
      </c>
      <c r="I416" s="28">
        <v>-237.5</v>
      </c>
      <c r="J416" s="153">
        <f t="shared" si="26"/>
        <v>-5.4999999999992326</v>
      </c>
      <c r="K416" s="81"/>
      <c r="L416" s="340"/>
      <c r="M416" s="54"/>
      <c r="N416" s="328"/>
      <c r="O416" s="158"/>
      <c r="P416" s="307"/>
      <c r="Q416" s="307"/>
      <c r="R416" s="20"/>
      <c r="S416" s="48"/>
      <c r="T416" s="18"/>
      <c r="U416" s="80"/>
      <c r="V416" s="51"/>
      <c r="W416" s="20"/>
      <c r="X416" s="18"/>
      <c r="Y416" s="18"/>
      <c r="Z416" s="18"/>
      <c r="AA416" s="18"/>
      <c r="AB416" s="18"/>
      <c r="AC416" s="18"/>
      <c r="AD416" s="18"/>
    </row>
    <row r="417" spans="1:30" ht="12.75" customHeight="1" x14ac:dyDescent="0.2">
      <c r="A417" s="100"/>
      <c r="B417" s="100"/>
      <c r="C417" s="100"/>
      <c r="D417" s="189"/>
      <c r="E417" s="68"/>
      <c r="G417" s="84"/>
      <c r="H417" s="75" t="s">
        <v>356</v>
      </c>
      <c r="I417" s="28">
        <v>500</v>
      </c>
      <c r="J417" s="153">
        <f t="shared" si="26"/>
        <v>494.5000000000008</v>
      </c>
      <c r="K417" s="81"/>
      <c r="L417" s="194"/>
      <c r="M417" s="54"/>
      <c r="N417" s="195"/>
      <c r="O417" s="308"/>
      <c r="P417" s="307"/>
      <c r="Q417" s="20"/>
      <c r="R417" s="20"/>
      <c r="S417" s="48"/>
      <c r="T417" s="18"/>
      <c r="U417" s="80"/>
      <c r="V417" s="51"/>
      <c r="W417" s="20"/>
      <c r="X417" s="18"/>
      <c r="Y417" s="18"/>
      <c r="Z417" s="18"/>
      <c r="AA417" s="18"/>
      <c r="AB417" s="18"/>
      <c r="AC417" s="18"/>
      <c r="AD417" s="18"/>
    </row>
    <row r="418" spans="1:30" ht="12.75" customHeight="1" x14ac:dyDescent="0.2">
      <c r="A418" s="100"/>
      <c r="B418" s="100"/>
      <c r="C418" s="100"/>
      <c r="D418" s="189"/>
      <c r="E418" s="68"/>
      <c r="G418" s="84"/>
      <c r="H418" s="75" t="s">
        <v>382</v>
      </c>
      <c r="I418" s="28">
        <v>-200</v>
      </c>
      <c r="J418" s="153">
        <f t="shared" si="26"/>
        <v>294.5000000000008</v>
      </c>
      <c r="K418" s="81"/>
      <c r="L418" s="194"/>
      <c r="M418" s="54"/>
      <c r="N418" s="195"/>
      <c r="O418" s="308"/>
      <c r="P418" s="307"/>
      <c r="Q418" s="20"/>
      <c r="R418" s="20"/>
      <c r="S418" s="48"/>
      <c r="T418" s="18"/>
      <c r="U418" s="80"/>
      <c r="V418" s="51"/>
      <c r="W418" s="20"/>
      <c r="X418" s="18"/>
      <c r="Y418" s="18"/>
      <c r="Z418" s="18"/>
      <c r="AA418" s="18"/>
      <c r="AB418" s="18"/>
      <c r="AC418" s="18"/>
      <c r="AD418" s="18"/>
    </row>
    <row r="419" spans="1:30" ht="12.75" customHeight="1" x14ac:dyDescent="0.2">
      <c r="A419" s="100"/>
      <c r="B419" s="100"/>
      <c r="C419" s="100"/>
      <c r="D419" s="189"/>
      <c r="E419" s="68"/>
      <c r="G419" s="84"/>
      <c r="H419" s="75" t="s">
        <v>383</v>
      </c>
      <c r="I419" s="28">
        <f>-55-1.1</f>
        <v>-56.1</v>
      </c>
      <c r="J419" s="153">
        <f t="shared" si="26"/>
        <v>238.4000000000008</v>
      </c>
      <c r="K419" s="81"/>
      <c r="L419" s="194"/>
      <c r="M419" s="54"/>
      <c r="N419" s="195"/>
      <c r="O419" s="308"/>
      <c r="P419" s="307"/>
      <c r="Q419" s="20"/>
      <c r="R419" s="20"/>
      <c r="S419" s="48"/>
      <c r="T419" s="18"/>
      <c r="U419" s="80"/>
      <c r="V419" s="51"/>
      <c r="W419" s="20"/>
      <c r="X419" s="18"/>
      <c r="Y419" s="18"/>
      <c r="Z419" s="18"/>
      <c r="AA419" s="18"/>
      <c r="AB419" s="18"/>
      <c r="AC419" s="18"/>
      <c r="AD419" s="18"/>
    </row>
    <row r="420" spans="1:30" ht="12.75" customHeight="1" x14ac:dyDescent="0.2">
      <c r="A420" s="100"/>
      <c r="B420" s="100"/>
      <c r="C420" s="100"/>
      <c r="D420" s="189"/>
      <c r="E420" s="68"/>
      <c r="G420" s="84"/>
      <c r="H420" s="75" t="s">
        <v>131</v>
      </c>
      <c r="I420" s="28">
        <v>500</v>
      </c>
      <c r="J420" s="153">
        <f t="shared" si="26"/>
        <v>738.40000000000077</v>
      </c>
      <c r="K420" s="81"/>
      <c r="L420" s="194"/>
      <c r="M420" s="54"/>
      <c r="N420" s="195"/>
      <c r="O420" s="308"/>
      <c r="P420" s="307"/>
      <c r="Q420" s="20"/>
      <c r="R420" s="20"/>
      <c r="S420" s="48"/>
      <c r="T420" s="18"/>
      <c r="U420" s="80"/>
      <c r="V420" s="51"/>
      <c r="W420" s="20"/>
      <c r="X420" s="18"/>
      <c r="Y420" s="18"/>
      <c r="Z420" s="18"/>
      <c r="AA420" s="18"/>
      <c r="AB420" s="18"/>
      <c r="AC420" s="18"/>
      <c r="AD420" s="18"/>
    </row>
    <row r="421" spans="1:30" ht="12.75" customHeight="1" x14ac:dyDescent="0.2">
      <c r="A421" s="100"/>
      <c r="B421" s="100"/>
      <c r="C421" s="100"/>
      <c r="D421" s="189"/>
      <c r="E421" s="68"/>
      <c r="G421" s="84"/>
      <c r="H421" s="75" t="s">
        <v>383</v>
      </c>
      <c r="I421" s="28">
        <f>-100-1.1</f>
        <v>-101.1</v>
      </c>
      <c r="J421" s="153">
        <f t="shared" si="26"/>
        <v>637.30000000000075</v>
      </c>
      <c r="K421" s="81"/>
      <c r="L421" s="194"/>
      <c r="M421" s="54"/>
      <c r="N421" s="195"/>
      <c r="O421" s="308"/>
      <c r="P421" s="307"/>
      <c r="Q421" s="20"/>
      <c r="R421" s="20"/>
      <c r="S421" s="48"/>
      <c r="T421" s="18"/>
      <c r="U421" s="80"/>
      <c r="V421" s="51"/>
      <c r="W421" s="20"/>
      <c r="X421" s="18"/>
      <c r="Y421" s="18"/>
      <c r="Z421" s="18"/>
      <c r="AA421" s="18"/>
      <c r="AB421" s="18"/>
      <c r="AC421" s="18"/>
      <c r="AD421" s="18"/>
    </row>
    <row r="422" spans="1:30" ht="12.75" customHeight="1" x14ac:dyDescent="0.2">
      <c r="A422" s="100"/>
      <c r="B422" s="100"/>
      <c r="C422" s="100"/>
      <c r="D422" s="189"/>
      <c r="E422" s="68"/>
      <c r="G422" s="84"/>
      <c r="H422" s="75" t="s">
        <v>384</v>
      </c>
      <c r="I422" s="28">
        <v>-0.01</v>
      </c>
      <c r="J422" s="153">
        <f t="shared" si="26"/>
        <v>637.29000000000076</v>
      </c>
      <c r="K422" s="81"/>
      <c r="L422" s="194"/>
      <c r="M422" s="54"/>
      <c r="N422" s="195"/>
      <c r="O422" s="308"/>
      <c r="P422" s="307"/>
      <c r="Q422" s="20"/>
      <c r="R422" s="20"/>
      <c r="S422" s="48"/>
      <c r="T422" s="18"/>
      <c r="U422" s="80"/>
      <c r="V422" s="51"/>
      <c r="W422" s="20"/>
      <c r="X422" s="18"/>
      <c r="Y422" s="18"/>
      <c r="Z422" s="18"/>
      <c r="AA422" s="18"/>
      <c r="AB422" s="18"/>
      <c r="AC422" s="18"/>
      <c r="AD422" s="18"/>
    </row>
    <row r="423" spans="1:30" ht="12.75" customHeight="1" x14ac:dyDescent="0.2">
      <c r="A423" s="100"/>
      <c r="B423" s="100"/>
      <c r="C423" s="100"/>
      <c r="D423" s="189"/>
      <c r="E423" s="68"/>
      <c r="G423" s="84"/>
      <c r="H423" s="75" t="s">
        <v>356</v>
      </c>
      <c r="I423" s="28">
        <v>2200</v>
      </c>
      <c r="J423" s="153">
        <f t="shared" si="26"/>
        <v>2837.2900000000009</v>
      </c>
      <c r="K423" s="81"/>
      <c r="L423" s="194"/>
      <c r="M423" s="54"/>
      <c r="N423" s="195"/>
      <c r="O423" s="308"/>
      <c r="P423" s="307"/>
      <c r="Q423" s="20"/>
      <c r="R423" s="20"/>
      <c r="S423" s="48"/>
      <c r="T423" s="18"/>
      <c r="U423" s="80"/>
      <c r="V423" s="51"/>
      <c r="W423" s="20"/>
      <c r="X423" s="18"/>
      <c r="Y423" s="18"/>
      <c r="Z423" s="18"/>
      <c r="AA423" s="18"/>
      <c r="AB423" s="18"/>
      <c r="AC423" s="18"/>
      <c r="AD423" s="18"/>
    </row>
    <row r="424" spans="1:30" ht="12.75" customHeight="1" x14ac:dyDescent="0.2">
      <c r="A424" s="100"/>
      <c r="B424" s="100"/>
      <c r="C424" s="100"/>
      <c r="D424" s="189"/>
      <c r="E424" s="68"/>
      <c r="G424" s="84"/>
      <c r="H424" s="75" t="s">
        <v>385</v>
      </c>
      <c r="I424" s="28">
        <v>-1498</v>
      </c>
      <c r="J424" s="153">
        <f t="shared" si="26"/>
        <v>1339.2900000000009</v>
      </c>
      <c r="K424" s="81"/>
      <c r="L424" s="194"/>
      <c r="M424" s="54"/>
      <c r="N424" s="195"/>
      <c r="O424" s="308"/>
      <c r="P424" s="307"/>
      <c r="Q424" s="20"/>
      <c r="R424" s="20"/>
      <c r="S424" s="48"/>
      <c r="T424" s="18"/>
      <c r="U424" s="80"/>
      <c r="V424" s="51"/>
      <c r="W424" s="20"/>
      <c r="X424" s="18"/>
      <c r="Y424" s="18"/>
      <c r="Z424" s="18"/>
      <c r="AA424" s="18"/>
      <c r="AB424" s="18"/>
      <c r="AC424" s="18"/>
      <c r="AD424" s="18"/>
    </row>
    <row r="425" spans="1:30" ht="12.75" customHeight="1" x14ac:dyDescent="0.2">
      <c r="A425" s="100"/>
      <c r="B425" s="100"/>
      <c r="C425" s="100"/>
      <c r="D425" s="189"/>
      <c r="E425" s="68"/>
      <c r="G425" s="84"/>
      <c r="H425" s="75" t="s">
        <v>386</v>
      </c>
      <c r="I425" s="28">
        <v>-609.95000000000005</v>
      </c>
      <c r="J425" s="153">
        <f t="shared" si="26"/>
        <v>729.34000000000083</v>
      </c>
      <c r="K425" s="81"/>
      <c r="L425" s="194"/>
      <c r="M425" s="54"/>
      <c r="N425" s="195"/>
      <c r="O425" s="308"/>
      <c r="P425" s="307"/>
      <c r="Q425" s="20"/>
      <c r="R425" s="20"/>
      <c r="S425" s="48"/>
      <c r="T425" s="18"/>
      <c r="U425" s="80"/>
      <c r="V425" s="51"/>
      <c r="W425" s="20"/>
      <c r="X425" s="18"/>
      <c r="Y425" s="18"/>
      <c r="Z425" s="18"/>
      <c r="AA425" s="18"/>
      <c r="AB425" s="18"/>
      <c r="AC425" s="18"/>
      <c r="AD425" s="18"/>
    </row>
    <row r="426" spans="1:30" ht="12.75" customHeight="1" x14ac:dyDescent="0.2">
      <c r="A426" s="100"/>
      <c r="B426" s="100"/>
      <c r="C426" s="100"/>
      <c r="D426" s="189"/>
      <c r="E426" s="68"/>
      <c r="G426" s="84"/>
      <c r="H426" s="75" t="s">
        <v>102</v>
      </c>
      <c r="I426" s="28">
        <v>-253.8</v>
      </c>
      <c r="J426" s="153">
        <f t="shared" si="26"/>
        <v>475.54000000000082</v>
      </c>
      <c r="K426" s="81"/>
      <c r="L426" s="194"/>
      <c r="M426" s="54"/>
      <c r="N426" s="195"/>
      <c r="O426" s="308"/>
      <c r="P426" s="307"/>
      <c r="Q426" s="20"/>
      <c r="R426" s="20"/>
      <c r="S426" s="48"/>
      <c r="T426" s="18"/>
      <c r="U426" s="80"/>
      <c r="V426" s="51"/>
      <c r="W426" s="20"/>
      <c r="X426" s="18"/>
      <c r="Y426" s="18"/>
      <c r="Z426" s="18"/>
      <c r="AA426" s="18"/>
      <c r="AB426" s="18"/>
      <c r="AC426" s="18"/>
      <c r="AD426" s="18"/>
    </row>
    <row r="427" spans="1:30" ht="12.75" customHeight="1" x14ac:dyDescent="0.2">
      <c r="A427" s="100"/>
      <c r="B427" s="100"/>
      <c r="C427" s="100"/>
      <c r="D427" s="189"/>
      <c r="E427" s="68"/>
      <c r="G427" s="84"/>
      <c r="H427" s="75" t="s">
        <v>387</v>
      </c>
      <c r="I427" s="28">
        <v>-250</v>
      </c>
      <c r="J427" s="153">
        <f t="shared" si="26"/>
        <v>225.54000000000082</v>
      </c>
      <c r="K427" s="81"/>
      <c r="L427" s="194"/>
      <c r="M427" s="54"/>
      <c r="N427" s="195"/>
      <c r="O427" s="308"/>
      <c r="P427" s="307"/>
      <c r="Q427" s="20"/>
      <c r="R427" s="20"/>
      <c r="S427" s="48"/>
      <c r="T427" s="18"/>
      <c r="U427" s="80"/>
      <c r="V427" s="51"/>
      <c r="W427" s="20"/>
      <c r="X427" s="18"/>
      <c r="Y427" s="18"/>
      <c r="Z427" s="18"/>
      <c r="AA427" s="18"/>
      <c r="AB427" s="18"/>
      <c r="AC427" s="18"/>
      <c r="AD427" s="18"/>
    </row>
    <row r="428" spans="1:30" ht="12.75" customHeight="1" x14ac:dyDescent="0.2">
      <c r="A428" s="100"/>
      <c r="B428" s="100"/>
      <c r="C428" s="100"/>
      <c r="D428" s="189"/>
      <c r="E428" s="68"/>
      <c r="G428" s="84"/>
      <c r="H428" s="75" t="s">
        <v>111</v>
      </c>
      <c r="I428" s="28">
        <f>-78.1-43.2-33.03</f>
        <v>-154.32999999999998</v>
      </c>
      <c r="J428" s="153">
        <f t="shared" si="26"/>
        <v>71.210000000000832</v>
      </c>
      <c r="K428" s="81"/>
      <c r="L428" s="194"/>
      <c r="M428" s="54"/>
      <c r="N428" s="195"/>
      <c r="O428" s="308"/>
      <c r="P428" s="307"/>
      <c r="Q428" s="20"/>
      <c r="R428" s="20"/>
      <c r="S428" s="48"/>
      <c r="T428" s="18"/>
      <c r="U428" s="80"/>
      <c r="V428" s="51"/>
      <c r="W428" s="20"/>
      <c r="X428" s="18"/>
      <c r="Y428" s="18"/>
      <c r="Z428" s="18"/>
      <c r="AA428" s="18"/>
      <c r="AB428" s="18"/>
      <c r="AC428" s="18"/>
      <c r="AD428" s="18"/>
    </row>
    <row r="429" spans="1:30" ht="12.75" customHeight="1" x14ac:dyDescent="0.2">
      <c r="A429" s="100"/>
      <c r="B429" s="100"/>
      <c r="C429" s="100"/>
      <c r="D429" s="189"/>
      <c r="E429" s="68"/>
      <c r="G429" s="84"/>
      <c r="H429" s="75" t="s">
        <v>383</v>
      </c>
      <c r="I429" s="28">
        <f>-55-1.1</f>
        <v>-56.1</v>
      </c>
      <c r="J429" s="153">
        <f t="shared" si="26"/>
        <v>15.110000000000831</v>
      </c>
      <c r="K429" s="81"/>
      <c r="L429" s="194"/>
      <c r="M429" s="54"/>
      <c r="N429" s="195"/>
      <c r="O429" s="308"/>
      <c r="P429" s="307"/>
      <c r="Q429" s="20"/>
      <c r="R429" s="20"/>
      <c r="S429" s="48"/>
      <c r="T429" s="18"/>
      <c r="U429" s="80"/>
      <c r="V429" s="51"/>
      <c r="W429" s="20"/>
      <c r="X429" s="18"/>
      <c r="Y429" s="18"/>
      <c r="Z429" s="18"/>
      <c r="AA429" s="18"/>
      <c r="AB429" s="18"/>
      <c r="AC429" s="18"/>
      <c r="AD429" s="18"/>
    </row>
    <row r="430" spans="1:30" ht="12.75" customHeight="1" x14ac:dyDescent="0.2">
      <c r="A430" s="100"/>
      <c r="B430" s="100"/>
      <c r="C430" s="100"/>
      <c r="D430" s="189"/>
      <c r="E430" s="68"/>
      <c r="G430" s="84"/>
      <c r="H430" s="86" t="s">
        <v>31</v>
      </c>
      <c r="I430" s="28">
        <v>9000</v>
      </c>
      <c r="J430" s="153">
        <f t="shared" si="26"/>
        <v>9015.11</v>
      </c>
      <c r="K430" s="81"/>
      <c r="L430" s="194"/>
      <c r="M430" s="54"/>
      <c r="N430" s="195"/>
      <c r="O430" s="308"/>
      <c r="P430" s="307"/>
      <c r="Q430" s="20"/>
      <c r="R430" s="20"/>
      <c r="S430" s="48"/>
      <c r="T430" s="18"/>
      <c r="U430" s="80"/>
      <c r="V430" s="51"/>
      <c r="W430" s="20"/>
      <c r="X430" s="18"/>
      <c r="Y430" s="18"/>
      <c r="Z430" s="18"/>
      <c r="AA430" s="18"/>
      <c r="AB430" s="18"/>
      <c r="AC430" s="18"/>
      <c r="AD430" s="18"/>
    </row>
    <row r="431" spans="1:30" ht="12.75" customHeight="1" x14ac:dyDescent="0.2">
      <c r="A431" s="100"/>
      <c r="B431" s="100"/>
      <c r="C431" s="100"/>
      <c r="D431" s="189"/>
      <c r="E431" s="68"/>
      <c r="G431" s="84"/>
      <c r="H431" s="86" t="s">
        <v>48</v>
      </c>
      <c r="I431" s="28">
        <v>-2420.7399999999998</v>
      </c>
      <c r="J431" s="153">
        <f t="shared" si="26"/>
        <v>6594.3700000000008</v>
      </c>
      <c r="K431" s="81"/>
      <c r="L431" s="194"/>
      <c r="M431" s="54"/>
      <c r="N431" s="195"/>
      <c r="O431" s="308"/>
      <c r="P431" s="307"/>
      <c r="Q431" s="20"/>
      <c r="R431" s="20"/>
      <c r="S431" s="48"/>
      <c r="T431" s="18"/>
      <c r="U431" s="80"/>
      <c r="V431" s="51"/>
      <c r="W431" s="20"/>
      <c r="X431" s="18"/>
      <c r="Y431" s="18"/>
      <c r="Z431" s="18"/>
      <c r="AA431" s="18"/>
      <c r="AB431" s="18"/>
      <c r="AC431" s="18"/>
      <c r="AD431" s="18"/>
    </row>
    <row r="432" spans="1:30" ht="12.75" customHeight="1" x14ac:dyDescent="0.2">
      <c r="A432" s="100"/>
      <c r="B432" s="100"/>
      <c r="C432" s="100"/>
      <c r="D432" s="189"/>
      <c r="E432" s="68"/>
      <c r="G432" s="84"/>
      <c r="H432" s="86" t="s">
        <v>44</v>
      </c>
      <c r="I432" s="28">
        <v>-59</v>
      </c>
      <c r="J432" s="153">
        <f t="shared" si="26"/>
        <v>6535.3700000000008</v>
      </c>
      <c r="K432" s="81"/>
      <c r="L432" s="194"/>
      <c r="M432" s="54"/>
      <c r="N432" s="195"/>
      <c r="O432" s="308"/>
      <c r="P432" s="307"/>
      <c r="Q432" s="20"/>
      <c r="R432" s="20"/>
      <c r="S432" s="48"/>
      <c r="T432" s="18"/>
      <c r="U432" s="80"/>
      <c r="V432" s="51"/>
      <c r="W432" s="20"/>
      <c r="X432" s="18"/>
      <c r="Y432" s="18"/>
      <c r="Z432" s="18"/>
      <c r="AA432" s="18"/>
      <c r="AB432" s="18"/>
      <c r="AC432" s="18"/>
      <c r="AD432" s="18"/>
    </row>
    <row r="433" spans="1:30" ht="12.75" customHeight="1" x14ac:dyDescent="0.2">
      <c r="A433" s="100"/>
      <c r="B433" s="100"/>
      <c r="C433" s="100"/>
      <c r="D433" s="189"/>
      <c r="E433" s="68"/>
      <c r="F433" s="229"/>
      <c r="G433" s="200"/>
      <c r="H433" s="86" t="s">
        <v>37</v>
      </c>
      <c r="I433" s="28">
        <v>-508.5</v>
      </c>
      <c r="J433" s="153">
        <f t="shared" si="26"/>
        <v>6026.8700000000008</v>
      </c>
      <c r="K433" s="81"/>
      <c r="L433" s="194"/>
      <c r="M433" s="54"/>
      <c r="N433" s="195"/>
      <c r="O433" s="308"/>
      <c r="P433" s="307"/>
      <c r="Q433" s="20"/>
      <c r="R433" s="20"/>
      <c r="S433" s="48"/>
      <c r="T433" s="18"/>
      <c r="U433" s="80"/>
      <c r="V433" s="51"/>
      <c r="W433" s="20"/>
      <c r="X433" s="18"/>
      <c r="Y433" s="18"/>
      <c r="Z433" s="18"/>
      <c r="AA433" s="18"/>
      <c r="AB433" s="18"/>
      <c r="AC433" s="18"/>
      <c r="AD433" s="18"/>
    </row>
    <row r="434" spans="1:30" ht="12.75" customHeight="1" x14ac:dyDescent="0.2">
      <c r="A434" s="100"/>
      <c r="B434" s="100"/>
      <c r="C434" s="100"/>
      <c r="D434" s="189"/>
      <c r="E434" s="68"/>
      <c r="F434" s="210"/>
      <c r="G434" s="200"/>
      <c r="H434" s="86" t="s">
        <v>126</v>
      </c>
      <c r="I434" s="28">
        <v>200</v>
      </c>
      <c r="J434" s="153">
        <f t="shared" si="26"/>
        <v>6226.8700000000008</v>
      </c>
      <c r="K434" s="81"/>
      <c r="L434" s="194"/>
      <c r="M434" s="54"/>
      <c r="N434" s="195"/>
      <c r="O434" s="308"/>
      <c r="P434" s="307"/>
      <c r="Q434" s="20"/>
      <c r="R434" s="20"/>
      <c r="S434" s="48"/>
      <c r="T434" s="18"/>
      <c r="U434" s="80"/>
      <c r="V434" s="51"/>
      <c r="W434" s="20"/>
      <c r="X434" s="18"/>
      <c r="Y434" s="18"/>
      <c r="Z434" s="18"/>
      <c r="AA434" s="18"/>
      <c r="AB434" s="18"/>
      <c r="AC434" s="18"/>
      <c r="AD434" s="18"/>
    </row>
    <row r="435" spans="1:30" ht="12.75" customHeight="1" x14ac:dyDescent="0.2">
      <c r="A435" s="100"/>
      <c r="B435" s="100"/>
      <c r="C435" s="100"/>
      <c r="D435" s="189"/>
      <c r="E435" s="68"/>
      <c r="F435" s="210"/>
      <c r="G435" s="200"/>
      <c r="H435" s="86" t="s">
        <v>395</v>
      </c>
      <c r="I435" s="28">
        <v>609.95000000000005</v>
      </c>
      <c r="J435" s="153">
        <f t="shared" si="26"/>
        <v>6836.8200000000006</v>
      </c>
      <c r="K435" s="81"/>
      <c r="L435" s="194"/>
      <c r="M435" s="54"/>
      <c r="N435" s="195"/>
      <c r="O435" s="308"/>
      <c r="P435" s="307"/>
      <c r="Q435" s="20"/>
      <c r="R435" s="20"/>
      <c r="S435" s="48"/>
      <c r="T435" s="18"/>
      <c r="U435" s="80"/>
      <c r="V435" s="51"/>
      <c r="W435" s="20"/>
      <c r="X435" s="18"/>
      <c r="Y435" s="18"/>
      <c r="Z435" s="18"/>
      <c r="AA435" s="18"/>
      <c r="AB435" s="18"/>
      <c r="AC435" s="18"/>
      <c r="AD435" s="18"/>
    </row>
    <row r="436" spans="1:30" ht="12.75" customHeight="1" x14ac:dyDescent="0.2">
      <c r="A436" s="100"/>
      <c r="B436" s="100"/>
      <c r="C436" s="100"/>
      <c r="D436" s="189"/>
      <c r="E436" s="68"/>
      <c r="F436" s="360">
        <v>409.94</v>
      </c>
      <c r="G436" s="200"/>
      <c r="H436" s="86" t="s">
        <v>87</v>
      </c>
      <c r="I436" s="28">
        <v>-450</v>
      </c>
      <c r="J436" s="153">
        <f t="shared" si="26"/>
        <v>6386.8200000000006</v>
      </c>
      <c r="K436" s="81"/>
      <c r="L436" s="194"/>
      <c r="M436" s="54"/>
      <c r="N436" s="195"/>
      <c r="O436" s="308"/>
      <c r="P436" s="307"/>
      <c r="Q436" s="20"/>
      <c r="R436" s="20"/>
      <c r="S436" s="48"/>
      <c r="T436" s="18"/>
      <c r="U436" s="80"/>
      <c r="V436" s="51"/>
      <c r="W436" s="20"/>
      <c r="X436" s="18"/>
      <c r="Y436" s="18"/>
      <c r="Z436" s="18"/>
      <c r="AA436" s="18"/>
      <c r="AB436" s="18"/>
      <c r="AC436" s="18"/>
      <c r="AD436" s="18"/>
    </row>
    <row r="437" spans="1:30" ht="12.75" customHeight="1" x14ac:dyDescent="0.2">
      <c r="A437" s="100"/>
      <c r="B437" s="100"/>
      <c r="C437" s="100"/>
      <c r="D437" s="189"/>
      <c r="E437" s="68"/>
      <c r="F437" s="151"/>
      <c r="G437" s="200"/>
      <c r="H437" s="86" t="s">
        <v>117</v>
      </c>
      <c r="I437" s="28">
        <v>-220</v>
      </c>
      <c r="J437" s="153">
        <f t="shared" si="26"/>
        <v>6166.8200000000006</v>
      </c>
      <c r="K437" s="81"/>
      <c r="L437" s="194"/>
      <c r="M437" s="54"/>
      <c r="N437" s="195"/>
      <c r="O437" s="308"/>
      <c r="P437" s="307"/>
      <c r="Q437" s="20"/>
      <c r="R437" s="20"/>
      <c r="S437" s="48"/>
      <c r="T437" s="18"/>
      <c r="U437" s="80"/>
      <c r="V437" s="51"/>
      <c r="W437" s="20"/>
      <c r="X437" s="18"/>
      <c r="Y437" s="18"/>
      <c r="Z437" s="18"/>
      <c r="AA437" s="18"/>
      <c r="AB437" s="18"/>
      <c r="AC437" s="18"/>
      <c r="AD437" s="18"/>
    </row>
    <row r="438" spans="1:30" ht="12.75" customHeight="1" x14ac:dyDescent="0.2">
      <c r="A438" s="100"/>
      <c r="B438" s="100"/>
      <c r="C438" s="100"/>
      <c r="D438" s="189"/>
      <c r="E438" s="23"/>
      <c r="F438" s="183"/>
      <c r="G438" s="84" t="s">
        <v>46</v>
      </c>
      <c r="H438" s="88" t="s">
        <v>34</v>
      </c>
      <c r="I438" s="74">
        <v>-1280</v>
      </c>
      <c r="J438" s="153">
        <f t="shared" si="26"/>
        <v>4886.8200000000006</v>
      </c>
      <c r="K438" s="18"/>
      <c r="L438" s="194"/>
      <c r="M438" s="54"/>
      <c r="N438" s="195"/>
      <c r="O438" s="308"/>
      <c r="P438" s="307"/>
      <c r="Q438" s="20"/>
      <c r="R438" s="20"/>
      <c r="S438" s="48"/>
      <c r="T438" s="18"/>
      <c r="U438" s="80"/>
      <c r="V438" s="51"/>
      <c r="W438" s="20"/>
      <c r="X438" s="18"/>
      <c r="Y438" s="18"/>
      <c r="Z438" s="18"/>
      <c r="AA438" s="18"/>
      <c r="AB438" s="18"/>
      <c r="AC438" s="18"/>
      <c r="AD438" s="18"/>
    </row>
    <row r="439" spans="1:30" ht="12.75" customHeight="1" x14ac:dyDescent="0.2">
      <c r="A439" s="100"/>
      <c r="B439" s="100"/>
      <c r="C439" s="100"/>
      <c r="D439" s="189"/>
      <c r="E439" s="23"/>
      <c r="F439" s="199"/>
      <c r="G439" s="84" t="s">
        <v>46</v>
      </c>
      <c r="H439" s="88" t="s">
        <v>10</v>
      </c>
      <c r="I439" s="68">
        <v>-731.65</v>
      </c>
      <c r="J439" s="153">
        <f t="shared" si="26"/>
        <v>4155.170000000001</v>
      </c>
      <c r="K439" s="18"/>
      <c r="L439" s="194"/>
      <c r="M439" s="54"/>
      <c r="N439" s="195"/>
      <c r="O439" s="308"/>
      <c r="P439" s="307"/>
      <c r="Q439" s="20"/>
      <c r="R439" s="20"/>
      <c r="S439" s="48"/>
      <c r="T439" s="18"/>
      <c r="U439" s="80"/>
      <c r="V439" s="51"/>
      <c r="W439" s="20"/>
      <c r="X439" s="18"/>
      <c r="Y439" s="18"/>
      <c r="Z439" s="18"/>
      <c r="AA439" s="18"/>
      <c r="AB439" s="18"/>
      <c r="AC439" s="18"/>
      <c r="AD439" s="18"/>
    </row>
    <row r="440" spans="1:30" ht="12.75" customHeight="1" x14ac:dyDescent="0.2">
      <c r="A440" s="100"/>
      <c r="B440" s="100"/>
      <c r="C440" s="100"/>
      <c r="D440" s="189"/>
      <c r="E440" s="23"/>
      <c r="F440" s="199"/>
      <c r="G440" s="99" t="s">
        <v>46</v>
      </c>
      <c r="H440" s="201" t="s">
        <v>89</v>
      </c>
      <c r="I440" s="209">
        <v>-73.739999999999995</v>
      </c>
      <c r="J440" s="153">
        <f t="shared" si="26"/>
        <v>4081.4300000000012</v>
      </c>
      <c r="K440" s="18"/>
      <c r="L440" s="194"/>
      <c r="M440" s="54"/>
      <c r="N440" s="195"/>
      <c r="O440" s="308"/>
      <c r="P440" s="307"/>
      <c r="Q440" s="20"/>
      <c r="R440" s="20"/>
      <c r="S440" s="48"/>
      <c r="T440" s="18"/>
      <c r="U440" s="80"/>
      <c r="V440" s="51"/>
      <c r="W440" s="20"/>
      <c r="X440" s="18"/>
      <c r="Y440" s="18"/>
      <c r="Z440" s="18"/>
      <c r="AA440" s="18"/>
      <c r="AB440" s="18"/>
      <c r="AC440" s="18"/>
      <c r="AD440" s="18"/>
    </row>
    <row r="441" spans="1:30" ht="12.75" customHeight="1" x14ac:dyDescent="0.2">
      <c r="A441" s="100"/>
      <c r="B441" s="100"/>
      <c r="C441" s="100"/>
      <c r="D441" s="341"/>
      <c r="E441" s="23"/>
      <c r="F441" s="199"/>
      <c r="G441" s="99" t="s">
        <v>47</v>
      </c>
      <c r="H441" s="89" t="s">
        <v>81</v>
      </c>
      <c r="I441" s="110">
        <v>-52.28</v>
      </c>
      <c r="J441" s="156">
        <f t="shared" si="26"/>
        <v>4029.150000000001</v>
      </c>
      <c r="K441" s="18"/>
      <c r="L441" s="194"/>
      <c r="M441" s="54"/>
      <c r="N441" s="195"/>
      <c r="O441" s="308"/>
      <c r="P441" s="307"/>
      <c r="Q441" s="20"/>
      <c r="R441" s="20"/>
      <c r="S441" s="48"/>
      <c r="T441" s="18"/>
      <c r="U441" s="80"/>
      <c r="V441" s="51"/>
      <c r="W441" s="20"/>
      <c r="X441" s="18"/>
      <c r="Y441" s="18"/>
      <c r="Z441" s="18"/>
      <c r="AA441" s="18"/>
      <c r="AB441" s="18"/>
      <c r="AC441" s="18"/>
      <c r="AD441" s="18"/>
    </row>
    <row r="442" spans="1:30" ht="12.75" customHeight="1" x14ac:dyDescent="0.2">
      <c r="A442" s="100"/>
      <c r="B442" s="100"/>
      <c r="C442" s="100"/>
      <c r="F442" s="199"/>
      <c r="H442" s="19"/>
      <c r="I442" s="73">
        <f>SUM(I396:I441)</f>
        <v>4029.150000000001</v>
      </c>
      <c r="J442" s="170"/>
      <c r="K442" s="18"/>
      <c r="L442" s="194"/>
      <c r="M442" s="54"/>
      <c r="N442" s="195"/>
      <c r="O442" s="308"/>
      <c r="P442" s="307"/>
      <c r="Q442" s="20"/>
      <c r="R442" s="20"/>
      <c r="S442" s="48"/>
      <c r="T442" s="18"/>
      <c r="U442" s="80"/>
      <c r="V442" s="51"/>
      <c r="W442" s="20"/>
      <c r="X442" s="18"/>
      <c r="Y442" s="18"/>
      <c r="Z442" s="18"/>
      <c r="AA442" s="18"/>
      <c r="AB442" s="18"/>
      <c r="AC442" s="18"/>
      <c r="AD442" s="18"/>
    </row>
    <row r="443" spans="1:30" s="42" customFormat="1" x14ac:dyDescent="0.2">
      <c r="E443" s="15"/>
      <c r="G443" s="83"/>
      <c r="I443" s="15"/>
      <c r="L443" s="15"/>
      <c r="M443" s="15"/>
      <c r="N443" s="15"/>
      <c r="O443" s="118"/>
      <c r="U443" s="15"/>
      <c r="V443" s="65"/>
      <c r="W443" s="15"/>
    </row>
    <row r="445" spans="1:30" ht="12.75" customHeight="1" x14ac:dyDescent="0.2">
      <c r="B445" s="419" t="s">
        <v>397</v>
      </c>
      <c r="C445" s="419"/>
      <c r="D445" s="419"/>
      <c r="E445" s="419"/>
      <c r="G445" s="84"/>
      <c r="H445" s="54"/>
      <c r="I445" s="420" t="s">
        <v>33</v>
      </c>
      <c r="J445" s="383"/>
      <c r="K445" s="191"/>
      <c r="L445" s="422" t="s">
        <v>30</v>
      </c>
      <c r="M445" s="424" t="s">
        <v>97</v>
      </c>
      <c r="N445" s="424"/>
      <c r="O445" s="116"/>
      <c r="S445" s="24"/>
      <c r="T445" s="24"/>
      <c r="U445" s="20"/>
      <c r="V445" s="192"/>
      <c r="W445" s="20"/>
      <c r="X445" s="18"/>
      <c r="Y445" s="18"/>
      <c r="Z445" s="18"/>
      <c r="AA445" s="18"/>
      <c r="AB445" s="18"/>
      <c r="AC445" s="18"/>
      <c r="AD445" s="18"/>
    </row>
    <row r="446" spans="1:30" ht="12.75" customHeight="1" x14ac:dyDescent="0.2">
      <c r="C446" s="16" t="s">
        <v>77</v>
      </c>
      <c r="D446" s="14"/>
      <c r="E446" s="171">
        <v>9000</v>
      </c>
      <c r="G446" s="85" t="s">
        <v>49</v>
      </c>
      <c r="H446" s="72"/>
      <c r="I446" s="421"/>
      <c r="J446" s="383" t="s">
        <v>26</v>
      </c>
      <c r="K446" s="191"/>
      <c r="L446" s="423"/>
      <c r="M446" s="381" t="s">
        <v>26</v>
      </c>
      <c r="N446" s="382" t="s">
        <v>32</v>
      </c>
      <c r="O446" s="116"/>
      <c r="S446" s="61"/>
      <c r="T446" s="57"/>
      <c r="U446" s="60"/>
      <c r="V446" s="46"/>
      <c r="W446" s="47"/>
      <c r="X446" s="18"/>
      <c r="Y446" s="26"/>
      <c r="Z446" s="18"/>
      <c r="AA446" s="18"/>
      <c r="AB446" s="18"/>
      <c r="AC446" s="18"/>
      <c r="AD446" s="18"/>
    </row>
    <row r="447" spans="1:30" ht="12.75" customHeight="1" x14ac:dyDescent="0.2">
      <c r="C447" s="16"/>
      <c r="D447" s="14" t="s">
        <v>11</v>
      </c>
      <c r="E447" s="30"/>
      <c r="G447" s="90"/>
      <c r="H447" s="78" t="s">
        <v>52</v>
      </c>
      <c r="I447" s="28">
        <f>$J$441</f>
        <v>4029.150000000001</v>
      </c>
      <c r="J447" s="37">
        <f>I447</f>
        <v>4029.150000000001</v>
      </c>
      <c r="K447" s="20"/>
      <c r="L447" s="28">
        <f>$M$402</f>
        <v>-26955.159999999993</v>
      </c>
      <c r="M447" s="37">
        <f>L447</f>
        <v>-26955.159999999993</v>
      </c>
      <c r="N447" s="28">
        <f>28000+M447</f>
        <v>1044.8400000000074</v>
      </c>
      <c r="O447" s="117" t="s">
        <v>67</v>
      </c>
      <c r="P447" s="111" t="s">
        <v>68</v>
      </c>
      <c r="Q447" s="42"/>
      <c r="R447" s="120"/>
      <c r="S447" s="57"/>
      <c r="T447" s="57"/>
      <c r="U447" s="28"/>
      <c r="V447" s="149"/>
      <c r="W447" s="20"/>
      <c r="X447" s="18"/>
      <c r="Y447" s="49"/>
      <c r="Z447" s="50"/>
      <c r="AA447" s="18"/>
      <c r="AB447" s="18"/>
      <c r="AC447" s="18"/>
      <c r="AD447" s="18"/>
    </row>
    <row r="448" spans="1:30" ht="12.75" customHeight="1" x14ac:dyDescent="0.2">
      <c r="C448" s="17" t="s">
        <v>5</v>
      </c>
      <c r="D448" s="14"/>
      <c r="E448" s="14">
        <f>SUM(E446:E447)</f>
        <v>9000</v>
      </c>
      <c r="G448" s="92"/>
      <c r="H448" s="75" t="s">
        <v>374</v>
      </c>
      <c r="I448" s="28">
        <f>-126.46-261.54-49.99-64.9</f>
        <v>-502.89</v>
      </c>
      <c r="J448" s="153">
        <f t="shared" ref="J448:J492" si="29">J447+I448</f>
        <v>3526.2600000000011</v>
      </c>
      <c r="K448" s="25"/>
      <c r="L448" s="68">
        <v>-60.8</v>
      </c>
      <c r="M448" s="38">
        <f>M447+L448</f>
        <v>-27015.959999999992</v>
      </c>
      <c r="N448" s="28">
        <f>28000+M448</f>
        <v>984.04000000000815</v>
      </c>
      <c r="O448" s="113" t="s">
        <v>392</v>
      </c>
      <c r="P448" s="120"/>
      <c r="Q448" s="18"/>
      <c r="R448" s="57"/>
      <c r="S448" s="57"/>
      <c r="T448" s="58"/>
      <c r="U448" s="31"/>
      <c r="V448" s="150"/>
      <c r="W448" s="20"/>
      <c r="X448" s="18"/>
      <c r="Y448" s="49"/>
      <c r="Z448" s="50"/>
      <c r="AA448" s="18"/>
      <c r="AB448" s="18"/>
      <c r="AC448" s="18"/>
      <c r="AD448" s="18"/>
    </row>
    <row r="449" spans="1:30" ht="12.75" customHeight="1" x14ac:dyDescent="0.2">
      <c r="A449" s="98"/>
      <c r="G449" s="92"/>
      <c r="H449" s="75" t="s">
        <v>127</v>
      </c>
      <c r="I449" s="28">
        <v>-2000</v>
      </c>
      <c r="J449" s="153">
        <f t="shared" si="29"/>
        <v>1526.2600000000011</v>
      </c>
      <c r="K449" s="81"/>
      <c r="L449" s="68">
        <v>-457.84</v>
      </c>
      <c r="M449" s="38">
        <f t="shared" ref="M449:M467" si="30">M448+L449</f>
        <v>-27473.799999999992</v>
      </c>
      <c r="N449" s="28">
        <f>28000+M449</f>
        <v>526.200000000008</v>
      </c>
      <c r="O449" s="113" t="s">
        <v>394</v>
      </c>
      <c r="P449" s="120"/>
      <c r="Q449" s="18"/>
      <c r="R449" s="58"/>
      <c r="S449" s="58"/>
      <c r="T449" s="58"/>
      <c r="U449" s="31"/>
      <c r="V449" s="150"/>
      <c r="W449" s="20"/>
      <c r="X449" s="18"/>
      <c r="Y449" s="49"/>
      <c r="Z449" s="50"/>
      <c r="AA449" s="18"/>
      <c r="AB449" s="18"/>
      <c r="AC449" s="18"/>
      <c r="AD449" s="18"/>
    </row>
    <row r="450" spans="1:30" ht="12.75" customHeight="1" x14ac:dyDescent="0.2">
      <c r="A450" s="98"/>
      <c r="C450" s="43" t="s">
        <v>9</v>
      </c>
      <c r="E450" s="27"/>
      <c r="G450" s="92"/>
      <c r="H450" s="75" t="s">
        <v>70</v>
      </c>
      <c r="I450" s="28">
        <v>-200</v>
      </c>
      <c r="J450" s="153">
        <f t="shared" si="29"/>
        <v>1326.2600000000011</v>
      </c>
      <c r="K450" s="81"/>
      <c r="L450" s="68">
        <f>-149.4-320.43</f>
        <v>-469.83000000000004</v>
      </c>
      <c r="M450" s="38">
        <f t="shared" si="30"/>
        <v>-27943.629999999994</v>
      </c>
      <c r="N450" s="28">
        <f t="shared" ref="N450:N467" si="31">28000+M450</f>
        <v>56.370000000006257</v>
      </c>
      <c r="O450" s="113" t="s">
        <v>393</v>
      </c>
      <c r="P450" s="120"/>
      <c r="Q450" s="18"/>
      <c r="R450" s="55"/>
      <c r="S450" s="57"/>
      <c r="T450" s="58"/>
      <c r="U450" s="31"/>
      <c r="V450" s="150"/>
      <c r="W450" s="52"/>
      <c r="X450" s="18"/>
      <c r="Y450" s="53"/>
      <c r="Z450" s="50"/>
      <c r="AA450" s="18"/>
      <c r="AB450" s="18"/>
      <c r="AC450" s="18"/>
      <c r="AD450" s="18"/>
    </row>
    <row r="451" spans="1:30" ht="12.75" customHeight="1" x14ac:dyDescent="0.2">
      <c r="A451" s="98"/>
      <c r="D451" s="18" t="s">
        <v>7</v>
      </c>
      <c r="E451" s="27">
        <f>E446</f>
        <v>9000</v>
      </c>
      <c r="G451" s="92"/>
      <c r="H451" s="75" t="s">
        <v>70</v>
      </c>
      <c r="I451" s="28">
        <v>-200</v>
      </c>
      <c r="J451" s="153">
        <f t="shared" si="29"/>
        <v>1126.2600000000011</v>
      </c>
      <c r="K451" s="81"/>
      <c r="L451" s="68">
        <v>-407.51</v>
      </c>
      <c r="M451" s="38">
        <f t="shared" si="30"/>
        <v>-28351.139999999992</v>
      </c>
      <c r="N451" s="28">
        <f t="shared" si="31"/>
        <v>-351.13999999999214</v>
      </c>
      <c r="O451" s="113" t="s">
        <v>61</v>
      </c>
      <c r="P451" s="120"/>
      <c r="Q451" s="20"/>
      <c r="R451" s="57"/>
      <c r="S451" s="57"/>
      <c r="T451" s="58"/>
      <c r="U451" s="31"/>
      <c r="V451" s="150"/>
      <c r="W451" s="20"/>
      <c r="X451" s="18"/>
      <c r="Y451" s="26"/>
      <c r="Z451" s="50"/>
      <c r="AA451" s="18"/>
      <c r="AB451" s="18"/>
      <c r="AC451" s="18"/>
      <c r="AD451" s="18"/>
    </row>
    <row r="452" spans="1:30" ht="12.75" customHeight="1" x14ac:dyDescent="0.2">
      <c r="A452" s="98"/>
      <c r="D452" s="42" t="s">
        <v>6</v>
      </c>
      <c r="E452" s="147"/>
      <c r="G452" s="92"/>
      <c r="H452" s="75" t="s">
        <v>411</v>
      </c>
      <c r="I452" s="28">
        <v>-69.8</v>
      </c>
      <c r="J452" s="153">
        <f t="shared" si="29"/>
        <v>1056.4600000000012</v>
      </c>
      <c r="K452" s="81"/>
      <c r="L452" s="380">
        <v>10000</v>
      </c>
      <c r="M452" s="38">
        <f t="shared" si="30"/>
        <v>-18351.139999999992</v>
      </c>
      <c r="N452" s="28">
        <f t="shared" si="31"/>
        <v>9648.8600000000079</v>
      </c>
      <c r="O452" s="113" t="s">
        <v>130</v>
      </c>
      <c r="P452" s="120"/>
      <c r="Q452" s="20"/>
      <c r="R452" s="18"/>
      <c r="S452" s="18"/>
      <c r="T452" s="58"/>
      <c r="U452" s="80"/>
      <c r="V452" s="51"/>
      <c r="W452" s="20"/>
      <c r="X452" s="18"/>
      <c r="Y452" s="49"/>
      <c r="Z452" s="50"/>
      <c r="AA452" s="18"/>
      <c r="AB452" s="18"/>
      <c r="AC452" s="18"/>
      <c r="AD452" s="18"/>
    </row>
    <row r="453" spans="1:30" ht="12.75" customHeight="1" x14ac:dyDescent="0.2">
      <c r="A453" s="98"/>
      <c r="D453" s="18"/>
      <c r="E453" s="154"/>
      <c r="G453" s="92"/>
      <c r="H453" s="75" t="s">
        <v>412</v>
      </c>
      <c r="I453" s="28">
        <v>-100</v>
      </c>
      <c r="J453" s="153">
        <f t="shared" si="29"/>
        <v>956.46000000000117</v>
      </c>
      <c r="K453" s="81"/>
      <c r="L453" s="68">
        <v>-30</v>
      </c>
      <c r="M453" s="38">
        <f t="shared" si="30"/>
        <v>-18381.139999999992</v>
      </c>
      <c r="N453" s="28">
        <f t="shared" si="31"/>
        <v>9618.8600000000079</v>
      </c>
      <c r="O453" s="113" t="s">
        <v>429</v>
      </c>
      <c r="P453" s="120"/>
      <c r="Q453" s="20"/>
      <c r="R453" s="18"/>
      <c r="S453" s="18"/>
      <c r="T453" s="58"/>
      <c r="U453" s="80"/>
      <c r="V453" s="51"/>
      <c r="W453" s="20"/>
      <c r="X453" s="18"/>
      <c r="Y453" s="49"/>
      <c r="Z453" s="50"/>
      <c r="AA453" s="18"/>
      <c r="AB453" s="18"/>
      <c r="AC453" s="18"/>
      <c r="AD453" s="18"/>
    </row>
    <row r="454" spans="1:30" ht="12.75" customHeight="1" x14ac:dyDescent="0.2">
      <c r="A454" s="100"/>
      <c r="B454" s="100"/>
      <c r="C454" s="100"/>
      <c r="D454" s="190"/>
      <c r="E454" s="68"/>
      <c r="G454" s="92"/>
      <c r="H454" s="75" t="s">
        <v>415</v>
      </c>
      <c r="I454" s="28">
        <v>3000</v>
      </c>
      <c r="J454" s="153">
        <f t="shared" si="29"/>
        <v>3956.4600000000009</v>
      </c>
      <c r="K454" s="81"/>
      <c r="L454" s="68">
        <f>-179.65-740-124.03-162.6</f>
        <v>-1206.28</v>
      </c>
      <c r="M454" s="38">
        <f t="shared" si="30"/>
        <v>-19587.419999999991</v>
      </c>
      <c r="N454" s="28">
        <f t="shared" si="31"/>
        <v>8412.580000000009</v>
      </c>
      <c r="O454" s="113" t="s">
        <v>63</v>
      </c>
      <c r="P454" s="120"/>
      <c r="Q454" s="20"/>
      <c r="R454" s="20"/>
      <c r="S454" s="48"/>
      <c r="T454" s="18"/>
      <c r="U454" s="80"/>
      <c r="V454" s="51"/>
      <c r="W454" s="20"/>
      <c r="X454" s="18"/>
      <c r="Y454" s="18"/>
      <c r="Z454" s="18"/>
      <c r="AA454" s="18"/>
      <c r="AB454" s="18"/>
      <c r="AC454" s="18"/>
      <c r="AD454" s="18"/>
    </row>
    <row r="455" spans="1:30" ht="12.75" customHeight="1" x14ac:dyDescent="0.2">
      <c r="A455" s="100"/>
      <c r="B455" s="100"/>
      <c r="C455" s="100"/>
      <c r="D455" s="190"/>
      <c r="E455" s="68"/>
      <c r="F455" s="18"/>
      <c r="G455" s="92"/>
      <c r="H455" s="75" t="s">
        <v>416</v>
      </c>
      <c r="I455" s="71">
        <f>-105-160-1.1-1.1</f>
        <v>-267.20000000000005</v>
      </c>
      <c r="J455" s="153">
        <f t="shared" si="29"/>
        <v>3689.2600000000011</v>
      </c>
      <c r="K455" s="81"/>
      <c r="L455" s="68">
        <v>-201.8</v>
      </c>
      <c r="M455" s="38">
        <f t="shared" si="30"/>
        <v>-19789.21999999999</v>
      </c>
      <c r="N455" s="28">
        <f t="shared" si="31"/>
        <v>8210.7800000000097</v>
      </c>
      <c r="O455" s="113" t="s">
        <v>430</v>
      </c>
      <c r="P455" s="120"/>
      <c r="Q455" s="20"/>
      <c r="R455" s="20"/>
      <c r="S455" s="48"/>
      <c r="T455" s="18"/>
      <c r="U455" s="80"/>
      <c r="V455" s="51"/>
      <c r="W455" s="20"/>
      <c r="X455" s="18"/>
      <c r="Y455" s="18"/>
      <c r="Z455" s="18"/>
      <c r="AA455" s="18"/>
      <c r="AB455" s="18"/>
      <c r="AC455" s="18"/>
      <c r="AD455" s="18"/>
    </row>
    <row r="456" spans="1:30" ht="12.75" customHeight="1" x14ac:dyDescent="0.2">
      <c r="A456" s="100"/>
      <c r="B456" s="100"/>
      <c r="C456" s="100"/>
      <c r="D456" s="219"/>
      <c r="E456" s="68"/>
      <c r="F456" s="18"/>
      <c r="G456" s="92"/>
      <c r="H456" s="75" t="s">
        <v>419</v>
      </c>
      <c r="I456" s="71">
        <f>-85.7-73-548.48</f>
        <v>-707.18000000000006</v>
      </c>
      <c r="J456" s="153">
        <f t="shared" si="29"/>
        <v>2982.0800000000008</v>
      </c>
      <c r="K456" s="81"/>
      <c r="L456" s="68">
        <v>-205.1</v>
      </c>
      <c r="M456" s="38">
        <f t="shared" si="30"/>
        <v>-19994.319999999989</v>
      </c>
      <c r="N456" s="28">
        <f t="shared" si="31"/>
        <v>8005.6800000000112</v>
      </c>
      <c r="O456" s="113" t="s">
        <v>102</v>
      </c>
      <c r="P456" s="120"/>
      <c r="Q456" s="20"/>
      <c r="R456" s="20"/>
      <c r="S456" s="48"/>
      <c r="T456" s="18"/>
      <c r="U456" s="80"/>
      <c r="V456" s="51"/>
      <c r="W456" s="20"/>
      <c r="X456" s="18"/>
      <c r="Y456" s="18"/>
      <c r="Z456" s="18"/>
      <c r="AA456" s="18"/>
      <c r="AB456" s="18"/>
      <c r="AC456" s="18"/>
      <c r="AD456" s="18"/>
    </row>
    <row r="457" spans="1:30" ht="12.75" customHeight="1" x14ac:dyDescent="0.2">
      <c r="A457" s="100"/>
      <c r="B457" s="100"/>
      <c r="C457" s="100"/>
      <c r="D457" s="189"/>
      <c r="E457" s="68"/>
      <c r="G457" s="84"/>
      <c r="H457" s="75" t="s">
        <v>420</v>
      </c>
      <c r="I457" s="71">
        <v>-717.71</v>
      </c>
      <c r="J457" s="153">
        <f t="shared" si="29"/>
        <v>2264.3700000000008</v>
      </c>
      <c r="K457" s="81"/>
      <c r="L457" s="68">
        <v>-3010</v>
      </c>
      <c r="M457" s="38">
        <f t="shared" si="30"/>
        <v>-23004.319999999989</v>
      </c>
      <c r="N457" s="28">
        <f t="shared" si="31"/>
        <v>4995.6800000000112</v>
      </c>
      <c r="O457" s="113" t="s">
        <v>110</v>
      </c>
      <c r="P457" s="120"/>
      <c r="Q457" s="20"/>
      <c r="R457" s="20"/>
      <c r="S457" s="48"/>
      <c r="T457" s="18"/>
      <c r="U457" s="80"/>
      <c r="V457" s="51"/>
      <c r="W457" s="20"/>
      <c r="X457" s="18"/>
      <c r="Y457" s="18"/>
      <c r="Z457" s="18"/>
      <c r="AA457" s="18"/>
      <c r="AB457" s="18"/>
      <c r="AC457" s="18"/>
      <c r="AD457" s="18"/>
    </row>
    <row r="458" spans="1:30" ht="12.75" customHeight="1" x14ac:dyDescent="0.2">
      <c r="A458" s="100"/>
      <c r="B458" s="100"/>
      <c r="C458" s="100"/>
      <c r="D458" s="189"/>
      <c r="E458" s="68"/>
      <c r="G458" s="84"/>
      <c r="H458" s="75" t="s">
        <v>412</v>
      </c>
      <c r="I458" s="71">
        <v>-339.9</v>
      </c>
      <c r="J458" s="153">
        <f t="shared" si="29"/>
        <v>1924.4700000000007</v>
      </c>
      <c r="K458" s="81"/>
      <c r="L458" s="68">
        <v>-264.99</v>
      </c>
      <c r="M458" s="38">
        <f t="shared" si="30"/>
        <v>-23269.30999999999</v>
      </c>
      <c r="N458" s="28">
        <f t="shared" si="31"/>
        <v>4730.6900000000096</v>
      </c>
      <c r="O458" s="113" t="s">
        <v>431</v>
      </c>
      <c r="P458" s="120"/>
      <c r="Q458" s="20"/>
      <c r="R458" s="20"/>
      <c r="S458" s="48"/>
      <c r="T458" s="18"/>
      <c r="U458" s="80"/>
      <c r="V458" s="51"/>
      <c r="W458" s="20"/>
      <c r="X458" s="18"/>
      <c r="Y458" s="18"/>
      <c r="Z458" s="18"/>
      <c r="AA458" s="18"/>
      <c r="AB458" s="18"/>
      <c r="AC458" s="18"/>
      <c r="AD458" s="18"/>
    </row>
    <row r="459" spans="1:30" ht="12.75" customHeight="1" x14ac:dyDescent="0.2">
      <c r="A459" s="100"/>
      <c r="B459" s="100"/>
      <c r="C459" s="100"/>
      <c r="D459" s="189"/>
      <c r="E459" s="68"/>
      <c r="G459" s="84"/>
      <c r="H459" s="75" t="s">
        <v>422</v>
      </c>
      <c r="I459" s="71">
        <v>-400</v>
      </c>
      <c r="J459" s="153">
        <f t="shared" si="29"/>
        <v>1524.4700000000007</v>
      </c>
      <c r="K459" s="81"/>
      <c r="L459" s="68">
        <v>-331.82</v>
      </c>
      <c r="M459" s="38">
        <f t="shared" si="30"/>
        <v>-23601.12999999999</v>
      </c>
      <c r="N459" s="28">
        <f t="shared" si="31"/>
        <v>4398.8700000000099</v>
      </c>
      <c r="O459" s="113" t="s">
        <v>432</v>
      </c>
      <c r="P459" s="120"/>
      <c r="Q459" s="20"/>
      <c r="R459" s="20"/>
      <c r="S459" s="48"/>
      <c r="T459" s="18"/>
      <c r="U459" s="80"/>
      <c r="V459" s="51"/>
      <c r="W459" s="20"/>
      <c r="X459" s="18"/>
      <c r="Y459" s="18"/>
      <c r="Z459" s="18"/>
      <c r="AA459" s="18"/>
      <c r="AB459" s="18"/>
      <c r="AC459" s="18"/>
      <c r="AD459" s="18"/>
    </row>
    <row r="460" spans="1:30" ht="12.75" customHeight="1" x14ac:dyDescent="0.2">
      <c r="A460" s="100"/>
      <c r="B460" s="100"/>
      <c r="C460" s="100"/>
      <c r="D460" s="189"/>
      <c r="E460" s="68"/>
      <c r="G460" s="84"/>
      <c r="H460" s="75" t="s">
        <v>424</v>
      </c>
      <c r="I460" s="71">
        <v>-500</v>
      </c>
      <c r="J460" s="153">
        <f t="shared" si="29"/>
        <v>1024.4700000000007</v>
      </c>
      <c r="K460" s="81"/>
      <c r="L460" s="68">
        <v>-300</v>
      </c>
      <c r="M460" s="38">
        <f t="shared" si="30"/>
        <v>-23901.12999999999</v>
      </c>
      <c r="N460" s="28">
        <f t="shared" si="31"/>
        <v>4098.8700000000099</v>
      </c>
      <c r="O460" s="113" t="s">
        <v>433</v>
      </c>
      <c r="P460" s="120"/>
      <c r="Q460" s="20"/>
      <c r="R460" s="20"/>
      <c r="S460" s="48"/>
      <c r="T460" s="18"/>
      <c r="U460" s="80"/>
      <c r="V460" s="51"/>
      <c r="W460" s="20"/>
      <c r="X460" s="18"/>
      <c r="Y460" s="18"/>
      <c r="Z460" s="18"/>
      <c r="AA460" s="18"/>
      <c r="AB460" s="18"/>
      <c r="AC460" s="18"/>
      <c r="AD460" s="18"/>
    </row>
    <row r="461" spans="1:30" ht="12.75" customHeight="1" x14ac:dyDescent="0.2">
      <c r="A461" s="100"/>
      <c r="B461" s="100"/>
      <c r="C461" s="100"/>
      <c r="D461" s="189"/>
      <c r="E461" s="68"/>
      <c r="G461" s="84"/>
      <c r="H461" s="75" t="s">
        <v>396</v>
      </c>
      <c r="I461" s="71">
        <v>9000</v>
      </c>
      <c r="J461" s="153">
        <f t="shared" si="29"/>
        <v>10024.470000000001</v>
      </c>
      <c r="K461" s="81"/>
      <c r="L461" s="68">
        <v>-550</v>
      </c>
      <c r="M461" s="38">
        <f t="shared" si="30"/>
        <v>-24451.12999999999</v>
      </c>
      <c r="N461" s="28">
        <f t="shared" si="31"/>
        <v>3548.8700000000099</v>
      </c>
      <c r="O461" s="113" t="s">
        <v>434</v>
      </c>
      <c r="P461" s="120"/>
      <c r="Q461" s="20"/>
      <c r="R461" s="20"/>
      <c r="S461" s="48"/>
      <c r="T461" s="18"/>
      <c r="U461" s="80"/>
      <c r="V461" s="51"/>
      <c r="W461" s="20"/>
      <c r="X461" s="18"/>
      <c r="Y461" s="18"/>
      <c r="Z461" s="18"/>
      <c r="AA461" s="18"/>
      <c r="AB461" s="18"/>
      <c r="AC461" s="18"/>
      <c r="AD461" s="18"/>
    </row>
    <row r="462" spans="1:30" ht="12.75" customHeight="1" x14ac:dyDescent="0.2">
      <c r="A462" s="100"/>
      <c r="B462" s="100"/>
      <c r="C462" s="100"/>
      <c r="D462" s="189"/>
      <c r="E462" s="68"/>
      <c r="G462" s="84"/>
      <c r="H462" s="193" t="s">
        <v>152</v>
      </c>
      <c r="I462" s="28">
        <v>-300</v>
      </c>
      <c r="J462" s="153">
        <f t="shared" si="29"/>
        <v>9724.4700000000012</v>
      </c>
      <c r="K462" s="81"/>
      <c r="L462" s="68">
        <v>-320.98</v>
      </c>
      <c r="M462" s="38">
        <f t="shared" si="30"/>
        <v>-24772.10999999999</v>
      </c>
      <c r="N462" s="28">
        <f t="shared" si="31"/>
        <v>3227.8900000000103</v>
      </c>
      <c r="O462" s="113" t="s">
        <v>303</v>
      </c>
      <c r="P462" s="120"/>
      <c r="Q462" s="20">
        <f>SUM(L458:L462)</f>
        <v>-1767.79</v>
      </c>
      <c r="R462" s="20"/>
      <c r="S462" s="48"/>
      <c r="T462" s="18"/>
      <c r="U462" s="80"/>
      <c r="V462" s="51"/>
      <c r="W462" s="20"/>
      <c r="X462" s="18"/>
      <c r="Y462" s="18"/>
      <c r="Z462" s="18"/>
      <c r="AA462" s="18"/>
      <c r="AB462" s="18"/>
      <c r="AC462" s="18"/>
      <c r="AD462" s="18"/>
    </row>
    <row r="463" spans="1:30" ht="12.75" customHeight="1" x14ac:dyDescent="0.2">
      <c r="A463" s="100"/>
      <c r="B463" s="100"/>
      <c r="C463" s="100"/>
      <c r="D463" s="189"/>
      <c r="E463" s="68"/>
      <c r="G463" s="84"/>
      <c r="H463" s="193" t="s">
        <v>417</v>
      </c>
      <c r="I463" s="71">
        <v>-5500</v>
      </c>
      <c r="J463" s="153">
        <f t="shared" si="29"/>
        <v>4224.4700000000012</v>
      </c>
      <c r="K463" s="81"/>
      <c r="L463" s="68">
        <f>-15.5-15.5-27.5-27.5-31-31</f>
        <v>-148</v>
      </c>
      <c r="M463" s="38">
        <f t="shared" si="30"/>
        <v>-24920.10999999999</v>
      </c>
      <c r="N463" s="28">
        <f t="shared" si="31"/>
        <v>3079.8900000000103</v>
      </c>
      <c r="O463" s="113" t="s">
        <v>435</v>
      </c>
      <c r="P463" s="120"/>
      <c r="Q463" s="20"/>
      <c r="R463" s="20"/>
      <c r="S463" s="48"/>
      <c r="T463" s="18"/>
      <c r="U463" s="80"/>
      <c r="V463" s="51"/>
      <c r="W463" s="20"/>
      <c r="X463" s="18"/>
      <c r="Y463" s="18"/>
      <c r="Z463" s="18"/>
      <c r="AA463" s="18"/>
      <c r="AB463" s="18"/>
      <c r="AC463" s="18"/>
      <c r="AD463" s="18"/>
    </row>
    <row r="464" spans="1:30" ht="12.75" customHeight="1" x14ac:dyDescent="0.2">
      <c r="A464" s="100"/>
      <c r="B464" s="100"/>
      <c r="C464" s="100"/>
      <c r="D464" s="189"/>
      <c r="E464" s="68"/>
      <c r="G464" s="84"/>
      <c r="H464" s="86" t="s">
        <v>425</v>
      </c>
      <c r="I464" s="28">
        <v>-207.6</v>
      </c>
      <c r="J464" s="153">
        <f t="shared" si="29"/>
        <v>4016.8700000000013</v>
      </c>
      <c r="K464" s="81"/>
      <c r="L464" s="68">
        <f>-150-20</f>
        <v>-170</v>
      </c>
      <c r="M464" s="38">
        <f t="shared" si="30"/>
        <v>-25090.10999999999</v>
      </c>
      <c r="N464" s="28">
        <f t="shared" si="31"/>
        <v>2909.8900000000103</v>
      </c>
      <c r="O464" s="113" t="s">
        <v>437</v>
      </c>
      <c r="P464" s="120"/>
      <c r="Q464" s="20"/>
      <c r="R464" s="20"/>
      <c r="S464" s="48"/>
      <c r="T464" s="18"/>
      <c r="U464" s="80"/>
      <c r="V464" s="51"/>
      <c r="W464" s="20"/>
      <c r="X464" s="18"/>
      <c r="Y464" s="18"/>
      <c r="Z464" s="18"/>
      <c r="AA464" s="18"/>
      <c r="AB464" s="18"/>
      <c r="AC464" s="18"/>
      <c r="AD464" s="18"/>
    </row>
    <row r="465" spans="1:30" ht="12.75" customHeight="1" x14ac:dyDescent="0.2">
      <c r="A465" s="100"/>
      <c r="B465" s="100"/>
      <c r="C465" s="100"/>
      <c r="D465" s="189"/>
      <c r="E465" s="68"/>
      <c r="G465" s="84"/>
      <c r="H465" s="86" t="s">
        <v>427</v>
      </c>
      <c r="I465" s="28">
        <v>-1450</v>
      </c>
      <c r="J465" s="153">
        <f t="shared" si="29"/>
        <v>2566.8700000000013</v>
      </c>
      <c r="K465" s="81"/>
      <c r="L465" s="68">
        <v>-156</v>
      </c>
      <c r="M465" s="38">
        <f t="shared" si="30"/>
        <v>-25246.10999999999</v>
      </c>
      <c r="N465" s="28">
        <f t="shared" si="31"/>
        <v>2753.8900000000103</v>
      </c>
      <c r="O465" s="113" t="s">
        <v>438</v>
      </c>
      <c r="P465" s="120"/>
      <c r="Q465" s="20"/>
      <c r="R465" s="20"/>
      <c r="S465" s="48"/>
      <c r="T465" s="18"/>
      <c r="U465" s="80"/>
      <c r="V465" s="51"/>
      <c r="W465" s="20"/>
      <c r="X465" s="18"/>
      <c r="Y465" s="18"/>
      <c r="Z465" s="18"/>
      <c r="AA465" s="18"/>
      <c r="AB465" s="18"/>
      <c r="AC465" s="18"/>
      <c r="AD465" s="18"/>
    </row>
    <row r="466" spans="1:30" ht="12.75" customHeight="1" x14ac:dyDescent="0.2">
      <c r="A466" s="100"/>
      <c r="B466" s="100"/>
      <c r="C466" s="100"/>
      <c r="D466" s="189"/>
      <c r="E466" s="68"/>
      <c r="G466" s="84"/>
      <c r="H466" s="86" t="s">
        <v>428</v>
      </c>
      <c r="I466" s="28">
        <v>-660.9</v>
      </c>
      <c r="J466" s="153">
        <f t="shared" si="29"/>
        <v>1905.9700000000012</v>
      </c>
      <c r="K466" s="81"/>
      <c r="L466" s="68">
        <v>-192.5</v>
      </c>
      <c r="M466" s="38">
        <f t="shared" si="30"/>
        <v>-25438.60999999999</v>
      </c>
      <c r="N466" s="28">
        <f t="shared" si="31"/>
        <v>2561.3900000000103</v>
      </c>
      <c r="O466" s="113" t="s">
        <v>439</v>
      </c>
      <c r="P466" s="120"/>
      <c r="Q466" s="20"/>
      <c r="R466" s="20"/>
      <c r="S466" s="48"/>
      <c r="T466" s="18"/>
      <c r="U466" s="80"/>
      <c r="V466" s="51"/>
      <c r="W466" s="20"/>
      <c r="X466" s="18"/>
      <c r="Y466" s="18"/>
      <c r="Z466" s="18"/>
      <c r="AA466" s="18"/>
      <c r="AB466" s="18"/>
      <c r="AC466" s="18"/>
      <c r="AD466" s="18"/>
    </row>
    <row r="467" spans="1:30" ht="12.75" customHeight="1" x14ac:dyDescent="0.2">
      <c r="A467" s="100"/>
      <c r="B467" s="100"/>
      <c r="C467" s="100"/>
      <c r="D467" s="189"/>
      <c r="E467" s="68"/>
      <c r="G467" s="84"/>
      <c r="H467" s="86" t="s">
        <v>383</v>
      </c>
      <c r="I467" s="28">
        <f>-110-1.1</f>
        <v>-111.1</v>
      </c>
      <c r="J467" s="153">
        <f t="shared" si="29"/>
        <v>1794.8700000000013</v>
      </c>
      <c r="K467" s="81"/>
      <c r="L467" s="68">
        <f>-300</f>
        <v>-300</v>
      </c>
      <c r="M467" s="38">
        <f t="shared" si="30"/>
        <v>-25738.60999999999</v>
      </c>
      <c r="N467" s="28">
        <f t="shared" si="31"/>
        <v>2261.3900000000103</v>
      </c>
      <c r="O467" s="113" t="s">
        <v>440</v>
      </c>
      <c r="P467" s="120"/>
      <c r="Q467" s="20"/>
      <c r="R467" s="20"/>
      <c r="S467" s="48"/>
      <c r="T467" s="18"/>
      <c r="U467" s="80"/>
      <c r="V467" s="51"/>
      <c r="W467" s="20"/>
      <c r="X467" s="18"/>
      <c r="Y467" s="18"/>
      <c r="Z467" s="18"/>
      <c r="AA467" s="18"/>
      <c r="AB467" s="18"/>
      <c r="AC467" s="18"/>
      <c r="AD467" s="18"/>
    </row>
    <row r="468" spans="1:30" ht="12.75" customHeight="1" x14ac:dyDescent="0.2">
      <c r="A468" s="100"/>
      <c r="B468" s="100"/>
      <c r="C468" s="100"/>
      <c r="D468" s="189"/>
      <c r="E468" s="68"/>
      <c r="G468" s="84"/>
      <c r="H468" s="86" t="s">
        <v>426</v>
      </c>
      <c r="I468" s="28">
        <v>5000</v>
      </c>
      <c r="J468" s="153">
        <f t="shared" si="29"/>
        <v>6794.8700000000008</v>
      </c>
      <c r="K468" s="81"/>
      <c r="L468" s="68">
        <v>-930</v>
      </c>
      <c r="M468" s="38">
        <f t="shared" ref="M468:M473" si="32">M467+L468</f>
        <v>-26668.60999999999</v>
      </c>
      <c r="N468" s="28">
        <f t="shared" ref="N468:N473" si="33">28000+M468</f>
        <v>1331.3900000000103</v>
      </c>
      <c r="O468" s="113" t="s">
        <v>441</v>
      </c>
      <c r="P468" s="120"/>
      <c r="Q468" s="20"/>
      <c r="R468" s="20"/>
      <c r="S468" s="48"/>
      <c r="T468" s="18"/>
      <c r="U468" s="80"/>
      <c r="V468" s="51"/>
      <c r="W468" s="20"/>
      <c r="X468" s="18"/>
      <c r="Y468" s="18"/>
      <c r="Z468" s="18"/>
      <c r="AA468" s="18"/>
      <c r="AB468" s="18"/>
      <c r="AC468" s="18"/>
      <c r="AD468" s="18"/>
    </row>
    <row r="469" spans="1:30" ht="12.75" customHeight="1" x14ac:dyDescent="0.2">
      <c r="A469" s="100"/>
      <c r="B469" s="100"/>
      <c r="C469" s="100"/>
      <c r="D469" s="189"/>
      <c r="E469" s="68"/>
      <c r="G469" s="84"/>
      <c r="H469" s="86" t="s">
        <v>48</v>
      </c>
      <c r="I469" s="28">
        <v>-2420.7399999999998</v>
      </c>
      <c r="J469" s="153">
        <f t="shared" si="29"/>
        <v>4374.130000000001</v>
      </c>
      <c r="K469" s="81"/>
      <c r="L469" s="68">
        <v>-520</v>
      </c>
      <c r="M469" s="38">
        <f t="shared" si="32"/>
        <v>-27188.60999999999</v>
      </c>
      <c r="N469" s="28">
        <f t="shared" si="33"/>
        <v>811.39000000001033</v>
      </c>
      <c r="O469" s="113" t="s">
        <v>448</v>
      </c>
      <c r="P469" s="120"/>
      <c r="Q469" s="20"/>
      <c r="R469" s="20"/>
      <c r="S469" s="48"/>
      <c r="T469" s="18"/>
      <c r="U469" s="80"/>
      <c r="V469" s="51"/>
      <c r="W469" s="20"/>
      <c r="X469" s="18"/>
      <c r="Y469" s="18"/>
      <c r="Z469" s="18"/>
      <c r="AA469" s="18"/>
      <c r="AB469" s="18"/>
      <c r="AC469" s="18"/>
      <c r="AD469" s="18"/>
    </row>
    <row r="470" spans="1:30" ht="12.75" customHeight="1" x14ac:dyDescent="0.2">
      <c r="A470" s="100"/>
      <c r="B470" s="100"/>
      <c r="C470" s="100"/>
      <c r="D470" s="189"/>
      <c r="E470" s="68"/>
      <c r="G470" s="84"/>
      <c r="H470" s="86" t="s">
        <v>423</v>
      </c>
      <c r="I470" s="28">
        <v>-4309.1400000000003</v>
      </c>
      <c r="J470" s="153">
        <f t="shared" si="29"/>
        <v>64.990000000000691</v>
      </c>
      <c r="K470" s="81"/>
      <c r="L470" s="68">
        <v>-234.37</v>
      </c>
      <c r="M470" s="38">
        <f t="shared" si="32"/>
        <v>-27422.979999999989</v>
      </c>
      <c r="N470" s="28">
        <f t="shared" si="33"/>
        <v>577.02000000001135</v>
      </c>
      <c r="O470" s="113" t="s">
        <v>447</v>
      </c>
      <c r="P470" s="120"/>
      <c r="Q470" s="20"/>
      <c r="R470" s="20"/>
      <c r="S470" s="48"/>
      <c r="T470" s="18"/>
      <c r="U470" s="80"/>
      <c r="V470" s="51"/>
      <c r="W470" s="20"/>
      <c r="X470" s="18"/>
      <c r="Y470" s="18"/>
      <c r="Z470" s="18"/>
      <c r="AA470" s="18"/>
      <c r="AB470" s="18"/>
      <c r="AC470" s="18"/>
      <c r="AD470" s="18"/>
    </row>
    <row r="471" spans="1:30" ht="12.75" customHeight="1" x14ac:dyDescent="0.2">
      <c r="A471" s="100"/>
      <c r="B471" s="100"/>
      <c r="C471" s="100"/>
      <c r="D471" s="189"/>
      <c r="E471" s="68"/>
      <c r="G471" s="84"/>
      <c r="H471" s="86" t="s">
        <v>70</v>
      </c>
      <c r="I471" s="28">
        <v>-34</v>
      </c>
      <c r="J471" s="153">
        <f t="shared" si="29"/>
        <v>30.990000000000691</v>
      </c>
      <c r="K471" s="81"/>
      <c r="L471" s="68">
        <v>-47.63</v>
      </c>
      <c r="M471" s="38">
        <f t="shared" si="32"/>
        <v>-27470.60999999999</v>
      </c>
      <c r="N471" s="28">
        <f t="shared" si="33"/>
        <v>529.39000000001033</v>
      </c>
      <c r="O471" s="113" t="s">
        <v>446</v>
      </c>
      <c r="P471" s="120"/>
      <c r="Q471" s="20"/>
      <c r="R471" s="20"/>
      <c r="S471" s="48"/>
      <c r="T471" s="18"/>
      <c r="U471" s="80"/>
      <c r="V471" s="51"/>
      <c r="W471" s="20"/>
      <c r="X471" s="18"/>
      <c r="Y471" s="18"/>
      <c r="Z471" s="18"/>
      <c r="AA471" s="18"/>
      <c r="AB471" s="18"/>
      <c r="AC471" s="18"/>
      <c r="AD471" s="18"/>
    </row>
    <row r="472" spans="1:30" ht="12.75" customHeight="1" x14ac:dyDescent="0.2">
      <c r="A472" s="100"/>
      <c r="B472" s="100"/>
      <c r="C472" s="100"/>
      <c r="D472" s="189"/>
      <c r="E472" s="68"/>
      <c r="G472" s="84"/>
      <c r="H472" s="86" t="s">
        <v>436</v>
      </c>
      <c r="I472" s="28">
        <f>-30-1.1</f>
        <v>-31.1</v>
      </c>
      <c r="J472" s="153">
        <f t="shared" si="29"/>
        <v>-0.10999999999931021</v>
      </c>
      <c r="K472" s="81"/>
      <c r="L472" s="68">
        <v>-420.95</v>
      </c>
      <c r="M472" s="38">
        <f t="shared" si="32"/>
        <v>-27891.55999999999</v>
      </c>
      <c r="N472" s="28">
        <f t="shared" si="33"/>
        <v>108.4400000000096</v>
      </c>
      <c r="O472" s="113" t="s">
        <v>263</v>
      </c>
      <c r="P472" s="119"/>
      <c r="Q472" s="81"/>
      <c r="R472" s="20"/>
      <c r="S472" s="48"/>
      <c r="T472" s="18"/>
      <c r="U472" s="80"/>
      <c r="V472" s="51"/>
      <c r="W472" s="20"/>
      <c r="X472" s="18"/>
      <c r="Y472" s="18"/>
      <c r="Z472" s="18"/>
      <c r="AA472" s="18"/>
      <c r="AB472" s="18"/>
      <c r="AC472" s="18"/>
      <c r="AD472" s="18"/>
    </row>
    <row r="473" spans="1:30" ht="12.75" customHeight="1" x14ac:dyDescent="0.2">
      <c r="A473" s="100"/>
      <c r="B473" s="100"/>
      <c r="C473" s="100"/>
      <c r="D473" s="189"/>
      <c r="E473" s="68"/>
      <c r="G473" s="84"/>
      <c r="H473" s="86" t="s">
        <v>442</v>
      </c>
      <c r="I473" s="28">
        <v>-1200</v>
      </c>
      <c r="J473" s="153">
        <f t="shared" si="29"/>
        <v>-1200.1099999999992</v>
      </c>
      <c r="K473" s="81"/>
      <c r="L473" s="68">
        <v>-60.8</v>
      </c>
      <c r="M473" s="38">
        <f t="shared" si="32"/>
        <v>-27952.35999999999</v>
      </c>
      <c r="N473" s="28">
        <f t="shared" si="33"/>
        <v>47.640000000010332</v>
      </c>
      <c r="O473" s="113" t="s">
        <v>445</v>
      </c>
      <c r="P473" s="119"/>
      <c r="Q473" s="81"/>
      <c r="R473" s="20"/>
      <c r="S473" s="48"/>
      <c r="T473" s="18"/>
      <c r="U473" s="80"/>
      <c r="V473" s="51"/>
      <c r="W473" s="20"/>
      <c r="X473" s="18"/>
      <c r="Y473" s="18"/>
      <c r="Z473" s="18"/>
      <c r="AA473" s="18"/>
      <c r="AB473" s="18"/>
      <c r="AC473" s="18"/>
      <c r="AD473" s="18"/>
    </row>
    <row r="474" spans="1:30" ht="12.75" customHeight="1" x14ac:dyDescent="0.2">
      <c r="A474" s="100"/>
      <c r="B474" s="100"/>
      <c r="C474" s="100"/>
      <c r="D474" s="189"/>
      <c r="E474" s="68"/>
      <c r="G474" s="84"/>
      <c r="H474" s="86" t="s">
        <v>127</v>
      </c>
      <c r="I474" s="28">
        <f>-1500-22</f>
        <v>-1522</v>
      </c>
      <c r="J474" s="153">
        <f t="shared" si="29"/>
        <v>-2722.1099999999992</v>
      </c>
      <c r="K474" s="81"/>
      <c r="L474" s="291">
        <f>SUM(L447:L471)</f>
        <v>-27470.60999999999</v>
      </c>
      <c r="M474" s="66"/>
      <c r="N474" s="28"/>
      <c r="O474" s="113"/>
      <c r="P474" s="119"/>
      <c r="Q474" s="81"/>
      <c r="R474" s="20"/>
      <c r="S474" s="48"/>
      <c r="T474" s="18"/>
      <c r="U474" s="80"/>
      <c r="V474" s="51"/>
      <c r="W474" s="20"/>
      <c r="X474" s="18"/>
      <c r="Y474" s="18"/>
      <c r="Z474" s="18"/>
      <c r="AA474" s="18"/>
      <c r="AB474" s="18"/>
      <c r="AC474" s="18"/>
      <c r="AD474" s="18"/>
    </row>
    <row r="475" spans="1:30" ht="12.75" customHeight="1" x14ac:dyDescent="0.2">
      <c r="A475" s="100"/>
      <c r="B475" s="100"/>
      <c r="C475" s="100"/>
      <c r="D475" s="189"/>
      <c r="E475" s="68"/>
      <c r="G475" s="84"/>
      <c r="H475" s="86" t="s">
        <v>383</v>
      </c>
      <c r="I475" s="28">
        <f>-110-1.1</f>
        <v>-111.1</v>
      </c>
      <c r="J475" s="153">
        <f t="shared" si="29"/>
        <v>-2833.2099999999991</v>
      </c>
      <c r="K475" s="81"/>
      <c r="L475" s="36"/>
      <c r="M475" s="91"/>
      <c r="N475" s="96"/>
      <c r="O475" s="113"/>
      <c r="P475" s="119"/>
      <c r="Q475" s="81"/>
      <c r="R475" s="20"/>
      <c r="S475" s="48"/>
      <c r="T475" s="18"/>
      <c r="U475" s="80"/>
      <c r="V475" s="51"/>
      <c r="W475" s="20"/>
      <c r="X475" s="18"/>
      <c r="Y475" s="18"/>
      <c r="Z475" s="18"/>
      <c r="AA475" s="18"/>
      <c r="AB475" s="18"/>
      <c r="AC475" s="18"/>
      <c r="AD475" s="18"/>
    </row>
    <row r="476" spans="1:30" ht="12.75" customHeight="1" x14ac:dyDescent="0.2">
      <c r="A476" s="100"/>
      <c r="B476" s="100"/>
      <c r="C476" s="100"/>
      <c r="D476" s="189"/>
      <c r="E476" s="68"/>
      <c r="G476" s="84"/>
      <c r="H476" s="75" t="s">
        <v>69</v>
      </c>
      <c r="I476" s="28">
        <f>-188.09</f>
        <v>-188.09</v>
      </c>
      <c r="J476" s="153">
        <f t="shared" si="29"/>
        <v>-3021.2999999999993</v>
      </c>
      <c r="K476" s="81"/>
      <c r="L476" s="302"/>
      <c r="M476" s="91"/>
      <c r="N476" s="96"/>
      <c r="O476" s="113"/>
      <c r="P476" s="119"/>
      <c r="Q476" s="81"/>
      <c r="R476" s="20"/>
      <c r="S476" s="48"/>
      <c r="T476" s="18"/>
      <c r="U476" s="80"/>
      <c r="V476" s="51"/>
      <c r="W476" s="20"/>
      <c r="X476" s="18"/>
      <c r="Y476" s="18"/>
      <c r="Z476" s="18"/>
      <c r="AA476" s="18"/>
      <c r="AB476" s="18"/>
      <c r="AC476" s="18"/>
      <c r="AD476" s="18"/>
    </row>
    <row r="477" spans="1:30" ht="12.75" customHeight="1" x14ac:dyDescent="0.2">
      <c r="A477" s="100"/>
      <c r="B477" s="100"/>
      <c r="C477" s="100"/>
      <c r="D477" s="189"/>
      <c r="E477" s="68"/>
      <c r="G477" s="84"/>
      <c r="H477" s="75" t="s">
        <v>212</v>
      </c>
      <c r="I477" s="28">
        <f>-157.5</f>
        <v>-157.5</v>
      </c>
      <c r="J477" s="153">
        <f t="shared" si="29"/>
        <v>-3178.7999999999993</v>
      </c>
      <c r="K477" s="81"/>
      <c r="L477" s="302"/>
      <c r="M477" s="54"/>
      <c r="N477" s="195"/>
      <c r="O477" s="278"/>
      <c r="P477" s="119"/>
      <c r="Q477" s="81"/>
      <c r="R477" s="20"/>
      <c r="S477" s="48"/>
      <c r="T477" s="18"/>
      <c r="U477" s="80"/>
      <c r="V477" s="51"/>
      <c r="W477" s="20"/>
      <c r="X477" s="18"/>
      <c r="Y477" s="18"/>
      <c r="Z477" s="18"/>
      <c r="AA477" s="18"/>
      <c r="AB477" s="18"/>
      <c r="AC477" s="18"/>
      <c r="AD477" s="18"/>
    </row>
    <row r="478" spans="1:30" ht="12.75" customHeight="1" x14ac:dyDescent="0.2">
      <c r="A478" s="100"/>
      <c r="B478" s="100"/>
      <c r="C478" s="100"/>
      <c r="D478" s="189"/>
      <c r="E478" s="68"/>
      <c r="G478" s="84"/>
      <c r="H478" s="75" t="s">
        <v>359</v>
      </c>
      <c r="I478" s="28">
        <v>-194.79</v>
      </c>
      <c r="J478" s="153">
        <f t="shared" si="29"/>
        <v>-3373.5899999999992</v>
      </c>
      <c r="K478" s="81"/>
      <c r="L478" s="305"/>
      <c r="M478" s="54"/>
      <c r="N478" s="195"/>
      <c r="O478" s="278"/>
      <c r="P478" s="119"/>
      <c r="Q478" s="81"/>
      <c r="R478" s="20"/>
      <c r="S478" s="48"/>
      <c r="T478" s="18"/>
      <c r="U478" s="80"/>
      <c r="V478" s="51"/>
      <c r="W478" s="20"/>
      <c r="X478" s="18"/>
      <c r="Y478" s="18"/>
      <c r="Z478" s="18"/>
      <c r="AA478" s="18"/>
      <c r="AB478" s="18"/>
      <c r="AC478" s="18"/>
      <c r="AD478" s="18"/>
    </row>
    <row r="479" spans="1:30" ht="12.75" customHeight="1" x14ac:dyDescent="0.2">
      <c r="A479" s="100"/>
      <c r="B479" s="100"/>
      <c r="C479" s="100"/>
      <c r="D479" s="189"/>
      <c r="E479" s="68"/>
      <c r="G479" s="84"/>
      <c r="H479" s="75" t="s">
        <v>443</v>
      </c>
      <c r="I479" s="28">
        <v>-484</v>
      </c>
      <c r="J479" s="153">
        <f t="shared" si="29"/>
        <v>-3857.5899999999992</v>
      </c>
      <c r="K479" s="81"/>
      <c r="L479" s="305"/>
      <c r="M479" s="54"/>
      <c r="N479" s="195"/>
      <c r="O479" s="278"/>
      <c r="P479" s="119"/>
      <c r="Q479" s="81"/>
      <c r="R479" s="20"/>
      <c r="S479" s="48"/>
      <c r="T479" s="18"/>
      <c r="U479" s="80"/>
      <c r="V479" s="51"/>
      <c r="W479" s="20"/>
      <c r="X479" s="18"/>
      <c r="Y479" s="18"/>
      <c r="Z479" s="18"/>
      <c r="AA479" s="18"/>
      <c r="AB479" s="18"/>
      <c r="AC479" s="18"/>
      <c r="AD479" s="18"/>
    </row>
    <row r="480" spans="1:30" ht="12.75" customHeight="1" x14ac:dyDescent="0.2">
      <c r="A480" s="100"/>
      <c r="B480" s="100"/>
      <c r="C480" s="100"/>
      <c r="D480" s="189"/>
      <c r="E480" s="68"/>
      <c r="G480" s="84"/>
      <c r="H480" s="75" t="s">
        <v>111</v>
      </c>
      <c r="I480" s="28">
        <f>-44.9-111.95-69.4</f>
        <v>-226.25</v>
      </c>
      <c r="J480" s="153">
        <f t="shared" si="29"/>
        <v>-4083.8399999999992</v>
      </c>
      <c r="K480" s="81"/>
      <c r="L480" s="306"/>
      <c r="M480" s="54"/>
      <c r="N480" s="195"/>
      <c r="O480" s="278"/>
      <c r="P480" s="119"/>
      <c r="Q480" s="20"/>
      <c r="R480" s="20"/>
      <c r="S480" s="48"/>
      <c r="T480" s="18"/>
      <c r="U480" s="80"/>
      <c r="V480" s="51"/>
      <c r="W480" s="20"/>
      <c r="X480" s="18"/>
      <c r="Y480" s="18"/>
      <c r="Z480" s="18"/>
      <c r="AA480" s="18"/>
      <c r="AB480" s="18"/>
      <c r="AC480" s="18"/>
      <c r="AD480" s="18"/>
    </row>
    <row r="481" spans="1:30" ht="12.75" customHeight="1" x14ac:dyDescent="0.2">
      <c r="A481" s="100"/>
      <c r="B481" s="100"/>
      <c r="C481" s="100"/>
      <c r="D481" s="189"/>
      <c r="E481" s="68"/>
      <c r="G481" s="84"/>
      <c r="H481" s="75" t="s">
        <v>444</v>
      </c>
      <c r="I481" s="28">
        <f>-300-100</f>
        <v>-400</v>
      </c>
      <c r="J481" s="153">
        <f t="shared" si="29"/>
        <v>-4483.8399999999992</v>
      </c>
      <c r="K481" s="81"/>
      <c r="L481" s="340"/>
      <c r="M481" s="54"/>
      <c r="N481" s="328"/>
      <c r="O481" s="278"/>
      <c r="P481" s="119"/>
      <c r="Q481" s="20"/>
      <c r="R481" s="20"/>
      <c r="S481" s="48"/>
      <c r="T481" s="18"/>
      <c r="U481" s="80"/>
      <c r="V481" s="51"/>
      <c r="W481" s="20"/>
      <c r="X481" s="18"/>
      <c r="Y481" s="18"/>
      <c r="Z481" s="18"/>
      <c r="AA481" s="18"/>
      <c r="AB481" s="18"/>
      <c r="AC481" s="18"/>
      <c r="AD481" s="18"/>
    </row>
    <row r="482" spans="1:30" ht="12.75" customHeight="1" x14ac:dyDescent="0.2">
      <c r="A482" s="100"/>
      <c r="B482" s="100"/>
      <c r="C482" s="100"/>
      <c r="D482" s="189"/>
      <c r="E482" s="68"/>
      <c r="G482" s="84"/>
      <c r="H482" s="86" t="s">
        <v>31</v>
      </c>
      <c r="I482" s="28">
        <v>9000</v>
      </c>
      <c r="J482" s="153">
        <f t="shared" si="29"/>
        <v>4516.1600000000008</v>
      </c>
      <c r="K482" s="81"/>
      <c r="L482" s="340"/>
      <c r="M482" s="54"/>
      <c r="N482" s="328"/>
      <c r="O482" s="278"/>
      <c r="P482" s="112"/>
      <c r="Q482" s="20"/>
      <c r="R482" s="20"/>
      <c r="S482" s="48"/>
      <c r="T482" s="18"/>
      <c r="U482" s="80"/>
      <c r="V482" s="51"/>
      <c r="W482" s="20"/>
      <c r="X482" s="18"/>
      <c r="Y482" s="18"/>
      <c r="Z482" s="18"/>
      <c r="AA482" s="18"/>
      <c r="AB482" s="18"/>
      <c r="AC482" s="18"/>
      <c r="AD482" s="18"/>
    </row>
    <row r="483" spans="1:30" ht="12.75" customHeight="1" x14ac:dyDescent="0.2">
      <c r="A483" s="100"/>
      <c r="B483" s="100"/>
      <c r="C483" s="100"/>
      <c r="D483" s="189"/>
      <c r="E483" s="68"/>
      <c r="G483" s="84"/>
      <c r="H483" s="86" t="s">
        <v>44</v>
      </c>
      <c r="I483" s="28">
        <v>-59</v>
      </c>
      <c r="J483" s="153">
        <f t="shared" si="29"/>
        <v>4457.1600000000008</v>
      </c>
      <c r="K483" s="81"/>
      <c r="L483" s="340"/>
      <c r="M483" s="54"/>
      <c r="N483" s="328"/>
      <c r="O483" s="278"/>
      <c r="P483" s="112"/>
      <c r="Q483" s="20"/>
      <c r="R483" s="20"/>
      <c r="S483" s="48"/>
      <c r="T483" s="18"/>
      <c r="U483" s="80"/>
      <c r="V483" s="51"/>
      <c r="W483" s="20"/>
      <c r="X483" s="18"/>
      <c r="Y483" s="18"/>
      <c r="Z483" s="18"/>
      <c r="AA483" s="18"/>
      <c r="AB483" s="18"/>
      <c r="AC483" s="18"/>
      <c r="AD483" s="18"/>
    </row>
    <row r="484" spans="1:30" ht="12.75" customHeight="1" x14ac:dyDescent="0.2">
      <c r="A484" s="100"/>
      <c r="B484" s="100"/>
      <c r="C484" s="100"/>
      <c r="D484" s="189"/>
      <c r="E484" s="68"/>
      <c r="F484" s="229"/>
      <c r="G484" s="200"/>
      <c r="H484" s="86" t="s">
        <v>37</v>
      </c>
      <c r="I484" s="28">
        <v>-508.5</v>
      </c>
      <c r="J484" s="153">
        <f t="shared" si="29"/>
        <v>3948.6600000000008</v>
      </c>
      <c r="K484" s="81"/>
      <c r="L484" s="340"/>
      <c r="M484" s="54"/>
      <c r="N484" s="328"/>
      <c r="O484" s="278"/>
      <c r="P484" s="112"/>
      <c r="Q484" s="20"/>
      <c r="R484" s="20"/>
      <c r="S484" s="48"/>
      <c r="T484" s="18"/>
      <c r="U484" s="80"/>
      <c r="V484" s="51"/>
      <c r="W484" s="20"/>
      <c r="X484" s="18"/>
      <c r="Y484" s="18"/>
      <c r="Z484" s="18"/>
      <c r="AA484" s="18"/>
      <c r="AB484" s="18"/>
      <c r="AC484" s="18"/>
      <c r="AD484" s="18"/>
    </row>
    <row r="485" spans="1:30" ht="12.75" customHeight="1" x14ac:dyDescent="0.2">
      <c r="A485" s="100"/>
      <c r="B485" s="100"/>
      <c r="C485" s="100"/>
      <c r="D485" s="189"/>
      <c r="E485" s="68"/>
      <c r="F485" s="229"/>
      <c r="G485" s="200"/>
      <c r="H485" s="193" t="s">
        <v>410</v>
      </c>
      <c r="I485" s="287">
        <v>-5500</v>
      </c>
      <c r="J485" s="153">
        <f t="shared" si="29"/>
        <v>-1551.3399999999992</v>
      </c>
      <c r="K485" s="81"/>
      <c r="L485" s="194"/>
      <c r="M485" s="54"/>
      <c r="N485" s="328"/>
      <c r="O485" s="278"/>
      <c r="P485" s="112"/>
      <c r="Q485" s="20"/>
      <c r="R485" s="20"/>
      <c r="S485" s="48"/>
      <c r="T485" s="18"/>
      <c r="U485" s="80"/>
      <c r="V485" s="51"/>
      <c r="W485" s="20"/>
      <c r="X485" s="18"/>
      <c r="Y485" s="18"/>
      <c r="Z485" s="18"/>
      <c r="AA485" s="18"/>
      <c r="AB485" s="18"/>
      <c r="AC485" s="18"/>
      <c r="AD485" s="18"/>
    </row>
    <row r="486" spans="1:30" ht="12.75" customHeight="1" x14ac:dyDescent="0.2">
      <c r="A486" s="100"/>
      <c r="B486" s="100"/>
      <c r="C486" s="100"/>
      <c r="D486" s="189"/>
      <c r="E486" s="68"/>
      <c r="F486" s="210"/>
      <c r="G486" s="200"/>
      <c r="H486" s="193" t="s">
        <v>152</v>
      </c>
      <c r="I486" s="77">
        <v>-300</v>
      </c>
      <c r="J486" s="153">
        <f t="shared" si="29"/>
        <v>-1851.3399999999992</v>
      </c>
      <c r="K486" s="81"/>
      <c r="L486" s="20"/>
      <c r="M486" s="54"/>
      <c r="N486" s="195"/>
      <c r="O486" s="278"/>
      <c r="P486" s="112"/>
      <c r="Q486" s="20"/>
      <c r="R486" s="20"/>
      <c r="S486" s="48"/>
      <c r="T486" s="18"/>
      <c r="U486" s="80"/>
      <c r="V486" s="51"/>
      <c r="W486" s="20"/>
      <c r="X486" s="18"/>
      <c r="Y486" s="18"/>
      <c r="Z486" s="18"/>
      <c r="AA486" s="18"/>
      <c r="AB486" s="18"/>
      <c r="AC486" s="18"/>
      <c r="AD486" s="18"/>
    </row>
    <row r="487" spans="1:30" ht="12.75" customHeight="1" x14ac:dyDescent="0.2">
      <c r="A487" s="100"/>
      <c r="B487" s="100"/>
      <c r="C487" s="100"/>
      <c r="D487" s="189"/>
      <c r="E487" s="68"/>
      <c r="F487" s="360" t="s">
        <v>418</v>
      </c>
      <c r="G487" s="200"/>
      <c r="H487" s="86" t="s">
        <v>87</v>
      </c>
      <c r="I487" s="28">
        <v>-450</v>
      </c>
      <c r="J487" s="153">
        <f t="shared" si="29"/>
        <v>-2301.3399999999992</v>
      </c>
      <c r="K487" s="81"/>
      <c r="M487" s="20"/>
      <c r="N487" s="20"/>
      <c r="R487" s="20"/>
      <c r="S487" s="48"/>
      <c r="T487" s="18"/>
      <c r="U487" s="80"/>
      <c r="V487" s="51"/>
      <c r="W487" s="20"/>
      <c r="X487" s="18"/>
      <c r="Y487" s="18"/>
      <c r="Z487" s="18"/>
      <c r="AA487" s="18"/>
      <c r="AB487" s="18"/>
      <c r="AC487" s="18"/>
      <c r="AD487" s="18"/>
    </row>
    <row r="488" spans="1:30" ht="12.75" customHeight="1" x14ac:dyDescent="0.2">
      <c r="A488" s="100"/>
      <c r="B488" s="100"/>
      <c r="C488" s="100"/>
      <c r="D488" s="189"/>
      <c r="E488" s="68"/>
      <c r="F488" s="377" t="s">
        <v>421</v>
      </c>
      <c r="G488" s="200"/>
      <c r="H488" s="86" t="s">
        <v>117</v>
      </c>
      <c r="I488" s="28">
        <v>-250</v>
      </c>
      <c r="J488" s="153">
        <f t="shared" si="29"/>
        <v>-2551.3399999999992</v>
      </c>
      <c r="K488" s="81"/>
      <c r="R488" s="20"/>
      <c r="S488" s="48"/>
      <c r="T488" s="18"/>
      <c r="U488" s="80"/>
      <c r="V488" s="51"/>
      <c r="W488" s="20"/>
      <c r="X488" s="18"/>
      <c r="Y488" s="18"/>
      <c r="Z488" s="18"/>
      <c r="AA488" s="18"/>
      <c r="AB488" s="18"/>
      <c r="AC488" s="18"/>
      <c r="AD488" s="18"/>
    </row>
    <row r="489" spans="1:30" ht="12.75" customHeight="1" x14ac:dyDescent="0.2">
      <c r="A489" s="100"/>
      <c r="B489" s="100"/>
      <c r="C489" s="100"/>
      <c r="D489" s="189"/>
      <c r="E489" s="23"/>
      <c r="F489" s="183"/>
      <c r="G489" s="84" t="s">
        <v>46</v>
      </c>
      <c r="H489" s="88" t="s">
        <v>34</v>
      </c>
      <c r="I489" s="74">
        <v>-1280</v>
      </c>
      <c r="J489" s="153">
        <f t="shared" si="29"/>
        <v>-3831.3399999999992</v>
      </c>
      <c r="K489" s="18"/>
      <c r="R489" s="20"/>
      <c r="S489" s="48"/>
      <c r="T489" s="18"/>
      <c r="U489" s="80"/>
      <c r="V489" s="51"/>
      <c r="W489" s="20"/>
      <c r="X489" s="18"/>
      <c r="Y489" s="18"/>
      <c r="Z489" s="18"/>
      <c r="AA489" s="18"/>
      <c r="AB489" s="18"/>
      <c r="AC489" s="18"/>
      <c r="AD489" s="18"/>
    </row>
    <row r="490" spans="1:30" ht="12.75" customHeight="1" x14ac:dyDescent="0.2">
      <c r="A490" s="100"/>
      <c r="B490" s="100"/>
      <c r="C490" s="100"/>
      <c r="D490" s="189"/>
      <c r="E490" s="23"/>
      <c r="F490" s="199"/>
      <c r="G490" s="84" t="s">
        <v>46</v>
      </c>
      <c r="H490" s="88" t="s">
        <v>10</v>
      </c>
      <c r="I490" s="68">
        <v>-724.53</v>
      </c>
      <c r="J490" s="153">
        <f t="shared" si="29"/>
        <v>-4555.869999999999</v>
      </c>
      <c r="K490" s="18"/>
      <c r="R490" s="20"/>
      <c r="S490" s="48"/>
      <c r="T490" s="18"/>
      <c r="U490" s="80"/>
      <c r="V490" s="51"/>
      <c r="W490" s="20"/>
      <c r="X490" s="18"/>
      <c r="Y490" s="18"/>
      <c r="Z490" s="18"/>
      <c r="AA490" s="18"/>
      <c r="AB490" s="18"/>
      <c r="AC490" s="18"/>
      <c r="AD490" s="18"/>
    </row>
    <row r="491" spans="1:30" ht="12.75" customHeight="1" x14ac:dyDescent="0.2">
      <c r="A491" s="100"/>
      <c r="B491" s="100"/>
      <c r="C491" s="100"/>
      <c r="D491" s="189"/>
      <c r="E491" s="365"/>
      <c r="F491" s="199"/>
      <c r="G491" s="99" t="s">
        <v>46</v>
      </c>
      <c r="H491" s="201" t="s">
        <v>89</v>
      </c>
      <c r="I491" s="209">
        <v>-73.739999999999995</v>
      </c>
      <c r="J491" s="153">
        <f t="shared" si="29"/>
        <v>-4629.6099999999988</v>
      </c>
      <c r="K491" s="18"/>
      <c r="R491" s="20"/>
      <c r="S491" s="48"/>
      <c r="T491" s="18"/>
      <c r="U491" s="80"/>
      <c r="V491" s="51"/>
      <c r="W491" s="20"/>
      <c r="X491" s="18"/>
      <c r="Y491" s="18"/>
      <c r="Z491" s="18"/>
      <c r="AA491" s="18"/>
      <c r="AB491" s="18"/>
      <c r="AC491" s="18"/>
      <c r="AD491" s="18"/>
    </row>
    <row r="492" spans="1:30" ht="12.75" customHeight="1" x14ac:dyDescent="0.2">
      <c r="A492" s="100"/>
      <c r="B492" s="100"/>
      <c r="C492" s="100"/>
      <c r="D492" s="189"/>
      <c r="E492" s="23"/>
      <c r="F492" s="199"/>
      <c r="G492" s="99" t="s">
        <v>47</v>
      </c>
      <c r="H492" s="89" t="s">
        <v>81</v>
      </c>
      <c r="I492" s="110">
        <v>-52.28</v>
      </c>
      <c r="J492" s="156">
        <f t="shared" si="29"/>
        <v>-4681.8899999999985</v>
      </c>
      <c r="K492" s="18"/>
      <c r="R492" s="20"/>
      <c r="S492" s="48"/>
      <c r="T492" s="18"/>
      <c r="U492" s="80"/>
      <c r="V492" s="51"/>
      <c r="W492" s="20"/>
      <c r="X492" s="18"/>
      <c r="Y492" s="18"/>
      <c r="Z492" s="18"/>
      <c r="AA492" s="18"/>
      <c r="AB492" s="18"/>
      <c r="AC492" s="18"/>
      <c r="AD492" s="18"/>
    </row>
    <row r="493" spans="1:30" ht="12.75" customHeight="1" x14ac:dyDescent="0.2">
      <c r="A493" s="100"/>
      <c r="B493" s="100"/>
      <c r="C493" s="100"/>
      <c r="D493" s="341"/>
      <c r="E493" s="23"/>
      <c r="F493" s="199"/>
      <c r="H493" s="19"/>
      <c r="I493" s="73">
        <f>SUM(I447:I492)</f>
        <v>-4681.8899999999985</v>
      </c>
      <c r="J493" s="170">
        <f>J492-I485-I486</f>
        <v>1118.1100000000015</v>
      </c>
      <c r="K493" s="18"/>
      <c r="R493" s="20"/>
      <c r="S493" s="48"/>
      <c r="T493" s="18"/>
      <c r="U493" s="80"/>
      <c r="V493" s="51"/>
      <c r="W493" s="20"/>
      <c r="X493" s="18"/>
      <c r="Y493" s="18"/>
      <c r="Z493" s="18"/>
      <c r="AA493" s="18"/>
      <c r="AB493" s="18"/>
      <c r="AC493" s="18"/>
      <c r="AD493" s="18"/>
    </row>
    <row r="494" spans="1:30" s="42" customFormat="1" x14ac:dyDescent="0.2">
      <c r="E494" s="15"/>
      <c r="G494" s="83"/>
      <c r="I494" s="15"/>
      <c r="L494" s="15"/>
      <c r="M494" s="15"/>
      <c r="N494" s="15"/>
      <c r="O494" s="118"/>
      <c r="U494" s="15"/>
      <c r="V494" s="65"/>
      <c r="W494" s="15"/>
    </row>
    <row r="496" spans="1:30" ht="12.75" customHeight="1" x14ac:dyDescent="0.2">
      <c r="B496" s="419" t="s">
        <v>449</v>
      </c>
      <c r="C496" s="419"/>
      <c r="D496" s="419"/>
      <c r="E496" s="419"/>
      <c r="G496" s="84"/>
      <c r="H496" s="54"/>
      <c r="I496" s="420" t="s">
        <v>33</v>
      </c>
      <c r="J496" s="386"/>
      <c r="K496" s="191"/>
      <c r="L496" s="422" t="s">
        <v>30</v>
      </c>
      <c r="M496" s="424" t="s">
        <v>97</v>
      </c>
      <c r="N496" s="424"/>
      <c r="O496" s="116"/>
      <c r="S496" s="24"/>
      <c r="T496" s="24"/>
      <c r="U496" s="20"/>
      <c r="V496" s="192"/>
      <c r="W496" s="20"/>
      <c r="X496" s="18"/>
      <c r="Y496" s="18"/>
      <c r="Z496" s="18"/>
      <c r="AA496" s="18"/>
      <c r="AB496" s="18"/>
      <c r="AC496" s="18"/>
      <c r="AD496" s="18"/>
    </row>
    <row r="497" spans="1:30" ht="12.75" customHeight="1" x14ac:dyDescent="0.2">
      <c r="C497" s="16" t="s">
        <v>77</v>
      </c>
      <c r="D497" s="14"/>
      <c r="E497" s="171">
        <v>9000</v>
      </c>
      <c r="G497" s="85" t="s">
        <v>49</v>
      </c>
      <c r="H497" s="72"/>
      <c r="I497" s="421"/>
      <c r="J497" s="386" t="s">
        <v>26</v>
      </c>
      <c r="K497" s="191"/>
      <c r="L497" s="423"/>
      <c r="M497" s="387" t="s">
        <v>26</v>
      </c>
      <c r="N497" s="388" t="s">
        <v>32</v>
      </c>
      <c r="O497" s="116"/>
      <c r="S497" s="61"/>
      <c r="T497" s="57"/>
      <c r="U497" s="60"/>
      <c r="V497" s="46"/>
      <c r="W497" s="47"/>
      <c r="X497" s="18"/>
      <c r="Y497" s="26"/>
      <c r="Z497" s="18"/>
      <c r="AA497" s="18"/>
      <c r="AB497" s="18"/>
      <c r="AC497" s="18"/>
      <c r="AD497" s="18"/>
    </row>
    <row r="498" spans="1:30" ht="12.75" customHeight="1" x14ac:dyDescent="0.2">
      <c r="C498" s="16"/>
      <c r="D498" s="14" t="s">
        <v>11</v>
      </c>
      <c r="E498" s="30"/>
      <c r="G498" s="90"/>
      <c r="H498" s="78" t="s">
        <v>52</v>
      </c>
      <c r="I498" s="28">
        <f>$J$492</f>
        <v>-4681.8899999999985</v>
      </c>
      <c r="J498" s="37">
        <f>I498</f>
        <v>-4681.8899999999985</v>
      </c>
      <c r="K498" s="20"/>
      <c r="L498" s="28">
        <f>$M$473</f>
        <v>-27952.35999999999</v>
      </c>
      <c r="M498" s="37">
        <f>L498</f>
        <v>-27952.35999999999</v>
      </c>
      <c r="N498" s="28">
        <f>28000+M498</f>
        <v>47.640000000010332</v>
      </c>
      <c r="O498" s="117" t="s">
        <v>67</v>
      </c>
      <c r="P498" s="111" t="s">
        <v>68</v>
      </c>
      <c r="Q498" s="42"/>
      <c r="R498" s="120"/>
      <c r="S498" s="57"/>
      <c r="T498" s="57"/>
      <c r="U498" s="28"/>
      <c r="V498" s="149"/>
      <c r="W498" s="20"/>
      <c r="X498" s="18"/>
      <c r="Y498" s="49"/>
      <c r="Z498" s="50"/>
      <c r="AA498" s="18"/>
      <c r="AB498" s="18"/>
      <c r="AC498" s="18"/>
      <c r="AD498" s="18"/>
    </row>
    <row r="499" spans="1:30" ht="12.75" customHeight="1" x14ac:dyDescent="0.2">
      <c r="C499" s="17" t="s">
        <v>5</v>
      </c>
      <c r="D499" s="14"/>
      <c r="E499" s="14">
        <f>SUM(E497:E498)</f>
        <v>9000</v>
      </c>
      <c r="G499" s="92"/>
      <c r="H499" s="75" t="s">
        <v>451</v>
      </c>
      <c r="I499" s="28">
        <v>-200</v>
      </c>
      <c r="J499" s="153">
        <f t="shared" ref="J499:J555" si="34">J498+I499</f>
        <v>-4881.8899999999985</v>
      </c>
      <c r="K499" s="25"/>
      <c r="L499" s="68">
        <v>-333.46</v>
      </c>
      <c r="M499" s="38">
        <f>M498+L499</f>
        <v>-28285.819999999989</v>
      </c>
      <c r="N499" s="28">
        <f>28000+M499</f>
        <v>-285.8199999999888</v>
      </c>
      <c r="O499" s="113" t="s">
        <v>61</v>
      </c>
      <c r="P499" s="120"/>
      <c r="Q499" s="18"/>
      <c r="R499" s="57"/>
      <c r="S499" s="57"/>
      <c r="T499" s="58"/>
      <c r="U499" s="31"/>
      <c r="V499" s="150"/>
      <c r="W499" s="20"/>
      <c r="X499" s="18"/>
      <c r="Y499" s="49"/>
      <c r="Z499" s="50"/>
      <c r="AA499" s="18"/>
      <c r="AB499" s="18"/>
      <c r="AC499" s="18"/>
      <c r="AD499" s="18"/>
    </row>
    <row r="500" spans="1:30" ht="12.75" customHeight="1" x14ac:dyDescent="0.2">
      <c r="A500" s="98"/>
      <c r="G500" s="92"/>
      <c r="H500" s="75" t="s">
        <v>452</v>
      </c>
      <c r="I500" s="28">
        <v>-500</v>
      </c>
      <c r="J500" s="153">
        <f t="shared" si="34"/>
        <v>-5381.8899999999985</v>
      </c>
      <c r="K500" s="81"/>
      <c r="L500" s="68">
        <v>1000</v>
      </c>
      <c r="M500" s="38">
        <f t="shared" ref="M500:M502" si="35">M499+L500</f>
        <v>-27285.819999999989</v>
      </c>
      <c r="N500" s="28">
        <f>28000+M500</f>
        <v>714.1800000000112</v>
      </c>
      <c r="O500" s="113" t="s">
        <v>58</v>
      </c>
      <c r="P500" s="120"/>
      <c r="Q500" s="18"/>
      <c r="R500" s="58"/>
      <c r="S500" s="58"/>
      <c r="T500" s="58"/>
      <c r="U500" s="31"/>
      <c r="V500" s="150"/>
      <c r="W500" s="20"/>
      <c r="X500" s="18"/>
      <c r="Y500" s="49"/>
      <c r="Z500" s="50"/>
      <c r="AA500" s="18"/>
      <c r="AB500" s="18"/>
      <c r="AC500" s="18"/>
      <c r="AD500" s="18"/>
    </row>
    <row r="501" spans="1:30" ht="12.75" customHeight="1" x14ac:dyDescent="0.2">
      <c r="A501" s="98"/>
      <c r="C501" s="43" t="s">
        <v>9</v>
      </c>
      <c r="E501" s="27"/>
      <c r="G501" s="92"/>
      <c r="H501" s="75" t="s">
        <v>70</v>
      </c>
      <c r="I501" s="28">
        <f>-89</f>
        <v>-89</v>
      </c>
      <c r="J501" s="153">
        <f t="shared" si="34"/>
        <v>-5470.8899999999985</v>
      </c>
      <c r="K501" s="81"/>
      <c r="L501" s="68">
        <v>-115.44</v>
      </c>
      <c r="M501" s="38">
        <f t="shared" si="35"/>
        <v>-27401.259999999987</v>
      </c>
      <c r="N501" s="28">
        <f>28000+M501</f>
        <v>598.74000000001251</v>
      </c>
      <c r="O501" s="113" t="s">
        <v>63</v>
      </c>
      <c r="P501" s="120"/>
      <c r="Q501" s="18"/>
      <c r="R501" s="55"/>
      <c r="S501" s="57"/>
      <c r="T501" s="58"/>
      <c r="U501" s="31"/>
      <c r="V501" s="150"/>
      <c r="W501" s="52"/>
      <c r="X501" s="18"/>
      <c r="Y501" s="53"/>
      <c r="Z501" s="50"/>
      <c r="AA501" s="18"/>
      <c r="AB501" s="18"/>
      <c r="AC501" s="18"/>
      <c r="AD501" s="18"/>
    </row>
    <row r="502" spans="1:30" ht="12.75" customHeight="1" x14ac:dyDescent="0.2">
      <c r="A502" s="98"/>
      <c r="D502" s="18" t="s">
        <v>7</v>
      </c>
      <c r="E502" s="27">
        <f>E497</f>
        <v>9000</v>
      </c>
      <c r="G502" s="92"/>
      <c r="H502" s="75" t="s">
        <v>383</v>
      </c>
      <c r="I502" s="28">
        <f>-55-1.1</f>
        <v>-56.1</v>
      </c>
      <c r="J502" s="153">
        <f t="shared" si="34"/>
        <v>-5526.9899999999989</v>
      </c>
      <c r="K502" s="81"/>
      <c r="L502" s="68">
        <v>-117.8</v>
      </c>
      <c r="M502" s="39">
        <f t="shared" si="35"/>
        <v>-27519.059999999987</v>
      </c>
      <c r="N502" s="215">
        <f>28000+M502</f>
        <v>480.94000000001324</v>
      </c>
      <c r="O502" s="113" t="s">
        <v>102</v>
      </c>
      <c r="P502" s="120"/>
      <c r="Q502" s="20"/>
      <c r="R502" s="57"/>
      <c r="S502" s="57"/>
      <c r="T502" s="58"/>
      <c r="U502" s="31"/>
      <c r="V502" s="150"/>
      <c r="W502" s="20"/>
      <c r="X502" s="18"/>
      <c r="Y502" s="26"/>
      <c r="Z502" s="50"/>
      <c r="AA502" s="18"/>
      <c r="AB502" s="18"/>
      <c r="AC502" s="18"/>
      <c r="AD502" s="18"/>
    </row>
    <row r="503" spans="1:30" ht="12.75" customHeight="1" x14ac:dyDescent="0.2">
      <c r="A503" s="98"/>
      <c r="D503" s="42" t="s">
        <v>6</v>
      </c>
      <c r="E503" s="147"/>
      <c r="G503" s="92"/>
      <c r="H503" s="75" t="s">
        <v>453</v>
      </c>
      <c r="I503" s="28">
        <v>-150</v>
      </c>
      <c r="J503" s="153">
        <f t="shared" si="34"/>
        <v>-5676.9899999999989</v>
      </c>
      <c r="K503" s="81"/>
      <c r="L503" s="291">
        <f>SUM(L498:L502)</f>
        <v>-27519.059999999987</v>
      </c>
      <c r="M503" s="91"/>
      <c r="N503" s="96"/>
      <c r="O503" s="113"/>
      <c r="P503" s="119"/>
      <c r="Q503" s="81"/>
      <c r="R503" s="18"/>
      <c r="S503" s="18"/>
      <c r="T503" s="58"/>
      <c r="U503" s="80"/>
      <c r="V503" s="51"/>
      <c r="W503" s="20"/>
      <c r="X503" s="18"/>
      <c r="Y503" s="49"/>
      <c r="Z503" s="50"/>
      <c r="AA503" s="18"/>
      <c r="AB503" s="18"/>
      <c r="AC503" s="18"/>
      <c r="AD503" s="18"/>
    </row>
    <row r="504" spans="1:30" ht="12.75" customHeight="1" x14ac:dyDescent="0.2">
      <c r="A504" s="98"/>
      <c r="D504" s="18"/>
      <c r="E504" s="154"/>
      <c r="G504" s="92"/>
      <c r="H504" s="75" t="s">
        <v>383</v>
      </c>
      <c r="I504" s="28">
        <v>-121.1</v>
      </c>
      <c r="J504" s="153">
        <f t="shared" si="34"/>
        <v>-5798.0899999999992</v>
      </c>
      <c r="K504" s="81"/>
      <c r="L504" s="194"/>
      <c r="M504" s="91"/>
      <c r="N504" s="96"/>
      <c r="O504" s="113"/>
      <c r="P504" s="119"/>
      <c r="Q504" s="81"/>
      <c r="R504" s="18"/>
      <c r="S504" s="18"/>
      <c r="T504" s="58"/>
      <c r="U504" s="80"/>
      <c r="V504" s="51"/>
      <c r="W504" s="20"/>
      <c r="X504" s="18"/>
      <c r="Y504" s="49"/>
      <c r="Z504" s="50"/>
      <c r="AA504" s="18"/>
      <c r="AB504" s="18"/>
      <c r="AC504" s="18"/>
      <c r="AD504" s="18"/>
    </row>
    <row r="505" spans="1:30" ht="12.75" customHeight="1" x14ac:dyDescent="0.2">
      <c r="A505" s="100"/>
      <c r="B505" s="100"/>
      <c r="C505" s="100"/>
      <c r="D505" s="189"/>
      <c r="E505" s="68"/>
      <c r="G505" s="84"/>
      <c r="H505" s="86" t="s">
        <v>456</v>
      </c>
      <c r="I505" s="28">
        <v>2000</v>
      </c>
      <c r="J505" s="153">
        <f t="shared" si="34"/>
        <v>-3798.0899999999992</v>
      </c>
      <c r="K505" s="81"/>
      <c r="L505" s="194"/>
      <c r="M505" s="91"/>
      <c r="N505" s="96"/>
      <c r="O505" s="113"/>
      <c r="P505" s="119"/>
      <c r="Q505" s="81"/>
      <c r="R505" s="20"/>
      <c r="S505" s="48"/>
      <c r="T505" s="18"/>
      <c r="U505" s="80"/>
      <c r="V505" s="51"/>
      <c r="W505" s="20"/>
      <c r="X505" s="18"/>
      <c r="Y505" s="18"/>
      <c r="Z505" s="18"/>
      <c r="AA505" s="18"/>
      <c r="AB505" s="18"/>
      <c r="AC505" s="18"/>
      <c r="AD505" s="18"/>
    </row>
    <row r="506" spans="1:30" ht="12.75" customHeight="1" x14ac:dyDescent="0.2">
      <c r="A506" s="100"/>
      <c r="B506" s="100"/>
      <c r="C506" s="100"/>
      <c r="D506" s="189"/>
      <c r="E506" s="68"/>
      <c r="G506" s="84"/>
      <c r="H506" s="86" t="s">
        <v>383</v>
      </c>
      <c r="I506" s="28">
        <f>-110-1.1-110-110-1.1-1.1</f>
        <v>-333.30000000000007</v>
      </c>
      <c r="J506" s="153">
        <f t="shared" si="34"/>
        <v>-4131.3899999999994</v>
      </c>
      <c r="K506" s="81"/>
      <c r="L506" s="194"/>
      <c r="M506" s="91"/>
      <c r="N506" s="96"/>
      <c r="O506" s="113"/>
      <c r="P506" s="119"/>
      <c r="Q506" s="81"/>
      <c r="R506" s="20"/>
      <c r="S506" s="48"/>
      <c r="T506" s="18"/>
      <c r="U506" s="80"/>
      <c r="V506" s="51"/>
      <c r="W506" s="20"/>
      <c r="X506" s="18"/>
      <c r="Y506" s="18"/>
      <c r="Z506" s="18"/>
      <c r="AA506" s="18"/>
      <c r="AB506" s="18"/>
      <c r="AC506" s="18"/>
      <c r="AD506" s="18"/>
    </row>
    <row r="507" spans="1:30" ht="12.75" customHeight="1" x14ac:dyDescent="0.2">
      <c r="A507" s="100"/>
      <c r="B507" s="100"/>
      <c r="C507" s="100"/>
      <c r="D507" s="189"/>
      <c r="E507" s="68"/>
      <c r="G507" s="84"/>
      <c r="H507" s="86" t="s">
        <v>459</v>
      </c>
      <c r="I507" s="28">
        <f>-463.48-89.7-140.6-202.44</f>
        <v>-896.22</v>
      </c>
      <c r="J507" s="153">
        <f t="shared" si="34"/>
        <v>-5027.6099999999997</v>
      </c>
      <c r="K507" s="81"/>
      <c r="L507" s="194"/>
      <c r="M507" s="91"/>
      <c r="N507" s="96"/>
      <c r="O507" s="113"/>
      <c r="P507" s="119"/>
      <c r="Q507" s="81"/>
      <c r="R507" s="20"/>
      <c r="S507" s="48"/>
      <c r="T507" s="18"/>
      <c r="U507" s="80"/>
      <c r="V507" s="51"/>
      <c r="W507" s="20"/>
      <c r="X507" s="18"/>
      <c r="Y507" s="18"/>
      <c r="Z507" s="18"/>
      <c r="AA507" s="18"/>
      <c r="AB507" s="18"/>
      <c r="AC507" s="18"/>
      <c r="AD507" s="18"/>
    </row>
    <row r="508" spans="1:30" ht="12.75" customHeight="1" x14ac:dyDescent="0.2">
      <c r="A508" s="100"/>
      <c r="B508" s="100"/>
      <c r="C508" s="100"/>
      <c r="D508" s="189"/>
      <c r="E508" s="68"/>
      <c r="G508" s="84"/>
      <c r="H508" s="86" t="s">
        <v>460</v>
      </c>
      <c r="I508" s="28">
        <f>-500-9</f>
        <v>-509</v>
      </c>
      <c r="J508" s="153">
        <f t="shared" si="34"/>
        <v>-5536.61</v>
      </c>
      <c r="K508" s="81"/>
      <c r="L508" s="194"/>
      <c r="M508" s="91"/>
      <c r="N508" s="96"/>
      <c r="O508" s="113"/>
      <c r="P508" s="119"/>
      <c r="Q508" s="81"/>
      <c r="R508" s="20"/>
      <c r="S508" s="48"/>
      <c r="T508" s="18"/>
      <c r="U508" s="80"/>
      <c r="V508" s="51"/>
      <c r="W508" s="20"/>
      <c r="X508" s="18"/>
      <c r="Y508" s="18"/>
      <c r="Z508" s="18"/>
      <c r="AA508" s="18"/>
      <c r="AB508" s="18"/>
      <c r="AC508" s="18"/>
      <c r="AD508" s="18"/>
    </row>
    <row r="509" spans="1:30" ht="12.75" customHeight="1" x14ac:dyDescent="0.2">
      <c r="A509" s="100"/>
      <c r="B509" s="100"/>
      <c r="C509" s="100"/>
      <c r="D509" s="189"/>
      <c r="E509" s="68"/>
      <c r="G509" s="84"/>
      <c r="H509" s="86" t="s">
        <v>457</v>
      </c>
      <c r="I509" s="28">
        <v>30000</v>
      </c>
      <c r="J509" s="153">
        <f t="shared" si="34"/>
        <v>24463.39</v>
      </c>
      <c r="K509" s="81"/>
      <c r="L509" s="194"/>
      <c r="M509" s="91"/>
      <c r="N509" s="96"/>
      <c r="O509" s="113"/>
      <c r="P509" s="119"/>
      <c r="Q509" s="81"/>
      <c r="R509" s="20"/>
      <c r="S509" s="48"/>
      <c r="T509" s="18"/>
      <c r="U509" s="80"/>
      <c r="V509" s="51"/>
      <c r="W509" s="20"/>
      <c r="X509" s="18"/>
      <c r="Y509" s="18"/>
      <c r="Z509" s="18"/>
      <c r="AA509" s="18"/>
      <c r="AB509" s="18"/>
      <c r="AC509" s="18"/>
      <c r="AD509" s="18"/>
    </row>
    <row r="510" spans="1:30" ht="12.75" customHeight="1" x14ac:dyDescent="0.2">
      <c r="A510" s="100"/>
      <c r="B510" s="100"/>
      <c r="C510" s="100"/>
      <c r="D510" s="189"/>
      <c r="E510" s="68"/>
      <c r="G510" s="84"/>
      <c r="H510" s="75" t="s">
        <v>39</v>
      </c>
      <c r="I510" s="28">
        <v>-1000</v>
      </c>
      <c r="J510" s="153">
        <f t="shared" si="34"/>
        <v>23463.39</v>
      </c>
      <c r="K510" s="81"/>
      <c r="L510" s="194"/>
      <c r="M510" s="91"/>
      <c r="N510" s="96"/>
      <c r="O510" s="113"/>
      <c r="P510" s="119"/>
      <c r="Q510" s="81"/>
      <c r="R510" s="20"/>
      <c r="S510" s="48"/>
      <c r="T510" s="18"/>
      <c r="U510" s="80"/>
      <c r="V510" s="51"/>
      <c r="W510" s="20"/>
      <c r="X510" s="18"/>
      <c r="Y510" s="18"/>
      <c r="Z510" s="18"/>
      <c r="AA510" s="18"/>
      <c r="AB510" s="18"/>
      <c r="AC510" s="18"/>
      <c r="AD510" s="18"/>
    </row>
    <row r="511" spans="1:30" ht="12.75" customHeight="1" x14ac:dyDescent="0.2">
      <c r="A511" s="100"/>
      <c r="B511" s="100"/>
      <c r="C511" s="100"/>
      <c r="D511" s="189"/>
      <c r="E511" s="68"/>
      <c r="G511" s="84"/>
      <c r="H511" s="75" t="s">
        <v>461</v>
      </c>
      <c r="I511" s="28">
        <v>-20000</v>
      </c>
      <c r="J511" s="153">
        <f t="shared" si="34"/>
        <v>3463.3899999999994</v>
      </c>
      <c r="K511" s="81"/>
      <c r="L511" s="194"/>
      <c r="M511" s="91"/>
      <c r="N511" s="96"/>
      <c r="O511" s="113"/>
      <c r="P511" s="119"/>
      <c r="Q511" s="81"/>
      <c r="R511" s="20"/>
      <c r="S511" s="48"/>
      <c r="T511" s="18"/>
      <c r="U511" s="80"/>
      <c r="V511" s="51"/>
      <c r="W511" s="20"/>
      <c r="X511" s="18"/>
      <c r="Y511" s="18"/>
      <c r="Z511" s="18"/>
      <c r="AA511" s="18"/>
      <c r="AB511" s="18"/>
      <c r="AC511" s="18"/>
      <c r="AD511" s="18"/>
    </row>
    <row r="512" spans="1:30" ht="12.75" customHeight="1" x14ac:dyDescent="0.2">
      <c r="A512" s="100"/>
      <c r="B512" s="100"/>
      <c r="C512" s="100"/>
      <c r="D512" s="189"/>
      <c r="E512" s="68"/>
      <c r="G512" s="84"/>
      <c r="H512" s="75" t="s">
        <v>458</v>
      </c>
      <c r="I512" s="28">
        <v>-700</v>
      </c>
      <c r="J512" s="153">
        <f t="shared" si="34"/>
        <v>2763.3899999999994</v>
      </c>
      <c r="K512" s="81"/>
      <c r="L512" s="194"/>
      <c r="M512" s="91"/>
      <c r="N512" s="96"/>
      <c r="O512" s="113"/>
      <c r="P512" s="119"/>
      <c r="Q512" s="81"/>
      <c r="R512" s="20"/>
      <c r="S512" s="48"/>
      <c r="T512" s="18"/>
      <c r="U512" s="80"/>
      <c r="V512" s="51"/>
      <c r="W512" s="20"/>
      <c r="X512" s="18"/>
      <c r="Y512" s="18"/>
      <c r="Z512" s="18"/>
      <c r="AA512" s="18"/>
      <c r="AB512" s="18"/>
      <c r="AC512" s="18"/>
      <c r="AD512" s="18"/>
    </row>
    <row r="513" spans="1:30" ht="12.75" customHeight="1" x14ac:dyDescent="0.2">
      <c r="A513" s="100"/>
      <c r="B513" s="100"/>
      <c r="C513" s="100"/>
      <c r="D513" s="189"/>
      <c r="E513" s="68"/>
      <c r="G513" s="84"/>
      <c r="H513" s="75" t="s">
        <v>462</v>
      </c>
      <c r="I513" s="28">
        <v>-500</v>
      </c>
      <c r="J513" s="153">
        <f t="shared" si="34"/>
        <v>2263.3899999999994</v>
      </c>
      <c r="K513" s="81"/>
      <c r="L513" s="194"/>
      <c r="M513" s="91"/>
      <c r="N513" s="96"/>
      <c r="O513" s="113"/>
      <c r="P513" s="119"/>
      <c r="Q513" s="81"/>
      <c r="R513" s="20"/>
      <c r="S513" s="48"/>
      <c r="T513" s="18"/>
      <c r="U513" s="80"/>
      <c r="V513" s="51"/>
      <c r="W513" s="20"/>
      <c r="X513" s="18"/>
      <c r="Y513" s="18"/>
      <c r="Z513" s="18"/>
      <c r="AA513" s="18"/>
      <c r="AB513" s="18"/>
      <c r="AC513" s="18"/>
      <c r="AD513" s="18"/>
    </row>
    <row r="514" spans="1:30" ht="12.75" customHeight="1" x14ac:dyDescent="0.2">
      <c r="A514" s="100"/>
      <c r="B514" s="100"/>
      <c r="C514" s="100"/>
      <c r="D514" s="189"/>
      <c r="E514" s="68"/>
      <c r="G514" s="84"/>
      <c r="H514" s="75" t="s">
        <v>383</v>
      </c>
      <c r="I514" s="28">
        <f>-275-1.1</f>
        <v>-276.10000000000002</v>
      </c>
      <c r="J514" s="153">
        <f t="shared" si="34"/>
        <v>1987.2899999999995</v>
      </c>
      <c r="K514" s="81"/>
      <c r="L514" s="194"/>
      <c r="M514" s="91"/>
      <c r="N514" s="96"/>
      <c r="O514" s="113"/>
      <c r="P514" s="119"/>
      <c r="Q514" s="81"/>
      <c r="R514" s="20"/>
      <c r="S514" s="48"/>
      <c r="T514" s="18"/>
      <c r="U514" s="80"/>
      <c r="V514" s="51"/>
      <c r="W514" s="20"/>
      <c r="X514" s="18"/>
      <c r="Y514" s="18"/>
      <c r="Z514" s="18"/>
      <c r="AA514" s="18"/>
      <c r="AB514" s="18"/>
      <c r="AC514" s="18"/>
      <c r="AD514" s="18"/>
    </row>
    <row r="515" spans="1:30" ht="12.75" customHeight="1" x14ac:dyDescent="0.2">
      <c r="A515" s="100"/>
      <c r="B515" s="100"/>
      <c r="C515" s="100"/>
      <c r="D515" s="189"/>
      <c r="E515" s="68"/>
      <c r="G515" s="84"/>
      <c r="H515" s="75" t="s">
        <v>463</v>
      </c>
      <c r="I515" s="28">
        <v>-140</v>
      </c>
      <c r="J515" s="153">
        <f t="shared" si="34"/>
        <v>1847.2899999999995</v>
      </c>
      <c r="K515" s="81"/>
      <c r="L515" s="194"/>
      <c r="M515" s="91"/>
      <c r="N515" s="96"/>
      <c r="O515" s="113"/>
      <c r="P515" s="119"/>
      <c r="Q515" s="81"/>
      <c r="R515" s="20"/>
      <c r="S515" s="48"/>
      <c r="T515" s="18"/>
      <c r="U515" s="80"/>
      <c r="V515" s="51"/>
      <c r="W515" s="20"/>
      <c r="X515" s="18"/>
      <c r="Y515" s="18"/>
      <c r="Z515" s="18"/>
      <c r="AA515" s="18"/>
      <c r="AB515" s="18"/>
      <c r="AC515" s="18"/>
      <c r="AD515" s="18"/>
    </row>
    <row r="516" spans="1:30" ht="12.75" customHeight="1" x14ac:dyDescent="0.2">
      <c r="A516" s="100"/>
      <c r="B516" s="100"/>
      <c r="C516" s="100"/>
      <c r="D516" s="189"/>
      <c r="E516" s="68"/>
      <c r="G516" s="84"/>
      <c r="H516" s="75" t="s">
        <v>466</v>
      </c>
      <c r="I516" s="28">
        <f>-75-52</f>
        <v>-127</v>
      </c>
      <c r="J516" s="153">
        <f t="shared" si="34"/>
        <v>1720.2899999999995</v>
      </c>
      <c r="K516" s="81"/>
      <c r="L516" s="194"/>
      <c r="M516" s="91"/>
      <c r="N516" s="96"/>
      <c r="O516" s="113"/>
      <c r="P516" s="119"/>
      <c r="Q516" s="81"/>
      <c r="R516" s="20"/>
      <c r="S516" s="48"/>
      <c r="T516" s="18"/>
      <c r="U516" s="80"/>
      <c r="V516" s="51"/>
      <c r="W516" s="20"/>
      <c r="X516" s="18"/>
      <c r="Y516" s="18"/>
      <c r="Z516" s="18"/>
      <c r="AA516" s="18"/>
      <c r="AB516" s="18"/>
      <c r="AC516" s="18"/>
      <c r="AD516" s="18"/>
    </row>
    <row r="517" spans="1:30" ht="12.75" customHeight="1" x14ac:dyDescent="0.2">
      <c r="A517" s="100"/>
      <c r="B517" s="100"/>
      <c r="C517" s="100"/>
      <c r="D517" s="189"/>
      <c r="E517" s="68"/>
      <c r="G517" s="84"/>
      <c r="H517" s="75" t="s">
        <v>464</v>
      </c>
      <c r="I517" s="28">
        <f>-131.91-180.49</f>
        <v>-312.39999999999998</v>
      </c>
      <c r="J517" s="153">
        <f t="shared" si="34"/>
        <v>1407.8899999999994</v>
      </c>
      <c r="K517" s="81"/>
      <c r="L517" s="194"/>
      <c r="M517" s="91"/>
      <c r="N517" s="96"/>
      <c r="O517" s="113"/>
      <c r="P517" s="119"/>
      <c r="Q517" s="81"/>
      <c r="R517" s="20"/>
      <c r="S517" s="48"/>
      <c r="T517" s="18"/>
      <c r="U517" s="80"/>
      <c r="V517" s="51"/>
      <c r="W517" s="20"/>
      <c r="X517" s="18"/>
      <c r="Y517" s="18"/>
      <c r="Z517" s="18"/>
      <c r="AA517" s="18"/>
      <c r="AB517" s="18"/>
      <c r="AC517" s="18"/>
      <c r="AD517" s="18"/>
    </row>
    <row r="518" spans="1:30" ht="12.75" customHeight="1" x14ac:dyDescent="0.2">
      <c r="A518" s="100"/>
      <c r="B518" s="100"/>
      <c r="C518" s="100"/>
      <c r="D518" s="189"/>
      <c r="E518" s="68"/>
      <c r="G518" s="84"/>
      <c r="H518" s="75" t="s">
        <v>465</v>
      </c>
      <c r="I518" s="28">
        <v>-150</v>
      </c>
      <c r="J518" s="153">
        <f t="shared" si="34"/>
        <v>1257.8899999999994</v>
      </c>
      <c r="K518" s="81"/>
      <c r="L518" s="194"/>
      <c r="M518" s="91"/>
      <c r="N518" s="96"/>
      <c r="O518" s="113"/>
      <c r="P518" s="119"/>
      <c r="Q518" s="81"/>
      <c r="R518" s="20"/>
      <c r="S518" s="48"/>
      <c r="T518" s="18"/>
      <c r="U518" s="80"/>
      <c r="V518" s="51"/>
      <c r="W518" s="20"/>
      <c r="X518" s="18"/>
      <c r="Y518" s="18"/>
      <c r="Z518" s="18"/>
      <c r="AA518" s="18"/>
      <c r="AB518" s="18"/>
      <c r="AC518" s="18"/>
      <c r="AD518" s="18"/>
    </row>
    <row r="519" spans="1:30" ht="12.75" customHeight="1" x14ac:dyDescent="0.2">
      <c r="A519" s="100"/>
      <c r="B519" s="100"/>
      <c r="C519" s="100"/>
      <c r="D519" s="189"/>
      <c r="E519" s="68"/>
      <c r="G519" s="84"/>
      <c r="H519" s="75" t="s">
        <v>467</v>
      </c>
      <c r="I519" s="28">
        <f>-1000-18</f>
        <v>-1018</v>
      </c>
      <c r="J519" s="153">
        <f t="shared" si="34"/>
        <v>239.88999999999942</v>
      </c>
      <c r="K519" s="81"/>
      <c r="L519" s="194"/>
      <c r="M519" s="91"/>
      <c r="N519" s="96"/>
      <c r="O519" s="113"/>
      <c r="P519" s="119"/>
      <c r="Q519" s="81"/>
      <c r="R519" s="20"/>
      <c r="S519" s="48"/>
      <c r="T519" s="18"/>
      <c r="U519" s="80"/>
      <c r="V519" s="51"/>
      <c r="W519" s="20"/>
      <c r="X519" s="18"/>
      <c r="Y519" s="18"/>
      <c r="Z519" s="18"/>
      <c r="AA519" s="18"/>
      <c r="AB519" s="18"/>
      <c r="AC519" s="18"/>
      <c r="AD519" s="18"/>
    </row>
    <row r="520" spans="1:30" ht="12.75" customHeight="1" x14ac:dyDescent="0.2">
      <c r="A520" s="100"/>
      <c r="B520" s="100"/>
      <c r="C520" s="100"/>
      <c r="D520" s="189"/>
      <c r="E520" s="68"/>
      <c r="G520" s="84"/>
      <c r="H520" s="75" t="s">
        <v>468</v>
      </c>
      <c r="I520" s="28">
        <f>-55.9-99.8</f>
        <v>-155.69999999999999</v>
      </c>
      <c r="J520" s="153">
        <f t="shared" si="34"/>
        <v>84.189999999999429</v>
      </c>
      <c r="K520" s="81"/>
      <c r="L520" s="194"/>
      <c r="M520" s="91"/>
      <c r="N520" s="96"/>
      <c r="O520" s="113"/>
      <c r="P520" s="119"/>
      <c r="Q520" s="81"/>
      <c r="R520" s="20"/>
      <c r="S520" s="48"/>
      <c r="T520" s="18"/>
      <c r="U520" s="80"/>
      <c r="V520" s="51"/>
      <c r="W520" s="20"/>
      <c r="X520" s="18"/>
      <c r="Y520" s="18"/>
      <c r="Z520" s="18"/>
      <c r="AA520" s="18"/>
      <c r="AB520" s="18"/>
      <c r="AC520" s="18"/>
      <c r="AD520" s="18"/>
    </row>
    <row r="521" spans="1:30" ht="12.75" customHeight="1" x14ac:dyDescent="0.2">
      <c r="A521" s="100"/>
      <c r="B521" s="100"/>
      <c r="C521" s="100"/>
      <c r="D521" s="189"/>
      <c r="E521" s="68"/>
      <c r="G521" s="84"/>
      <c r="H521" s="75" t="s">
        <v>356</v>
      </c>
      <c r="I521" s="28">
        <v>1000</v>
      </c>
      <c r="J521" s="153">
        <f t="shared" si="34"/>
        <v>1084.1899999999994</v>
      </c>
      <c r="K521" s="81"/>
      <c r="L521" s="194"/>
      <c r="M521" s="91"/>
      <c r="N521" s="96"/>
      <c r="O521" s="113"/>
      <c r="P521" s="119"/>
      <c r="Q521" s="81"/>
      <c r="R521" s="20"/>
      <c r="S521" s="48"/>
      <c r="T521" s="18"/>
      <c r="U521" s="80"/>
      <c r="V521" s="51"/>
      <c r="W521" s="20"/>
      <c r="X521" s="18"/>
      <c r="Y521" s="18"/>
      <c r="Z521" s="18"/>
      <c r="AA521" s="18"/>
      <c r="AB521" s="18"/>
      <c r="AC521" s="18"/>
      <c r="AD521" s="18"/>
    </row>
    <row r="522" spans="1:30" ht="12.75" customHeight="1" x14ac:dyDescent="0.2">
      <c r="A522" s="100"/>
      <c r="B522" s="100"/>
      <c r="C522" s="100"/>
      <c r="D522" s="189"/>
      <c r="E522" s="68"/>
      <c r="G522" s="84"/>
      <c r="H522" s="75" t="s">
        <v>469</v>
      </c>
      <c r="I522" s="28">
        <f>-439.83-67.98-135</f>
        <v>-642.80999999999995</v>
      </c>
      <c r="J522" s="153">
        <f t="shared" si="34"/>
        <v>441.37999999999943</v>
      </c>
      <c r="K522" s="81"/>
      <c r="L522" s="194"/>
      <c r="M522" s="91"/>
      <c r="N522" s="96"/>
      <c r="O522" s="113"/>
      <c r="P522" s="119"/>
      <c r="Q522" s="81"/>
      <c r="R522" s="20"/>
      <c r="S522" s="48"/>
      <c r="T522" s="18"/>
      <c r="U522" s="80"/>
      <c r="V522" s="51"/>
      <c r="W522" s="20"/>
      <c r="X522" s="18"/>
      <c r="Y522" s="18"/>
      <c r="Z522" s="18"/>
      <c r="AA522" s="18"/>
      <c r="AB522" s="18"/>
      <c r="AC522" s="18"/>
      <c r="AD522" s="18"/>
    </row>
    <row r="523" spans="1:30" ht="12.75" customHeight="1" x14ac:dyDescent="0.2">
      <c r="A523" s="100"/>
      <c r="B523" s="100"/>
      <c r="C523" s="100"/>
      <c r="D523" s="189"/>
      <c r="E523" s="68"/>
      <c r="G523" s="84"/>
      <c r="H523" s="75" t="s">
        <v>470</v>
      </c>
      <c r="I523" s="28">
        <v>-127</v>
      </c>
      <c r="J523" s="153">
        <f t="shared" si="34"/>
        <v>314.37999999999943</v>
      </c>
      <c r="K523" s="81"/>
      <c r="L523" s="36"/>
      <c r="M523" s="91"/>
      <c r="N523" s="96"/>
      <c r="O523" s="113"/>
      <c r="P523" s="119"/>
      <c r="Q523" s="81"/>
      <c r="R523" s="20"/>
      <c r="S523" s="48"/>
      <c r="T523" s="18"/>
      <c r="U523" s="80"/>
      <c r="V523" s="51"/>
      <c r="W523" s="20"/>
      <c r="X523" s="18"/>
      <c r="Y523" s="18"/>
      <c r="Z523" s="18"/>
      <c r="AA523" s="18"/>
      <c r="AB523" s="18"/>
      <c r="AC523" s="18"/>
      <c r="AD523" s="18"/>
    </row>
    <row r="524" spans="1:30" ht="12.75" customHeight="1" x14ac:dyDescent="0.2">
      <c r="A524" s="100"/>
      <c r="B524" s="100"/>
      <c r="C524" s="100"/>
      <c r="D524" s="189"/>
      <c r="E524" s="68"/>
      <c r="G524" s="84"/>
      <c r="H524" s="75" t="s">
        <v>460</v>
      </c>
      <c r="I524" s="28">
        <f>-200-6.7-3.6</f>
        <v>-210.29999999999998</v>
      </c>
      <c r="J524" s="153">
        <f t="shared" si="34"/>
        <v>104.07999999999944</v>
      </c>
      <c r="K524" s="81"/>
      <c r="L524" s="302"/>
      <c r="M524" s="54"/>
      <c r="N524" s="195"/>
      <c r="O524" s="278"/>
      <c r="P524" s="119"/>
      <c r="Q524" s="81"/>
      <c r="R524" s="20"/>
      <c r="S524" s="48"/>
      <c r="T524" s="18"/>
      <c r="U524" s="80"/>
      <c r="V524" s="51"/>
      <c r="W524" s="20"/>
      <c r="X524" s="18"/>
      <c r="Y524" s="18"/>
      <c r="Z524" s="18"/>
      <c r="AA524" s="18"/>
      <c r="AB524" s="18"/>
      <c r="AC524" s="18"/>
      <c r="AD524" s="18"/>
    </row>
    <row r="525" spans="1:30" ht="12.75" customHeight="1" x14ac:dyDescent="0.2">
      <c r="A525" s="100"/>
      <c r="B525" s="100"/>
      <c r="C525" s="100"/>
      <c r="D525" s="189"/>
      <c r="E525" s="68"/>
      <c r="G525" s="84"/>
      <c r="H525" s="75" t="s">
        <v>411</v>
      </c>
      <c r="I525" s="28">
        <f>-37.9</f>
        <v>-37.9</v>
      </c>
      <c r="J525" s="153">
        <f t="shared" si="34"/>
        <v>66.179999999999438</v>
      </c>
      <c r="K525" s="81"/>
      <c r="L525" s="302"/>
      <c r="M525" s="54"/>
      <c r="N525" s="195"/>
      <c r="O525" s="278"/>
      <c r="P525" s="119"/>
      <c r="Q525" s="81"/>
      <c r="R525" s="20"/>
      <c r="S525" s="48"/>
      <c r="T525" s="18"/>
      <c r="U525" s="80"/>
      <c r="V525" s="51"/>
      <c r="W525" s="20"/>
      <c r="X525" s="18"/>
      <c r="Y525" s="18"/>
      <c r="Z525" s="18"/>
      <c r="AA525" s="18"/>
      <c r="AB525" s="18"/>
      <c r="AC525" s="18"/>
      <c r="AD525" s="18"/>
    </row>
    <row r="526" spans="1:30" ht="12.75" customHeight="1" x14ac:dyDescent="0.2">
      <c r="A526" s="100"/>
      <c r="B526" s="100"/>
      <c r="C526" s="100"/>
      <c r="D526" s="189"/>
      <c r="E526" s="68"/>
      <c r="G526" s="84"/>
      <c r="H526" s="75" t="s">
        <v>383</v>
      </c>
      <c r="I526" s="28">
        <f>-55-1.1</f>
        <v>-56.1</v>
      </c>
      <c r="J526" s="153">
        <f t="shared" si="34"/>
        <v>10.079999999999437</v>
      </c>
      <c r="K526" s="81"/>
      <c r="L526" s="302"/>
      <c r="M526" s="54"/>
      <c r="N526" s="195"/>
      <c r="O526" s="278"/>
      <c r="P526" s="119"/>
      <c r="Q526" s="81"/>
      <c r="R526" s="20"/>
      <c r="S526" s="48"/>
      <c r="T526" s="18"/>
      <c r="U526" s="80"/>
      <c r="V526" s="51"/>
      <c r="W526" s="20"/>
      <c r="X526" s="18"/>
      <c r="Y526" s="18"/>
      <c r="Z526" s="18"/>
      <c r="AA526" s="18"/>
      <c r="AB526" s="18"/>
      <c r="AC526" s="18"/>
      <c r="AD526" s="18"/>
    </row>
    <row r="527" spans="1:30" ht="12.75" customHeight="1" x14ac:dyDescent="0.2">
      <c r="A527" s="100"/>
      <c r="B527" s="100"/>
      <c r="C527" s="100"/>
      <c r="D527" s="189"/>
      <c r="E527" s="68"/>
      <c r="G527" s="84"/>
      <c r="H527" s="75" t="s">
        <v>11</v>
      </c>
      <c r="I527" s="28">
        <v>300</v>
      </c>
      <c r="J527" s="153">
        <f t="shared" si="34"/>
        <v>310.07999999999942</v>
      </c>
      <c r="K527" s="81"/>
      <c r="L527" s="302"/>
      <c r="M527" s="54"/>
      <c r="N527" s="195"/>
      <c r="O527" s="278"/>
      <c r="P527" s="119"/>
      <c r="Q527" s="81"/>
      <c r="R527" s="20"/>
      <c r="S527" s="48"/>
      <c r="T527" s="18"/>
      <c r="U527" s="80"/>
      <c r="V527" s="51"/>
      <c r="W527" s="20"/>
      <c r="X527" s="18"/>
      <c r="Y527" s="18"/>
      <c r="Z527" s="18"/>
      <c r="AA527" s="18"/>
      <c r="AB527" s="18"/>
      <c r="AC527" s="18"/>
      <c r="AD527" s="18"/>
    </row>
    <row r="528" spans="1:30" ht="12.75" customHeight="1" x14ac:dyDescent="0.2">
      <c r="A528" s="100"/>
      <c r="B528" s="100"/>
      <c r="C528" s="100"/>
      <c r="D528" s="189"/>
      <c r="E528" s="68"/>
      <c r="G528" s="84"/>
      <c r="H528" s="75" t="s">
        <v>471</v>
      </c>
      <c r="I528" s="28">
        <v>-199</v>
      </c>
      <c r="J528" s="153">
        <f t="shared" si="34"/>
        <v>111.07999999999942</v>
      </c>
      <c r="K528" s="81"/>
      <c r="M528" s="54"/>
      <c r="N528" s="195"/>
      <c r="O528" s="278"/>
      <c r="P528" s="119"/>
      <c r="Q528" s="81"/>
      <c r="R528" s="20"/>
      <c r="S528" s="48"/>
      <c r="T528" s="18"/>
      <c r="U528" s="80"/>
      <c r="V528" s="51"/>
      <c r="W528" s="20"/>
      <c r="X528" s="18"/>
      <c r="Y528" s="18"/>
      <c r="Z528" s="18"/>
      <c r="AA528" s="18"/>
      <c r="AB528" s="18"/>
      <c r="AC528" s="18"/>
      <c r="AD528" s="18"/>
    </row>
    <row r="529" spans="1:30" ht="12.75" customHeight="1" x14ac:dyDescent="0.2">
      <c r="A529" s="100"/>
      <c r="B529" s="100"/>
      <c r="C529" s="100"/>
      <c r="D529" s="189"/>
      <c r="E529" s="68"/>
      <c r="G529" s="84"/>
      <c r="H529" s="75" t="s">
        <v>472</v>
      </c>
      <c r="I529" s="28">
        <v>-79.989999999999995</v>
      </c>
      <c r="J529" s="153">
        <f t="shared" si="34"/>
        <v>31.089999999999421</v>
      </c>
      <c r="K529" s="81"/>
      <c r="L529" s="302"/>
      <c r="M529" s="54"/>
      <c r="N529" s="195"/>
      <c r="O529" s="278"/>
      <c r="P529" s="119"/>
      <c r="Q529" s="81"/>
      <c r="R529" s="20"/>
      <c r="S529" s="48"/>
      <c r="T529" s="18"/>
      <c r="U529" s="80"/>
      <c r="V529" s="51"/>
      <c r="W529" s="20"/>
      <c r="X529" s="18"/>
      <c r="Y529" s="18"/>
      <c r="Z529" s="18"/>
      <c r="AA529" s="18"/>
      <c r="AB529" s="18"/>
      <c r="AC529" s="18"/>
      <c r="AD529" s="18"/>
    </row>
    <row r="530" spans="1:30" ht="12.75" customHeight="1" x14ac:dyDescent="0.2">
      <c r="A530" s="100"/>
      <c r="B530" s="100"/>
      <c r="C530" s="100"/>
      <c r="D530" s="189"/>
      <c r="E530" s="68"/>
      <c r="G530" s="84"/>
      <c r="H530" s="75" t="s">
        <v>383</v>
      </c>
      <c r="I530" s="28">
        <f>-29-1.1</f>
        <v>-30.1</v>
      </c>
      <c r="J530" s="153">
        <f t="shared" si="34"/>
        <v>0.98999999999941934</v>
      </c>
      <c r="K530" s="81"/>
      <c r="L530" s="302"/>
      <c r="M530" s="54"/>
      <c r="N530" s="195"/>
      <c r="O530" s="278"/>
      <c r="P530" s="119"/>
      <c r="Q530" s="81"/>
      <c r="R530" s="20"/>
      <c r="S530" s="48"/>
      <c r="T530" s="18"/>
      <c r="U530" s="80"/>
      <c r="V530" s="51"/>
      <c r="W530" s="20"/>
      <c r="X530" s="18"/>
      <c r="Y530" s="18"/>
      <c r="Z530" s="18"/>
      <c r="AA530" s="18"/>
      <c r="AB530" s="18"/>
      <c r="AC530" s="18"/>
      <c r="AD530" s="18"/>
    </row>
    <row r="531" spans="1:30" ht="12.75" customHeight="1" x14ac:dyDescent="0.2">
      <c r="A531" s="100"/>
      <c r="B531" s="100"/>
      <c r="C531" s="100"/>
      <c r="D531" s="189"/>
      <c r="E531" s="68"/>
      <c r="G531" s="84"/>
      <c r="H531" s="75" t="s">
        <v>456</v>
      </c>
      <c r="I531" s="28">
        <v>2931</v>
      </c>
      <c r="J531" s="153">
        <f t="shared" si="34"/>
        <v>2931.9899999999993</v>
      </c>
      <c r="K531" s="81"/>
      <c r="L531" s="302"/>
      <c r="M531" s="54"/>
      <c r="N531" s="195"/>
      <c r="O531" s="278"/>
      <c r="P531" s="119"/>
      <c r="Q531" s="81"/>
      <c r="R531" s="20"/>
      <c r="S531" s="48"/>
      <c r="T531" s="18"/>
      <c r="U531" s="80"/>
      <c r="V531" s="51"/>
      <c r="W531" s="20"/>
      <c r="X531" s="18"/>
      <c r="Y531" s="18"/>
      <c r="Z531" s="18"/>
      <c r="AA531" s="18"/>
      <c r="AB531" s="18"/>
      <c r="AC531" s="18"/>
      <c r="AD531" s="18"/>
    </row>
    <row r="532" spans="1:30" ht="12.75" customHeight="1" x14ac:dyDescent="0.2">
      <c r="A532" s="100"/>
      <c r="B532" s="100"/>
      <c r="C532" s="100"/>
      <c r="D532" s="189"/>
      <c r="E532" s="68"/>
      <c r="G532" s="84"/>
      <c r="H532" s="75" t="s">
        <v>474</v>
      </c>
      <c r="I532" s="28">
        <f>-81.2-482.45-262.97-105.5-439-137.57-42.47-137.1-155.7</f>
        <v>-1843.9599999999998</v>
      </c>
      <c r="J532" s="153">
        <f t="shared" si="34"/>
        <v>1088.0299999999995</v>
      </c>
      <c r="K532" s="81"/>
      <c r="L532" s="302"/>
      <c r="M532" s="54"/>
      <c r="N532" s="195"/>
      <c r="O532" s="278"/>
      <c r="P532" s="119"/>
      <c r="Q532" s="81"/>
      <c r="R532" s="20"/>
      <c r="S532" s="48"/>
      <c r="T532" s="18"/>
      <c r="U532" s="80"/>
      <c r="V532" s="51"/>
      <c r="W532" s="20"/>
      <c r="X532" s="18"/>
      <c r="Y532" s="18"/>
      <c r="Z532" s="18"/>
      <c r="AA532" s="18"/>
      <c r="AB532" s="18"/>
      <c r="AC532" s="18"/>
      <c r="AD532" s="18"/>
    </row>
    <row r="533" spans="1:30" ht="12.75" customHeight="1" x14ac:dyDescent="0.2">
      <c r="A533" s="100"/>
      <c r="B533" s="100"/>
      <c r="C533" s="100"/>
      <c r="D533" s="189"/>
      <c r="E533" s="68"/>
      <c r="G533" s="84"/>
      <c r="H533" s="75" t="s">
        <v>383</v>
      </c>
      <c r="I533" s="28">
        <f>-110-1.1-55-1.1-55-1.1-29-1.1</f>
        <v>-253.39999999999998</v>
      </c>
      <c r="J533" s="153">
        <f t="shared" si="34"/>
        <v>834.62999999999954</v>
      </c>
      <c r="K533" s="81"/>
      <c r="L533" s="302"/>
      <c r="M533" s="54"/>
      <c r="N533" s="195"/>
      <c r="O533" s="278"/>
      <c r="P533" s="119"/>
      <c r="Q533" s="81"/>
      <c r="R533" s="20"/>
      <c r="S533" s="48"/>
      <c r="T533" s="18"/>
      <c r="U533" s="80"/>
      <c r="V533" s="51"/>
      <c r="W533" s="20"/>
      <c r="X533" s="18"/>
      <c r="Y533" s="18"/>
      <c r="Z533" s="18"/>
      <c r="AA533" s="18"/>
      <c r="AB533" s="18"/>
      <c r="AC533" s="18"/>
      <c r="AD533" s="18"/>
    </row>
    <row r="534" spans="1:30" ht="12.75" customHeight="1" x14ac:dyDescent="0.2">
      <c r="A534" s="100"/>
      <c r="B534" s="100"/>
      <c r="C534" s="100"/>
      <c r="D534" s="189"/>
      <c r="E534" s="68"/>
      <c r="G534" s="84"/>
      <c r="H534" s="75" t="s">
        <v>358</v>
      </c>
      <c r="I534" s="28">
        <v>-550</v>
      </c>
      <c r="J534" s="153">
        <f t="shared" si="34"/>
        <v>284.62999999999954</v>
      </c>
      <c r="K534" s="81"/>
      <c r="L534" s="302"/>
      <c r="M534" s="54"/>
      <c r="N534" s="195"/>
      <c r="O534" s="278"/>
      <c r="P534" s="119"/>
      <c r="Q534" s="81"/>
      <c r="R534" s="20"/>
      <c r="S534" s="48"/>
      <c r="T534" s="18"/>
      <c r="U534" s="80"/>
      <c r="V534" s="51"/>
      <c r="W534" s="20"/>
      <c r="X534" s="18"/>
      <c r="Y534" s="18"/>
      <c r="Z534" s="18"/>
      <c r="AA534" s="18"/>
      <c r="AB534" s="18"/>
      <c r="AC534" s="18"/>
      <c r="AD534" s="18"/>
    </row>
    <row r="535" spans="1:30" ht="12.75" customHeight="1" x14ac:dyDescent="0.2">
      <c r="A535" s="100"/>
      <c r="B535" s="100"/>
      <c r="C535" s="100"/>
      <c r="D535" s="189"/>
      <c r="E535" s="68"/>
      <c r="G535" s="84"/>
      <c r="H535" s="75" t="s">
        <v>70</v>
      </c>
      <c r="I535" s="28">
        <v>-200</v>
      </c>
      <c r="J535" s="153">
        <f t="shared" si="34"/>
        <v>84.629999999999541</v>
      </c>
      <c r="K535" s="81"/>
      <c r="L535" s="302"/>
      <c r="M535" s="54"/>
      <c r="N535" s="195"/>
      <c r="O535" s="278"/>
      <c r="P535" s="119"/>
      <c r="Q535" s="81"/>
      <c r="R535" s="20"/>
      <c r="S535" s="48"/>
      <c r="T535" s="18"/>
      <c r="U535" s="80"/>
      <c r="V535" s="51"/>
      <c r="W535" s="20"/>
      <c r="X535" s="18"/>
      <c r="Y535" s="18"/>
      <c r="Z535" s="18"/>
      <c r="AA535" s="18"/>
      <c r="AB535" s="18"/>
      <c r="AC535" s="18"/>
      <c r="AD535" s="18"/>
    </row>
    <row r="536" spans="1:30" ht="12.75" customHeight="1" x14ac:dyDescent="0.2">
      <c r="A536" s="100"/>
      <c r="B536" s="100"/>
      <c r="C536" s="100"/>
      <c r="D536" s="189"/>
      <c r="E536" s="68"/>
      <c r="G536" s="84"/>
      <c r="H536" s="75" t="s">
        <v>477</v>
      </c>
      <c r="I536" s="28">
        <f>-205.86-179.98</f>
        <v>-385.84000000000003</v>
      </c>
      <c r="J536" s="153">
        <f t="shared" si="34"/>
        <v>-301.21000000000049</v>
      </c>
      <c r="K536" s="81"/>
      <c r="L536" s="302"/>
      <c r="M536" s="54"/>
      <c r="N536" s="195"/>
      <c r="O536" s="278"/>
      <c r="P536" s="119"/>
      <c r="Q536" s="81"/>
      <c r="R536" s="20"/>
      <c r="S536" s="48"/>
      <c r="T536" s="18"/>
      <c r="U536" s="80"/>
      <c r="V536" s="51"/>
      <c r="W536" s="20"/>
      <c r="X536" s="18"/>
      <c r="Y536" s="18"/>
      <c r="Z536" s="18"/>
      <c r="AA536" s="18"/>
      <c r="AB536" s="18"/>
      <c r="AC536" s="18"/>
      <c r="AD536" s="18"/>
    </row>
    <row r="537" spans="1:30" ht="12.75" customHeight="1" x14ac:dyDescent="0.2">
      <c r="A537" s="100"/>
      <c r="B537" s="100"/>
      <c r="C537" s="100"/>
      <c r="D537" s="189"/>
      <c r="E537" s="68"/>
      <c r="G537" s="84"/>
      <c r="H537" s="75" t="s">
        <v>468</v>
      </c>
      <c r="I537" s="28">
        <f>-95-300</f>
        <v>-395</v>
      </c>
      <c r="J537" s="153">
        <f t="shared" si="34"/>
        <v>-696.21000000000049</v>
      </c>
      <c r="K537" s="81"/>
      <c r="L537" s="302"/>
      <c r="M537" s="54"/>
      <c r="N537" s="195"/>
      <c r="O537" s="278"/>
      <c r="P537" s="119"/>
      <c r="Q537" s="81"/>
      <c r="R537" s="20"/>
      <c r="S537" s="48"/>
      <c r="T537" s="18"/>
      <c r="U537" s="80"/>
      <c r="V537" s="51"/>
      <c r="W537" s="20"/>
      <c r="X537" s="18"/>
      <c r="Y537" s="18"/>
      <c r="Z537" s="18"/>
      <c r="AA537" s="18"/>
      <c r="AB537" s="18"/>
      <c r="AC537" s="18"/>
      <c r="AD537" s="18"/>
    </row>
    <row r="538" spans="1:30" ht="13.5" customHeight="1" x14ac:dyDescent="0.2">
      <c r="A538" s="100"/>
      <c r="B538" s="100"/>
      <c r="C538" s="100"/>
      <c r="D538" s="189"/>
      <c r="E538" s="68"/>
      <c r="G538" s="84"/>
      <c r="H538" s="86" t="s">
        <v>31</v>
      </c>
      <c r="I538" s="28">
        <v>9000</v>
      </c>
      <c r="J538" s="153">
        <f t="shared" si="34"/>
        <v>8303.7899999999991</v>
      </c>
      <c r="K538" s="81"/>
      <c r="L538" s="302"/>
      <c r="M538" s="54"/>
      <c r="N538" s="195"/>
      <c r="O538" s="278"/>
      <c r="P538" s="119"/>
      <c r="Q538" s="81"/>
      <c r="R538" s="20"/>
      <c r="S538" s="48"/>
      <c r="T538" s="18"/>
      <c r="U538" s="80"/>
      <c r="V538" s="51"/>
      <c r="W538" s="20"/>
      <c r="X538" s="18"/>
      <c r="Y538" s="18"/>
      <c r="Z538" s="18"/>
      <c r="AA538" s="18"/>
      <c r="AB538" s="18"/>
      <c r="AC538" s="18"/>
      <c r="AD538" s="18"/>
    </row>
    <row r="539" spans="1:30" ht="13.5" customHeight="1" x14ac:dyDescent="0.2">
      <c r="A539" s="100"/>
      <c r="B539" s="100"/>
      <c r="C539" s="100"/>
      <c r="D539" s="189"/>
      <c r="E539" s="68"/>
      <c r="G539" s="84"/>
      <c r="H539" s="86" t="s">
        <v>475</v>
      </c>
      <c r="I539" s="28">
        <v>-438</v>
      </c>
      <c r="J539" s="153">
        <f t="shared" si="34"/>
        <v>7865.7899999999991</v>
      </c>
      <c r="K539" s="81"/>
      <c r="L539" s="302"/>
      <c r="M539" s="54"/>
      <c r="N539" s="195"/>
      <c r="O539" s="278"/>
      <c r="P539" s="119"/>
      <c r="Q539" s="81"/>
      <c r="R539" s="20"/>
      <c r="S539" s="48"/>
      <c r="T539" s="18"/>
      <c r="U539" s="80"/>
      <c r="V539" s="51"/>
      <c r="W539" s="20"/>
      <c r="X539" s="18"/>
      <c r="Y539" s="18"/>
      <c r="Z539" s="18"/>
      <c r="AA539" s="18"/>
      <c r="AB539" s="18"/>
      <c r="AC539" s="18"/>
      <c r="AD539" s="18"/>
    </row>
    <row r="540" spans="1:30" ht="12.75" customHeight="1" x14ac:dyDescent="0.2">
      <c r="A540" s="100"/>
      <c r="B540" s="100"/>
      <c r="C540" s="100"/>
      <c r="D540" s="189"/>
      <c r="E540" s="68"/>
      <c r="G540" s="84"/>
      <c r="H540" s="86" t="s">
        <v>48</v>
      </c>
      <c r="I540" s="28">
        <v>-2420.7399999999998</v>
      </c>
      <c r="J540" s="153">
        <f t="shared" si="34"/>
        <v>5445.0499999999993</v>
      </c>
      <c r="K540" s="81"/>
      <c r="L540" s="302"/>
      <c r="M540" s="54"/>
      <c r="N540" s="195"/>
      <c r="O540" s="278"/>
      <c r="P540" s="119"/>
      <c r="Q540" s="81"/>
      <c r="R540" s="20"/>
      <c r="S540" s="48"/>
      <c r="T540" s="18"/>
      <c r="U540" s="80"/>
      <c r="V540" s="51"/>
      <c r="W540" s="20"/>
      <c r="X540" s="18"/>
      <c r="Y540" s="18"/>
      <c r="Z540" s="18"/>
      <c r="AA540" s="18"/>
      <c r="AB540" s="18"/>
      <c r="AC540" s="18"/>
      <c r="AD540" s="18"/>
    </row>
    <row r="541" spans="1:30" ht="12.75" customHeight="1" x14ac:dyDescent="0.2">
      <c r="A541" s="100"/>
      <c r="B541" s="100"/>
      <c r="C541" s="100"/>
      <c r="D541" s="189"/>
      <c r="E541" s="68"/>
      <c r="G541" s="84"/>
      <c r="H541" s="86" t="s">
        <v>31</v>
      </c>
      <c r="I541" s="28">
        <v>18000</v>
      </c>
      <c r="J541" s="153">
        <f t="shared" si="34"/>
        <v>23445.05</v>
      </c>
      <c r="K541" s="81"/>
      <c r="L541" s="302"/>
      <c r="M541" s="54"/>
      <c r="N541" s="195"/>
      <c r="O541" s="278"/>
      <c r="P541" s="119"/>
      <c r="Q541" s="81"/>
      <c r="R541" s="20"/>
      <c r="S541" s="48"/>
      <c r="T541" s="18"/>
      <c r="U541" s="80"/>
      <c r="V541" s="51"/>
      <c r="W541" s="20"/>
      <c r="X541" s="18"/>
      <c r="Y541" s="18"/>
      <c r="Z541" s="18"/>
      <c r="AA541" s="18"/>
      <c r="AB541" s="18"/>
      <c r="AC541" s="18"/>
      <c r="AD541" s="18"/>
    </row>
    <row r="542" spans="1:30" ht="12.75" customHeight="1" x14ac:dyDescent="0.2">
      <c r="A542" s="100"/>
      <c r="B542" s="100"/>
      <c r="C542" s="100"/>
      <c r="D542" s="189"/>
      <c r="E542" s="68"/>
      <c r="G542" s="84"/>
      <c r="H542" s="86" t="s">
        <v>476</v>
      </c>
      <c r="I542" s="28">
        <v>-20000</v>
      </c>
      <c r="J542" s="153">
        <f t="shared" si="34"/>
        <v>3445.0499999999993</v>
      </c>
      <c r="K542" s="81"/>
      <c r="L542" s="302"/>
      <c r="M542" s="54"/>
      <c r="N542" s="195"/>
      <c r="O542" s="278"/>
      <c r="P542" s="119"/>
      <c r="Q542" s="81"/>
      <c r="R542" s="20"/>
      <c r="S542" s="48"/>
      <c r="T542" s="18"/>
      <c r="U542" s="80"/>
      <c r="V542" s="51"/>
      <c r="W542" s="20"/>
      <c r="X542" s="18"/>
      <c r="Y542" s="18"/>
      <c r="Z542" s="18"/>
      <c r="AA542" s="18"/>
      <c r="AB542" s="18"/>
      <c r="AC542" s="18"/>
      <c r="AD542" s="18"/>
    </row>
    <row r="543" spans="1:30" ht="12.75" customHeight="1" x14ac:dyDescent="0.2">
      <c r="A543" s="100"/>
      <c r="B543" s="100"/>
      <c r="C543" s="100"/>
      <c r="D543" s="189"/>
      <c r="E543" s="68"/>
      <c r="G543" s="84"/>
      <c r="H543" s="86" t="s">
        <v>478</v>
      </c>
      <c r="I543" s="28">
        <v>-395</v>
      </c>
      <c r="J543" s="153">
        <f t="shared" si="34"/>
        <v>3050.0499999999993</v>
      </c>
      <c r="K543" s="81"/>
      <c r="L543" s="302"/>
      <c r="M543" s="54"/>
      <c r="N543" s="195"/>
      <c r="O543" s="278"/>
      <c r="P543" s="119"/>
      <c r="Q543" s="81"/>
      <c r="R543" s="20"/>
      <c r="S543" s="48"/>
      <c r="T543" s="18"/>
      <c r="U543" s="80"/>
      <c r="V543" s="51"/>
      <c r="W543" s="20"/>
      <c r="X543" s="18"/>
      <c r="Y543" s="18"/>
      <c r="Z543" s="18"/>
      <c r="AA543" s="18"/>
      <c r="AB543" s="18"/>
      <c r="AC543" s="18"/>
      <c r="AD543" s="18"/>
    </row>
    <row r="544" spans="1:30" ht="12.75" customHeight="1" x14ac:dyDescent="0.2">
      <c r="A544" s="100"/>
      <c r="B544" s="100"/>
      <c r="C544" s="100"/>
      <c r="D544" s="189"/>
      <c r="E544" s="68"/>
      <c r="G544" s="84"/>
      <c r="H544" s="86" t="s">
        <v>44</v>
      </c>
      <c r="I544" s="28">
        <v>-69</v>
      </c>
      <c r="J544" s="153">
        <f t="shared" si="34"/>
        <v>2981.0499999999993</v>
      </c>
      <c r="K544" s="81"/>
      <c r="L544" s="302"/>
      <c r="M544" s="54"/>
      <c r="N544" s="195"/>
      <c r="O544" s="278"/>
      <c r="P544" s="119"/>
      <c r="Q544" s="81"/>
      <c r="R544" s="20"/>
      <c r="S544" s="48"/>
      <c r="T544" s="18"/>
      <c r="U544" s="80"/>
      <c r="V544" s="51"/>
      <c r="W544" s="20"/>
      <c r="X544" s="18"/>
      <c r="Y544" s="18"/>
      <c r="Z544" s="18"/>
      <c r="AA544" s="18"/>
      <c r="AB544" s="18"/>
      <c r="AC544" s="18"/>
      <c r="AD544" s="18"/>
    </row>
    <row r="545" spans="1:30" ht="12.75" customHeight="1" x14ac:dyDescent="0.2">
      <c r="A545" s="100"/>
      <c r="B545" s="100"/>
      <c r="C545" s="100"/>
      <c r="D545" s="189"/>
      <c r="E545" s="68"/>
      <c r="F545" s="229"/>
      <c r="G545" s="200"/>
      <c r="H545" s="86" t="s">
        <v>37</v>
      </c>
      <c r="I545" s="28">
        <v>-787.27</v>
      </c>
      <c r="J545" s="153">
        <f t="shared" si="34"/>
        <v>2193.7799999999993</v>
      </c>
      <c r="K545" s="81"/>
      <c r="L545" s="302"/>
      <c r="M545" s="54"/>
      <c r="N545" s="195"/>
      <c r="O545" s="278"/>
      <c r="P545" s="119"/>
      <c r="Q545" s="81"/>
      <c r="R545" s="20"/>
      <c r="S545" s="48"/>
      <c r="T545" s="18"/>
      <c r="U545" s="80"/>
      <c r="V545" s="51"/>
      <c r="W545" s="20"/>
      <c r="X545" s="18"/>
      <c r="Y545" s="18"/>
      <c r="Z545" s="18"/>
      <c r="AA545" s="18"/>
      <c r="AB545" s="18"/>
      <c r="AC545" s="18"/>
      <c r="AD545" s="18"/>
    </row>
    <row r="546" spans="1:30" ht="12.75" customHeight="1" x14ac:dyDescent="0.2">
      <c r="A546" s="100"/>
      <c r="B546" s="100"/>
      <c r="C546" s="100"/>
      <c r="D546" s="189"/>
      <c r="E546" s="68"/>
      <c r="F546" s="229"/>
      <c r="G546" s="200"/>
      <c r="H546" s="86" t="s">
        <v>31</v>
      </c>
      <c r="I546" s="28">
        <v>1000</v>
      </c>
      <c r="J546" s="153">
        <f t="shared" si="34"/>
        <v>3193.7799999999993</v>
      </c>
      <c r="K546" s="81"/>
      <c r="L546" s="302"/>
      <c r="M546" s="54"/>
      <c r="N546" s="195"/>
      <c r="O546" s="278"/>
      <c r="P546" s="119"/>
      <c r="Q546" s="81"/>
      <c r="R546" s="20"/>
      <c r="S546" s="48"/>
      <c r="T546" s="18"/>
      <c r="U546" s="80"/>
      <c r="V546" s="51"/>
      <c r="W546" s="20"/>
      <c r="X546" s="18"/>
      <c r="Y546" s="18"/>
      <c r="Z546" s="18"/>
      <c r="AA546" s="18"/>
      <c r="AB546" s="18"/>
      <c r="AC546" s="18"/>
      <c r="AD546" s="18"/>
    </row>
    <row r="547" spans="1:30" ht="12.75" customHeight="1" x14ac:dyDescent="0.2">
      <c r="A547" s="100"/>
      <c r="B547" s="100"/>
      <c r="C547" s="100"/>
      <c r="D547" s="189"/>
      <c r="E547" s="68"/>
      <c r="F547" s="229"/>
      <c r="G547" s="200"/>
      <c r="H547" s="193" t="s">
        <v>450</v>
      </c>
      <c r="I547" s="71">
        <v>-5500</v>
      </c>
      <c r="J547" s="153">
        <f t="shared" si="34"/>
        <v>-2306.2200000000007</v>
      </c>
      <c r="K547" s="81"/>
      <c r="L547" s="302"/>
      <c r="M547" s="54"/>
      <c r="N547" s="195"/>
      <c r="O547" s="278"/>
      <c r="P547" s="119"/>
      <c r="Q547" s="81"/>
      <c r="R547" s="20"/>
      <c r="S547" s="48"/>
      <c r="T547" s="18"/>
      <c r="U547" s="80"/>
      <c r="V547" s="51"/>
      <c r="W547" s="20"/>
      <c r="X547" s="18"/>
      <c r="Y547" s="18"/>
      <c r="Z547" s="18"/>
      <c r="AA547" s="18"/>
      <c r="AB547" s="18"/>
      <c r="AC547" s="18"/>
      <c r="AD547" s="18"/>
    </row>
    <row r="548" spans="1:30" ht="12.75" customHeight="1" x14ac:dyDescent="0.2">
      <c r="A548" s="100"/>
      <c r="B548" s="100"/>
      <c r="C548" s="100"/>
      <c r="D548" s="189"/>
      <c r="E548" s="68"/>
      <c r="F548" s="210"/>
      <c r="G548" s="200"/>
      <c r="H548" s="193" t="s">
        <v>152</v>
      </c>
      <c r="I548" s="28">
        <v>-300</v>
      </c>
      <c r="J548" s="153">
        <f t="shared" si="34"/>
        <v>-2606.2200000000007</v>
      </c>
      <c r="K548" s="81"/>
      <c r="L548" s="305"/>
      <c r="M548" s="54"/>
      <c r="N548" s="195"/>
      <c r="O548" s="278"/>
      <c r="P548" s="119"/>
      <c r="Q548" s="81"/>
      <c r="R548" s="20"/>
      <c r="S548" s="48"/>
      <c r="T548" s="18"/>
      <c r="U548" s="80"/>
      <c r="V548" s="51"/>
      <c r="W548" s="20"/>
      <c r="X548" s="18"/>
      <c r="Y548" s="18"/>
      <c r="Z548" s="18"/>
      <c r="AA548" s="18"/>
      <c r="AB548" s="18"/>
      <c r="AC548" s="18"/>
      <c r="AD548" s="18"/>
    </row>
    <row r="549" spans="1:30" ht="12.75" customHeight="1" x14ac:dyDescent="0.2">
      <c r="A549" s="100"/>
      <c r="B549" s="100"/>
      <c r="C549" s="100"/>
      <c r="D549" s="189"/>
      <c r="E549" s="68"/>
      <c r="F549" s="360" t="s">
        <v>455</v>
      </c>
      <c r="G549" s="200"/>
      <c r="H549" s="86" t="s">
        <v>87</v>
      </c>
      <c r="I549" s="28">
        <v>-450</v>
      </c>
      <c r="J549" s="153">
        <f t="shared" si="34"/>
        <v>-3056.2200000000007</v>
      </c>
      <c r="K549" s="81"/>
      <c r="L549" s="305"/>
      <c r="M549" s="54"/>
      <c r="N549" s="195"/>
      <c r="O549" s="278"/>
      <c r="P549" s="119"/>
      <c r="Q549" s="20"/>
      <c r="R549" s="20"/>
      <c r="S549" s="48"/>
      <c r="T549" s="18"/>
      <c r="U549" s="80"/>
      <c r="V549" s="51"/>
      <c r="W549" s="20"/>
      <c r="X549" s="18"/>
      <c r="Y549" s="18"/>
      <c r="Z549" s="18"/>
      <c r="AA549" s="18"/>
      <c r="AB549" s="18"/>
      <c r="AC549" s="18"/>
      <c r="AD549" s="18"/>
    </row>
    <row r="550" spans="1:30" ht="12.75" customHeight="1" x14ac:dyDescent="0.2">
      <c r="A550" s="100"/>
      <c r="B550" s="100"/>
      <c r="C550" s="100"/>
      <c r="D550" s="189"/>
      <c r="E550" s="68"/>
      <c r="F550" s="377" t="s">
        <v>421</v>
      </c>
      <c r="G550" s="200"/>
      <c r="H550" s="86" t="s">
        <v>117</v>
      </c>
      <c r="I550" s="28">
        <v>-250</v>
      </c>
      <c r="J550" s="153">
        <f t="shared" si="34"/>
        <v>-3306.2200000000007</v>
      </c>
      <c r="K550" s="81"/>
      <c r="L550" s="306"/>
      <c r="M550" s="54"/>
      <c r="N550" s="328"/>
      <c r="O550" s="278"/>
      <c r="P550" s="119"/>
      <c r="Q550" s="20"/>
      <c r="R550" s="20"/>
      <c r="S550" s="48"/>
      <c r="T550" s="18"/>
      <c r="U550" s="80"/>
      <c r="V550" s="51"/>
      <c r="W550" s="20"/>
      <c r="X550" s="18"/>
      <c r="Y550" s="18"/>
      <c r="Z550" s="18"/>
      <c r="AA550" s="18"/>
      <c r="AB550" s="18"/>
      <c r="AC550" s="18"/>
      <c r="AD550" s="18"/>
    </row>
    <row r="551" spans="1:30" ht="12.75" customHeight="1" x14ac:dyDescent="0.2">
      <c r="A551" s="100"/>
      <c r="B551" s="100"/>
      <c r="C551" s="100"/>
      <c r="D551" s="219"/>
      <c r="E551" s="68"/>
      <c r="G551" s="45" t="s">
        <v>46</v>
      </c>
      <c r="H551" s="87" t="s">
        <v>8</v>
      </c>
      <c r="I551" s="74">
        <v>-343.99</v>
      </c>
      <c r="J551" s="153">
        <f t="shared" si="34"/>
        <v>-3650.2100000000009</v>
      </c>
      <c r="K551" s="18"/>
      <c r="L551" s="306"/>
      <c r="M551" s="54"/>
      <c r="N551" s="328"/>
      <c r="O551" s="278"/>
      <c r="P551" s="112"/>
      <c r="Q551" s="20"/>
      <c r="R551" s="20"/>
      <c r="S551" s="48"/>
      <c r="T551" s="18"/>
      <c r="U551" s="80"/>
      <c r="V551" s="51"/>
      <c r="W551" s="20"/>
      <c r="X551" s="18"/>
      <c r="Y551" s="18"/>
      <c r="Z551" s="18"/>
      <c r="AA551" s="18"/>
      <c r="AB551" s="18"/>
      <c r="AC551" s="18"/>
      <c r="AD551" s="18"/>
    </row>
    <row r="552" spans="1:30" ht="12.75" customHeight="1" x14ac:dyDescent="0.2">
      <c r="A552" s="100"/>
      <c r="B552" s="100"/>
      <c r="C552" s="100"/>
      <c r="D552" s="189"/>
      <c r="E552" s="23"/>
      <c r="F552" s="183"/>
      <c r="G552" s="84" t="s">
        <v>46</v>
      </c>
      <c r="H552" s="88" t="s">
        <v>34</v>
      </c>
      <c r="I552" s="74">
        <v>-1280</v>
      </c>
      <c r="J552" s="153">
        <f t="shared" si="34"/>
        <v>-4930.2100000000009</v>
      </c>
      <c r="K552" s="18"/>
      <c r="L552" s="340"/>
      <c r="M552" s="54"/>
      <c r="N552" s="328"/>
      <c r="O552" s="278"/>
      <c r="P552" s="112"/>
      <c r="Q552" s="20"/>
      <c r="R552" s="20"/>
      <c r="S552" s="48"/>
      <c r="T552" s="18"/>
      <c r="U552" s="80"/>
      <c r="V552" s="51"/>
      <c r="W552" s="20"/>
      <c r="X552" s="18"/>
      <c r="Y552" s="18"/>
      <c r="Z552" s="18"/>
      <c r="AA552" s="18"/>
      <c r="AB552" s="18"/>
      <c r="AC552" s="18"/>
      <c r="AD552" s="18"/>
    </row>
    <row r="553" spans="1:30" ht="12.75" customHeight="1" x14ac:dyDescent="0.2">
      <c r="A553" s="100"/>
      <c r="B553" s="100"/>
      <c r="C553" s="100"/>
      <c r="D553" s="189"/>
      <c r="E553" s="23"/>
      <c r="F553" s="199"/>
      <c r="G553" s="84" t="s">
        <v>46</v>
      </c>
      <c r="H553" s="88" t="s">
        <v>10</v>
      </c>
      <c r="I553" s="68">
        <v>-688.47</v>
      </c>
      <c r="J553" s="153">
        <f t="shared" si="34"/>
        <v>-5618.6800000000012</v>
      </c>
      <c r="K553" s="18"/>
      <c r="L553" s="340"/>
      <c r="M553" s="54"/>
      <c r="N553" s="328"/>
      <c r="O553" s="278"/>
      <c r="P553" s="112"/>
      <c r="Q553" s="20"/>
      <c r="R553" s="20"/>
      <c r="S553" s="48"/>
      <c r="T553" s="18"/>
      <c r="U553" s="80"/>
      <c r="V553" s="51"/>
      <c r="W553" s="20"/>
      <c r="X553" s="18"/>
      <c r="Y553" s="18"/>
      <c r="Z553" s="18"/>
      <c r="AA553" s="18"/>
      <c r="AB553" s="18"/>
      <c r="AC553" s="18"/>
      <c r="AD553" s="18"/>
    </row>
    <row r="554" spans="1:30" ht="12.75" customHeight="1" x14ac:dyDescent="0.2">
      <c r="A554" s="100"/>
      <c r="B554" s="100"/>
      <c r="C554" s="100"/>
      <c r="D554" s="189"/>
      <c r="E554" s="365"/>
      <c r="F554" s="199"/>
      <c r="G554" s="99" t="s">
        <v>46</v>
      </c>
      <c r="H554" s="201" t="s">
        <v>89</v>
      </c>
      <c r="I554" s="209">
        <v>-73.739999999999995</v>
      </c>
      <c r="J554" s="153">
        <f t="shared" si="34"/>
        <v>-5692.420000000001</v>
      </c>
      <c r="K554" s="18"/>
      <c r="L554" s="340"/>
      <c r="M554" s="54"/>
      <c r="N554" s="328"/>
      <c r="O554" s="278"/>
      <c r="P554" s="112"/>
      <c r="Q554" s="20"/>
      <c r="R554" s="20"/>
      <c r="S554" s="48"/>
      <c r="T554" s="18"/>
      <c r="U554" s="80"/>
      <c r="V554" s="51"/>
      <c r="W554" s="20"/>
      <c r="X554" s="18"/>
      <c r="Y554" s="18"/>
      <c r="Z554" s="18"/>
      <c r="AA554" s="18"/>
      <c r="AB554" s="18"/>
      <c r="AC554" s="18"/>
      <c r="AD554" s="18"/>
    </row>
    <row r="555" spans="1:30" ht="12.75" customHeight="1" x14ac:dyDescent="0.2">
      <c r="A555" s="100"/>
      <c r="B555" s="100"/>
      <c r="C555" s="100"/>
      <c r="D555" s="189"/>
      <c r="E555" s="23"/>
      <c r="F555" s="199"/>
      <c r="G555" s="99" t="s">
        <v>47</v>
      </c>
      <c r="H555" s="89" t="s">
        <v>81</v>
      </c>
      <c r="I555" s="110">
        <v>-52.28</v>
      </c>
      <c r="J555" s="156">
        <f t="shared" si="34"/>
        <v>-5744.7000000000007</v>
      </c>
      <c r="K555" s="18"/>
      <c r="L555" s="340"/>
      <c r="M555" s="54"/>
      <c r="N555" s="328"/>
      <c r="O555" s="278"/>
      <c r="P555" s="112"/>
      <c r="Q555" s="20"/>
      <c r="R555" s="20"/>
      <c r="S555" s="48"/>
      <c r="T555" s="18"/>
      <c r="U555" s="80"/>
      <c r="V555" s="51"/>
      <c r="W555" s="20"/>
      <c r="X555" s="18"/>
      <c r="Y555" s="18"/>
      <c r="Z555" s="18"/>
      <c r="AA555" s="18"/>
      <c r="AB555" s="18"/>
      <c r="AC555" s="18"/>
      <c r="AD555" s="18"/>
    </row>
    <row r="556" spans="1:30" ht="12.75" customHeight="1" x14ac:dyDescent="0.2">
      <c r="A556" s="100"/>
      <c r="B556" s="100"/>
      <c r="C556" s="100"/>
      <c r="D556" s="341"/>
      <c r="E556" s="23"/>
      <c r="F556" s="199"/>
      <c r="H556" s="19"/>
      <c r="I556" s="73">
        <f>SUM(I498:I555)</f>
        <v>-5744.7000000000007</v>
      </c>
      <c r="J556" s="170"/>
      <c r="K556" s="18"/>
      <c r="L556" s="194"/>
      <c r="M556" s="54"/>
      <c r="N556" s="195"/>
      <c r="O556" s="278"/>
      <c r="P556" s="112"/>
      <c r="Q556" s="20"/>
      <c r="R556" s="20"/>
      <c r="S556" s="48"/>
      <c r="T556" s="18"/>
      <c r="U556" s="80"/>
      <c r="V556" s="51"/>
      <c r="W556" s="20"/>
      <c r="X556" s="18"/>
      <c r="Y556" s="18"/>
      <c r="Z556" s="18"/>
      <c r="AA556" s="18"/>
      <c r="AB556" s="18"/>
      <c r="AC556" s="18"/>
      <c r="AD556" s="18"/>
    </row>
    <row r="557" spans="1:30" s="42" customFormat="1" x14ac:dyDescent="0.2">
      <c r="E557" s="15"/>
      <c r="G557" s="83"/>
      <c r="I557" s="15"/>
      <c r="L557" s="15"/>
      <c r="M557" s="15"/>
      <c r="N557" s="15"/>
      <c r="O557" s="118"/>
      <c r="U557" s="15"/>
      <c r="V557" s="65"/>
      <c r="W557" s="15"/>
    </row>
    <row r="559" spans="1:30" ht="12.75" customHeight="1" x14ac:dyDescent="0.2">
      <c r="B559" s="419" t="s">
        <v>479</v>
      </c>
      <c r="C559" s="419"/>
      <c r="D559" s="419"/>
      <c r="E559" s="419"/>
      <c r="G559" s="84"/>
      <c r="H559" s="54"/>
      <c r="I559" s="420" t="s">
        <v>33</v>
      </c>
      <c r="J559" s="411"/>
      <c r="K559" s="191"/>
      <c r="L559" s="422" t="s">
        <v>30</v>
      </c>
      <c r="M559" s="424" t="s">
        <v>97</v>
      </c>
      <c r="N559" s="424"/>
      <c r="O559" s="116"/>
      <c r="S559" s="24"/>
      <c r="T559" s="24"/>
      <c r="U559" s="20"/>
      <c r="V559" s="192"/>
      <c r="W559" s="20"/>
      <c r="X559" s="18"/>
      <c r="Y559" s="18"/>
      <c r="Z559" s="18"/>
      <c r="AA559" s="18"/>
      <c r="AB559" s="18"/>
      <c r="AC559" s="18"/>
      <c r="AD559" s="18"/>
    </row>
    <row r="560" spans="1:30" ht="12.75" customHeight="1" x14ac:dyDescent="0.2">
      <c r="C560" s="16" t="s">
        <v>77</v>
      </c>
      <c r="D560" s="14"/>
      <c r="E560" s="171">
        <v>9000</v>
      </c>
      <c r="G560" s="85" t="s">
        <v>49</v>
      </c>
      <c r="H560" s="72"/>
      <c r="I560" s="421"/>
      <c r="J560" s="411" t="s">
        <v>26</v>
      </c>
      <c r="K560" s="191"/>
      <c r="L560" s="423"/>
      <c r="M560" s="412" t="s">
        <v>26</v>
      </c>
      <c r="N560" s="413" t="s">
        <v>32</v>
      </c>
      <c r="O560" s="116"/>
      <c r="S560" s="61"/>
      <c r="T560" s="57"/>
      <c r="U560" s="60"/>
      <c r="V560" s="46"/>
      <c r="W560" s="47"/>
      <c r="X560" s="18"/>
      <c r="Y560" s="26"/>
      <c r="Z560" s="18"/>
      <c r="AA560" s="18"/>
      <c r="AB560" s="18"/>
      <c r="AC560" s="18"/>
      <c r="AD560" s="18"/>
    </row>
    <row r="561" spans="1:30" ht="12.75" customHeight="1" x14ac:dyDescent="0.2">
      <c r="C561" s="16"/>
      <c r="D561" s="14" t="s">
        <v>11</v>
      </c>
      <c r="E561" s="30"/>
      <c r="G561" s="90"/>
      <c r="H561" s="78" t="s">
        <v>52</v>
      </c>
      <c r="I561" s="28">
        <f>$J$555</f>
        <v>-5744.7000000000007</v>
      </c>
      <c r="J561" s="37">
        <f>I561</f>
        <v>-5744.7000000000007</v>
      </c>
      <c r="K561" s="20"/>
      <c r="L561" s="28">
        <f>$M$502</f>
        <v>-27519.059999999987</v>
      </c>
      <c r="M561" s="37">
        <f>L561</f>
        <v>-27519.059999999987</v>
      </c>
      <c r="N561" s="28">
        <f>28000+M561</f>
        <v>480.94000000001324</v>
      </c>
      <c r="O561" s="117" t="s">
        <v>67</v>
      </c>
      <c r="P561" s="111" t="s">
        <v>68</v>
      </c>
      <c r="Q561" s="42"/>
      <c r="R561" s="120"/>
      <c r="S561" s="57"/>
      <c r="T561" s="57"/>
      <c r="U561" s="28"/>
      <c r="V561" s="149"/>
      <c r="W561" s="20"/>
      <c r="X561" s="18"/>
      <c r="Y561" s="49"/>
      <c r="Z561" s="50"/>
      <c r="AA561" s="18"/>
      <c r="AB561" s="18"/>
      <c r="AC561" s="18"/>
      <c r="AD561" s="18"/>
    </row>
    <row r="562" spans="1:30" ht="12.75" customHeight="1" x14ac:dyDescent="0.2">
      <c r="C562" s="17" t="s">
        <v>5</v>
      </c>
      <c r="D562" s="14"/>
      <c r="E562" s="14">
        <f>SUM(E560:E561)</f>
        <v>9000</v>
      </c>
      <c r="G562" s="92"/>
      <c r="H562" s="75" t="s">
        <v>456</v>
      </c>
      <c r="I562" s="316">
        <f>16736+1250</f>
        <v>17986</v>
      </c>
      <c r="J562" s="153">
        <f t="shared" ref="J562:J605" si="36">J561+I562</f>
        <v>12241.3</v>
      </c>
      <c r="K562" s="25"/>
      <c r="L562" s="389">
        <v>-441.77</v>
      </c>
      <c r="M562" s="38">
        <f>M561+L562</f>
        <v>-27960.829999999987</v>
      </c>
      <c r="N562" s="28">
        <f>28000+M562</f>
        <v>39.170000000012806</v>
      </c>
      <c r="O562" s="113" t="s">
        <v>61</v>
      </c>
      <c r="P562" s="120"/>
      <c r="Q562" s="18"/>
      <c r="R562" s="57"/>
      <c r="S562" s="57"/>
      <c r="T562" s="58"/>
      <c r="U562" s="31"/>
      <c r="V562" s="150"/>
      <c r="W562" s="20"/>
      <c r="X562" s="18"/>
      <c r="Y562" s="49"/>
      <c r="Z562" s="50"/>
      <c r="AA562" s="18"/>
      <c r="AB562" s="18"/>
      <c r="AC562" s="18"/>
      <c r="AD562" s="18"/>
    </row>
    <row r="563" spans="1:30" ht="12.75" customHeight="1" x14ac:dyDescent="0.2">
      <c r="A563" s="98"/>
      <c r="G563" s="92"/>
      <c r="H563" s="75" t="s">
        <v>333</v>
      </c>
      <c r="I563" s="28">
        <v>-349</v>
      </c>
      <c r="J563" s="153">
        <f t="shared" si="36"/>
        <v>11892.3</v>
      </c>
      <c r="K563" s="81"/>
      <c r="L563" s="389">
        <v>-243.9</v>
      </c>
      <c r="M563" s="38">
        <f t="shared" ref="M563:M570" si="37">M562+L563</f>
        <v>-28204.729999999989</v>
      </c>
      <c r="N563" s="28">
        <f>28000+M563</f>
        <v>-204.72999999998865</v>
      </c>
      <c r="O563" s="113" t="s">
        <v>428</v>
      </c>
      <c r="P563" s="120"/>
      <c r="Q563" s="18"/>
      <c r="R563" s="58"/>
      <c r="S563" s="58"/>
      <c r="T563" s="58"/>
      <c r="U563" s="31"/>
      <c r="V563" s="150"/>
      <c r="W563" s="20"/>
      <c r="X563" s="18"/>
      <c r="Y563" s="49"/>
      <c r="Z563" s="50"/>
      <c r="AA563" s="18"/>
      <c r="AB563" s="18"/>
      <c r="AC563" s="18"/>
      <c r="AD563" s="18"/>
    </row>
    <row r="564" spans="1:30" ht="12.75" customHeight="1" x14ac:dyDescent="0.2">
      <c r="A564" s="98"/>
      <c r="C564" s="43" t="s">
        <v>9</v>
      </c>
      <c r="E564" s="27"/>
      <c r="G564" s="92"/>
      <c r="H564" s="75" t="s">
        <v>416</v>
      </c>
      <c r="I564" s="28">
        <f>-105-1.1</f>
        <v>-106.1</v>
      </c>
      <c r="J564" s="153">
        <f t="shared" si="36"/>
        <v>11786.199999999999</v>
      </c>
      <c r="K564" s="81"/>
      <c r="L564" s="389">
        <v>-37.9</v>
      </c>
      <c r="M564" s="38">
        <f t="shared" si="37"/>
        <v>-28242.62999999999</v>
      </c>
      <c r="N564" s="28">
        <f t="shared" ref="N564:N570" si="38">28000+M564</f>
        <v>-242.6299999999901</v>
      </c>
      <c r="O564" s="113" t="s">
        <v>485</v>
      </c>
      <c r="P564" s="120"/>
      <c r="Q564" s="18"/>
      <c r="R564" s="55"/>
      <c r="S564" s="57"/>
      <c r="T564" s="58"/>
      <c r="U564" s="31"/>
      <c r="V564" s="150"/>
      <c r="W564" s="52"/>
      <c r="X564" s="18"/>
      <c r="Y564" s="53"/>
      <c r="Z564" s="50"/>
      <c r="AA564" s="18"/>
      <c r="AB564" s="18"/>
      <c r="AC564" s="18"/>
      <c r="AD564" s="18"/>
    </row>
    <row r="565" spans="1:30" ht="12.75" customHeight="1" x14ac:dyDescent="0.2">
      <c r="A565" s="98"/>
      <c r="D565" s="18" t="s">
        <v>7</v>
      </c>
      <c r="E565" s="27">
        <f>E560</f>
        <v>9000</v>
      </c>
      <c r="G565" s="92"/>
      <c r="H565" s="75" t="s">
        <v>69</v>
      </c>
      <c r="I565" s="28">
        <v>-353.87</v>
      </c>
      <c r="J565" s="153">
        <f t="shared" si="36"/>
        <v>11432.329999999998</v>
      </c>
      <c r="K565" s="81"/>
      <c r="L565" s="389">
        <v>500</v>
      </c>
      <c r="M565" s="38">
        <f t="shared" si="37"/>
        <v>-27742.62999999999</v>
      </c>
      <c r="N565" s="28">
        <f t="shared" si="38"/>
        <v>257.3700000000099</v>
      </c>
      <c r="O565" s="113" t="s">
        <v>58</v>
      </c>
      <c r="P565" s="120"/>
      <c r="Q565" s="18"/>
      <c r="R565" s="57"/>
      <c r="S565" s="57"/>
      <c r="T565" s="58"/>
      <c r="U565" s="31"/>
      <c r="V565" s="150"/>
      <c r="W565" s="20"/>
      <c r="X565" s="18"/>
      <c r="Y565" s="26"/>
      <c r="Z565" s="50"/>
      <c r="AA565" s="18"/>
      <c r="AB565" s="18"/>
      <c r="AC565" s="18"/>
      <c r="AD565" s="18"/>
    </row>
    <row r="566" spans="1:30" ht="12.75" customHeight="1" x14ac:dyDescent="0.2">
      <c r="A566" s="98"/>
      <c r="D566" s="42" t="s">
        <v>6</v>
      </c>
      <c r="E566" s="147"/>
      <c r="G566" s="92"/>
      <c r="H566" s="75" t="s">
        <v>111</v>
      </c>
      <c r="I566" s="28">
        <v>-135.5</v>
      </c>
      <c r="J566" s="153">
        <f t="shared" si="36"/>
        <v>11296.829999999998</v>
      </c>
      <c r="K566" s="81"/>
      <c r="L566" s="389">
        <v>-31</v>
      </c>
      <c r="M566" s="38">
        <f t="shared" si="37"/>
        <v>-27773.62999999999</v>
      </c>
      <c r="N566" s="28">
        <f t="shared" si="38"/>
        <v>226.3700000000099</v>
      </c>
      <c r="O566" s="113" t="s">
        <v>495</v>
      </c>
      <c r="P566" s="120"/>
      <c r="Q566" s="18"/>
      <c r="R566" s="18"/>
      <c r="S566" s="18"/>
      <c r="T566" s="58"/>
      <c r="U566" s="80"/>
      <c r="V566" s="51"/>
      <c r="W566" s="20"/>
      <c r="X566" s="18"/>
      <c r="Y566" s="49"/>
      <c r="Z566" s="50"/>
      <c r="AA566" s="18"/>
      <c r="AB566" s="18"/>
      <c r="AC566" s="18"/>
      <c r="AD566" s="18"/>
    </row>
    <row r="567" spans="1:30" ht="12.75" customHeight="1" x14ac:dyDescent="0.2">
      <c r="A567" s="98"/>
      <c r="D567" s="18"/>
      <c r="E567" s="154"/>
      <c r="G567" s="92"/>
      <c r="H567" s="75" t="s">
        <v>39</v>
      </c>
      <c r="I567" s="28">
        <v>-500</v>
      </c>
      <c r="J567" s="153">
        <f t="shared" si="36"/>
        <v>10796.829999999998</v>
      </c>
      <c r="K567" s="81"/>
      <c r="L567" s="389">
        <v>-153</v>
      </c>
      <c r="M567" s="38">
        <f t="shared" si="37"/>
        <v>-27926.62999999999</v>
      </c>
      <c r="N567" s="28">
        <f t="shared" si="38"/>
        <v>73.370000000009895</v>
      </c>
      <c r="O567" s="113" t="s">
        <v>496</v>
      </c>
      <c r="P567" s="120"/>
      <c r="Q567" s="18"/>
      <c r="R567" s="18"/>
      <c r="S567" s="18"/>
      <c r="T567" s="58"/>
      <c r="U567" s="80"/>
      <c r="V567" s="51"/>
      <c r="W567" s="20"/>
      <c r="X567" s="18"/>
      <c r="Y567" s="49"/>
      <c r="Z567" s="50"/>
      <c r="AA567" s="18"/>
      <c r="AB567" s="18"/>
      <c r="AC567" s="18"/>
      <c r="AD567" s="18"/>
    </row>
    <row r="568" spans="1:30" ht="12.75" customHeight="1" x14ac:dyDescent="0.2">
      <c r="A568" s="100"/>
      <c r="B568" s="100"/>
      <c r="C568" s="100"/>
      <c r="D568" s="189"/>
      <c r="E568" s="68"/>
      <c r="G568" s="84"/>
      <c r="H568" s="86" t="s">
        <v>383</v>
      </c>
      <c r="I568" s="232">
        <f>-110-110-1.1-1.1-110-1.1-110-1.1-275-1.1-110-1.1-55-1.1-55-1.1-110-1.1-1.1-55-1.1-55-1.1-29-1.1-110-1.1-110-1.1-55-1.1-110</f>
        <v>-1586.5999999999995</v>
      </c>
      <c r="J568" s="153">
        <f t="shared" si="36"/>
        <v>9210.23</v>
      </c>
      <c r="K568" s="81"/>
      <c r="L568" s="389">
        <v>-38.979999999999997</v>
      </c>
      <c r="M568" s="38">
        <f t="shared" si="37"/>
        <v>-27965.60999999999</v>
      </c>
      <c r="N568" s="215">
        <f t="shared" si="38"/>
        <v>34.390000000010332</v>
      </c>
      <c r="O568" s="113" t="s">
        <v>63</v>
      </c>
      <c r="P568" s="120"/>
      <c r="Q568" s="18"/>
      <c r="R568" s="20"/>
      <c r="S568" s="48"/>
      <c r="T568" s="18"/>
      <c r="U568" s="80"/>
      <c r="V568" s="51"/>
      <c r="W568" s="20"/>
      <c r="X568" s="18"/>
      <c r="Y568" s="18"/>
      <c r="Z568" s="18"/>
      <c r="AA568" s="18"/>
      <c r="AB568" s="18"/>
      <c r="AC568" s="18"/>
      <c r="AD568" s="18"/>
    </row>
    <row r="569" spans="1:30" ht="12.75" customHeight="1" x14ac:dyDescent="0.2">
      <c r="A569" s="100"/>
      <c r="B569" s="100"/>
      <c r="C569" s="100"/>
      <c r="D569" s="189"/>
      <c r="E569" s="68"/>
      <c r="G569" s="84"/>
      <c r="H569" s="86" t="s">
        <v>111</v>
      </c>
      <c r="I569" s="28">
        <f>-57.3-195-58.8</f>
        <v>-311.10000000000002</v>
      </c>
      <c r="J569" s="153">
        <f t="shared" si="36"/>
        <v>8899.1299999999992</v>
      </c>
      <c r="K569" s="81"/>
      <c r="L569" s="389">
        <v>500</v>
      </c>
      <c r="M569" s="38">
        <f t="shared" si="37"/>
        <v>-27465.60999999999</v>
      </c>
      <c r="N569" s="28">
        <f t="shared" si="38"/>
        <v>534.39000000001033</v>
      </c>
      <c r="O569" s="113" t="s">
        <v>502</v>
      </c>
      <c r="P569" s="120"/>
      <c r="Q569" s="18"/>
      <c r="R569" s="20"/>
      <c r="S569" s="48"/>
      <c r="T569" s="18"/>
      <c r="U569" s="80"/>
      <c r="V569" s="51"/>
      <c r="W569" s="20"/>
      <c r="X569" s="18"/>
      <c r="Y569" s="18"/>
      <c r="Z569" s="18"/>
      <c r="AA569" s="18"/>
      <c r="AB569" s="18"/>
      <c r="AC569" s="18"/>
      <c r="AD569" s="18"/>
    </row>
    <row r="570" spans="1:30" ht="12.75" customHeight="1" x14ac:dyDescent="0.2">
      <c r="A570" s="100"/>
      <c r="B570" s="100"/>
      <c r="C570" s="100"/>
      <c r="D570" s="189"/>
      <c r="E570" s="68"/>
      <c r="G570" s="84"/>
      <c r="H570" s="86" t="s">
        <v>486</v>
      </c>
      <c r="I570" s="28">
        <v>-815</v>
      </c>
      <c r="J570" s="153">
        <f t="shared" si="36"/>
        <v>8084.1299999999992</v>
      </c>
      <c r="K570" s="81"/>
      <c r="L570" s="410">
        <v>1000</v>
      </c>
      <c r="M570" s="38">
        <f t="shared" si="37"/>
        <v>-26465.60999999999</v>
      </c>
      <c r="N570" s="28">
        <f t="shared" si="38"/>
        <v>1534.3900000000103</v>
      </c>
      <c r="O570" s="113" t="s">
        <v>58</v>
      </c>
      <c r="P570" s="120"/>
      <c r="Q570" s="20"/>
      <c r="R570" s="20"/>
      <c r="S570" s="48"/>
      <c r="T570" s="18"/>
      <c r="U570" s="80"/>
      <c r="V570" s="51"/>
      <c r="W570" s="20"/>
      <c r="X570" s="18"/>
      <c r="Y570" s="18"/>
      <c r="Z570" s="18"/>
      <c r="AA570" s="18"/>
      <c r="AB570" s="18"/>
      <c r="AC570" s="18"/>
      <c r="AD570" s="18"/>
    </row>
    <row r="571" spans="1:30" ht="12.75" customHeight="1" x14ac:dyDescent="0.2">
      <c r="A571" s="100"/>
      <c r="B571" s="100"/>
      <c r="C571" s="100"/>
      <c r="D571" s="189"/>
      <c r="E571" s="68"/>
      <c r="G571" s="84"/>
      <c r="H571" s="86" t="s">
        <v>318</v>
      </c>
      <c r="I571" s="28">
        <v>-400.64</v>
      </c>
      <c r="J571" s="153">
        <f t="shared" si="36"/>
        <v>7683.4899999999989</v>
      </c>
      <c r="K571" s="81"/>
      <c r="L571" s="291">
        <f>SUM(L561:L570)</f>
        <v>-26465.60999999999</v>
      </c>
      <c r="M571" s="91"/>
      <c r="N571" s="96"/>
      <c r="O571" s="113"/>
      <c r="P571" s="119"/>
      <c r="Q571" s="81"/>
      <c r="R571" s="20"/>
      <c r="S571" s="48"/>
      <c r="T571" s="18"/>
      <c r="U571" s="80"/>
      <c r="V571" s="51"/>
      <c r="W571" s="20"/>
      <c r="X571" s="18"/>
      <c r="Y571" s="18"/>
      <c r="Z571" s="18"/>
      <c r="AA571" s="18"/>
      <c r="AB571" s="18"/>
      <c r="AC571" s="18"/>
      <c r="AD571" s="18"/>
    </row>
    <row r="572" spans="1:30" ht="12.75" customHeight="1" x14ac:dyDescent="0.2">
      <c r="A572" s="100"/>
      <c r="B572" s="100"/>
      <c r="C572" s="100"/>
      <c r="D572" s="189"/>
      <c r="E572" s="68"/>
      <c r="G572" s="84"/>
      <c r="H572" s="86" t="s">
        <v>487</v>
      </c>
      <c r="I572" s="28">
        <v>-1000</v>
      </c>
      <c r="J572" s="153">
        <f t="shared" si="36"/>
        <v>6683.4899999999989</v>
      </c>
      <c r="K572" s="81"/>
      <c r="L572" s="194"/>
      <c r="M572" s="91"/>
      <c r="N572" s="96"/>
      <c r="O572" s="113"/>
      <c r="P572" s="119"/>
      <c r="Q572" s="81"/>
      <c r="R572" s="20"/>
      <c r="S572" s="48"/>
      <c r="T572" s="18"/>
      <c r="U572" s="80"/>
      <c r="V572" s="51"/>
      <c r="W572" s="20"/>
      <c r="X572" s="18"/>
      <c r="Y572" s="18"/>
      <c r="Z572" s="18"/>
      <c r="AA572" s="18"/>
      <c r="AB572" s="18"/>
      <c r="AC572" s="18"/>
      <c r="AD572" s="18"/>
    </row>
    <row r="573" spans="1:30" ht="12.75" customHeight="1" x14ac:dyDescent="0.2">
      <c r="A573" s="100"/>
      <c r="B573" s="100"/>
      <c r="C573" s="100"/>
      <c r="D573" s="189"/>
      <c r="E573" s="68"/>
      <c r="G573" s="84"/>
      <c r="H573" s="86" t="s">
        <v>488</v>
      </c>
      <c r="I573" s="28">
        <v>-354.8</v>
      </c>
      <c r="J573" s="153">
        <f t="shared" si="36"/>
        <v>6328.6899999999987</v>
      </c>
      <c r="K573" s="81"/>
      <c r="L573" s="302"/>
      <c r="M573" s="54"/>
      <c r="N573" s="195"/>
      <c r="O573" s="278"/>
      <c r="P573" s="119"/>
      <c r="Q573" s="81"/>
      <c r="R573" s="20"/>
      <c r="S573" s="48"/>
      <c r="T573" s="18"/>
      <c r="U573" s="80"/>
      <c r="V573" s="51"/>
      <c r="W573" s="20"/>
      <c r="X573" s="18"/>
      <c r="Y573" s="18"/>
      <c r="Z573" s="18"/>
      <c r="AA573" s="18"/>
      <c r="AB573" s="18"/>
      <c r="AC573" s="18"/>
      <c r="AD573" s="18"/>
    </row>
    <row r="574" spans="1:30" ht="12.75" customHeight="1" x14ac:dyDescent="0.2">
      <c r="A574" s="100"/>
      <c r="B574" s="100"/>
      <c r="C574" s="100"/>
      <c r="D574" s="189"/>
      <c r="E574" s="68"/>
      <c r="G574" s="84"/>
      <c r="H574" s="86" t="s">
        <v>489</v>
      </c>
      <c r="I574" s="28">
        <v>-300</v>
      </c>
      <c r="J574" s="153">
        <f t="shared" si="36"/>
        <v>6028.6899999999987</v>
      </c>
      <c r="K574" s="81"/>
      <c r="L574" s="302"/>
      <c r="M574" s="54"/>
      <c r="N574" s="195"/>
      <c r="O574" s="278"/>
      <c r="P574" s="119"/>
      <c r="Q574" s="81"/>
      <c r="R574" s="20"/>
      <c r="S574" s="48"/>
      <c r="T574" s="18"/>
      <c r="U574" s="80"/>
      <c r="V574" s="51"/>
      <c r="W574" s="20"/>
      <c r="X574" s="18"/>
      <c r="Y574" s="18"/>
      <c r="Z574" s="18"/>
      <c r="AA574" s="18"/>
      <c r="AB574" s="18"/>
      <c r="AC574" s="18"/>
      <c r="AD574" s="18"/>
    </row>
    <row r="575" spans="1:30" ht="12.75" customHeight="1" x14ac:dyDescent="0.2">
      <c r="A575" s="100"/>
      <c r="B575" s="100"/>
      <c r="C575" s="100"/>
      <c r="D575" s="189"/>
      <c r="E575" s="68"/>
      <c r="G575" s="84"/>
      <c r="H575" s="86" t="s">
        <v>490</v>
      </c>
      <c r="I575" s="28">
        <v>-114</v>
      </c>
      <c r="J575" s="153">
        <f t="shared" si="36"/>
        <v>5914.6899999999987</v>
      </c>
      <c r="K575" s="81"/>
      <c r="L575" s="302"/>
      <c r="M575" s="54"/>
      <c r="N575" s="195"/>
      <c r="O575" s="278"/>
      <c r="P575" s="119"/>
      <c r="Q575" s="81"/>
      <c r="R575" s="20"/>
      <c r="S575" s="48"/>
      <c r="T575" s="18"/>
      <c r="U575" s="80"/>
      <c r="V575" s="51"/>
      <c r="W575" s="20"/>
      <c r="X575" s="18"/>
      <c r="Y575" s="18"/>
      <c r="Z575" s="18"/>
      <c r="AA575" s="18"/>
      <c r="AB575" s="18"/>
      <c r="AC575" s="18"/>
      <c r="AD575" s="18"/>
    </row>
    <row r="576" spans="1:30" ht="12.75" customHeight="1" x14ac:dyDescent="0.2">
      <c r="A576" s="100"/>
      <c r="B576" s="100"/>
      <c r="C576" s="100"/>
      <c r="D576" s="189"/>
      <c r="E576" s="68"/>
      <c r="G576" s="84"/>
      <c r="H576" s="86" t="s">
        <v>491</v>
      </c>
      <c r="I576" s="28">
        <v>-69.900000000000006</v>
      </c>
      <c r="J576" s="153">
        <f t="shared" si="36"/>
        <v>5844.7899999999991</v>
      </c>
      <c r="K576" s="81"/>
      <c r="L576" s="302"/>
      <c r="M576" s="54"/>
      <c r="N576" s="195"/>
      <c r="O576" s="278"/>
      <c r="P576" s="119"/>
      <c r="Q576" s="81"/>
      <c r="R576" s="20"/>
      <c r="S576" s="48"/>
      <c r="T576" s="18"/>
      <c r="U576" s="80"/>
      <c r="V576" s="51"/>
      <c r="W576" s="20"/>
      <c r="X576" s="18"/>
      <c r="Y576" s="18"/>
      <c r="Z576" s="18"/>
      <c r="AA576" s="18"/>
      <c r="AB576" s="18"/>
      <c r="AC576" s="18"/>
      <c r="AD576" s="18"/>
    </row>
    <row r="577" spans="1:30" ht="12.75" customHeight="1" x14ac:dyDescent="0.2">
      <c r="A577" s="100"/>
      <c r="B577" s="100"/>
      <c r="C577" s="100"/>
      <c r="D577" s="189"/>
      <c r="E577" s="68"/>
      <c r="G577" s="84"/>
      <c r="H577" s="86" t="s">
        <v>126</v>
      </c>
      <c r="I577" s="28">
        <v>200</v>
      </c>
      <c r="J577" s="153">
        <f t="shared" si="36"/>
        <v>6044.7899999999991</v>
      </c>
      <c r="K577" s="81"/>
      <c r="L577" s="302"/>
      <c r="M577" s="54"/>
      <c r="N577" s="195"/>
      <c r="O577" s="278"/>
      <c r="P577" s="119"/>
      <c r="Q577" s="81"/>
      <c r="R577" s="20"/>
      <c r="S577" s="48"/>
      <c r="T577" s="18"/>
      <c r="U577" s="80"/>
      <c r="V577" s="51"/>
      <c r="W577" s="20"/>
      <c r="X577" s="18"/>
      <c r="Y577" s="18"/>
      <c r="Z577" s="18"/>
      <c r="AA577" s="18"/>
      <c r="AB577" s="18"/>
      <c r="AC577" s="18"/>
      <c r="AD577" s="18"/>
    </row>
    <row r="578" spans="1:30" ht="12.75" customHeight="1" x14ac:dyDescent="0.2">
      <c r="A578" s="100"/>
      <c r="B578" s="100"/>
      <c r="C578" s="100"/>
      <c r="D578" s="189"/>
      <c r="E578" s="68"/>
      <c r="G578" s="84"/>
      <c r="H578" s="86" t="s">
        <v>370</v>
      </c>
      <c r="I578" s="28">
        <v>4000</v>
      </c>
      <c r="J578" s="153">
        <f t="shared" si="36"/>
        <v>10044.789999999999</v>
      </c>
      <c r="K578" s="81"/>
      <c r="L578" s="302"/>
      <c r="M578" s="54"/>
      <c r="N578" s="195"/>
      <c r="O578" s="278"/>
      <c r="P578" s="119"/>
      <c r="Q578" s="81"/>
      <c r="R578" s="20"/>
      <c r="S578" s="48"/>
      <c r="T578" s="18"/>
      <c r="U578" s="80"/>
      <c r="V578" s="51"/>
      <c r="W578" s="20"/>
      <c r="X578" s="18"/>
      <c r="Y578" s="18"/>
      <c r="Z578" s="18"/>
      <c r="AA578" s="18"/>
      <c r="AB578" s="18"/>
      <c r="AC578" s="18"/>
      <c r="AD578" s="18"/>
    </row>
    <row r="579" spans="1:30" ht="12.75" customHeight="1" x14ac:dyDescent="0.2">
      <c r="A579" s="100"/>
      <c r="B579" s="100"/>
      <c r="C579" s="100"/>
      <c r="D579" s="189"/>
      <c r="E579" s="68"/>
      <c r="G579" s="84"/>
      <c r="H579" s="86" t="s">
        <v>493</v>
      </c>
      <c r="I579" s="28">
        <f>-180.2-143.46-206.51-38.99</f>
        <v>-569.16</v>
      </c>
      <c r="J579" s="153">
        <f t="shared" si="36"/>
        <v>9475.6299999999992</v>
      </c>
      <c r="K579" s="81"/>
      <c r="L579" s="302"/>
      <c r="M579" s="54"/>
      <c r="N579" s="195"/>
      <c r="O579" s="278"/>
      <c r="P579" s="119"/>
      <c r="Q579" s="81"/>
      <c r="R579" s="20"/>
      <c r="S579" s="48"/>
      <c r="T579" s="18"/>
      <c r="U579" s="80"/>
      <c r="V579" s="51"/>
      <c r="W579" s="20"/>
      <c r="X579" s="18"/>
      <c r="Y579" s="18"/>
      <c r="Z579" s="18"/>
      <c r="AA579" s="18"/>
      <c r="AB579" s="18"/>
      <c r="AC579" s="18"/>
      <c r="AD579" s="18"/>
    </row>
    <row r="580" spans="1:30" ht="12.75" customHeight="1" x14ac:dyDescent="0.2">
      <c r="A580" s="100"/>
      <c r="B580" s="100"/>
      <c r="C580" s="100"/>
      <c r="D580" s="189"/>
      <c r="E580" s="68"/>
      <c r="G580" s="84"/>
      <c r="H580" s="86" t="s">
        <v>494</v>
      </c>
      <c r="I580" s="28">
        <v>-50</v>
      </c>
      <c r="J580" s="153">
        <f t="shared" si="36"/>
        <v>9425.6299999999992</v>
      </c>
      <c r="K580" s="81"/>
      <c r="L580" s="302"/>
      <c r="M580" s="54"/>
      <c r="N580" s="195"/>
      <c r="O580" s="278"/>
      <c r="P580" s="119"/>
      <c r="Q580" s="81"/>
      <c r="R580" s="20"/>
      <c r="S580" s="48"/>
      <c r="T580" s="18"/>
      <c r="U580" s="80"/>
      <c r="V580" s="51"/>
      <c r="W580" s="20"/>
      <c r="X580" s="18"/>
      <c r="Y580" s="18"/>
      <c r="Z580" s="18"/>
      <c r="AA580" s="18"/>
      <c r="AB580" s="18"/>
      <c r="AC580" s="18"/>
      <c r="AD580" s="18"/>
    </row>
    <row r="581" spans="1:30" ht="12.75" customHeight="1" x14ac:dyDescent="0.2">
      <c r="A581" s="100"/>
      <c r="B581" s="100"/>
      <c r="C581" s="100"/>
      <c r="D581" s="189"/>
      <c r="E581" s="68"/>
      <c r="G581" s="84"/>
      <c r="H581" s="75" t="s">
        <v>111</v>
      </c>
      <c r="I581" s="28">
        <f>-157.5-35.6-200-200-200.1</f>
        <v>-793.2</v>
      </c>
      <c r="J581" s="153">
        <f t="shared" si="36"/>
        <v>8632.4299999999985</v>
      </c>
      <c r="K581" s="81"/>
      <c r="L581" s="302"/>
      <c r="M581" s="54"/>
      <c r="N581" s="195"/>
      <c r="O581" s="278"/>
      <c r="P581" s="119"/>
      <c r="Q581" s="81"/>
      <c r="R581" s="20"/>
      <c r="S581" s="48"/>
      <c r="T581" s="18"/>
      <c r="U581" s="80"/>
      <c r="V581" s="51"/>
      <c r="W581" s="20"/>
      <c r="X581" s="18"/>
      <c r="Y581" s="18"/>
      <c r="Z581" s="18"/>
      <c r="AA581" s="18"/>
      <c r="AB581" s="18"/>
      <c r="AC581" s="18"/>
      <c r="AD581" s="18"/>
    </row>
    <row r="582" spans="1:30" ht="12.75" customHeight="1" x14ac:dyDescent="0.2">
      <c r="A582" s="100"/>
      <c r="B582" s="100"/>
      <c r="C582" s="100"/>
      <c r="D582" s="189"/>
      <c r="E582" s="68"/>
      <c r="G582" s="84"/>
      <c r="H582" s="75" t="s">
        <v>31</v>
      </c>
      <c r="I582" s="28">
        <v>-8000</v>
      </c>
      <c r="J582" s="153">
        <f t="shared" si="36"/>
        <v>632.42999999999847</v>
      </c>
      <c r="K582" s="81"/>
      <c r="L582" s="302"/>
      <c r="M582" s="54"/>
      <c r="N582" s="195"/>
      <c r="O582" s="278"/>
      <c r="P582" s="119"/>
      <c r="Q582" s="81"/>
      <c r="R582" s="20"/>
      <c r="S582" s="48"/>
      <c r="T582" s="18"/>
      <c r="U582" s="80"/>
      <c r="V582" s="51"/>
      <c r="W582" s="20"/>
      <c r="X582" s="18"/>
      <c r="Y582" s="18"/>
      <c r="Z582" s="18"/>
      <c r="AA582" s="18"/>
      <c r="AB582" s="18"/>
      <c r="AC582" s="18"/>
      <c r="AD582" s="18"/>
    </row>
    <row r="583" spans="1:30" ht="12.75" customHeight="1" x14ac:dyDescent="0.2">
      <c r="A583" s="100"/>
      <c r="B583" s="100"/>
      <c r="C583" s="100"/>
      <c r="D583" s="189"/>
      <c r="E583" s="68"/>
      <c r="G583" s="84"/>
      <c r="H583" s="75" t="s">
        <v>11</v>
      </c>
      <c r="I583" s="28">
        <f>-423.24-300-141.32</f>
        <v>-864.56</v>
      </c>
      <c r="J583" s="153">
        <f t="shared" si="36"/>
        <v>-232.13000000000147</v>
      </c>
      <c r="K583" s="81"/>
      <c r="L583" s="302"/>
      <c r="M583" s="54"/>
      <c r="N583" s="195"/>
      <c r="O583" s="278"/>
      <c r="P583" s="119"/>
      <c r="Q583" s="81"/>
      <c r="R583" s="20"/>
      <c r="S583" s="48"/>
      <c r="T583" s="18"/>
      <c r="U583" s="80"/>
      <c r="V583" s="51"/>
      <c r="W583" s="20"/>
      <c r="X583" s="18"/>
      <c r="Y583" s="18"/>
      <c r="Z583" s="18"/>
      <c r="AA583" s="18"/>
      <c r="AB583" s="18"/>
      <c r="AC583" s="18"/>
      <c r="AD583" s="18"/>
    </row>
    <row r="584" spans="1:30" ht="12.75" customHeight="1" x14ac:dyDescent="0.2">
      <c r="A584" s="100"/>
      <c r="B584" s="100"/>
      <c r="C584" s="100"/>
      <c r="D584" s="189"/>
      <c r="E584" s="68"/>
      <c r="G584" s="84"/>
      <c r="H584" s="75" t="s">
        <v>497</v>
      </c>
      <c r="I584" s="28">
        <v>-125.06</v>
      </c>
      <c r="J584" s="153">
        <f t="shared" si="36"/>
        <v>-357.19000000000148</v>
      </c>
      <c r="K584" s="81"/>
      <c r="L584" s="302"/>
      <c r="M584" s="54"/>
      <c r="N584" s="195"/>
      <c r="O584" s="278"/>
      <c r="P584" s="119"/>
      <c r="Q584" s="81"/>
      <c r="R584" s="20"/>
      <c r="S584" s="48"/>
      <c r="T584" s="18"/>
      <c r="U584" s="80"/>
      <c r="V584" s="51"/>
      <c r="W584" s="20"/>
      <c r="X584" s="18"/>
      <c r="Y584" s="18"/>
      <c r="Z584" s="18"/>
      <c r="AA584" s="18"/>
      <c r="AB584" s="18"/>
      <c r="AC584" s="18"/>
      <c r="AD584" s="18"/>
    </row>
    <row r="585" spans="1:30" ht="12.75" customHeight="1" x14ac:dyDescent="0.2">
      <c r="A585" s="100"/>
      <c r="B585" s="100"/>
      <c r="C585" s="100"/>
      <c r="D585" s="189"/>
      <c r="E585" s="68"/>
      <c r="G585" s="84"/>
      <c r="H585" s="75" t="s">
        <v>499</v>
      </c>
      <c r="I585" s="28">
        <v>-26.9</v>
      </c>
      <c r="J585" s="153">
        <f t="shared" si="36"/>
        <v>-384.09000000000145</v>
      </c>
      <c r="K585" s="81"/>
      <c r="L585" s="302"/>
      <c r="M585" s="54"/>
      <c r="N585" s="195"/>
      <c r="O585" s="278"/>
      <c r="P585" s="119"/>
      <c r="Q585" s="81"/>
      <c r="R585" s="20"/>
      <c r="S585" s="48"/>
      <c r="T585" s="18"/>
      <c r="U585" s="80"/>
      <c r="V585" s="51"/>
      <c r="W585" s="20"/>
      <c r="X585" s="18"/>
      <c r="Y585" s="18"/>
      <c r="Z585" s="18"/>
      <c r="AA585" s="18"/>
      <c r="AB585" s="18"/>
      <c r="AC585" s="18"/>
      <c r="AD585" s="18"/>
    </row>
    <row r="586" spans="1:30" ht="12.75" customHeight="1" x14ac:dyDescent="0.2">
      <c r="A586" s="100"/>
      <c r="B586" s="100"/>
      <c r="C586" s="100"/>
      <c r="D586" s="189"/>
      <c r="E586" s="68"/>
      <c r="G586" s="84"/>
      <c r="H586" s="75" t="s">
        <v>498</v>
      </c>
      <c r="I586" s="316">
        <v>4000</v>
      </c>
      <c r="J586" s="153">
        <f t="shared" si="36"/>
        <v>3615.9099999999985</v>
      </c>
      <c r="K586" s="81"/>
      <c r="L586" s="302"/>
      <c r="M586" s="54"/>
      <c r="N586" s="195"/>
      <c r="O586" s="278"/>
      <c r="P586" s="119"/>
      <c r="Q586" s="81"/>
      <c r="R586" s="20"/>
      <c r="S586" s="48"/>
      <c r="T586" s="18"/>
      <c r="U586" s="80"/>
      <c r="V586" s="51"/>
      <c r="W586" s="20"/>
      <c r="X586" s="18"/>
      <c r="Y586" s="18"/>
      <c r="Z586" s="18"/>
      <c r="AA586" s="18"/>
      <c r="AB586" s="18"/>
      <c r="AC586" s="18"/>
      <c r="AD586" s="18"/>
    </row>
    <row r="587" spans="1:30" ht="12.75" customHeight="1" x14ac:dyDescent="0.2">
      <c r="A587" s="100"/>
      <c r="B587" s="100"/>
      <c r="C587" s="100"/>
      <c r="D587" s="189"/>
      <c r="E587" s="68"/>
      <c r="G587" s="84"/>
      <c r="H587" s="75" t="s">
        <v>111</v>
      </c>
      <c r="I587" s="28">
        <f>-109.6-200.03</f>
        <v>-309.63</v>
      </c>
      <c r="J587" s="153">
        <f t="shared" si="36"/>
        <v>3306.2799999999984</v>
      </c>
      <c r="K587" s="81"/>
      <c r="L587" s="302"/>
      <c r="M587" s="54"/>
      <c r="N587" s="195"/>
      <c r="O587" s="278"/>
      <c r="P587" s="119"/>
      <c r="Q587" s="81"/>
      <c r="R587" s="20"/>
      <c r="S587" s="48"/>
      <c r="T587" s="18"/>
      <c r="U587" s="80"/>
      <c r="V587" s="51"/>
      <c r="W587" s="20"/>
      <c r="X587" s="18"/>
      <c r="Y587" s="18"/>
      <c r="Z587" s="18"/>
      <c r="AA587" s="18"/>
      <c r="AB587" s="18"/>
      <c r="AC587" s="18"/>
      <c r="AD587" s="18"/>
    </row>
    <row r="588" spans="1:30" ht="12.75" customHeight="1" x14ac:dyDescent="0.2">
      <c r="A588" s="100"/>
      <c r="B588" s="100"/>
      <c r="C588" s="100"/>
      <c r="D588" s="189"/>
      <c r="E588" s="68"/>
      <c r="G588" s="84"/>
      <c r="H588" s="75" t="s">
        <v>500</v>
      </c>
      <c r="I588" s="28">
        <v>300</v>
      </c>
      <c r="J588" s="153">
        <f t="shared" si="36"/>
        <v>3606.2799999999984</v>
      </c>
      <c r="K588" s="81"/>
      <c r="L588" s="302"/>
      <c r="M588" s="54"/>
      <c r="N588" s="195"/>
      <c r="O588" s="278"/>
      <c r="P588" s="119"/>
      <c r="Q588" s="81"/>
      <c r="R588" s="20"/>
      <c r="S588" s="48"/>
      <c r="T588" s="18"/>
      <c r="U588" s="80"/>
      <c r="V588" s="51"/>
      <c r="W588" s="20"/>
      <c r="X588" s="18"/>
      <c r="Y588" s="18"/>
      <c r="Z588" s="18"/>
      <c r="AA588" s="18"/>
      <c r="AB588" s="18"/>
      <c r="AC588" s="18"/>
      <c r="AD588" s="18"/>
    </row>
    <row r="589" spans="1:30" ht="12.75" customHeight="1" x14ac:dyDescent="0.2">
      <c r="A589" s="100"/>
      <c r="B589" s="100"/>
      <c r="C589" s="100"/>
      <c r="D589" s="189"/>
      <c r="E589" s="68"/>
      <c r="G589" s="84"/>
      <c r="H589" s="86" t="s">
        <v>501</v>
      </c>
      <c r="I589" s="28">
        <f>-217.42-225.47-229.85-139-100.8</f>
        <v>-912.54</v>
      </c>
      <c r="J589" s="153">
        <f t="shared" si="36"/>
        <v>2693.7399999999984</v>
      </c>
      <c r="K589" s="81"/>
      <c r="L589" s="302"/>
      <c r="M589" s="54"/>
      <c r="N589" s="195"/>
      <c r="O589" s="278"/>
      <c r="P589" s="119"/>
      <c r="Q589" s="81"/>
      <c r="R589" s="20"/>
      <c r="S589" s="48"/>
      <c r="T589" s="18"/>
      <c r="U589" s="80"/>
      <c r="V589" s="51"/>
      <c r="W589" s="20"/>
      <c r="X589" s="18"/>
      <c r="Y589" s="18"/>
      <c r="Z589" s="18"/>
      <c r="AA589" s="18"/>
      <c r="AB589" s="18"/>
      <c r="AC589" s="18"/>
      <c r="AD589" s="18"/>
    </row>
    <row r="590" spans="1:30" ht="12.75" customHeight="1" x14ac:dyDescent="0.2">
      <c r="A590" s="100"/>
      <c r="B590" s="100"/>
      <c r="C590" s="100"/>
      <c r="D590" s="189"/>
      <c r="E590" s="68"/>
      <c r="G590" s="84"/>
      <c r="H590" s="86" t="s">
        <v>503</v>
      </c>
      <c r="I590" s="28">
        <v>-76.7</v>
      </c>
      <c r="J590" s="153">
        <f t="shared" si="36"/>
        <v>2617.0399999999986</v>
      </c>
      <c r="K590" s="81"/>
      <c r="L590" s="302"/>
      <c r="M590" s="54"/>
      <c r="N590" s="195"/>
      <c r="O590" s="278"/>
      <c r="P590" s="119"/>
      <c r="Q590" s="81"/>
      <c r="R590" s="20"/>
      <c r="S590" s="48"/>
      <c r="T590" s="18"/>
      <c r="U590" s="80"/>
      <c r="V590" s="51"/>
      <c r="W590" s="20"/>
      <c r="X590" s="18"/>
      <c r="Y590" s="18"/>
      <c r="Z590" s="18"/>
      <c r="AA590" s="18"/>
      <c r="AB590" s="18"/>
      <c r="AC590" s="18"/>
      <c r="AD590" s="18"/>
    </row>
    <row r="591" spans="1:30" ht="13.5" customHeight="1" x14ac:dyDescent="0.2">
      <c r="A591" s="100"/>
      <c r="B591" s="100"/>
      <c r="C591" s="100"/>
      <c r="D591" s="189"/>
      <c r="E591" s="68"/>
      <c r="G591" s="84"/>
      <c r="H591" s="86" t="s">
        <v>31</v>
      </c>
      <c r="I591" s="28">
        <v>9000</v>
      </c>
      <c r="J591" s="153">
        <f t="shared" si="36"/>
        <v>11617.039999999999</v>
      </c>
      <c r="K591" s="81"/>
      <c r="L591" s="302"/>
      <c r="M591" s="54"/>
      <c r="N591" s="195"/>
      <c r="O591" s="278"/>
      <c r="P591" s="119"/>
      <c r="Q591" s="81"/>
      <c r="R591" s="20"/>
      <c r="S591" s="48"/>
      <c r="T591" s="18"/>
      <c r="U591" s="80"/>
      <c r="V591" s="51"/>
      <c r="W591" s="20"/>
      <c r="X591" s="18"/>
      <c r="Y591" s="18"/>
      <c r="Z591" s="18"/>
      <c r="AA591" s="18"/>
      <c r="AB591" s="18"/>
      <c r="AC591" s="18"/>
      <c r="AD591" s="18"/>
    </row>
    <row r="592" spans="1:30" ht="12.75" customHeight="1" x14ac:dyDescent="0.2">
      <c r="A592" s="100"/>
      <c r="B592" s="100"/>
      <c r="C592" s="100"/>
      <c r="D592" s="189"/>
      <c r="E592" s="68"/>
      <c r="G592" s="84"/>
      <c r="H592" s="86" t="s">
        <v>48</v>
      </c>
      <c r="I592" s="28">
        <v>-2420.7399999999998</v>
      </c>
      <c r="J592" s="153">
        <f t="shared" si="36"/>
        <v>9196.2999999999993</v>
      </c>
      <c r="K592" s="81"/>
      <c r="L592" s="302"/>
      <c r="M592" s="54"/>
      <c r="N592" s="195"/>
      <c r="O592" s="278"/>
      <c r="P592" s="119"/>
      <c r="Q592" s="81"/>
      <c r="R592" s="20"/>
      <c r="S592" s="48"/>
      <c r="T592" s="18"/>
      <c r="U592" s="80"/>
      <c r="V592" s="51"/>
      <c r="W592" s="20"/>
      <c r="X592" s="18"/>
      <c r="Y592" s="18"/>
      <c r="Z592" s="18"/>
      <c r="AA592" s="18"/>
      <c r="AB592" s="18"/>
      <c r="AC592" s="18"/>
      <c r="AD592" s="18"/>
    </row>
    <row r="593" spans="1:30" ht="12.75" customHeight="1" x14ac:dyDescent="0.2">
      <c r="A593" s="100"/>
      <c r="B593" s="100"/>
      <c r="C593" s="100"/>
      <c r="D593" s="189"/>
      <c r="E593" s="68"/>
      <c r="G593" s="84"/>
      <c r="H593" s="86" t="s">
        <v>44</v>
      </c>
      <c r="I593" s="28">
        <v>-69</v>
      </c>
      <c r="J593" s="153">
        <f t="shared" si="36"/>
        <v>9127.2999999999993</v>
      </c>
      <c r="K593" s="81"/>
      <c r="L593" s="302"/>
      <c r="M593" s="54"/>
      <c r="N593" s="195"/>
      <c r="O593" s="278"/>
      <c r="P593" s="119"/>
      <c r="Q593" s="81"/>
      <c r="R593" s="20"/>
      <c r="S593" s="48"/>
      <c r="T593" s="18"/>
      <c r="U593" s="80"/>
      <c r="V593" s="51"/>
      <c r="W593" s="20"/>
      <c r="X593" s="18"/>
      <c r="Y593" s="18"/>
      <c r="Z593" s="18"/>
      <c r="AA593" s="18"/>
      <c r="AB593" s="18"/>
      <c r="AC593" s="18"/>
      <c r="AD593" s="18"/>
    </row>
    <row r="594" spans="1:30" ht="12.75" customHeight="1" x14ac:dyDescent="0.2">
      <c r="A594" s="100"/>
      <c r="B594" s="100"/>
      <c r="C594" s="100"/>
      <c r="D594" s="189"/>
      <c r="E594" s="68"/>
      <c r="F594" s="229"/>
      <c r="G594" s="200"/>
      <c r="H594" s="86" t="s">
        <v>37</v>
      </c>
      <c r="I594" s="28">
        <v>-657.5</v>
      </c>
      <c r="J594" s="153">
        <f t="shared" si="36"/>
        <v>8469.7999999999993</v>
      </c>
      <c r="K594" s="81"/>
      <c r="L594" s="302"/>
      <c r="M594" s="54"/>
      <c r="N594" s="195"/>
      <c r="O594" s="278"/>
      <c r="P594" s="119"/>
      <c r="Q594" s="81"/>
      <c r="R594" s="20"/>
      <c r="S594" s="48"/>
      <c r="T594" s="18"/>
      <c r="U594" s="80"/>
      <c r="V594" s="51"/>
      <c r="W594" s="20"/>
      <c r="X594" s="18"/>
      <c r="Y594" s="18"/>
      <c r="Z594" s="18"/>
      <c r="AA594" s="18"/>
      <c r="AB594" s="18"/>
      <c r="AC594" s="18"/>
      <c r="AD594" s="18"/>
    </row>
    <row r="595" spans="1:30" ht="12.75" customHeight="1" x14ac:dyDescent="0.2">
      <c r="A595" s="100"/>
      <c r="B595" s="100"/>
      <c r="C595" s="100"/>
      <c r="D595" s="189"/>
      <c r="E595" s="68"/>
      <c r="F595" s="229"/>
      <c r="G595" s="200"/>
      <c r="H595" s="86" t="s">
        <v>111</v>
      </c>
      <c r="I595" s="408">
        <v>2000</v>
      </c>
      <c r="J595" s="153">
        <f t="shared" si="36"/>
        <v>10469.799999999999</v>
      </c>
      <c r="K595" s="81"/>
      <c r="L595" s="302"/>
      <c r="M595" s="54"/>
      <c r="N595" s="195"/>
      <c r="O595" s="278"/>
      <c r="P595" s="119"/>
      <c r="Q595" s="81"/>
      <c r="R595" s="20"/>
      <c r="S595" s="48"/>
      <c r="T595" s="18"/>
      <c r="U595" s="80"/>
      <c r="V595" s="51"/>
      <c r="W595" s="20"/>
      <c r="X595" s="18"/>
      <c r="Y595" s="18"/>
      <c r="Z595" s="18"/>
      <c r="AA595" s="18"/>
      <c r="AB595" s="18"/>
      <c r="AC595" s="18"/>
      <c r="AD595" s="18"/>
    </row>
    <row r="596" spans="1:30" ht="12.75" customHeight="1" x14ac:dyDescent="0.2">
      <c r="A596" s="100"/>
      <c r="B596" s="100"/>
      <c r="C596" s="100"/>
      <c r="D596" s="189"/>
      <c r="E596" s="68"/>
      <c r="F596" s="229"/>
      <c r="G596" s="200"/>
      <c r="H596" s="86" t="s">
        <v>39</v>
      </c>
      <c r="I596" s="409">
        <v>-1000</v>
      </c>
      <c r="J596" s="153">
        <f t="shared" si="36"/>
        <v>9469.7999999999993</v>
      </c>
      <c r="K596" s="81"/>
      <c r="L596" s="302"/>
      <c r="M596" s="54"/>
      <c r="N596" s="195"/>
      <c r="O596" s="278"/>
      <c r="P596" s="119"/>
      <c r="Q596" s="81"/>
      <c r="R596" s="20"/>
      <c r="S596" s="48"/>
      <c r="T596" s="18"/>
      <c r="U596" s="80"/>
      <c r="V596" s="51"/>
      <c r="W596" s="20"/>
      <c r="X596" s="18"/>
      <c r="Y596" s="18"/>
      <c r="Z596" s="18"/>
      <c r="AA596" s="18"/>
      <c r="AB596" s="18"/>
      <c r="AC596" s="18"/>
      <c r="AD596" s="18"/>
    </row>
    <row r="597" spans="1:30" ht="12.75" customHeight="1" x14ac:dyDescent="0.2">
      <c r="A597" s="100"/>
      <c r="B597" s="100"/>
      <c r="C597" s="100"/>
      <c r="D597" s="189"/>
      <c r="E597" s="68"/>
      <c r="F597" s="229"/>
      <c r="G597" s="200"/>
      <c r="H597" s="193" t="s">
        <v>484</v>
      </c>
      <c r="I597" s="287">
        <v>-5500</v>
      </c>
      <c r="J597" s="153">
        <f t="shared" si="36"/>
        <v>3969.7999999999993</v>
      </c>
      <c r="K597" s="81"/>
      <c r="L597" s="302"/>
      <c r="M597" s="54"/>
      <c r="N597" s="195"/>
      <c r="O597" s="278"/>
      <c r="P597" s="119"/>
      <c r="Q597" s="81"/>
      <c r="R597" s="20"/>
      <c r="S597" s="48"/>
      <c r="T597" s="18"/>
      <c r="U597" s="80"/>
      <c r="V597" s="51"/>
      <c r="W597" s="20"/>
      <c r="X597" s="18"/>
      <c r="Y597" s="18"/>
      <c r="Z597" s="18"/>
      <c r="AA597" s="18"/>
      <c r="AB597" s="18"/>
      <c r="AC597" s="18"/>
      <c r="AD597" s="18"/>
    </row>
    <row r="598" spans="1:30" ht="12.75" customHeight="1" x14ac:dyDescent="0.2">
      <c r="A598" s="100"/>
      <c r="B598" s="100"/>
      <c r="C598" s="100"/>
      <c r="D598" s="189"/>
      <c r="E598" s="68"/>
      <c r="F598" s="210"/>
      <c r="G598" s="200"/>
      <c r="H598" s="193" t="s">
        <v>152</v>
      </c>
      <c r="I598" s="77">
        <v>-300</v>
      </c>
      <c r="J598" s="153">
        <f t="shared" si="36"/>
        <v>3669.7999999999993</v>
      </c>
      <c r="K598" s="81"/>
      <c r="L598" s="305"/>
      <c r="M598" s="54"/>
      <c r="N598" s="195"/>
      <c r="O598" s="278"/>
      <c r="P598" s="119"/>
      <c r="Q598" s="81"/>
      <c r="R598" s="20"/>
      <c r="S598" s="48"/>
      <c r="T598" s="18"/>
      <c r="U598" s="80"/>
      <c r="V598" s="51"/>
      <c r="W598" s="20"/>
      <c r="X598" s="18"/>
      <c r="Y598" s="18"/>
      <c r="Z598" s="18"/>
      <c r="AA598" s="18"/>
      <c r="AB598" s="18"/>
      <c r="AC598" s="18"/>
      <c r="AD598" s="18"/>
    </row>
    <row r="599" spans="1:30" ht="12.75" customHeight="1" x14ac:dyDescent="0.2">
      <c r="A599" s="100"/>
      <c r="B599" s="100"/>
      <c r="C599" s="100"/>
      <c r="D599" s="189"/>
      <c r="E599" s="68"/>
      <c r="F599" s="360" t="s">
        <v>455</v>
      </c>
      <c r="G599" s="200"/>
      <c r="H599" s="86" t="s">
        <v>87</v>
      </c>
      <c r="I599" s="28">
        <v>-450</v>
      </c>
      <c r="J599" s="153">
        <f t="shared" si="36"/>
        <v>3219.7999999999993</v>
      </c>
      <c r="K599" s="81"/>
      <c r="L599" s="305"/>
      <c r="M599" s="54"/>
      <c r="N599" s="195"/>
      <c r="O599" s="405"/>
      <c r="P599" s="400"/>
      <c r="Q599" s="20"/>
      <c r="R599" s="20"/>
      <c r="S599" s="48"/>
      <c r="T599" s="18"/>
      <c r="U599" s="80"/>
      <c r="V599" s="51"/>
      <c r="W599" s="20"/>
      <c r="X599" s="18"/>
      <c r="Y599" s="18"/>
      <c r="Z599" s="18"/>
      <c r="AA599" s="18"/>
      <c r="AB599" s="18"/>
      <c r="AC599" s="18"/>
      <c r="AD599" s="18"/>
    </row>
    <row r="600" spans="1:30" ht="12.75" customHeight="1" x14ac:dyDescent="0.2">
      <c r="A600" s="100"/>
      <c r="B600" s="100"/>
      <c r="C600" s="100"/>
      <c r="D600" s="189"/>
      <c r="E600" s="68"/>
      <c r="F600" s="377" t="s">
        <v>492</v>
      </c>
      <c r="G600" s="200"/>
      <c r="H600" s="86" t="s">
        <v>117</v>
      </c>
      <c r="I600" s="28">
        <v>-250</v>
      </c>
      <c r="J600" s="153">
        <f t="shared" si="36"/>
        <v>2969.7999999999993</v>
      </c>
      <c r="K600" s="81"/>
      <c r="L600" s="306"/>
      <c r="M600" s="54"/>
      <c r="N600" s="328"/>
      <c r="O600" s="405"/>
      <c r="P600" s="401"/>
      <c r="Q600" s="20"/>
      <c r="R600" s="20"/>
      <c r="S600" s="48"/>
      <c r="T600" s="18"/>
      <c r="U600" s="80"/>
      <c r="V600" s="51"/>
      <c r="W600" s="20"/>
      <c r="X600" s="18"/>
      <c r="Y600" s="18"/>
      <c r="Z600" s="18"/>
      <c r="AA600" s="18"/>
      <c r="AB600" s="18"/>
      <c r="AC600" s="18"/>
      <c r="AD600" s="18"/>
    </row>
    <row r="601" spans="1:30" ht="12.75" customHeight="1" x14ac:dyDescent="0.2">
      <c r="A601" s="100"/>
      <c r="B601" s="100"/>
      <c r="C601" s="100"/>
      <c r="D601" s="219"/>
      <c r="E601" s="68"/>
      <c r="G601" s="45" t="s">
        <v>46</v>
      </c>
      <c r="H601" s="87" t="s">
        <v>8</v>
      </c>
      <c r="I601" s="398">
        <v>-343.99</v>
      </c>
      <c r="J601" s="153">
        <f t="shared" si="36"/>
        <v>2625.8099999999995</v>
      </c>
      <c r="K601" s="18"/>
      <c r="L601" s="306"/>
      <c r="M601" s="54"/>
      <c r="N601" s="328"/>
      <c r="O601" s="405"/>
      <c r="P601" s="403"/>
      <c r="Q601" s="20"/>
      <c r="R601" s="20"/>
      <c r="S601" s="48"/>
      <c r="T601" s="18"/>
      <c r="U601" s="80"/>
      <c r="V601" s="51"/>
      <c r="W601" s="20"/>
      <c r="X601" s="18"/>
      <c r="Y601" s="18"/>
      <c r="Z601" s="18"/>
      <c r="AA601" s="18"/>
      <c r="AB601" s="18"/>
      <c r="AC601" s="18"/>
      <c r="AD601" s="18"/>
    </row>
    <row r="602" spans="1:30" ht="12.75" customHeight="1" x14ac:dyDescent="0.2">
      <c r="A602" s="100"/>
      <c r="B602" s="100"/>
      <c r="C602" s="100"/>
      <c r="D602" s="189"/>
      <c r="E602" s="23"/>
      <c r="F602" s="183"/>
      <c r="G602" s="84" t="s">
        <v>46</v>
      </c>
      <c r="H602" s="88" t="s">
        <v>34</v>
      </c>
      <c r="I602" s="398">
        <v>-1280</v>
      </c>
      <c r="J602" s="153">
        <f t="shared" si="36"/>
        <v>1345.8099999999995</v>
      </c>
      <c r="K602" s="18"/>
      <c r="L602" s="306"/>
      <c r="M602" s="54"/>
      <c r="N602" s="328"/>
      <c r="O602" s="405"/>
      <c r="P602" s="402"/>
      <c r="Q602" s="20"/>
      <c r="R602" s="20"/>
      <c r="S602" s="48"/>
      <c r="T602" s="18"/>
      <c r="U602" s="80"/>
      <c r="V602" s="51"/>
      <c r="W602" s="20"/>
      <c r="X602" s="18"/>
      <c r="Y602" s="18"/>
      <c r="Z602" s="18"/>
      <c r="AA602" s="18"/>
      <c r="AB602" s="18"/>
      <c r="AC602" s="18"/>
      <c r="AD602" s="18"/>
    </row>
    <row r="603" spans="1:30" ht="12.75" customHeight="1" x14ac:dyDescent="0.2">
      <c r="A603" s="100"/>
      <c r="B603" s="100"/>
      <c r="C603" s="100"/>
      <c r="D603" s="189"/>
      <c r="E603" s="23"/>
      <c r="F603" s="199"/>
      <c r="G603" s="84" t="s">
        <v>46</v>
      </c>
      <c r="H603" s="88" t="s">
        <v>10</v>
      </c>
      <c r="I603" s="399">
        <v>-1005.93</v>
      </c>
      <c r="J603" s="153">
        <f t="shared" si="36"/>
        <v>339.87999999999954</v>
      </c>
      <c r="K603" s="18"/>
      <c r="L603" s="306"/>
      <c r="M603" s="54"/>
      <c r="N603" s="328"/>
      <c r="O603" s="406"/>
      <c r="P603" s="403"/>
      <c r="Q603" s="20"/>
      <c r="R603" s="20"/>
      <c r="S603" s="48"/>
      <c r="T603" s="18"/>
      <c r="U603" s="80"/>
      <c r="V603" s="51"/>
      <c r="W603" s="20"/>
      <c r="X603" s="18"/>
      <c r="Y603" s="18"/>
      <c r="Z603" s="18"/>
      <c r="AA603" s="18"/>
      <c r="AB603" s="18"/>
      <c r="AC603" s="18"/>
      <c r="AD603" s="18"/>
    </row>
    <row r="604" spans="1:30" ht="12.75" customHeight="1" x14ac:dyDescent="0.2">
      <c r="A604" s="100"/>
      <c r="B604" s="100"/>
      <c r="C604" s="100"/>
      <c r="D604" s="189"/>
      <c r="E604" s="365"/>
      <c r="F604" s="199"/>
      <c r="G604" s="99" t="s">
        <v>46</v>
      </c>
      <c r="H604" s="201" t="s">
        <v>89</v>
      </c>
      <c r="I604" s="384">
        <v>-73.739999999999995</v>
      </c>
      <c r="J604" s="153">
        <f t="shared" si="36"/>
        <v>266.13999999999953</v>
      </c>
      <c r="K604" s="18"/>
      <c r="L604" s="340"/>
      <c r="M604" s="54"/>
      <c r="N604" s="328"/>
      <c r="O604" s="405"/>
      <c r="P604" s="407"/>
      <c r="Q604" s="20"/>
      <c r="R604" s="20"/>
      <c r="S604" s="48"/>
      <c r="T604" s="18"/>
      <c r="U604" s="80"/>
      <c r="V604" s="51"/>
      <c r="W604" s="20"/>
      <c r="X604" s="18"/>
      <c r="Y604" s="18"/>
      <c r="Z604" s="18"/>
      <c r="AA604" s="18"/>
      <c r="AB604" s="18"/>
      <c r="AC604" s="18"/>
      <c r="AD604" s="18"/>
    </row>
    <row r="605" spans="1:30" ht="12.75" customHeight="1" x14ac:dyDescent="0.2">
      <c r="A605" s="100"/>
      <c r="B605" s="100"/>
      <c r="C605" s="100"/>
      <c r="D605" s="189"/>
      <c r="E605" s="23"/>
      <c r="F605" s="199"/>
      <c r="G605" s="99" t="s">
        <v>47</v>
      </c>
      <c r="H605" s="89" t="s">
        <v>81</v>
      </c>
      <c r="I605" s="385">
        <v>-52.28</v>
      </c>
      <c r="J605" s="156">
        <f t="shared" si="36"/>
        <v>213.85999999999953</v>
      </c>
      <c r="K605" s="18"/>
      <c r="L605" s="340"/>
      <c r="M605" s="54"/>
      <c r="N605" s="328"/>
      <c r="O605" s="404"/>
      <c r="P605" s="407"/>
      <c r="Q605" s="20"/>
      <c r="R605" s="20"/>
      <c r="S605" s="48"/>
      <c r="T605" s="18"/>
      <c r="U605" s="80"/>
      <c r="V605" s="51"/>
      <c r="W605" s="20"/>
      <c r="X605" s="18"/>
      <c r="Y605" s="18"/>
      <c r="Z605" s="18"/>
      <c r="AA605" s="18"/>
      <c r="AB605" s="18"/>
      <c r="AC605" s="18"/>
      <c r="AD605" s="18"/>
    </row>
    <row r="606" spans="1:30" ht="12.75" customHeight="1" x14ac:dyDescent="0.2">
      <c r="A606" s="100"/>
      <c r="B606" s="100"/>
      <c r="C606" s="100"/>
      <c r="D606" s="341"/>
      <c r="E606" s="23"/>
      <c r="F606" s="199"/>
      <c r="H606" s="19"/>
      <c r="I606" s="73">
        <f>SUM(I561:I605)</f>
        <v>213.85999999999953</v>
      </c>
      <c r="J606" s="170">
        <f>J600-I597-I598</f>
        <v>8769.7999999999993</v>
      </c>
      <c r="K606" s="18"/>
      <c r="L606" s="194"/>
      <c r="M606" s="54"/>
      <c r="N606" s="195"/>
      <c r="O606" s="278"/>
      <c r="P606" s="112"/>
      <c r="Q606" s="20"/>
      <c r="R606" s="20"/>
      <c r="S606" s="48"/>
      <c r="T606" s="18"/>
      <c r="U606" s="80"/>
      <c r="V606" s="51"/>
      <c r="W606" s="20"/>
      <c r="X606" s="18"/>
      <c r="Y606" s="18"/>
      <c r="Z606" s="18"/>
      <c r="AA606" s="18"/>
      <c r="AB606" s="18"/>
      <c r="AC606" s="18"/>
      <c r="AD606" s="18"/>
    </row>
  </sheetData>
  <mergeCells count="47">
    <mergeCell ref="B4:E4"/>
    <mergeCell ref="I4:I5"/>
    <mergeCell ref="L4:L5"/>
    <mergeCell ref="A34:E34"/>
    <mergeCell ref="B117:E117"/>
    <mergeCell ref="I117:I118"/>
    <mergeCell ref="L117:L118"/>
    <mergeCell ref="A75:E75"/>
    <mergeCell ref="I75:I76"/>
    <mergeCell ref="L75:L76"/>
    <mergeCell ref="I34:I35"/>
    <mergeCell ref="L34:L35"/>
    <mergeCell ref="M250:N250"/>
    <mergeCell ref="B189:E189"/>
    <mergeCell ref="I189:I190"/>
    <mergeCell ref="L189:L190"/>
    <mergeCell ref="M189:N189"/>
    <mergeCell ref="B147:E147"/>
    <mergeCell ref="I147:I148"/>
    <mergeCell ref="L147:L148"/>
    <mergeCell ref="B250:E250"/>
    <mergeCell ref="I250:I251"/>
    <mergeCell ref="L250:L251"/>
    <mergeCell ref="B336:E336"/>
    <mergeCell ref="I336:I337"/>
    <mergeCell ref="L336:L337"/>
    <mergeCell ref="M336:N336"/>
    <mergeCell ref="L285:L286"/>
    <mergeCell ref="M285:N285"/>
    <mergeCell ref="B285:E285"/>
    <mergeCell ref="I285:I286"/>
    <mergeCell ref="B394:E394"/>
    <mergeCell ref="I394:I395"/>
    <mergeCell ref="L394:L395"/>
    <mergeCell ref="M394:N394"/>
    <mergeCell ref="B445:E445"/>
    <mergeCell ref="I445:I446"/>
    <mergeCell ref="L445:L446"/>
    <mergeCell ref="M445:N445"/>
    <mergeCell ref="B559:E559"/>
    <mergeCell ref="I559:I560"/>
    <mergeCell ref="L559:L560"/>
    <mergeCell ref="M559:N559"/>
    <mergeCell ref="B496:E496"/>
    <mergeCell ref="I496:I497"/>
    <mergeCell ref="L496:L497"/>
    <mergeCell ref="M496:N496"/>
  </mergeCells>
  <phoneticPr fontId="0" type="noConversion"/>
  <pageMargins left="0.74803149606299213" right="0.74803149606299213" top="0.78740157480314965" bottom="0.78740157480314965" header="0.51181102362204722" footer="0.51181102362204722"/>
  <pageSetup paperSize="1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opLeftCell="A37" workbookViewId="0">
      <selection activeCell="F43" sqref="F43:G44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9" style="240" customWidth="1"/>
    <col min="7" max="7" width="23.7109375" style="5" customWidth="1"/>
    <col min="8" max="8" width="12.7109375" style="5" customWidth="1"/>
    <col min="9" max="9" width="3.28515625" style="5" customWidth="1"/>
    <col min="10" max="10" width="17.42578125" style="248" customWidth="1"/>
    <col min="11" max="11" width="11.7109375" style="240" customWidth="1"/>
    <col min="12" max="12" width="12.42578125" style="240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 x14ac:dyDescent="0.25">
      <c r="A1" s="418" t="s">
        <v>158</v>
      </c>
      <c r="B1" s="418"/>
      <c r="C1" s="418"/>
      <c r="D1" s="418"/>
      <c r="E1" s="418"/>
      <c r="F1" s="418"/>
      <c r="G1" s="418"/>
      <c r="H1" s="418"/>
      <c r="I1" s="148"/>
      <c r="J1" s="148"/>
      <c r="K1" s="236"/>
      <c r="L1" s="236"/>
      <c r="M1" s="148"/>
    </row>
    <row r="2" spans="1:13" s="127" customFormat="1" ht="6.75" customHeight="1" x14ac:dyDescent="0.2">
      <c r="B2" s="128"/>
      <c r="C2" s="129"/>
      <c r="D2" s="129"/>
      <c r="E2" s="130"/>
      <c r="F2" s="237"/>
      <c r="G2" s="130"/>
      <c r="H2" s="130"/>
      <c r="I2" s="130"/>
      <c r="J2" s="245"/>
      <c r="K2" s="237"/>
      <c r="L2" s="237"/>
      <c r="M2" s="130"/>
    </row>
    <row r="3" spans="1:13" ht="19.5" customHeight="1" x14ac:dyDescent="0.2">
      <c r="A3" s="163"/>
      <c r="B3" s="122" t="s">
        <v>73</v>
      </c>
      <c r="C3" s="168" t="s">
        <v>90</v>
      </c>
      <c r="D3" s="142"/>
      <c r="E3" s="22"/>
      <c r="F3" s="238"/>
      <c r="G3" s="22"/>
      <c r="H3" s="22"/>
      <c r="I3" s="22"/>
      <c r="J3" s="246"/>
      <c r="K3" s="238"/>
      <c r="L3" s="238"/>
      <c r="M3" s="5"/>
    </row>
    <row r="4" spans="1:13" ht="19.5" customHeight="1" x14ac:dyDescent="0.2">
      <c r="B4" s="122" t="s">
        <v>75</v>
      </c>
      <c r="C4" s="414">
        <v>42466</v>
      </c>
      <c r="D4" s="416"/>
      <c r="E4" s="22"/>
      <c r="F4" s="238"/>
      <c r="G4" s="22"/>
      <c r="H4" s="22"/>
      <c r="I4" s="22"/>
      <c r="J4" s="246"/>
      <c r="K4" s="238"/>
      <c r="L4" s="238"/>
      <c r="M4" s="5"/>
    </row>
    <row r="5" spans="1:13" ht="4.5" customHeight="1" x14ac:dyDescent="0.45">
      <c r="B5" s="2"/>
      <c r="C5" s="41"/>
      <c r="D5" s="41"/>
      <c r="E5" s="415"/>
      <c r="F5" s="417"/>
      <c r="G5" s="3"/>
      <c r="H5" s="4"/>
      <c r="I5" s="4"/>
      <c r="J5" s="244"/>
      <c r="K5" s="164"/>
      <c r="L5" s="254"/>
      <c r="M5" s="4"/>
    </row>
    <row r="6" spans="1:13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F6" s="239"/>
      <c r="G6" s="123"/>
      <c r="H6" s="123"/>
      <c r="I6" s="97"/>
      <c r="J6" s="256" t="s">
        <v>161</v>
      </c>
      <c r="K6" s="257">
        <v>1361</v>
      </c>
      <c r="L6" s="255" t="s">
        <v>167</v>
      </c>
      <c r="M6" s="258" t="s">
        <v>170</v>
      </c>
    </row>
    <row r="7" spans="1:13" x14ac:dyDescent="0.2">
      <c r="B7" s="62" t="s">
        <v>82</v>
      </c>
      <c r="C7" s="76" t="s">
        <v>27</v>
      </c>
      <c r="D7" s="174"/>
      <c r="E7" s="172">
        <v>1484.75</v>
      </c>
      <c r="G7" s="164"/>
      <c r="H7" s="165"/>
      <c r="I7" s="4"/>
      <c r="J7" s="253" t="s">
        <v>162</v>
      </c>
      <c r="K7" s="240">
        <f>'March ''16'!E7+300</f>
        <v>1304.96</v>
      </c>
      <c r="L7" s="240">
        <f>K7-$K$6</f>
        <v>-56.039999999999964</v>
      </c>
      <c r="M7" s="259">
        <v>300</v>
      </c>
    </row>
    <row r="8" spans="1:13" x14ac:dyDescent="0.2">
      <c r="B8" s="155" t="s">
        <v>96</v>
      </c>
      <c r="C8" s="124" t="s">
        <v>24</v>
      </c>
      <c r="D8" s="175"/>
      <c r="E8" s="172">
        <v>1408.03</v>
      </c>
      <c r="G8" s="228"/>
      <c r="H8" s="165"/>
      <c r="I8" s="4"/>
      <c r="J8" s="253" t="s">
        <v>163</v>
      </c>
      <c r="K8" s="240">
        <f>'March ''16'!E25</f>
        <v>1329.23</v>
      </c>
      <c r="L8" s="240">
        <f>K8-$K$6</f>
        <v>-31.769999999999982</v>
      </c>
      <c r="M8" s="259">
        <v>-100</v>
      </c>
    </row>
    <row r="9" spans="1:13" x14ac:dyDescent="0.2">
      <c r="B9" s="155" t="s">
        <v>85</v>
      </c>
      <c r="C9" s="124" t="s">
        <v>76</v>
      </c>
      <c r="D9" s="175"/>
      <c r="E9" s="172">
        <v>652.24</v>
      </c>
      <c r="G9" s="164"/>
      <c r="H9" s="165"/>
      <c r="I9" s="4"/>
      <c r="J9" s="253" t="s">
        <v>164</v>
      </c>
      <c r="K9" s="240">
        <f>'March ''16'!E43</f>
        <v>1261</v>
      </c>
      <c r="L9" s="240">
        <f>K9-$K$6</f>
        <v>-100</v>
      </c>
      <c r="M9" s="259">
        <v>-100</v>
      </c>
    </row>
    <row r="10" spans="1:13" x14ac:dyDescent="0.2">
      <c r="B10" s="155" t="s">
        <v>3</v>
      </c>
      <c r="C10" s="124" t="s">
        <v>25</v>
      </c>
      <c r="D10" s="175"/>
      <c r="E10" s="172">
        <v>937.04</v>
      </c>
      <c r="G10" s="164"/>
      <c r="H10" s="165"/>
      <c r="I10" s="4"/>
      <c r="J10" s="253" t="s">
        <v>165</v>
      </c>
      <c r="K10" s="240">
        <f>'March ''16'!E61</f>
        <v>2335.21</v>
      </c>
      <c r="M10" s="260">
        <v>-100</v>
      </c>
    </row>
    <row r="11" spans="1:13" x14ac:dyDescent="0.2">
      <c r="B11" s="29" t="s">
        <v>4</v>
      </c>
      <c r="C11" s="40" t="s">
        <v>23</v>
      </c>
      <c r="D11" s="176"/>
      <c r="E11" s="173">
        <v>927.03</v>
      </c>
      <c r="G11" s="164"/>
      <c r="H11" s="165"/>
      <c r="I11" s="4"/>
      <c r="J11" s="253" t="s">
        <v>166</v>
      </c>
      <c r="K11" s="240">
        <f>'March ''16'!E79</f>
        <v>1361</v>
      </c>
      <c r="L11" s="240">
        <f>K11-$K$6</f>
        <v>0</v>
      </c>
      <c r="M11" s="240">
        <f>SUM(M7:M10)</f>
        <v>0</v>
      </c>
    </row>
    <row r="12" spans="1:13" x14ac:dyDescent="0.2">
      <c r="B12" s="29" t="s">
        <v>84</v>
      </c>
      <c r="C12" s="40" t="s">
        <v>83</v>
      </c>
      <c r="D12" s="176"/>
      <c r="E12" s="173">
        <v>792</v>
      </c>
      <c r="F12" s="345"/>
      <c r="G12" s="164"/>
      <c r="H12" s="165"/>
      <c r="I12" s="4"/>
      <c r="J12" s="253" t="s">
        <v>168</v>
      </c>
      <c r="K12" s="240">
        <f>E7</f>
        <v>1484.75</v>
      </c>
      <c r="L12" s="164">
        <f>K12-$K$6</f>
        <v>123.75</v>
      </c>
      <c r="M12" s="240"/>
    </row>
    <row r="13" spans="1:13" ht="13.5" thickBot="1" x14ac:dyDescent="0.25">
      <c r="B13" s="180" t="s">
        <v>78</v>
      </c>
      <c r="C13" s="181" t="s">
        <v>79</v>
      </c>
      <c r="D13" s="182"/>
      <c r="E13" s="179">
        <v>990</v>
      </c>
      <c r="F13" s="345"/>
      <c r="G13" s="4"/>
      <c r="H13" s="165"/>
      <c r="I13" s="4"/>
      <c r="J13" s="253" t="s">
        <v>169</v>
      </c>
      <c r="K13" s="240">
        <v>1426.8</v>
      </c>
      <c r="L13" s="273">
        <f>K13-$K$6</f>
        <v>65.799999999999955</v>
      </c>
      <c r="M13" s="240"/>
    </row>
    <row r="14" spans="1:13" s="4" customFormat="1" ht="13.5" thickBot="1" x14ac:dyDescent="0.25">
      <c r="B14" s="95"/>
      <c r="C14" s="131"/>
      <c r="D14" s="131"/>
      <c r="E14" s="135">
        <f>SUM(E7:E13)</f>
        <v>7191.0899999999992</v>
      </c>
      <c r="F14" s="346"/>
      <c r="H14" s="165"/>
      <c r="J14" s="244"/>
      <c r="K14" s="240"/>
      <c r="L14" s="240">
        <f>SUM(L7:L13)</f>
        <v>1.7400000000000091</v>
      </c>
      <c r="M14" s="5"/>
    </row>
    <row r="15" spans="1:13" x14ac:dyDescent="0.2">
      <c r="B15" s="157" t="s">
        <v>85</v>
      </c>
      <c r="C15" s="76" t="s">
        <v>66</v>
      </c>
      <c r="D15" s="76"/>
      <c r="E15" s="136">
        <v>500</v>
      </c>
      <c r="G15" s="4"/>
      <c r="H15" s="165"/>
      <c r="I15" s="4"/>
      <c r="J15" s="244"/>
      <c r="M15" s="5"/>
    </row>
    <row r="16" spans="1:13" x14ac:dyDescent="0.2">
      <c r="B16" s="44" t="s">
        <v>104</v>
      </c>
      <c r="C16" s="69" t="s">
        <v>12</v>
      </c>
      <c r="D16" s="69"/>
      <c r="E16" s="139">
        <f>4200/4</f>
        <v>1050</v>
      </c>
      <c r="G16" s="4"/>
      <c r="H16" s="165"/>
      <c r="I16" s="4"/>
      <c r="J16" s="244"/>
      <c r="M16" s="5"/>
    </row>
    <row r="17" spans="1:13" ht="13.5" thickBot="1" x14ac:dyDescent="0.25">
      <c r="B17" s="63" t="s">
        <v>35</v>
      </c>
      <c r="C17" s="133" t="s">
        <v>36</v>
      </c>
      <c r="D17" s="133"/>
      <c r="E17" s="137">
        <v>1000</v>
      </c>
      <c r="G17" s="4"/>
      <c r="H17" s="165"/>
      <c r="I17" s="4"/>
      <c r="J17" s="244"/>
      <c r="M17" s="5"/>
    </row>
    <row r="18" spans="1:13" ht="13.5" thickBot="1" x14ac:dyDescent="0.25">
      <c r="B18" s="11"/>
      <c r="C18" s="134" t="s">
        <v>0</v>
      </c>
      <c r="D18" s="134"/>
      <c r="E18" s="138">
        <f>SUM(E14:E17)</f>
        <v>9741.09</v>
      </c>
      <c r="G18" s="166"/>
      <c r="H18" s="165"/>
      <c r="I18" s="4"/>
      <c r="J18" s="244"/>
      <c r="M18" s="5"/>
    </row>
    <row r="19" spans="1:13" ht="12.75" customHeight="1" x14ac:dyDescent="0.2">
      <c r="B19" s="11"/>
      <c r="C19" s="21"/>
      <c r="D19" s="21"/>
      <c r="E19" s="22"/>
      <c r="F19" s="238"/>
      <c r="G19" s="22"/>
      <c r="H19" s="22"/>
      <c r="I19" s="22"/>
      <c r="J19" s="246"/>
      <c r="K19" s="238"/>
      <c r="L19" s="238"/>
      <c r="M19" s="22"/>
    </row>
    <row r="20" spans="1:13" s="127" customFormat="1" ht="6.75" customHeight="1" x14ac:dyDescent="0.2">
      <c r="B20" s="128"/>
      <c r="C20" s="129"/>
      <c r="D20" s="129"/>
      <c r="E20" s="130"/>
      <c r="F20" s="237"/>
      <c r="G20" s="130"/>
      <c r="H20" s="130"/>
      <c r="I20" s="130"/>
      <c r="J20" s="245"/>
      <c r="K20" s="237"/>
      <c r="L20" s="237"/>
      <c r="M20" s="130"/>
    </row>
    <row r="21" spans="1:13" ht="19.5" customHeight="1" x14ac:dyDescent="0.2">
      <c r="A21" s="163"/>
      <c r="B21" s="122" t="s">
        <v>73</v>
      </c>
      <c r="C21" s="168" t="s">
        <v>51</v>
      </c>
      <c r="D21" s="168"/>
      <c r="E21" s="22"/>
      <c r="F21" s="238"/>
      <c r="G21" s="22"/>
      <c r="H21" s="22"/>
      <c r="I21" s="22"/>
      <c r="J21" s="246"/>
      <c r="K21" s="238"/>
      <c r="L21" s="238"/>
      <c r="M21" s="5"/>
    </row>
    <row r="22" spans="1:13" ht="19.5" customHeight="1" x14ac:dyDescent="0.2">
      <c r="B22" s="122" t="s">
        <v>75</v>
      </c>
      <c r="C22" s="414">
        <v>42473</v>
      </c>
      <c r="D22" s="416"/>
      <c r="E22" s="22"/>
      <c r="F22" s="238"/>
      <c r="G22" s="22"/>
      <c r="H22" s="22"/>
      <c r="I22" s="22"/>
      <c r="J22" s="246"/>
      <c r="K22" s="238"/>
      <c r="L22" s="238"/>
      <c r="M22" s="5"/>
    </row>
    <row r="23" spans="1:13" ht="4.5" customHeight="1" x14ac:dyDescent="0.45">
      <c r="B23" s="2"/>
      <c r="C23" s="41"/>
      <c r="D23" s="41"/>
      <c r="E23" s="415"/>
      <c r="F23" s="417"/>
      <c r="G23" s="3"/>
      <c r="H23" s="4"/>
      <c r="I23" s="4"/>
      <c r="J23" s="244"/>
      <c r="K23" s="164"/>
      <c r="L23" s="254"/>
      <c r="M23" s="4"/>
    </row>
    <row r="24" spans="1:13" s="6" customFormat="1" ht="13.5" thickBot="1" x14ac:dyDescent="0.25">
      <c r="B24" s="123" t="s">
        <v>74</v>
      </c>
      <c r="C24" s="225" t="s">
        <v>1</v>
      </c>
      <c r="D24" s="225"/>
      <c r="E24" s="126" t="s">
        <v>2</v>
      </c>
      <c r="F24" s="239"/>
      <c r="G24" s="97"/>
      <c r="H24" s="97"/>
      <c r="I24" s="97"/>
      <c r="J24" s="247"/>
      <c r="K24" s="239"/>
      <c r="L24" s="239"/>
    </row>
    <row r="25" spans="1:13" x14ac:dyDescent="0.2">
      <c r="B25" s="62" t="s">
        <v>82</v>
      </c>
      <c r="C25" s="76" t="s">
        <v>27</v>
      </c>
      <c r="D25" s="174"/>
      <c r="E25" s="172">
        <v>1426.8</v>
      </c>
      <c r="G25" s="184"/>
      <c r="M25" s="5"/>
    </row>
    <row r="26" spans="1:13" x14ac:dyDescent="0.2">
      <c r="B26" s="155" t="s">
        <v>96</v>
      </c>
      <c r="C26" s="124" t="s">
        <v>24</v>
      </c>
      <c r="D26" s="175"/>
      <c r="E26" s="172">
        <v>1191.98</v>
      </c>
      <c r="M26" s="5"/>
    </row>
    <row r="27" spans="1:13" x14ac:dyDescent="0.2">
      <c r="B27" s="155" t="s">
        <v>85</v>
      </c>
      <c r="C27" s="124" t="s">
        <v>76</v>
      </c>
      <c r="D27" s="175"/>
      <c r="E27" s="172">
        <v>752.24</v>
      </c>
      <c r="M27" s="5"/>
    </row>
    <row r="28" spans="1:13" x14ac:dyDescent="0.2">
      <c r="B28" s="155" t="s">
        <v>3</v>
      </c>
      <c r="C28" s="124" t="s">
        <v>25</v>
      </c>
      <c r="D28" s="175"/>
      <c r="E28" s="172">
        <v>937.04</v>
      </c>
      <c r="M28" s="5"/>
    </row>
    <row r="29" spans="1:13" x14ac:dyDescent="0.2">
      <c r="B29" s="29" t="s">
        <v>4</v>
      </c>
      <c r="C29" s="40" t="s">
        <v>23</v>
      </c>
      <c r="D29" s="176"/>
      <c r="E29" s="173">
        <v>927.03</v>
      </c>
      <c r="M29" s="5"/>
    </row>
    <row r="30" spans="1:13" x14ac:dyDescent="0.2">
      <c r="B30" s="29" t="s">
        <v>84</v>
      </c>
      <c r="C30" s="40" t="s">
        <v>83</v>
      </c>
      <c r="D30" s="176"/>
      <c r="E30" s="173">
        <v>792</v>
      </c>
      <c r="F30" s="345"/>
      <c r="M30" s="5"/>
    </row>
    <row r="31" spans="1:13" x14ac:dyDescent="0.2">
      <c r="B31" s="261" t="s">
        <v>78</v>
      </c>
      <c r="C31" s="262" t="s">
        <v>79</v>
      </c>
      <c r="D31" s="263"/>
      <c r="E31" s="135">
        <v>990</v>
      </c>
      <c r="F31" s="345"/>
      <c r="M31" s="5"/>
    </row>
    <row r="32" spans="1:13" ht="13.5" thickBot="1" x14ac:dyDescent="0.25">
      <c r="B32" s="264" t="s">
        <v>85</v>
      </c>
      <c r="C32" s="265" t="s">
        <v>66</v>
      </c>
      <c r="D32" s="265"/>
      <c r="E32" s="137">
        <v>500</v>
      </c>
      <c r="M32" s="5"/>
    </row>
    <row r="33" spans="1:13" s="4" customFormat="1" ht="14.25" thickTop="1" thickBot="1" x14ac:dyDescent="0.25">
      <c r="B33" s="270"/>
      <c r="C33" s="271"/>
      <c r="D33" s="272"/>
      <c r="E33" s="267">
        <f>SUM(E25:E32)</f>
        <v>7517.0899999999992</v>
      </c>
      <c r="F33" s="346"/>
      <c r="J33" s="244"/>
      <c r="K33" s="164"/>
      <c r="L33" s="164"/>
    </row>
    <row r="34" spans="1:13" x14ac:dyDescent="0.2">
      <c r="B34" s="268" t="s">
        <v>104</v>
      </c>
      <c r="C34" s="269" t="s">
        <v>12</v>
      </c>
      <c r="D34" s="269"/>
      <c r="E34" s="266">
        <v>1050</v>
      </c>
      <c r="M34" s="5"/>
    </row>
    <row r="35" spans="1:13" ht="13.5" thickBot="1" x14ac:dyDescent="0.25">
      <c r="B35" s="63" t="s">
        <v>35</v>
      </c>
      <c r="C35" s="133" t="s">
        <v>36</v>
      </c>
      <c r="D35" s="133"/>
      <c r="E35" s="137">
        <v>1000</v>
      </c>
      <c r="M35" s="5"/>
    </row>
    <row r="36" spans="1:13" ht="13.5" thickBot="1" x14ac:dyDescent="0.25">
      <c r="B36" s="11"/>
      <c r="C36" s="134" t="s">
        <v>0</v>
      </c>
      <c r="D36" s="134"/>
      <c r="E36" s="138">
        <f>SUM(E33:E35)</f>
        <v>9567.09</v>
      </c>
      <c r="M36" s="5"/>
    </row>
    <row r="37" spans="1:13" x14ac:dyDescent="0.2">
      <c r="B37" s="11"/>
      <c r="C37" s="134"/>
      <c r="D37" s="134"/>
      <c r="E37" s="159"/>
      <c r="M37" s="5"/>
    </row>
    <row r="38" spans="1:13" s="127" customFormat="1" ht="6.75" customHeight="1" x14ac:dyDescent="0.2">
      <c r="B38" s="128"/>
      <c r="C38" s="129"/>
      <c r="D38" s="129"/>
      <c r="E38" s="130"/>
      <c r="F38" s="237"/>
      <c r="G38" s="130"/>
      <c r="H38" s="130"/>
      <c r="I38" s="130"/>
      <c r="J38" s="245"/>
      <c r="K38" s="237"/>
      <c r="L38" s="237"/>
      <c r="M38" s="130"/>
    </row>
    <row r="39" spans="1:13" ht="19.5" customHeight="1" x14ac:dyDescent="0.2">
      <c r="A39" s="163"/>
      <c r="B39" s="122" t="s">
        <v>73</v>
      </c>
      <c r="C39" s="168" t="s">
        <v>106</v>
      </c>
      <c r="D39" s="142"/>
      <c r="E39" s="22"/>
      <c r="F39" s="238"/>
      <c r="G39" s="22"/>
      <c r="H39" s="22"/>
      <c r="I39" s="22"/>
      <c r="J39" s="246"/>
      <c r="K39" s="238"/>
      <c r="L39" s="238"/>
      <c r="M39" s="5"/>
    </row>
    <row r="40" spans="1:13" ht="19.5" customHeight="1" x14ac:dyDescent="0.2">
      <c r="B40" s="122" t="s">
        <v>75</v>
      </c>
      <c r="C40" s="414">
        <v>42480</v>
      </c>
      <c r="D40" s="414"/>
      <c r="E40" s="22"/>
      <c r="F40" s="238"/>
      <c r="G40" s="22"/>
      <c r="H40" s="22"/>
      <c r="I40" s="22"/>
      <c r="J40" s="246"/>
      <c r="K40" s="238"/>
      <c r="L40" s="238"/>
      <c r="M40" s="5"/>
    </row>
    <row r="41" spans="1:13" ht="4.5" customHeight="1" x14ac:dyDescent="0.45">
      <c r="B41" s="2"/>
      <c r="C41" s="41"/>
      <c r="D41" s="41"/>
      <c r="E41" s="415"/>
      <c r="F41" s="415"/>
      <c r="G41" s="3"/>
      <c r="H41" s="4"/>
      <c r="I41" s="4"/>
      <c r="J41" s="244"/>
      <c r="K41" s="164"/>
      <c r="L41" s="254"/>
      <c r="M41" s="4"/>
    </row>
    <row r="42" spans="1:13" s="6" customFormat="1" ht="13.5" thickBot="1" x14ac:dyDescent="0.25">
      <c r="B42" s="123" t="s">
        <v>74</v>
      </c>
      <c r="C42" s="225" t="s">
        <v>1</v>
      </c>
      <c r="D42" s="225"/>
      <c r="E42" s="126" t="s">
        <v>2</v>
      </c>
      <c r="F42" s="239"/>
      <c r="J42" s="249"/>
      <c r="K42" s="239"/>
      <c r="L42" s="239"/>
    </row>
    <row r="43" spans="1:13" x14ac:dyDescent="0.2">
      <c r="B43" s="62" t="s">
        <v>82</v>
      </c>
      <c r="C43" s="76" t="s">
        <v>27</v>
      </c>
      <c r="D43" s="174"/>
      <c r="E43" s="172">
        <v>1376.8</v>
      </c>
      <c r="G43" s="353"/>
      <c r="M43" s="5"/>
    </row>
    <row r="44" spans="1:13" x14ac:dyDescent="0.2">
      <c r="B44" s="155" t="s">
        <v>96</v>
      </c>
      <c r="C44" s="124" t="s">
        <v>24</v>
      </c>
      <c r="D44" s="175"/>
      <c r="E44" s="172">
        <v>1192.01</v>
      </c>
      <c r="G44" s="352"/>
      <c r="M44" s="5"/>
    </row>
    <row r="45" spans="1:13" x14ac:dyDescent="0.2">
      <c r="B45" s="155" t="s">
        <v>85</v>
      </c>
      <c r="C45" s="124" t="s">
        <v>76</v>
      </c>
      <c r="D45" s="175"/>
      <c r="E45" s="172">
        <v>752.24</v>
      </c>
      <c r="M45" s="5"/>
    </row>
    <row r="46" spans="1:13" x14ac:dyDescent="0.2">
      <c r="B46" s="155" t="s">
        <v>3</v>
      </c>
      <c r="C46" s="124" t="s">
        <v>25</v>
      </c>
      <c r="D46" s="175"/>
      <c r="E46" s="172">
        <v>937.04</v>
      </c>
      <c r="M46" s="5"/>
    </row>
    <row r="47" spans="1:13" x14ac:dyDescent="0.2">
      <c r="B47" s="29" t="s">
        <v>4</v>
      </c>
      <c r="C47" s="40" t="s">
        <v>23</v>
      </c>
      <c r="D47" s="176"/>
      <c r="E47" s="173">
        <v>927.03</v>
      </c>
      <c r="M47" s="5"/>
    </row>
    <row r="48" spans="1:13" x14ac:dyDescent="0.2">
      <c r="B48" s="29" t="s">
        <v>84</v>
      </c>
      <c r="C48" s="40" t="s">
        <v>83</v>
      </c>
      <c r="D48" s="176"/>
      <c r="E48" s="173">
        <v>792</v>
      </c>
      <c r="F48" s="345"/>
      <c r="M48" s="5"/>
    </row>
    <row r="49" spans="1:13" x14ac:dyDescent="0.2">
      <c r="B49" s="261" t="s">
        <v>78</v>
      </c>
      <c r="C49" s="262" t="s">
        <v>79</v>
      </c>
      <c r="D49" s="263"/>
      <c r="E49" s="135">
        <v>990</v>
      </c>
      <c r="F49" s="345"/>
      <c r="M49" s="5"/>
    </row>
    <row r="50" spans="1:13" ht="13.5" thickBot="1" x14ac:dyDescent="0.25">
      <c r="B50" s="264" t="s">
        <v>85</v>
      </c>
      <c r="C50" s="265" t="s">
        <v>66</v>
      </c>
      <c r="D50" s="265"/>
      <c r="E50" s="137">
        <v>500</v>
      </c>
      <c r="M50" s="5"/>
    </row>
    <row r="51" spans="1:13" s="4" customFormat="1" ht="13.5" thickBot="1" x14ac:dyDescent="0.25">
      <c r="B51" s="274"/>
      <c r="C51" s="275"/>
      <c r="D51" s="276"/>
      <c r="E51" s="277">
        <f>SUM(E43:E50)</f>
        <v>7467.12</v>
      </c>
      <c r="F51" s="346"/>
      <c r="J51" s="244"/>
      <c r="K51" s="164"/>
      <c r="L51" s="164"/>
    </row>
    <row r="52" spans="1:13" x14ac:dyDescent="0.2">
      <c r="B52" s="44" t="s">
        <v>104</v>
      </c>
      <c r="C52" s="69" t="s">
        <v>12</v>
      </c>
      <c r="D52" s="69"/>
      <c r="E52" s="139">
        <v>1050</v>
      </c>
      <c r="M52" s="5"/>
    </row>
    <row r="53" spans="1:13" ht="13.5" thickBot="1" x14ac:dyDescent="0.25">
      <c r="B53" s="63" t="s">
        <v>35</v>
      </c>
      <c r="C53" s="133" t="s">
        <v>36</v>
      </c>
      <c r="D53" s="133"/>
      <c r="E53" s="137">
        <v>1000</v>
      </c>
      <c r="M53" s="5"/>
    </row>
    <row r="54" spans="1:13" ht="13.5" thickBot="1" x14ac:dyDescent="0.25">
      <c r="B54" s="11"/>
      <c r="C54" s="134" t="s">
        <v>0</v>
      </c>
      <c r="D54" s="134"/>
      <c r="E54" s="138">
        <f>SUM(E51:E53)</f>
        <v>9517.119999999999</v>
      </c>
      <c r="M54" s="5"/>
    </row>
    <row r="55" spans="1:13" ht="12.75" customHeight="1" x14ac:dyDescent="0.2">
      <c r="B55" s="11"/>
      <c r="C55" s="21"/>
      <c r="D55" s="21"/>
      <c r="E55" s="22"/>
      <c r="F55" s="238"/>
      <c r="G55" s="22"/>
      <c r="H55" s="22"/>
      <c r="I55" s="22"/>
      <c r="J55" s="246"/>
      <c r="K55" s="238"/>
      <c r="L55" s="238"/>
      <c r="M55" s="22"/>
    </row>
    <row r="56" spans="1:13" s="127" customFormat="1" ht="6.75" customHeight="1" x14ac:dyDescent="0.2">
      <c r="B56" s="128"/>
      <c r="C56" s="129"/>
      <c r="D56" s="129"/>
      <c r="E56" s="130"/>
      <c r="F56" s="237"/>
      <c r="G56" s="130"/>
      <c r="H56" s="130"/>
      <c r="I56" s="130"/>
      <c r="J56" s="245"/>
      <c r="K56" s="237"/>
      <c r="L56" s="237"/>
      <c r="M56" s="130"/>
    </row>
    <row r="57" spans="1:13" ht="19.5" customHeight="1" x14ac:dyDescent="0.2">
      <c r="A57" s="163"/>
      <c r="B57" s="122" t="s">
        <v>73</v>
      </c>
      <c r="C57" s="168" t="s">
        <v>159</v>
      </c>
      <c r="D57" s="142"/>
      <c r="E57" s="22"/>
      <c r="F57" s="238"/>
      <c r="G57" s="22"/>
      <c r="H57" s="22"/>
      <c r="I57" s="22"/>
      <c r="J57" s="246"/>
      <c r="K57" s="238"/>
      <c r="L57" s="238"/>
      <c r="M57" s="5"/>
    </row>
    <row r="58" spans="1:13" ht="19.5" customHeight="1" x14ac:dyDescent="0.2">
      <c r="B58" s="122" t="s">
        <v>75</v>
      </c>
      <c r="C58" s="414">
        <v>42487</v>
      </c>
      <c r="D58" s="414"/>
      <c r="E58" s="22"/>
      <c r="F58" s="238"/>
      <c r="G58" s="22"/>
      <c r="H58" s="22"/>
      <c r="I58" s="22"/>
      <c r="J58" s="246"/>
      <c r="K58" s="238"/>
      <c r="L58" s="238"/>
      <c r="M58" s="5"/>
    </row>
    <row r="59" spans="1:13" ht="4.5" customHeight="1" x14ac:dyDescent="0.45">
      <c r="B59" s="2"/>
      <c r="C59" s="41"/>
      <c r="D59" s="41"/>
      <c r="E59" s="415"/>
      <c r="F59" s="415"/>
      <c r="G59" s="3"/>
      <c r="H59" s="4"/>
      <c r="I59" s="4"/>
      <c r="J59" s="244"/>
      <c r="K59" s="164"/>
      <c r="L59" s="254"/>
      <c r="M59" s="4"/>
    </row>
    <row r="60" spans="1:13" s="6" customFormat="1" ht="13.5" thickBot="1" x14ac:dyDescent="0.25">
      <c r="B60" s="123" t="s">
        <v>74</v>
      </c>
      <c r="C60" s="225" t="s">
        <v>1</v>
      </c>
      <c r="D60" s="225"/>
      <c r="E60" s="126" t="s">
        <v>2</v>
      </c>
      <c r="F60" s="239"/>
      <c r="J60" s="249"/>
      <c r="K60" s="239"/>
      <c r="L60" s="239"/>
    </row>
    <row r="61" spans="1:13" x14ac:dyDescent="0.2">
      <c r="B61" s="62" t="s">
        <v>82</v>
      </c>
      <c r="C61" s="76" t="s">
        <v>27</v>
      </c>
      <c r="D61" s="174"/>
      <c r="E61" s="172">
        <v>1386.84</v>
      </c>
      <c r="M61" s="5"/>
    </row>
    <row r="62" spans="1:13" x14ac:dyDescent="0.2">
      <c r="B62" s="155" t="s">
        <v>96</v>
      </c>
      <c r="C62" s="124" t="s">
        <v>24</v>
      </c>
      <c r="D62" s="175"/>
      <c r="E62" s="172">
        <v>1191.98</v>
      </c>
      <c r="M62" s="5"/>
    </row>
    <row r="63" spans="1:13" x14ac:dyDescent="0.2">
      <c r="B63" s="155" t="s">
        <v>85</v>
      </c>
      <c r="C63" s="124" t="s">
        <v>76</v>
      </c>
      <c r="D63" s="175"/>
      <c r="E63" s="172">
        <v>752.24</v>
      </c>
      <c r="F63" s="347" t="s">
        <v>182</v>
      </c>
      <c r="M63" s="5"/>
    </row>
    <row r="64" spans="1:13" x14ac:dyDescent="0.2">
      <c r="B64" s="155" t="s">
        <v>3</v>
      </c>
      <c r="C64" s="124" t="s">
        <v>25</v>
      </c>
      <c r="D64" s="175"/>
      <c r="E64" s="172">
        <v>937.04</v>
      </c>
      <c r="M64" s="5"/>
    </row>
    <row r="65" spans="1:13" x14ac:dyDescent="0.2">
      <c r="B65" s="29" t="s">
        <v>4</v>
      </c>
      <c r="C65" s="40" t="s">
        <v>23</v>
      </c>
      <c r="D65" s="176"/>
      <c r="E65" s="173">
        <v>927.03</v>
      </c>
      <c r="M65" s="5"/>
    </row>
    <row r="66" spans="1:13" x14ac:dyDescent="0.2">
      <c r="B66" s="29" t="s">
        <v>84</v>
      </c>
      <c r="C66" s="40" t="s">
        <v>83</v>
      </c>
      <c r="D66" s="176"/>
      <c r="E66" s="173">
        <v>475.2</v>
      </c>
      <c r="F66" s="348"/>
      <c r="M66" s="5"/>
    </row>
    <row r="67" spans="1:13" x14ac:dyDescent="0.2">
      <c r="B67" s="261" t="s">
        <v>78</v>
      </c>
      <c r="C67" s="262" t="s">
        <v>79</v>
      </c>
      <c r="D67" s="263"/>
      <c r="E67" s="135">
        <v>990</v>
      </c>
      <c r="F67" s="345"/>
      <c r="M67" s="5"/>
    </row>
    <row r="68" spans="1:13" ht="13.5" thickBot="1" x14ac:dyDescent="0.25">
      <c r="B68" s="264" t="s">
        <v>85</v>
      </c>
      <c r="C68" s="265" t="s">
        <v>66</v>
      </c>
      <c r="D68" s="265"/>
      <c r="E68" s="137">
        <v>500</v>
      </c>
      <c r="M68" s="5"/>
    </row>
    <row r="69" spans="1:13" s="4" customFormat="1" ht="13.5" thickBot="1" x14ac:dyDescent="0.25">
      <c r="B69" s="274"/>
      <c r="C69" s="275"/>
      <c r="D69" s="276"/>
      <c r="E69" s="277">
        <f>SUM(E61:E68)</f>
        <v>7160.329999999999</v>
      </c>
      <c r="F69" s="346"/>
      <c r="J69" s="244"/>
      <c r="K69" s="164"/>
      <c r="L69" s="164"/>
    </row>
    <row r="70" spans="1:13" x14ac:dyDescent="0.2">
      <c r="B70" s="44" t="s">
        <v>104</v>
      </c>
      <c r="C70" s="69" t="s">
        <v>12</v>
      </c>
      <c r="D70" s="69"/>
      <c r="E70" s="139">
        <v>1050</v>
      </c>
      <c r="M70" s="5"/>
    </row>
    <row r="71" spans="1:13" ht="13.5" thickBot="1" x14ac:dyDescent="0.25">
      <c r="B71" s="63" t="s">
        <v>35</v>
      </c>
      <c r="C71" s="133" t="s">
        <v>36</v>
      </c>
      <c r="D71" s="133"/>
      <c r="E71" s="137">
        <v>1000</v>
      </c>
      <c r="M71" s="5"/>
    </row>
    <row r="72" spans="1:13" ht="13.5" thickBot="1" x14ac:dyDescent="0.25">
      <c r="B72" s="11"/>
      <c r="C72" s="134" t="s">
        <v>0</v>
      </c>
      <c r="D72" s="134"/>
      <c r="E72" s="138">
        <f>SUM(E69:E71)</f>
        <v>9210.3299999999981</v>
      </c>
      <c r="M72" s="5"/>
    </row>
    <row r="73" spans="1:13" ht="12.75" customHeight="1" x14ac:dyDescent="0.2">
      <c r="B73" s="11"/>
      <c r="C73" s="21"/>
      <c r="D73" s="21"/>
      <c r="E73" s="22"/>
      <c r="F73" s="238"/>
      <c r="G73" s="22"/>
      <c r="H73" s="22"/>
      <c r="I73" s="22"/>
      <c r="J73" s="246"/>
      <c r="K73" s="238"/>
      <c r="L73" s="238"/>
      <c r="M73" s="22"/>
    </row>
    <row r="74" spans="1:13" ht="12.75" customHeight="1" x14ac:dyDescent="0.2">
      <c r="B74" s="11" t="s">
        <v>13</v>
      </c>
      <c r="C74" s="21" t="s">
        <v>183</v>
      </c>
      <c r="D74" s="21"/>
      <c r="E74" s="22">
        <v>120</v>
      </c>
      <c r="F74" s="238"/>
      <c r="G74" s="22"/>
      <c r="H74" s="22"/>
      <c r="I74" s="22"/>
      <c r="J74" s="246"/>
      <c r="K74" s="238"/>
      <c r="L74" s="238"/>
      <c r="M74" s="22"/>
    </row>
    <row r="75" spans="1:13" ht="12.75" customHeight="1" x14ac:dyDescent="0.2">
      <c r="B75" s="11" t="s">
        <v>78</v>
      </c>
      <c r="C75" s="21" t="s">
        <v>187</v>
      </c>
      <c r="D75" s="21"/>
      <c r="E75" s="22">
        <v>500</v>
      </c>
      <c r="F75" s="238"/>
      <c r="G75" s="22"/>
      <c r="H75" s="22"/>
      <c r="I75" s="22"/>
      <c r="J75" s="246"/>
      <c r="K75" s="238"/>
      <c r="L75" s="238"/>
      <c r="M75" s="22"/>
    </row>
    <row r="76" spans="1:13" ht="12.75" customHeight="1" x14ac:dyDescent="0.2">
      <c r="B76" s="11"/>
      <c r="C76" s="21"/>
      <c r="D76" s="21"/>
      <c r="E76" s="22"/>
      <c r="F76" s="238"/>
      <c r="G76" s="22"/>
      <c r="H76" s="22"/>
      <c r="I76" s="22"/>
      <c r="J76" s="246"/>
      <c r="K76" s="238"/>
      <c r="L76" s="238"/>
      <c r="M76" s="22"/>
    </row>
    <row r="77" spans="1:13" s="7" customFormat="1" ht="13.15" customHeight="1" x14ac:dyDescent="0.2">
      <c r="A77" s="32" t="s">
        <v>13</v>
      </c>
      <c r="B77" s="33" t="s">
        <v>14</v>
      </c>
      <c r="C77" s="33"/>
      <c r="D77" s="140">
        <v>9000</v>
      </c>
      <c r="E77" s="178"/>
      <c r="F77" s="349"/>
      <c r="G77" s="33" t="s">
        <v>40</v>
      </c>
      <c r="H77" s="140">
        <v>5000</v>
      </c>
      <c r="I77" s="140"/>
      <c r="J77" s="250"/>
      <c r="K77" s="241"/>
      <c r="L77" s="241"/>
      <c r="M77" s="143"/>
    </row>
    <row r="78" spans="1:13" s="7" customFormat="1" ht="13.15" customHeight="1" x14ac:dyDescent="0.2">
      <c r="A78" s="32" t="s">
        <v>15</v>
      </c>
      <c r="B78" s="33" t="s">
        <v>42</v>
      </c>
      <c r="C78" s="33"/>
      <c r="D78" s="140"/>
      <c r="E78" s="178"/>
      <c r="F78" s="349" t="s">
        <v>21</v>
      </c>
      <c r="G78" s="33" t="s">
        <v>22</v>
      </c>
      <c r="H78" s="140">
        <v>5000</v>
      </c>
      <c r="I78" s="211"/>
      <c r="J78" s="250"/>
      <c r="K78" s="241"/>
      <c r="L78" s="241"/>
      <c r="M78" s="143"/>
    </row>
    <row r="79" spans="1:13" s="7" customFormat="1" ht="13.15" customHeight="1" x14ac:dyDescent="0.2">
      <c r="A79" s="32" t="s">
        <v>16</v>
      </c>
      <c r="B79" s="33" t="s">
        <v>17</v>
      </c>
      <c r="C79" s="33"/>
      <c r="D79" s="140">
        <v>311.83999999999997</v>
      </c>
      <c r="E79" s="140"/>
      <c r="F79" s="349" t="s">
        <v>15</v>
      </c>
      <c r="G79" s="33" t="s">
        <v>41</v>
      </c>
      <c r="H79" s="140">
        <v>1020</v>
      </c>
      <c r="I79" s="143"/>
      <c r="J79" s="250"/>
      <c r="K79" s="241"/>
      <c r="L79" s="241"/>
      <c r="M79" s="143"/>
    </row>
    <row r="80" spans="1:13" s="7" customFormat="1" ht="13.15" customHeight="1" x14ac:dyDescent="0.2">
      <c r="A80" s="32" t="s">
        <v>93</v>
      </c>
      <c r="B80" s="33" t="s">
        <v>94</v>
      </c>
      <c r="C80" s="33"/>
      <c r="D80" s="140">
        <v>472.63</v>
      </c>
      <c r="E80" s="140"/>
      <c r="F80" s="349" t="s">
        <v>54</v>
      </c>
      <c r="G80" s="33" t="s">
        <v>56</v>
      </c>
      <c r="H80" s="140">
        <v>500</v>
      </c>
      <c r="I80" s="211"/>
      <c r="J80" s="251"/>
      <c r="K80" s="242"/>
      <c r="L80" s="242"/>
    </row>
    <row r="81" spans="1:13" s="7" customFormat="1" ht="13.15" customHeight="1" x14ac:dyDescent="0.2">
      <c r="A81" s="32" t="s">
        <v>93</v>
      </c>
      <c r="B81" s="33" t="s">
        <v>95</v>
      </c>
      <c r="C81" s="33"/>
      <c r="D81" s="140">
        <v>86.94</v>
      </c>
      <c r="E81" s="140"/>
      <c r="F81" s="349" t="s">
        <v>55</v>
      </c>
      <c r="G81" s="33" t="s">
        <v>57</v>
      </c>
      <c r="H81" s="140">
        <v>500</v>
      </c>
      <c r="I81" s="211"/>
      <c r="J81" s="251"/>
      <c r="K81" s="242"/>
      <c r="L81" s="242"/>
    </row>
    <row r="82" spans="1:13" s="7" customFormat="1" ht="13.15" customHeight="1" x14ac:dyDescent="0.2">
      <c r="A82" s="32" t="s">
        <v>19</v>
      </c>
      <c r="B82" s="33" t="s">
        <v>20</v>
      </c>
      <c r="C82" s="140"/>
      <c r="D82" s="140">
        <v>8000</v>
      </c>
      <c r="E82" s="178"/>
      <c r="F82" s="349" t="s">
        <v>16</v>
      </c>
      <c r="G82" s="33" t="s">
        <v>28</v>
      </c>
      <c r="H82" s="140">
        <v>12000</v>
      </c>
      <c r="I82" s="231"/>
      <c r="J82" s="251"/>
      <c r="K82" s="242"/>
      <c r="L82" s="242"/>
    </row>
    <row r="83" spans="1:13" s="7" customFormat="1" ht="13.15" customHeight="1" thickBot="1" x14ac:dyDescent="0.25">
      <c r="A83" s="32" t="s">
        <v>18</v>
      </c>
      <c r="B83" s="33" t="s">
        <v>45</v>
      </c>
      <c r="C83" s="140"/>
      <c r="D83" s="140">
        <v>1000</v>
      </c>
      <c r="E83" s="140"/>
      <c r="F83" s="350" t="s">
        <v>38</v>
      </c>
      <c r="G83" s="33" t="s">
        <v>29</v>
      </c>
      <c r="H83" s="141">
        <v>11000</v>
      </c>
      <c r="I83" s="67"/>
      <c r="J83" s="251"/>
      <c r="K83" s="242"/>
      <c r="L83" s="242"/>
    </row>
    <row r="84" spans="1:13" s="7" customFormat="1" ht="13.15" customHeight="1" thickTop="1" thickBot="1" x14ac:dyDescent="0.25">
      <c r="B84" s="212"/>
      <c r="C84" s="33"/>
      <c r="D84" s="213"/>
      <c r="E84" s="140"/>
      <c r="F84" s="351"/>
      <c r="G84" s="33"/>
      <c r="H84" s="162">
        <f>SUM(H77:H83)+SUM(D77:D84)</f>
        <v>53891.41</v>
      </c>
      <c r="I84" s="162"/>
      <c r="J84" s="251"/>
      <c r="K84" s="242"/>
      <c r="L84" s="242"/>
    </row>
    <row r="85" spans="1:13" s="7" customFormat="1" ht="13.15" customHeight="1" thickBot="1" x14ac:dyDescent="0.25">
      <c r="B85" s="32"/>
      <c r="C85" s="33"/>
      <c r="D85" s="9"/>
      <c r="E85" s="140"/>
      <c r="F85" s="351"/>
      <c r="G85" s="145" t="s">
        <v>5</v>
      </c>
      <c r="H85" s="146">
        <f>E72+H84</f>
        <v>63101.740000000005</v>
      </c>
      <c r="I85" s="162"/>
      <c r="J85" s="251"/>
      <c r="K85" s="242"/>
      <c r="L85" s="242"/>
    </row>
    <row r="86" spans="1:13" s="7" customFormat="1" ht="13.15" customHeight="1" x14ac:dyDescent="0.2">
      <c r="B86" s="32"/>
      <c r="C86" s="33"/>
      <c r="D86" s="8"/>
      <c r="E86" s="9"/>
      <c r="F86" s="243"/>
      <c r="G86" s="9"/>
      <c r="H86" s="9"/>
      <c r="I86" s="162"/>
      <c r="J86" s="251"/>
      <c r="K86" s="242"/>
      <c r="L86" s="242"/>
    </row>
    <row r="87" spans="1:13" s="7" customFormat="1" ht="13.15" customHeight="1" x14ac:dyDescent="0.2">
      <c r="A87" s="9"/>
      <c r="B87" s="10"/>
      <c r="C87" s="9"/>
      <c r="D87" s="8"/>
      <c r="E87" s="9"/>
      <c r="F87" s="243"/>
      <c r="G87" s="9"/>
      <c r="H87" s="9"/>
      <c r="I87" s="162"/>
      <c r="J87" s="251"/>
      <c r="K87" s="242"/>
      <c r="L87" s="242"/>
    </row>
    <row r="88" spans="1:13" s="7" customFormat="1" ht="13.15" customHeight="1" x14ac:dyDescent="0.2">
      <c r="A88" s="9"/>
      <c r="B88" s="10"/>
      <c r="C88" s="8"/>
      <c r="D88" s="8"/>
      <c r="E88" s="9"/>
      <c r="F88" s="243"/>
      <c r="G88" s="9"/>
      <c r="H88" s="9"/>
      <c r="I88" s="162"/>
      <c r="J88" s="251"/>
      <c r="K88" s="242"/>
      <c r="L88" s="242"/>
    </row>
    <row r="89" spans="1:13" s="7" customFormat="1" ht="13.15" customHeight="1" x14ac:dyDescent="0.2">
      <c r="A89" s="9"/>
      <c r="B89" s="10"/>
      <c r="C89" s="8"/>
      <c r="D89" s="8"/>
      <c r="E89" s="9"/>
      <c r="F89" s="243"/>
      <c r="G89" s="9"/>
      <c r="H89" s="9"/>
      <c r="I89" s="162"/>
      <c r="J89" s="251"/>
      <c r="K89" s="242"/>
      <c r="L89" s="242"/>
    </row>
    <row r="90" spans="1:13" s="7" customFormat="1" ht="13.15" customHeight="1" x14ac:dyDescent="0.2">
      <c r="A90" s="9"/>
      <c r="B90" s="10"/>
      <c r="C90" s="8"/>
      <c r="D90" s="8"/>
      <c r="E90" s="9"/>
      <c r="F90" s="243"/>
      <c r="G90" s="9"/>
      <c r="H90" s="9"/>
      <c r="I90" s="162"/>
      <c r="J90" s="251"/>
      <c r="K90" s="242"/>
      <c r="L90" s="242"/>
    </row>
    <row r="91" spans="1:13" s="9" customFormat="1" ht="12" x14ac:dyDescent="0.2">
      <c r="B91" s="10"/>
      <c r="C91" s="8"/>
      <c r="F91" s="243"/>
      <c r="J91" s="252"/>
      <c r="K91" s="243"/>
      <c r="L91" s="243"/>
      <c r="M91" s="10"/>
    </row>
    <row r="92" spans="1:13" s="9" customFormat="1" ht="12" x14ac:dyDescent="0.2">
      <c r="B92" s="10"/>
      <c r="C92" s="8"/>
      <c r="F92" s="243"/>
      <c r="J92" s="252"/>
      <c r="K92" s="243"/>
      <c r="L92" s="243"/>
      <c r="M92" s="10"/>
    </row>
    <row r="93" spans="1:13" s="9" customFormat="1" ht="12" x14ac:dyDescent="0.2">
      <c r="B93" s="10"/>
      <c r="C93" s="8"/>
      <c r="F93" s="243"/>
      <c r="J93" s="252"/>
      <c r="K93" s="243"/>
      <c r="L93" s="243"/>
      <c r="M93" s="10"/>
    </row>
    <row r="94" spans="1:13" s="9" customFormat="1" ht="12" x14ac:dyDescent="0.2">
      <c r="B94" s="10"/>
      <c r="F94" s="243"/>
      <c r="J94" s="252"/>
      <c r="K94" s="243"/>
      <c r="L94" s="243"/>
      <c r="M94" s="10"/>
    </row>
    <row r="95" spans="1:13" s="9" customFormat="1" ht="12" x14ac:dyDescent="0.2">
      <c r="B95" s="10"/>
      <c r="F95" s="243"/>
      <c r="J95" s="252"/>
      <c r="K95" s="243"/>
      <c r="L95" s="243"/>
      <c r="M95" s="10"/>
    </row>
    <row r="96" spans="1:13" s="9" customFormat="1" ht="12" x14ac:dyDescent="0.2">
      <c r="B96" s="10"/>
      <c r="F96" s="243"/>
      <c r="J96" s="252"/>
      <c r="K96" s="243"/>
      <c r="L96" s="243"/>
      <c r="M96" s="10"/>
    </row>
    <row r="97" spans="1:13" s="9" customFormat="1" x14ac:dyDescent="0.2">
      <c r="B97" s="10"/>
      <c r="D97" s="5"/>
      <c r="F97" s="243"/>
      <c r="J97" s="252"/>
      <c r="K97" s="243"/>
      <c r="L97" s="243"/>
      <c r="M97" s="10"/>
    </row>
    <row r="98" spans="1:13" s="9" customFormat="1" x14ac:dyDescent="0.2">
      <c r="B98" s="10"/>
      <c r="D98" s="5"/>
      <c r="F98" s="243"/>
      <c r="J98" s="252"/>
      <c r="K98" s="243"/>
      <c r="L98" s="243"/>
      <c r="M98" s="10"/>
    </row>
    <row r="99" spans="1:13" s="9" customFormat="1" x14ac:dyDescent="0.2">
      <c r="B99" s="10"/>
      <c r="D99" s="5"/>
      <c r="E99" s="5"/>
      <c r="F99" s="240"/>
      <c r="G99" s="5"/>
      <c r="H99" s="5"/>
      <c r="J99" s="252"/>
      <c r="K99" s="243"/>
      <c r="L99" s="243"/>
      <c r="M99" s="10"/>
    </row>
    <row r="100" spans="1:13" s="9" customFormat="1" x14ac:dyDescent="0.2">
      <c r="B100" s="12"/>
      <c r="C100" s="5"/>
      <c r="D100" s="5"/>
      <c r="E100" s="5"/>
      <c r="F100" s="240"/>
      <c r="G100" s="5"/>
      <c r="H100" s="5"/>
      <c r="J100" s="252"/>
      <c r="K100" s="243"/>
      <c r="L100" s="243"/>
      <c r="M100" s="10"/>
    </row>
    <row r="101" spans="1:13" s="9" customFormat="1" x14ac:dyDescent="0.2">
      <c r="B101" s="12"/>
      <c r="C101" s="5"/>
      <c r="D101" s="5"/>
      <c r="E101" s="5"/>
      <c r="F101" s="240"/>
      <c r="G101" s="5"/>
      <c r="H101" s="5"/>
      <c r="J101" s="252"/>
      <c r="K101" s="243"/>
      <c r="L101" s="243"/>
      <c r="M101" s="10"/>
    </row>
    <row r="102" spans="1:13" s="9" customFormat="1" x14ac:dyDescent="0.2">
      <c r="B102" s="12"/>
      <c r="C102" s="5"/>
      <c r="D102" s="5"/>
      <c r="E102" s="5"/>
      <c r="F102" s="240"/>
      <c r="G102" s="5"/>
      <c r="H102" s="5"/>
      <c r="J102" s="252"/>
      <c r="K102" s="243"/>
      <c r="L102" s="243"/>
      <c r="M102" s="10"/>
    </row>
    <row r="103" spans="1:13" s="9" customFormat="1" x14ac:dyDescent="0.2">
      <c r="B103" s="12"/>
      <c r="C103" s="5"/>
      <c r="D103" s="5"/>
      <c r="E103" s="5"/>
      <c r="F103" s="240"/>
      <c r="G103" s="5"/>
      <c r="H103" s="5"/>
      <c r="J103" s="252"/>
      <c r="K103" s="243"/>
      <c r="L103" s="243"/>
      <c r="M103" s="10"/>
    </row>
    <row r="104" spans="1:13" s="9" customFormat="1" x14ac:dyDescent="0.2">
      <c r="A104" s="5"/>
      <c r="B104" s="12"/>
      <c r="C104" s="5"/>
      <c r="D104" s="5"/>
      <c r="E104" s="5"/>
      <c r="F104" s="240"/>
      <c r="G104" s="5"/>
      <c r="H104" s="5"/>
      <c r="I104" s="5"/>
      <c r="J104" s="248"/>
      <c r="K104" s="240"/>
      <c r="L104" s="240"/>
      <c r="M104" s="10"/>
    </row>
    <row r="105" spans="1:13" s="9" customFormat="1" x14ac:dyDescent="0.2">
      <c r="A105" s="5"/>
      <c r="B105" s="12"/>
      <c r="C105" s="5"/>
      <c r="D105" s="5"/>
      <c r="E105" s="5"/>
      <c r="F105" s="240"/>
      <c r="G105" s="5"/>
      <c r="H105" s="5"/>
      <c r="I105" s="5"/>
      <c r="J105" s="248"/>
      <c r="K105" s="240"/>
      <c r="L105" s="240"/>
      <c r="M105" s="10"/>
    </row>
    <row r="106" spans="1:13" s="9" customFormat="1" x14ac:dyDescent="0.2">
      <c r="A106" s="5"/>
      <c r="B106" s="12"/>
      <c r="C106" s="5"/>
      <c r="D106" s="5"/>
      <c r="E106" s="5"/>
      <c r="F106" s="240"/>
      <c r="G106" s="5"/>
      <c r="H106" s="5"/>
      <c r="I106" s="5"/>
      <c r="J106" s="248"/>
      <c r="K106" s="240"/>
      <c r="L106" s="240"/>
      <c r="M106" s="10"/>
    </row>
    <row r="107" spans="1:13" s="9" customFormat="1" x14ac:dyDescent="0.2">
      <c r="A107" s="5"/>
      <c r="B107" s="12"/>
      <c r="C107" s="5"/>
      <c r="D107" s="5"/>
      <c r="E107" s="5"/>
      <c r="F107" s="240"/>
      <c r="G107" s="5"/>
      <c r="H107" s="5"/>
      <c r="I107" s="5"/>
      <c r="J107" s="248"/>
      <c r="K107" s="240"/>
      <c r="L107" s="240"/>
      <c r="M107" s="10"/>
    </row>
  </sheetData>
  <mergeCells count="9">
    <mergeCell ref="E41:F41"/>
    <mergeCell ref="C58:D58"/>
    <mergeCell ref="E59:F59"/>
    <mergeCell ref="A1:H1"/>
    <mergeCell ref="C4:D4"/>
    <mergeCell ref="E5:F5"/>
    <mergeCell ref="C22:D22"/>
    <mergeCell ref="E23:F23"/>
    <mergeCell ref="C40:D4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opLeftCell="A37" workbookViewId="0">
      <selection activeCell="A16" sqref="A16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418" t="s">
        <v>188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189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42494</v>
      </c>
      <c r="D4" s="416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7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G6" s="123"/>
      <c r="H6" s="123"/>
      <c r="I6" s="97"/>
    </row>
    <row r="7" spans="1:9" x14ac:dyDescent="0.2">
      <c r="B7" s="62" t="s">
        <v>82</v>
      </c>
      <c r="C7" s="76" t="s">
        <v>27</v>
      </c>
      <c r="D7" s="174"/>
      <c r="E7" s="172">
        <v>1376.82</v>
      </c>
      <c r="G7" s="164"/>
      <c r="H7" s="165"/>
      <c r="I7" s="4"/>
    </row>
    <row r="8" spans="1:9" x14ac:dyDescent="0.2">
      <c r="B8" s="155" t="s">
        <v>96</v>
      </c>
      <c r="C8" s="124" t="s">
        <v>24</v>
      </c>
      <c r="D8" s="175"/>
      <c r="E8" s="172" t="s">
        <v>195</v>
      </c>
      <c r="G8" s="228"/>
      <c r="H8" s="165"/>
      <c r="I8" s="4"/>
    </row>
    <row r="9" spans="1:9" x14ac:dyDescent="0.2">
      <c r="B9" s="155" t="s">
        <v>85</v>
      </c>
      <c r="C9" s="124" t="s">
        <v>76</v>
      </c>
      <c r="D9" s="175"/>
      <c r="E9" s="172">
        <v>752.24</v>
      </c>
      <c r="G9" s="164"/>
      <c r="H9" s="165"/>
      <c r="I9" s="4"/>
    </row>
    <row r="10" spans="1:9" x14ac:dyDescent="0.2">
      <c r="B10" s="155" t="s">
        <v>3</v>
      </c>
      <c r="C10" s="124" t="s">
        <v>25</v>
      </c>
      <c r="D10" s="175"/>
      <c r="E10" s="172">
        <v>937.04</v>
      </c>
      <c r="G10" s="164"/>
      <c r="H10" s="165"/>
      <c r="I10" s="4"/>
    </row>
    <row r="11" spans="1:9" x14ac:dyDescent="0.2">
      <c r="B11" s="29" t="s">
        <v>4</v>
      </c>
      <c r="C11" s="40" t="s">
        <v>23</v>
      </c>
      <c r="D11" s="176"/>
      <c r="E11" s="173">
        <v>927.03</v>
      </c>
      <c r="G11" s="164"/>
      <c r="H11" s="165"/>
      <c r="I11" s="4"/>
    </row>
    <row r="12" spans="1:9" x14ac:dyDescent="0.2">
      <c r="B12" s="261" t="s">
        <v>78</v>
      </c>
      <c r="C12" s="262" t="s">
        <v>79</v>
      </c>
      <c r="D12" s="263"/>
      <c r="E12" s="135">
        <v>890</v>
      </c>
      <c r="F12" s="94"/>
      <c r="G12" s="4"/>
      <c r="H12" s="165"/>
      <c r="I12" s="4"/>
    </row>
    <row r="13" spans="1:9" ht="13.5" thickBot="1" x14ac:dyDescent="0.25">
      <c r="B13" s="264" t="s">
        <v>85</v>
      </c>
      <c r="C13" s="265" t="s">
        <v>66</v>
      </c>
      <c r="D13" s="265"/>
      <c r="E13" s="137">
        <v>500</v>
      </c>
      <c r="G13" s="4"/>
      <c r="H13" s="165"/>
      <c r="I13" s="4"/>
    </row>
    <row r="14" spans="1:9" ht="14.25" thickTop="1" thickBot="1" x14ac:dyDescent="0.25">
      <c r="B14" s="270"/>
      <c r="C14" s="285"/>
      <c r="D14" s="286"/>
      <c r="E14" s="267">
        <f>SUM(E7:E13)</f>
        <v>5383.13</v>
      </c>
      <c r="G14" s="4"/>
      <c r="H14" s="165"/>
      <c r="I14" s="4"/>
    </row>
    <row r="15" spans="1:9" x14ac:dyDescent="0.2">
      <c r="B15" s="268" t="s">
        <v>104</v>
      </c>
      <c r="C15" s="269" t="s">
        <v>12</v>
      </c>
      <c r="D15" s="269"/>
      <c r="E15" s="266">
        <f>4200/4</f>
        <v>1050</v>
      </c>
      <c r="G15" s="4"/>
      <c r="H15" s="165"/>
      <c r="I15" s="4"/>
    </row>
    <row r="16" spans="1:9" ht="13.5" thickBot="1" x14ac:dyDescent="0.25">
      <c r="B16" s="63" t="s">
        <v>35</v>
      </c>
      <c r="C16" s="133" t="s">
        <v>36</v>
      </c>
      <c r="D16" s="133"/>
      <c r="E16" s="137">
        <v>1000</v>
      </c>
      <c r="G16" s="4"/>
      <c r="H16" s="165"/>
      <c r="I16" s="4"/>
    </row>
    <row r="17" spans="1:9" ht="13.5" thickBot="1" x14ac:dyDescent="0.25">
      <c r="B17" s="11"/>
      <c r="C17" s="134" t="s">
        <v>0</v>
      </c>
      <c r="D17" s="134"/>
      <c r="E17" s="138">
        <f>SUM(E14:E16)</f>
        <v>7433.13</v>
      </c>
      <c r="G17" s="166"/>
      <c r="H17" s="165"/>
      <c r="I17" s="4"/>
    </row>
    <row r="18" spans="1:9" x14ac:dyDescent="0.2">
      <c r="B18" s="11"/>
      <c r="C18" s="134"/>
      <c r="D18" s="134"/>
      <c r="E18" s="159"/>
      <c r="G18" s="166"/>
      <c r="H18" s="165"/>
      <c r="I18" s="4"/>
    </row>
    <row r="19" spans="1:9" x14ac:dyDescent="0.2">
      <c r="B19" s="11"/>
      <c r="C19" s="290" t="s">
        <v>194</v>
      </c>
      <c r="D19" s="134"/>
      <c r="E19" s="159"/>
      <c r="G19" s="166"/>
      <c r="H19" s="165"/>
      <c r="I19" s="4"/>
    </row>
    <row r="20" spans="1:9" x14ac:dyDescent="0.2">
      <c r="B20" s="11"/>
      <c r="C20" s="134"/>
      <c r="D20" s="134"/>
      <c r="E20" s="159"/>
      <c r="G20" s="166"/>
      <c r="H20" s="165"/>
      <c r="I20" s="4"/>
    </row>
    <row r="21" spans="1:9" ht="12.75" customHeight="1" x14ac:dyDescent="0.2">
      <c r="B21" s="11"/>
      <c r="C21" s="21"/>
      <c r="D21" s="21"/>
      <c r="E21" s="22"/>
      <c r="F21" s="22"/>
      <c r="G21" s="22"/>
      <c r="H21" s="22"/>
      <c r="I21" s="22"/>
    </row>
    <row r="22" spans="1:9" s="127" customFormat="1" ht="6.75" customHeight="1" x14ac:dyDescent="0.2">
      <c r="B22" s="128"/>
      <c r="C22" s="129"/>
      <c r="D22" s="129"/>
      <c r="E22" s="130"/>
      <c r="F22" s="130"/>
      <c r="G22" s="130"/>
      <c r="H22" s="130"/>
      <c r="I22" s="130"/>
    </row>
    <row r="23" spans="1:9" ht="19.5" customHeight="1" x14ac:dyDescent="0.2">
      <c r="A23" s="163"/>
      <c r="B23" s="122" t="s">
        <v>73</v>
      </c>
      <c r="C23" s="168" t="s">
        <v>190</v>
      </c>
      <c r="D23" s="168"/>
      <c r="E23" s="22"/>
      <c r="F23" s="22"/>
      <c r="G23" s="22"/>
      <c r="H23" s="22"/>
      <c r="I23" s="22"/>
    </row>
    <row r="24" spans="1:9" ht="19.5" customHeight="1" x14ac:dyDescent="0.2">
      <c r="B24" s="122" t="s">
        <v>75</v>
      </c>
      <c r="C24" s="414" t="s">
        <v>191</v>
      </c>
      <c r="D24" s="416"/>
      <c r="E24" s="22"/>
      <c r="F24" s="22"/>
      <c r="G24" s="22"/>
      <c r="H24" s="22"/>
      <c r="I24" s="22"/>
    </row>
    <row r="25" spans="1:9" ht="4.5" customHeight="1" x14ac:dyDescent="0.45">
      <c r="B25" s="2"/>
      <c r="C25" s="41"/>
      <c r="D25" s="41"/>
      <c r="E25" s="415"/>
      <c r="F25" s="417"/>
      <c r="G25" s="3"/>
      <c r="H25" s="4"/>
      <c r="I25" s="4"/>
    </row>
    <row r="26" spans="1:9" s="6" customFormat="1" ht="13.5" thickBot="1" x14ac:dyDescent="0.25">
      <c r="B26" s="123" t="s">
        <v>74</v>
      </c>
      <c r="C26" s="225" t="s">
        <v>1</v>
      </c>
      <c r="D26" s="225"/>
      <c r="E26" s="126" t="s">
        <v>2</v>
      </c>
      <c r="G26" s="97"/>
      <c r="H26" s="97"/>
      <c r="I26" s="97"/>
    </row>
    <row r="27" spans="1:9" x14ac:dyDescent="0.2">
      <c r="B27" s="62" t="s">
        <v>82</v>
      </c>
      <c r="C27" s="76" t="s">
        <v>27</v>
      </c>
      <c r="D27" s="174"/>
      <c r="E27" s="172">
        <v>1376.82</v>
      </c>
      <c r="G27" s="184"/>
    </row>
    <row r="28" spans="1:9" x14ac:dyDescent="0.2">
      <c r="B28" s="155" t="s">
        <v>96</v>
      </c>
      <c r="C28" s="124" t="s">
        <v>24</v>
      </c>
      <c r="D28" s="175"/>
      <c r="E28" s="172">
        <v>1191.99</v>
      </c>
    </row>
    <row r="29" spans="1:9" x14ac:dyDescent="0.2">
      <c r="B29" s="155" t="s">
        <v>85</v>
      </c>
      <c r="C29" s="124" t="s">
        <v>76</v>
      </c>
      <c r="D29" s="175"/>
      <c r="E29" s="172">
        <v>652.24</v>
      </c>
      <c r="F29" s="294"/>
    </row>
    <row r="30" spans="1:9" x14ac:dyDescent="0.2">
      <c r="B30" s="155" t="s">
        <v>3</v>
      </c>
      <c r="C30" s="124" t="s">
        <v>25</v>
      </c>
      <c r="D30" s="175"/>
      <c r="E30" s="172">
        <v>937.04</v>
      </c>
    </row>
    <row r="31" spans="1:9" x14ac:dyDescent="0.2">
      <c r="B31" s="29" t="s">
        <v>4</v>
      </c>
      <c r="C31" s="40" t="s">
        <v>23</v>
      </c>
      <c r="D31" s="176"/>
      <c r="E31" s="173">
        <v>927.03</v>
      </c>
    </row>
    <row r="32" spans="1:9" x14ac:dyDescent="0.2">
      <c r="B32" s="261" t="s">
        <v>78</v>
      </c>
      <c r="C32" s="262" t="s">
        <v>79</v>
      </c>
      <c r="D32" s="263"/>
      <c r="E32" s="135">
        <v>890</v>
      </c>
      <c r="F32" s="94"/>
    </row>
    <row r="33" spans="1:9" ht="13.5" thickBot="1" x14ac:dyDescent="0.25">
      <c r="B33" s="264" t="s">
        <v>85</v>
      </c>
      <c r="C33" s="265" t="s">
        <v>66</v>
      </c>
      <c r="D33" s="265"/>
      <c r="E33" s="137">
        <v>500</v>
      </c>
    </row>
    <row r="34" spans="1:9" s="4" customFormat="1" ht="14.25" thickTop="1" thickBot="1" x14ac:dyDescent="0.25">
      <c r="B34" s="270"/>
      <c r="C34" s="271"/>
      <c r="D34" s="272"/>
      <c r="E34" s="267">
        <f>SUM(E27:E33)</f>
        <v>6475.12</v>
      </c>
      <c r="F34" s="132"/>
    </row>
    <row r="35" spans="1:9" x14ac:dyDescent="0.2">
      <c r="B35" s="268" t="s">
        <v>104</v>
      </c>
      <c r="C35" s="269" t="s">
        <v>12</v>
      </c>
      <c r="D35" s="269"/>
      <c r="E35" s="266">
        <v>1050</v>
      </c>
    </row>
    <row r="36" spans="1:9" ht="13.5" thickBot="1" x14ac:dyDescent="0.25">
      <c r="B36" s="63" t="s">
        <v>35</v>
      </c>
      <c r="C36" s="133" t="s">
        <v>36</v>
      </c>
      <c r="D36" s="133"/>
      <c r="E36" s="137">
        <v>1000</v>
      </c>
    </row>
    <row r="37" spans="1:9" ht="13.5" thickBot="1" x14ac:dyDescent="0.25">
      <c r="B37" s="11"/>
      <c r="C37" s="134" t="s">
        <v>0</v>
      </c>
      <c r="D37" s="134"/>
      <c r="E37" s="138">
        <f>SUM(E34:E36)</f>
        <v>8525.119999999999</v>
      </c>
    </row>
    <row r="38" spans="1:9" x14ac:dyDescent="0.2">
      <c r="B38" s="11"/>
      <c r="C38" s="134"/>
      <c r="D38" s="134"/>
      <c r="E38" s="159"/>
    </row>
    <row r="39" spans="1:9" s="127" customFormat="1" ht="6.75" customHeight="1" x14ac:dyDescent="0.2">
      <c r="B39" s="128"/>
      <c r="C39" s="129"/>
      <c r="D39" s="129"/>
      <c r="E39" s="130"/>
      <c r="F39" s="130"/>
      <c r="G39" s="130"/>
      <c r="H39" s="130"/>
      <c r="I39" s="130"/>
    </row>
    <row r="40" spans="1:9" ht="19.5" customHeight="1" x14ac:dyDescent="0.2">
      <c r="A40" s="163"/>
      <c r="B40" s="122" t="s">
        <v>73</v>
      </c>
      <c r="C40" s="168" t="s">
        <v>192</v>
      </c>
      <c r="D40" s="142"/>
      <c r="E40" s="22"/>
      <c r="F40" s="22"/>
      <c r="G40" s="22"/>
      <c r="H40" s="22"/>
      <c r="I40" s="22"/>
    </row>
    <row r="41" spans="1:9" ht="19.5" customHeight="1" x14ac:dyDescent="0.2">
      <c r="B41" s="122" t="s">
        <v>75</v>
      </c>
      <c r="C41" s="414">
        <v>42508</v>
      </c>
      <c r="D41" s="414"/>
      <c r="E41" s="22"/>
      <c r="F41" s="22"/>
      <c r="G41" s="22"/>
      <c r="H41" s="22"/>
      <c r="I41" s="22"/>
    </row>
    <row r="42" spans="1:9" ht="4.5" customHeight="1" x14ac:dyDescent="0.45">
      <c r="B42" s="2"/>
      <c r="C42" s="41"/>
      <c r="D42" s="41"/>
      <c r="E42" s="415"/>
      <c r="F42" s="415"/>
      <c r="G42" s="3"/>
      <c r="H42" s="4"/>
      <c r="I42" s="4"/>
    </row>
    <row r="43" spans="1:9" s="6" customFormat="1" ht="13.5" thickBot="1" x14ac:dyDescent="0.25">
      <c r="B43" s="123" t="s">
        <v>74</v>
      </c>
      <c r="C43" s="225" t="s">
        <v>1</v>
      </c>
      <c r="D43" s="225"/>
      <c r="E43" s="126" t="s">
        <v>2</v>
      </c>
    </row>
    <row r="44" spans="1:9" x14ac:dyDescent="0.2">
      <c r="B44" s="62" t="s">
        <v>82</v>
      </c>
      <c r="C44" s="76" t="s">
        <v>27</v>
      </c>
      <c r="D44" s="174"/>
      <c r="E44" s="172">
        <v>1376.78</v>
      </c>
    </row>
    <row r="45" spans="1:9" x14ac:dyDescent="0.2">
      <c r="B45" s="155" t="s">
        <v>96</v>
      </c>
      <c r="C45" s="124" t="s">
        <v>24</v>
      </c>
      <c r="D45" s="175"/>
      <c r="E45" s="172">
        <v>1192</v>
      </c>
    </row>
    <row r="46" spans="1:9" x14ac:dyDescent="0.2">
      <c r="B46" s="155" t="s">
        <v>85</v>
      </c>
      <c r="C46" s="124" t="s">
        <v>76</v>
      </c>
      <c r="D46" s="175"/>
      <c r="E46" s="172">
        <v>652.24</v>
      </c>
    </row>
    <row r="47" spans="1:9" x14ac:dyDescent="0.2">
      <c r="B47" s="155" t="s">
        <v>3</v>
      </c>
      <c r="C47" s="124" t="s">
        <v>25</v>
      </c>
      <c r="D47" s="175"/>
      <c r="E47" s="172">
        <v>937.04</v>
      </c>
    </row>
    <row r="48" spans="1:9" x14ac:dyDescent="0.2">
      <c r="B48" s="29" t="s">
        <v>4</v>
      </c>
      <c r="C48" s="40" t="s">
        <v>23</v>
      </c>
      <c r="D48" s="176"/>
      <c r="E48" s="173">
        <v>927.03</v>
      </c>
    </row>
    <row r="49" spans="1:9" x14ac:dyDescent="0.2">
      <c r="B49" s="261" t="s">
        <v>78</v>
      </c>
      <c r="C49" s="262" t="s">
        <v>79</v>
      </c>
      <c r="D49" s="263"/>
      <c r="E49" s="135">
        <v>890</v>
      </c>
      <c r="F49" s="94"/>
    </row>
    <row r="50" spans="1:9" ht="13.5" thickBot="1" x14ac:dyDescent="0.25">
      <c r="B50" s="264" t="s">
        <v>85</v>
      </c>
      <c r="C50" s="265" t="s">
        <v>66</v>
      </c>
      <c r="D50" s="265"/>
      <c r="E50" s="137">
        <v>500</v>
      </c>
    </row>
    <row r="51" spans="1:9" s="4" customFormat="1" ht="13.5" thickBot="1" x14ac:dyDescent="0.25">
      <c r="B51" s="274"/>
      <c r="C51" s="275"/>
      <c r="D51" s="276"/>
      <c r="E51" s="277">
        <f>SUM(E44:E50)</f>
        <v>6475.0899999999992</v>
      </c>
      <c r="F51" s="132"/>
    </row>
    <row r="52" spans="1:9" x14ac:dyDescent="0.2">
      <c r="B52" s="44" t="s">
        <v>104</v>
      </c>
      <c r="C52" s="69" t="s">
        <v>12</v>
      </c>
      <c r="D52" s="69"/>
      <c r="E52" s="139">
        <v>1050</v>
      </c>
    </row>
    <row r="53" spans="1:9" ht="13.5" thickBot="1" x14ac:dyDescent="0.25">
      <c r="B53" s="63" t="s">
        <v>35</v>
      </c>
      <c r="C53" s="133" t="s">
        <v>36</v>
      </c>
      <c r="D53" s="133"/>
      <c r="E53" s="137">
        <v>1000</v>
      </c>
    </row>
    <row r="54" spans="1:9" ht="13.5" thickBot="1" x14ac:dyDescent="0.25">
      <c r="B54" s="11"/>
      <c r="C54" s="134" t="s">
        <v>0</v>
      </c>
      <c r="D54" s="134"/>
      <c r="E54" s="138">
        <f>SUM(E51:E53)</f>
        <v>8525.09</v>
      </c>
    </row>
    <row r="55" spans="1:9" ht="12.75" customHeight="1" x14ac:dyDescent="0.2">
      <c r="B55" s="11"/>
      <c r="C55" s="21"/>
      <c r="D55" s="21"/>
      <c r="E55" s="22"/>
      <c r="F55" s="22"/>
      <c r="G55" s="22"/>
      <c r="H55" s="22"/>
      <c r="I55" s="22"/>
    </row>
    <row r="56" spans="1:9" s="127" customFormat="1" ht="6.75" customHeight="1" x14ac:dyDescent="0.2">
      <c r="B56" s="128"/>
      <c r="C56" s="129"/>
      <c r="D56" s="129"/>
      <c r="E56" s="130"/>
      <c r="F56" s="130"/>
      <c r="G56" s="130"/>
      <c r="H56" s="130"/>
      <c r="I56" s="130"/>
    </row>
    <row r="57" spans="1:9" ht="19.5" customHeight="1" x14ac:dyDescent="0.2">
      <c r="A57" s="163"/>
      <c r="B57" s="122" t="s">
        <v>73</v>
      </c>
      <c r="C57" s="168" t="s">
        <v>193</v>
      </c>
      <c r="D57" s="142"/>
      <c r="E57" s="22"/>
      <c r="F57" s="22"/>
      <c r="G57" s="22"/>
      <c r="H57" s="22"/>
      <c r="I57" s="22"/>
    </row>
    <row r="58" spans="1:9" ht="19.5" customHeight="1" x14ac:dyDescent="0.2">
      <c r="B58" s="122" t="s">
        <v>75</v>
      </c>
      <c r="C58" s="414">
        <v>42515</v>
      </c>
      <c r="D58" s="414"/>
      <c r="E58" s="22"/>
      <c r="F58" s="22"/>
      <c r="G58" s="22"/>
      <c r="H58" s="22"/>
      <c r="I58" s="22"/>
    </row>
    <row r="59" spans="1:9" ht="4.5" customHeight="1" x14ac:dyDescent="0.45">
      <c r="B59" s="2"/>
      <c r="C59" s="41"/>
      <c r="D59" s="41"/>
      <c r="E59" s="415"/>
      <c r="F59" s="415"/>
      <c r="G59" s="3"/>
      <c r="H59" s="4"/>
      <c r="I59" s="4"/>
    </row>
    <row r="60" spans="1:9" s="6" customFormat="1" ht="13.5" thickBot="1" x14ac:dyDescent="0.25">
      <c r="B60" s="123" t="s">
        <v>74</v>
      </c>
      <c r="C60" s="225" t="s">
        <v>1</v>
      </c>
      <c r="D60" s="225"/>
      <c r="E60" s="126" t="s">
        <v>2</v>
      </c>
    </row>
    <row r="61" spans="1:9" x14ac:dyDescent="0.2">
      <c r="B61" s="62" t="s">
        <v>82</v>
      </c>
      <c r="C61" s="76" t="s">
        <v>27</v>
      </c>
      <c r="D61" s="174"/>
      <c r="E61" s="172">
        <v>1386.84</v>
      </c>
    </row>
    <row r="62" spans="1:9" x14ac:dyDescent="0.2">
      <c r="B62" s="155" t="s">
        <v>96</v>
      </c>
      <c r="C62" s="124" t="s">
        <v>24</v>
      </c>
      <c r="D62" s="175"/>
      <c r="E62" s="172">
        <v>1192</v>
      </c>
    </row>
    <row r="63" spans="1:9" x14ac:dyDescent="0.2">
      <c r="B63" s="155" t="s">
        <v>85</v>
      </c>
      <c r="C63" s="124" t="s">
        <v>76</v>
      </c>
      <c r="D63" s="175"/>
      <c r="E63" s="172">
        <v>752.24</v>
      </c>
      <c r="F63" s="184"/>
    </row>
    <row r="64" spans="1:9" x14ac:dyDescent="0.2">
      <c r="B64" s="155" t="s">
        <v>3</v>
      </c>
      <c r="C64" s="124" t="s">
        <v>25</v>
      </c>
      <c r="D64" s="175"/>
      <c r="E64" s="172">
        <v>937.04</v>
      </c>
      <c r="F64" s="294"/>
      <c r="G64" s="294"/>
    </row>
    <row r="65" spans="1:9" x14ac:dyDescent="0.2">
      <c r="B65" s="29" t="s">
        <v>4</v>
      </c>
      <c r="C65" s="40" t="s">
        <v>23</v>
      </c>
      <c r="D65" s="176"/>
      <c r="E65" s="173">
        <v>927.03</v>
      </c>
      <c r="G65" s="294"/>
    </row>
    <row r="66" spans="1:9" x14ac:dyDescent="0.2">
      <c r="B66" s="261" t="s">
        <v>78</v>
      </c>
      <c r="C66" s="262" t="s">
        <v>79</v>
      </c>
      <c r="D66" s="263"/>
      <c r="E66" s="135">
        <v>790</v>
      </c>
      <c r="F66" s="94"/>
    </row>
    <row r="67" spans="1:9" ht="13.5" thickBot="1" x14ac:dyDescent="0.25">
      <c r="B67" s="264" t="s">
        <v>85</v>
      </c>
      <c r="C67" s="265" t="s">
        <v>66</v>
      </c>
      <c r="D67" s="265"/>
      <c r="E67" s="137">
        <v>500</v>
      </c>
    </row>
    <row r="68" spans="1:9" s="4" customFormat="1" ht="13.5" thickBot="1" x14ac:dyDescent="0.25">
      <c r="B68" s="274"/>
      <c r="C68" s="275"/>
      <c r="D68" s="276"/>
      <c r="E68" s="277">
        <f>SUM(E61:E67)</f>
        <v>6485.15</v>
      </c>
      <c r="F68" s="132"/>
    </row>
    <row r="69" spans="1:9" x14ac:dyDescent="0.2">
      <c r="B69" s="44" t="s">
        <v>104</v>
      </c>
      <c r="C69" s="69" t="s">
        <v>12</v>
      </c>
      <c r="D69" s="69"/>
      <c r="E69" s="139">
        <v>1050</v>
      </c>
    </row>
    <row r="70" spans="1:9" ht="13.5" thickBot="1" x14ac:dyDescent="0.25">
      <c r="B70" s="63" t="s">
        <v>35</v>
      </c>
      <c r="C70" s="133" t="s">
        <v>36</v>
      </c>
      <c r="D70" s="133"/>
      <c r="E70" s="137">
        <v>1000</v>
      </c>
    </row>
    <row r="71" spans="1:9" ht="13.5" thickBot="1" x14ac:dyDescent="0.25">
      <c r="B71" s="11"/>
      <c r="C71" s="134" t="s">
        <v>0</v>
      </c>
      <c r="D71" s="134"/>
      <c r="E71" s="138">
        <f>SUM(E68:E70)</f>
        <v>8535.15</v>
      </c>
    </row>
    <row r="72" spans="1:9" ht="12.75" customHeight="1" x14ac:dyDescent="0.2">
      <c r="B72" s="11"/>
      <c r="C72" s="21"/>
      <c r="D72" s="21"/>
      <c r="E72" s="22"/>
      <c r="F72" s="22"/>
      <c r="G72" s="22"/>
      <c r="H72" s="22"/>
      <c r="I72" s="22"/>
    </row>
    <row r="73" spans="1:9" s="7" customFormat="1" ht="13.15" customHeight="1" x14ac:dyDescent="0.2">
      <c r="A73" s="32"/>
      <c r="B73" s="33"/>
      <c r="C73" s="33"/>
      <c r="D73" s="140"/>
      <c r="E73" s="178"/>
      <c r="F73" s="32"/>
      <c r="G73" s="33" t="s">
        <v>40</v>
      </c>
      <c r="H73" s="140">
        <v>5000</v>
      </c>
      <c r="I73" s="140"/>
    </row>
    <row r="74" spans="1:9" s="7" customFormat="1" ht="13.15" customHeight="1" x14ac:dyDescent="0.2">
      <c r="A74" s="32" t="s">
        <v>13</v>
      </c>
      <c r="B74" s="33" t="s">
        <v>14</v>
      </c>
      <c r="C74" s="33"/>
      <c r="D74" s="140">
        <v>9000</v>
      </c>
      <c r="E74" s="178"/>
      <c r="F74" s="32" t="s">
        <v>21</v>
      </c>
      <c r="G74" s="33" t="s">
        <v>22</v>
      </c>
      <c r="H74" s="140">
        <v>5000</v>
      </c>
      <c r="I74" s="211"/>
    </row>
    <row r="75" spans="1:9" s="7" customFormat="1" ht="13.15" customHeight="1" x14ac:dyDescent="0.2">
      <c r="A75" s="32" t="s">
        <v>16</v>
      </c>
      <c r="B75" s="33" t="s">
        <v>17</v>
      </c>
      <c r="C75" s="33"/>
      <c r="D75" s="140">
        <v>311.83999999999997</v>
      </c>
      <c r="E75" s="140"/>
      <c r="F75" s="32" t="s">
        <v>15</v>
      </c>
      <c r="G75" s="33" t="s">
        <v>41</v>
      </c>
      <c r="H75" s="140">
        <v>1020</v>
      </c>
      <c r="I75" s="143"/>
    </row>
    <row r="76" spans="1:9" s="7" customFormat="1" ht="13.15" customHeight="1" x14ac:dyDescent="0.2">
      <c r="A76" s="32" t="s">
        <v>93</v>
      </c>
      <c r="B76" s="33" t="s">
        <v>94</v>
      </c>
      <c r="C76" s="33"/>
      <c r="D76" s="140">
        <v>472.63</v>
      </c>
      <c r="E76" s="140"/>
      <c r="F76" s="32" t="s">
        <v>54</v>
      </c>
      <c r="G76" s="33" t="s">
        <v>56</v>
      </c>
      <c r="H76" s="140">
        <v>500</v>
      </c>
      <c r="I76" s="211"/>
    </row>
    <row r="77" spans="1:9" s="7" customFormat="1" ht="13.15" customHeight="1" x14ac:dyDescent="0.2">
      <c r="A77" s="32" t="s">
        <v>93</v>
      </c>
      <c r="B77" s="33" t="s">
        <v>95</v>
      </c>
      <c r="C77" s="33"/>
      <c r="D77" s="140">
        <v>86.94</v>
      </c>
      <c r="E77" s="140"/>
      <c r="F77" s="32" t="s">
        <v>55</v>
      </c>
      <c r="G77" s="33" t="s">
        <v>57</v>
      </c>
      <c r="H77" s="140">
        <v>500</v>
      </c>
      <c r="I77" s="211"/>
    </row>
    <row r="78" spans="1:9" s="7" customFormat="1" ht="13.15" customHeight="1" x14ac:dyDescent="0.2">
      <c r="A78" s="32" t="s">
        <v>19</v>
      </c>
      <c r="B78" s="33" t="s">
        <v>20</v>
      </c>
      <c r="C78" s="140"/>
      <c r="D78" s="140">
        <v>8000</v>
      </c>
      <c r="E78" s="178"/>
      <c r="F78" s="32" t="s">
        <v>16</v>
      </c>
      <c r="G78" s="33" t="s">
        <v>28</v>
      </c>
      <c r="H78" s="140">
        <v>12000</v>
      </c>
      <c r="I78" s="231"/>
    </row>
    <row r="79" spans="1:9" s="7" customFormat="1" ht="13.15" customHeight="1" thickBot="1" x14ac:dyDescent="0.25">
      <c r="A79" s="32" t="s">
        <v>18</v>
      </c>
      <c r="B79" s="33" t="s">
        <v>45</v>
      </c>
      <c r="C79" s="140"/>
      <c r="D79" s="140">
        <v>1000</v>
      </c>
      <c r="E79" s="140"/>
      <c r="F79" s="70" t="s">
        <v>38</v>
      </c>
      <c r="G79" s="33" t="s">
        <v>29</v>
      </c>
      <c r="H79" s="141">
        <v>11000</v>
      </c>
      <c r="I79" s="67"/>
    </row>
    <row r="80" spans="1:9" s="7" customFormat="1" ht="13.15" customHeight="1" thickTop="1" thickBot="1" x14ac:dyDescent="0.25">
      <c r="B80" s="212"/>
      <c r="C80" s="33"/>
      <c r="D80" s="213"/>
      <c r="E80" s="140"/>
      <c r="F80" s="34"/>
      <c r="G80" s="33"/>
      <c r="H80" s="162">
        <f>SUM(H73:H79)+SUM(D73:D80)</f>
        <v>53891.41</v>
      </c>
      <c r="I80" s="162"/>
    </row>
    <row r="81" spans="1:9" s="7" customFormat="1" ht="13.15" customHeight="1" thickBot="1" x14ac:dyDescent="0.25">
      <c r="B81" s="32"/>
      <c r="C81" s="33"/>
      <c r="D81" s="9"/>
      <c r="E81" s="140"/>
      <c r="F81" s="34"/>
      <c r="G81" s="145" t="s">
        <v>5</v>
      </c>
      <c r="H81" s="146">
        <f>E71+H80</f>
        <v>62426.560000000005</v>
      </c>
      <c r="I81" s="162"/>
    </row>
    <row r="82" spans="1:9" s="7" customFormat="1" ht="13.15" customHeight="1" x14ac:dyDescent="0.2">
      <c r="B82" s="32"/>
      <c r="C82" s="33"/>
      <c r="D82" s="8"/>
      <c r="E82" s="9"/>
      <c r="F82" s="9"/>
      <c r="G82" s="9"/>
      <c r="H82" s="9"/>
      <c r="I82" s="162"/>
    </row>
    <row r="83" spans="1:9" s="7" customFormat="1" ht="13.15" customHeight="1" x14ac:dyDescent="0.2">
      <c r="A83" s="9"/>
      <c r="B83" s="10"/>
      <c r="C83" s="9"/>
      <c r="D83" s="8"/>
      <c r="E83" s="9"/>
      <c r="F83" s="9"/>
      <c r="G83" s="9"/>
      <c r="H83" s="9"/>
      <c r="I83" s="162"/>
    </row>
    <row r="84" spans="1:9" s="7" customFormat="1" ht="13.15" customHeight="1" x14ac:dyDescent="0.2">
      <c r="A84" s="9"/>
      <c r="B84" s="10"/>
      <c r="C84" s="8"/>
      <c r="D84" s="8"/>
      <c r="E84" s="9"/>
      <c r="F84" s="9"/>
      <c r="G84" s="9"/>
      <c r="H84" s="9"/>
      <c r="I84" s="162"/>
    </row>
    <row r="85" spans="1:9" s="7" customFormat="1" ht="13.15" customHeight="1" x14ac:dyDescent="0.2">
      <c r="A85" s="9"/>
      <c r="B85" s="10"/>
      <c r="C85" s="8"/>
      <c r="D85" s="8"/>
      <c r="E85" s="9"/>
      <c r="F85" s="9"/>
      <c r="G85" s="9"/>
      <c r="H85" s="9"/>
      <c r="I85" s="162"/>
    </row>
    <row r="86" spans="1:9" s="7" customFormat="1" ht="13.15" customHeight="1" x14ac:dyDescent="0.2">
      <c r="A86" s="9"/>
      <c r="B86" s="10"/>
      <c r="C86" s="8"/>
      <c r="D86" s="8"/>
      <c r="E86" s="9"/>
      <c r="F86" s="9"/>
      <c r="G86" s="9"/>
      <c r="H86" s="9"/>
      <c r="I86" s="162"/>
    </row>
    <row r="87" spans="1:9" s="9" customFormat="1" ht="12" x14ac:dyDescent="0.2">
      <c r="B87" s="10"/>
      <c r="C87" s="8"/>
    </row>
    <row r="88" spans="1:9" s="9" customFormat="1" ht="12" x14ac:dyDescent="0.2">
      <c r="B88" s="10"/>
      <c r="C88" s="8"/>
    </row>
    <row r="89" spans="1:9" s="9" customFormat="1" ht="12" x14ac:dyDescent="0.2">
      <c r="B89" s="10"/>
      <c r="C89" s="8"/>
    </row>
    <row r="90" spans="1:9" s="9" customFormat="1" ht="12" x14ac:dyDescent="0.2">
      <c r="B90" s="10"/>
    </row>
    <row r="91" spans="1:9" s="9" customFormat="1" ht="12" x14ac:dyDescent="0.2">
      <c r="B91" s="10"/>
    </row>
    <row r="92" spans="1:9" s="9" customFormat="1" ht="12" x14ac:dyDescent="0.2">
      <c r="B92" s="10"/>
    </row>
    <row r="93" spans="1:9" s="9" customFormat="1" x14ac:dyDescent="0.2">
      <c r="B93" s="10"/>
      <c r="D93" s="5"/>
    </row>
    <row r="94" spans="1:9" s="9" customFormat="1" x14ac:dyDescent="0.2">
      <c r="B94" s="10"/>
      <c r="D94" s="5"/>
    </row>
    <row r="95" spans="1:9" s="9" customFormat="1" x14ac:dyDescent="0.2">
      <c r="B95" s="10"/>
      <c r="D95" s="5"/>
      <c r="E95" s="5"/>
      <c r="F95" s="5"/>
      <c r="G95" s="5"/>
      <c r="H95" s="5"/>
    </row>
    <row r="96" spans="1:9" s="9" customFormat="1" x14ac:dyDescent="0.2">
      <c r="B96" s="12"/>
      <c r="C96" s="5"/>
      <c r="D96" s="5"/>
      <c r="E96" s="5"/>
      <c r="F96" s="5"/>
      <c r="G96" s="5"/>
      <c r="H96" s="5"/>
    </row>
    <row r="97" spans="1:9" s="9" customFormat="1" x14ac:dyDescent="0.2">
      <c r="B97" s="12"/>
      <c r="C97" s="5"/>
      <c r="D97" s="5"/>
      <c r="E97" s="5"/>
      <c r="F97" s="5"/>
      <c r="G97" s="5"/>
      <c r="H97" s="5"/>
    </row>
    <row r="98" spans="1:9" s="9" customFormat="1" x14ac:dyDescent="0.2">
      <c r="B98" s="12"/>
      <c r="C98" s="5"/>
      <c r="D98" s="5"/>
      <c r="E98" s="5"/>
      <c r="F98" s="5"/>
      <c r="G98" s="5"/>
      <c r="H98" s="5"/>
    </row>
    <row r="99" spans="1:9" s="9" customFormat="1" x14ac:dyDescent="0.2">
      <c r="B99" s="12"/>
      <c r="C99" s="5"/>
      <c r="D99" s="5"/>
      <c r="E99" s="5"/>
      <c r="F99" s="5"/>
      <c r="G99" s="5"/>
      <c r="H99" s="5"/>
    </row>
    <row r="100" spans="1:9" s="9" customFormat="1" x14ac:dyDescent="0.2">
      <c r="A100" s="5"/>
      <c r="B100" s="12"/>
      <c r="C100" s="5"/>
      <c r="D100" s="5"/>
      <c r="E100" s="5"/>
      <c r="F100" s="5"/>
      <c r="G100" s="5"/>
      <c r="H100" s="5"/>
      <c r="I100" s="5"/>
    </row>
    <row r="101" spans="1:9" s="9" customFormat="1" x14ac:dyDescent="0.2">
      <c r="A101" s="5"/>
      <c r="B101" s="12"/>
      <c r="C101" s="5"/>
      <c r="D101" s="5"/>
      <c r="E101" s="5"/>
      <c r="F101" s="5"/>
      <c r="G101" s="5"/>
      <c r="H101" s="5"/>
      <c r="I101" s="5"/>
    </row>
    <row r="102" spans="1:9" s="9" customFormat="1" x14ac:dyDescent="0.2">
      <c r="A102" s="5"/>
      <c r="B102" s="12"/>
      <c r="C102" s="5"/>
      <c r="D102" s="5"/>
      <c r="E102" s="5"/>
      <c r="F102" s="5"/>
      <c r="G102" s="5"/>
      <c r="H102" s="5"/>
      <c r="I102" s="5"/>
    </row>
    <row r="103" spans="1:9" s="9" customFormat="1" x14ac:dyDescent="0.2">
      <c r="A103" s="5"/>
      <c r="B103" s="12"/>
      <c r="C103" s="5"/>
      <c r="D103" s="5"/>
      <c r="E103" s="5"/>
      <c r="F103" s="5"/>
      <c r="G103" s="5"/>
      <c r="H103" s="5"/>
      <c r="I103" s="5"/>
    </row>
  </sheetData>
  <mergeCells count="9">
    <mergeCell ref="E42:F42"/>
    <mergeCell ref="C58:D58"/>
    <mergeCell ref="E59:F59"/>
    <mergeCell ref="A1:H1"/>
    <mergeCell ref="C4:D4"/>
    <mergeCell ref="E5:F5"/>
    <mergeCell ref="C24:D24"/>
    <mergeCell ref="E25:F25"/>
    <mergeCell ref="C41:D41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opLeftCell="A49" workbookViewId="0">
      <selection activeCell="E59" sqref="E59:E67"/>
    </sheetView>
  </sheetViews>
  <sheetFormatPr defaultColWidth="8.85546875" defaultRowHeight="12.75" x14ac:dyDescent="0.2"/>
  <cols>
    <col min="1" max="1" width="5.8554687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4.140625" style="5" customWidth="1"/>
    <col min="10" max="10" width="12.42578125" style="5" customWidth="1"/>
    <col min="11" max="16384" width="8.85546875" style="5"/>
  </cols>
  <sheetData>
    <row r="1" spans="1:9" s="1" customFormat="1" ht="24" customHeight="1" x14ac:dyDescent="0.25">
      <c r="A1" s="418" t="s">
        <v>197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198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42522</v>
      </c>
      <c r="D4" s="416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7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G6" s="123"/>
      <c r="H6" s="123"/>
      <c r="I6" s="97"/>
    </row>
    <row r="7" spans="1:9" x14ac:dyDescent="0.2">
      <c r="B7" s="62" t="s">
        <v>82</v>
      </c>
      <c r="C7" s="76" t="s">
        <v>27</v>
      </c>
      <c r="D7" s="174"/>
      <c r="E7" s="172">
        <v>1376.79</v>
      </c>
      <c r="G7" s="164"/>
      <c r="H7" s="165"/>
      <c r="I7" s="4"/>
    </row>
    <row r="8" spans="1:9" x14ac:dyDescent="0.2">
      <c r="B8" s="155" t="s">
        <v>96</v>
      </c>
      <c r="C8" s="124" t="s">
        <v>24</v>
      </c>
      <c r="D8" s="175"/>
      <c r="E8" s="172">
        <v>1191.99</v>
      </c>
      <c r="G8" s="228"/>
      <c r="H8" s="165"/>
      <c r="I8" s="4"/>
    </row>
    <row r="9" spans="1:9" x14ac:dyDescent="0.2">
      <c r="B9" s="155" t="s">
        <v>85</v>
      </c>
      <c r="C9" s="124" t="s">
        <v>76</v>
      </c>
      <c r="D9" s="175"/>
      <c r="E9" s="172">
        <v>652.24</v>
      </c>
      <c r="G9" s="294" t="s">
        <v>203</v>
      </c>
      <c r="H9" s="165"/>
      <c r="I9" s="4"/>
    </row>
    <row r="10" spans="1:9" x14ac:dyDescent="0.2">
      <c r="B10" s="155" t="s">
        <v>3</v>
      </c>
      <c r="C10" s="124" t="s">
        <v>25</v>
      </c>
      <c r="D10" s="175"/>
      <c r="E10" s="172">
        <v>837.04</v>
      </c>
      <c r="G10" s="294" t="s">
        <v>196</v>
      </c>
      <c r="H10" s="165"/>
      <c r="I10" s="4"/>
    </row>
    <row r="11" spans="1:9" x14ac:dyDescent="0.2">
      <c r="B11" s="29" t="s">
        <v>4</v>
      </c>
      <c r="C11" s="40" t="s">
        <v>23</v>
      </c>
      <c r="D11" s="176"/>
      <c r="E11" s="173">
        <v>927.03</v>
      </c>
      <c r="G11" s="164"/>
      <c r="H11" s="165"/>
      <c r="I11" s="4"/>
    </row>
    <row r="12" spans="1:9" x14ac:dyDescent="0.2">
      <c r="B12" s="29" t="s">
        <v>78</v>
      </c>
      <c r="C12" s="40" t="s">
        <v>79</v>
      </c>
      <c r="D12" s="176"/>
      <c r="E12" s="139">
        <v>990</v>
      </c>
      <c r="F12" s="94"/>
      <c r="G12" s="4"/>
      <c r="H12" s="165"/>
      <c r="I12" s="4"/>
    </row>
    <row r="13" spans="1:9" x14ac:dyDescent="0.2">
      <c r="B13" s="261" t="s">
        <v>85</v>
      </c>
      <c r="C13" s="262" t="s">
        <v>205</v>
      </c>
      <c r="D13" s="299"/>
      <c r="E13" s="135">
        <v>475.2</v>
      </c>
      <c r="F13" s="94"/>
      <c r="G13" s="4"/>
      <c r="H13" s="165"/>
      <c r="I13" s="4"/>
    </row>
    <row r="14" spans="1:9" ht="13.5" thickBot="1" x14ac:dyDescent="0.25">
      <c r="B14" s="264" t="s">
        <v>85</v>
      </c>
      <c r="C14" s="265" t="s">
        <v>66</v>
      </c>
      <c r="D14" s="265"/>
      <c r="E14" s="137">
        <v>500</v>
      </c>
      <c r="G14" s="4"/>
      <c r="H14" s="165"/>
      <c r="I14" s="4"/>
    </row>
    <row r="15" spans="1:9" ht="14.25" thickTop="1" thickBot="1" x14ac:dyDescent="0.25">
      <c r="B15" s="270"/>
      <c r="C15" s="285"/>
      <c r="D15" s="286"/>
      <c r="E15" s="267">
        <f>SUM(E7:E14)</f>
        <v>6950.2899999999991</v>
      </c>
      <c r="G15" s="4"/>
      <c r="H15" s="165"/>
      <c r="I15" s="4"/>
    </row>
    <row r="16" spans="1:9" x14ac:dyDescent="0.2">
      <c r="B16" s="268" t="s">
        <v>104</v>
      </c>
      <c r="C16" s="269" t="s">
        <v>12</v>
      </c>
      <c r="D16" s="269"/>
      <c r="E16" s="266">
        <f>4200/4</f>
        <v>1050</v>
      </c>
      <c r="G16" s="4"/>
      <c r="H16" s="165"/>
      <c r="I16" s="4"/>
    </row>
    <row r="17" spans="1:9" ht="13.5" thickBot="1" x14ac:dyDescent="0.25">
      <c r="B17" s="63" t="s">
        <v>35</v>
      </c>
      <c r="C17" s="133" t="s">
        <v>36</v>
      </c>
      <c r="D17" s="133"/>
      <c r="E17" s="137">
        <v>1000</v>
      </c>
      <c r="G17" s="4"/>
      <c r="H17" s="165"/>
      <c r="I17" s="4"/>
    </row>
    <row r="18" spans="1:9" ht="13.5" thickBot="1" x14ac:dyDescent="0.25">
      <c r="B18" s="11"/>
      <c r="C18" s="134" t="s">
        <v>0</v>
      </c>
      <c r="D18" s="134"/>
      <c r="E18" s="138">
        <f>SUM(E15:E17)</f>
        <v>9000.2899999999991</v>
      </c>
      <c r="G18" s="166"/>
      <c r="H18" s="165"/>
      <c r="I18" s="4"/>
    </row>
    <row r="19" spans="1:9" x14ac:dyDescent="0.2">
      <c r="B19" s="11"/>
      <c r="C19" s="134"/>
      <c r="D19" s="134"/>
      <c r="E19" s="159"/>
      <c r="G19" s="166"/>
      <c r="H19" s="165"/>
      <c r="I19" s="4"/>
    </row>
    <row r="20" spans="1:9" s="127" customFormat="1" ht="6.75" customHeight="1" x14ac:dyDescent="0.2">
      <c r="B20" s="128"/>
      <c r="C20" s="129"/>
      <c r="D20" s="129"/>
      <c r="E20" s="130"/>
      <c r="F20" s="130"/>
      <c r="G20" s="130"/>
      <c r="H20" s="130"/>
      <c r="I20" s="130"/>
    </row>
    <row r="21" spans="1:9" ht="19.5" customHeight="1" x14ac:dyDescent="0.2">
      <c r="A21" s="163"/>
      <c r="B21" s="122" t="s">
        <v>73</v>
      </c>
      <c r="C21" s="168" t="s">
        <v>199</v>
      </c>
      <c r="D21" s="168"/>
      <c r="E21" s="22"/>
      <c r="F21" s="22"/>
      <c r="G21" s="22"/>
      <c r="H21" s="22"/>
      <c r="I21" s="22"/>
    </row>
    <row r="22" spans="1:9" ht="19.5" customHeight="1" x14ac:dyDescent="0.2">
      <c r="B22" s="122" t="s">
        <v>75</v>
      </c>
      <c r="C22" s="414">
        <v>42529</v>
      </c>
      <c r="D22" s="416"/>
      <c r="E22" s="22"/>
      <c r="F22" s="22"/>
      <c r="G22" s="22"/>
      <c r="H22" s="22"/>
      <c r="I22" s="22"/>
    </row>
    <row r="23" spans="1:9" ht="4.5" customHeight="1" x14ac:dyDescent="0.45">
      <c r="B23" s="2"/>
      <c r="C23" s="41"/>
      <c r="D23" s="41"/>
      <c r="E23" s="415"/>
      <c r="F23" s="417"/>
      <c r="G23" s="3"/>
      <c r="H23" s="4"/>
      <c r="I23" s="4"/>
    </row>
    <row r="24" spans="1:9" s="6" customFormat="1" ht="13.5" thickBot="1" x14ac:dyDescent="0.25">
      <c r="B24" s="123" t="s">
        <v>74</v>
      </c>
      <c r="C24" s="225" t="s">
        <v>1</v>
      </c>
      <c r="D24" s="225"/>
      <c r="E24" s="126" t="s">
        <v>2</v>
      </c>
      <c r="G24" s="97"/>
      <c r="H24" s="97"/>
      <c r="I24" s="97"/>
    </row>
    <row r="25" spans="1:9" x14ac:dyDescent="0.2">
      <c r="B25" s="62" t="s">
        <v>82</v>
      </c>
      <c r="C25" s="76" t="s">
        <v>27</v>
      </c>
      <c r="D25" s="174"/>
      <c r="E25" s="172">
        <v>1376.82</v>
      </c>
      <c r="G25" s="184"/>
    </row>
    <row r="26" spans="1:9" x14ac:dyDescent="0.2">
      <c r="B26" s="155" t="s">
        <v>96</v>
      </c>
      <c r="C26" s="124" t="s">
        <v>24</v>
      </c>
      <c r="D26" s="175"/>
      <c r="E26" s="172">
        <v>1191.97</v>
      </c>
    </row>
    <row r="27" spans="1:9" x14ac:dyDescent="0.2">
      <c r="B27" s="155" t="s">
        <v>85</v>
      </c>
      <c r="C27" s="124" t="s">
        <v>76</v>
      </c>
      <c r="D27" s="175"/>
      <c r="E27" s="172">
        <v>652.24</v>
      </c>
      <c r="F27" s="294"/>
    </row>
    <row r="28" spans="1:9" x14ac:dyDescent="0.2">
      <c r="B28" s="155" t="s">
        <v>3</v>
      </c>
      <c r="C28" s="124" t="s">
        <v>25</v>
      </c>
      <c r="D28" s="175"/>
      <c r="E28" s="172">
        <v>872.68</v>
      </c>
    </row>
    <row r="29" spans="1:9" x14ac:dyDescent="0.2">
      <c r="B29" s="29" t="s">
        <v>4</v>
      </c>
      <c r="C29" s="40" t="s">
        <v>23</v>
      </c>
      <c r="D29" s="176"/>
      <c r="E29" s="173">
        <v>927.03</v>
      </c>
    </row>
    <row r="30" spans="1:9" x14ac:dyDescent="0.2">
      <c r="B30" s="155" t="s">
        <v>78</v>
      </c>
      <c r="C30" s="124" t="s">
        <v>79</v>
      </c>
      <c r="D30" s="175"/>
      <c r="E30" s="266">
        <v>990</v>
      </c>
      <c r="F30" s="94"/>
    </row>
    <row r="31" spans="1:9" x14ac:dyDescent="0.2">
      <c r="B31" s="261" t="s">
        <v>85</v>
      </c>
      <c r="C31" s="262" t="s">
        <v>205</v>
      </c>
      <c r="D31" s="299"/>
      <c r="E31" s="135">
        <v>792</v>
      </c>
      <c r="F31" s="94"/>
      <c r="G31" s="4"/>
      <c r="H31" s="165"/>
      <c r="I31" s="4"/>
    </row>
    <row r="32" spans="1:9" ht="13.5" thickBot="1" x14ac:dyDescent="0.25">
      <c r="B32" s="264" t="s">
        <v>85</v>
      </c>
      <c r="C32" s="265" t="s">
        <v>66</v>
      </c>
      <c r="D32" s="265"/>
      <c r="E32" s="137">
        <v>500</v>
      </c>
    </row>
    <row r="33" spans="1:9" s="4" customFormat="1" ht="14.25" thickTop="1" thickBot="1" x14ac:dyDescent="0.25">
      <c r="B33" s="270"/>
      <c r="C33" s="271"/>
      <c r="D33" s="272"/>
      <c r="E33" s="267">
        <f>SUM(E25:E32)</f>
        <v>7302.74</v>
      </c>
      <c r="F33" s="132"/>
    </row>
    <row r="34" spans="1:9" x14ac:dyDescent="0.2">
      <c r="B34" s="268" t="s">
        <v>104</v>
      </c>
      <c r="C34" s="269" t="s">
        <v>12</v>
      </c>
      <c r="D34" s="269"/>
      <c r="E34" s="266">
        <v>1050</v>
      </c>
    </row>
    <row r="35" spans="1:9" ht="13.5" thickBot="1" x14ac:dyDescent="0.25">
      <c r="B35" s="63" t="s">
        <v>35</v>
      </c>
      <c r="C35" s="133" t="s">
        <v>36</v>
      </c>
      <c r="D35" s="133"/>
      <c r="E35" s="137">
        <v>1000</v>
      </c>
    </row>
    <row r="36" spans="1:9" ht="13.5" thickBot="1" x14ac:dyDescent="0.25">
      <c r="B36" s="11"/>
      <c r="C36" s="134" t="s">
        <v>0</v>
      </c>
      <c r="D36" s="134"/>
      <c r="E36" s="138">
        <f>SUM(E33:E35)</f>
        <v>9352.74</v>
      </c>
    </row>
    <row r="37" spans="1:9" x14ac:dyDescent="0.2">
      <c r="B37" s="11"/>
      <c r="C37" s="134"/>
      <c r="D37" s="134"/>
      <c r="E37" s="159"/>
    </row>
    <row r="38" spans="1:9" s="127" customFormat="1" ht="6.75" customHeight="1" x14ac:dyDescent="0.2">
      <c r="B38" s="128"/>
      <c r="C38" s="129"/>
      <c r="D38" s="129"/>
      <c r="E38" s="130"/>
      <c r="F38" s="130"/>
      <c r="G38" s="130"/>
      <c r="H38" s="130"/>
      <c r="I38" s="130"/>
    </row>
    <row r="39" spans="1:9" ht="19.5" customHeight="1" x14ac:dyDescent="0.2">
      <c r="A39" s="163"/>
      <c r="B39" s="122" t="s">
        <v>73</v>
      </c>
      <c r="C39" s="168" t="s">
        <v>200</v>
      </c>
      <c r="D39" s="142"/>
      <c r="E39" s="22"/>
      <c r="F39" s="22"/>
      <c r="G39" s="22"/>
      <c r="H39" s="22"/>
      <c r="I39" s="22"/>
    </row>
    <row r="40" spans="1:9" ht="19.5" customHeight="1" x14ac:dyDescent="0.2">
      <c r="B40" s="122" t="s">
        <v>75</v>
      </c>
      <c r="C40" s="414">
        <v>42536</v>
      </c>
      <c r="D40" s="414"/>
      <c r="E40" s="22"/>
      <c r="F40" s="22"/>
      <c r="G40" s="22"/>
      <c r="H40" s="22"/>
      <c r="I40" s="22"/>
    </row>
    <row r="41" spans="1:9" ht="4.5" customHeight="1" x14ac:dyDescent="0.45">
      <c r="B41" s="2"/>
      <c r="C41" s="41"/>
      <c r="D41" s="41"/>
      <c r="E41" s="415"/>
      <c r="F41" s="415"/>
      <c r="G41" s="3"/>
      <c r="H41" s="4"/>
      <c r="I41" s="4"/>
    </row>
    <row r="42" spans="1:9" s="6" customFormat="1" ht="13.5" thickBot="1" x14ac:dyDescent="0.25">
      <c r="B42" s="123" t="s">
        <v>74</v>
      </c>
      <c r="C42" s="225" t="s">
        <v>1</v>
      </c>
      <c r="D42" s="225"/>
      <c r="E42" s="126" t="s">
        <v>2</v>
      </c>
    </row>
    <row r="43" spans="1:9" x14ac:dyDescent="0.2">
      <c r="B43" s="62" t="s">
        <v>82</v>
      </c>
      <c r="C43" s="76" t="s">
        <v>27</v>
      </c>
      <c r="D43" s="174"/>
      <c r="E43" s="172">
        <v>2400.27</v>
      </c>
    </row>
    <row r="44" spans="1:9" x14ac:dyDescent="0.2">
      <c r="B44" s="155" t="s">
        <v>96</v>
      </c>
      <c r="C44" s="124" t="s">
        <v>24</v>
      </c>
      <c r="D44" s="175"/>
      <c r="E44" s="172">
        <v>1716</v>
      </c>
    </row>
    <row r="45" spans="1:9" x14ac:dyDescent="0.2">
      <c r="B45" s="155" t="s">
        <v>85</v>
      </c>
      <c r="C45" s="124" t="s">
        <v>76</v>
      </c>
      <c r="D45" s="175"/>
      <c r="E45" s="172">
        <v>752.24</v>
      </c>
    </row>
    <row r="46" spans="1:9" x14ac:dyDescent="0.2">
      <c r="B46" s="155" t="s">
        <v>3</v>
      </c>
      <c r="C46" s="124" t="s">
        <v>25</v>
      </c>
      <c r="D46" s="175"/>
      <c r="E46" s="172">
        <v>837.04</v>
      </c>
    </row>
    <row r="47" spans="1:9" x14ac:dyDescent="0.2">
      <c r="B47" s="29" t="s">
        <v>4</v>
      </c>
      <c r="C47" s="40" t="s">
        <v>23</v>
      </c>
      <c r="D47" s="176"/>
      <c r="E47" s="173">
        <v>927.03</v>
      </c>
    </row>
    <row r="48" spans="1:9" x14ac:dyDescent="0.2">
      <c r="B48" s="261" t="s">
        <v>78</v>
      </c>
      <c r="C48" s="124" t="s">
        <v>79</v>
      </c>
      <c r="D48" s="263"/>
      <c r="E48" s="135">
        <v>990</v>
      </c>
      <c r="F48" s="94"/>
    </row>
    <row r="49" spans="1:9" x14ac:dyDescent="0.2">
      <c r="B49" s="29" t="s">
        <v>210</v>
      </c>
      <c r="C49" s="262" t="s">
        <v>211</v>
      </c>
      <c r="D49" s="300"/>
      <c r="E49" s="139">
        <v>475.2</v>
      </c>
      <c r="F49" s="94"/>
    </row>
    <row r="50" spans="1:9" x14ac:dyDescent="0.2">
      <c r="B50" s="261" t="s">
        <v>85</v>
      </c>
      <c r="C50" s="40" t="s">
        <v>205</v>
      </c>
      <c r="D50" s="299"/>
      <c r="E50" s="135">
        <v>792</v>
      </c>
      <c r="F50" s="94"/>
    </row>
    <row r="51" spans="1:9" ht="13.5" thickBot="1" x14ac:dyDescent="0.25">
      <c r="B51" s="264" t="s">
        <v>85</v>
      </c>
      <c r="C51" s="181" t="s">
        <v>66</v>
      </c>
      <c r="D51" s="301"/>
      <c r="E51" s="137">
        <v>400</v>
      </c>
    </row>
    <row r="52" spans="1:9" ht="13.5" thickBot="1" x14ac:dyDescent="0.25">
      <c r="B52" s="11"/>
      <c r="C52" s="134" t="s">
        <v>0</v>
      </c>
      <c r="D52" s="134"/>
      <c r="E52" s="138">
        <f>SUM(E43:E51)</f>
        <v>9289.7799999999988</v>
      </c>
    </row>
    <row r="53" spans="1:9" ht="12.75" customHeight="1" x14ac:dyDescent="0.2">
      <c r="B53" s="11"/>
      <c r="C53" s="21"/>
      <c r="D53" s="21"/>
      <c r="E53" s="22"/>
      <c r="F53" s="22"/>
      <c r="G53" s="22"/>
      <c r="H53" s="22"/>
      <c r="I53" s="22"/>
    </row>
    <row r="54" spans="1:9" s="127" customFormat="1" ht="6.75" customHeight="1" x14ac:dyDescent="0.2">
      <c r="B54" s="128"/>
      <c r="C54" s="129"/>
      <c r="D54" s="129"/>
      <c r="E54" s="130"/>
      <c r="F54" s="130"/>
      <c r="G54" s="130"/>
      <c r="H54" s="130"/>
      <c r="I54" s="130"/>
    </row>
    <row r="55" spans="1:9" ht="19.5" customHeight="1" x14ac:dyDescent="0.2">
      <c r="A55" s="163"/>
      <c r="B55" s="122" t="s">
        <v>73</v>
      </c>
      <c r="C55" s="168" t="s">
        <v>201</v>
      </c>
      <c r="D55" s="142"/>
      <c r="E55" s="22"/>
      <c r="F55" s="22"/>
      <c r="G55" s="22"/>
      <c r="H55" s="22"/>
      <c r="I55" s="22"/>
    </row>
    <row r="56" spans="1:9" ht="19.5" customHeight="1" x14ac:dyDescent="0.2">
      <c r="B56" s="122" t="s">
        <v>75</v>
      </c>
      <c r="C56" s="414">
        <v>42512</v>
      </c>
      <c r="D56" s="414"/>
      <c r="E56" s="22"/>
      <c r="F56" s="22"/>
      <c r="G56" s="22"/>
      <c r="H56" s="22"/>
      <c r="I56" s="22"/>
    </row>
    <row r="57" spans="1:9" ht="4.5" customHeight="1" x14ac:dyDescent="0.45">
      <c r="B57" s="2"/>
      <c r="C57" s="41"/>
      <c r="D57" s="41"/>
      <c r="E57" s="415"/>
      <c r="F57" s="415"/>
      <c r="G57" s="3"/>
      <c r="H57" s="4"/>
      <c r="I57" s="4"/>
    </row>
    <row r="58" spans="1:9" s="6" customFormat="1" ht="13.5" thickBot="1" x14ac:dyDescent="0.25">
      <c r="B58" s="123" t="s">
        <v>74</v>
      </c>
      <c r="C58" s="225" t="s">
        <v>1</v>
      </c>
      <c r="D58" s="225"/>
      <c r="E58" s="126" t="s">
        <v>2</v>
      </c>
    </row>
    <row r="59" spans="1:9" x14ac:dyDescent="0.2">
      <c r="B59" s="62" t="s">
        <v>82</v>
      </c>
      <c r="C59" s="76" t="s">
        <v>27</v>
      </c>
      <c r="D59" s="174"/>
      <c r="E59" s="172">
        <v>1381.46</v>
      </c>
    </row>
    <row r="60" spans="1:9" x14ac:dyDescent="0.2">
      <c r="B60" s="155" t="s">
        <v>96</v>
      </c>
      <c r="C60" s="124" t="s">
        <v>24</v>
      </c>
      <c r="D60" s="175"/>
      <c r="E60" s="172">
        <v>1192.02</v>
      </c>
    </row>
    <row r="61" spans="1:9" x14ac:dyDescent="0.2">
      <c r="B61" s="155" t="s">
        <v>85</v>
      </c>
      <c r="C61" s="124" t="s">
        <v>76</v>
      </c>
      <c r="D61" s="175"/>
      <c r="E61" s="172">
        <v>652.24</v>
      </c>
    </row>
    <row r="62" spans="1:9" x14ac:dyDescent="0.2">
      <c r="B62" s="155" t="s">
        <v>3</v>
      </c>
      <c r="C62" s="124" t="s">
        <v>25</v>
      </c>
      <c r="D62" s="175"/>
      <c r="E62" s="172">
        <v>837.04</v>
      </c>
    </row>
    <row r="63" spans="1:9" x14ac:dyDescent="0.2">
      <c r="B63" s="29" t="s">
        <v>4</v>
      </c>
      <c r="C63" s="40" t="s">
        <v>23</v>
      </c>
      <c r="D63" s="176"/>
      <c r="E63" s="173">
        <v>927.03</v>
      </c>
    </row>
    <row r="64" spans="1:9" x14ac:dyDescent="0.2">
      <c r="B64" s="261" t="s">
        <v>78</v>
      </c>
      <c r="C64" s="262" t="s">
        <v>79</v>
      </c>
      <c r="D64" s="263"/>
      <c r="E64" s="135">
        <v>990</v>
      </c>
      <c r="F64" s="94"/>
    </row>
    <row r="65" spans="1:9" x14ac:dyDescent="0.2">
      <c r="B65" s="29" t="s">
        <v>210</v>
      </c>
      <c r="C65" s="40" t="s">
        <v>211</v>
      </c>
      <c r="D65" s="300"/>
      <c r="E65" s="139">
        <v>792</v>
      </c>
      <c r="F65" s="94"/>
    </row>
    <row r="66" spans="1:9" x14ac:dyDescent="0.2">
      <c r="B66" s="261" t="s">
        <v>85</v>
      </c>
      <c r="C66" s="124" t="s">
        <v>205</v>
      </c>
      <c r="D66" s="299"/>
      <c r="E66" s="135">
        <v>792</v>
      </c>
      <c r="F66" s="94"/>
    </row>
    <row r="67" spans="1:9" ht="13.5" thickBot="1" x14ac:dyDescent="0.25">
      <c r="B67" s="264" t="s">
        <v>85</v>
      </c>
      <c r="C67" s="181" t="s">
        <v>66</v>
      </c>
      <c r="D67" s="265"/>
      <c r="E67" s="137">
        <v>500</v>
      </c>
    </row>
    <row r="68" spans="1:9" s="4" customFormat="1" ht="13.5" thickBot="1" x14ac:dyDescent="0.25">
      <c r="B68" s="274"/>
      <c r="C68" s="275"/>
      <c r="D68" s="276"/>
      <c r="E68" s="277">
        <f>SUM(E59:E67)</f>
        <v>8063.79</v>
      </c>
      <c r="F68" s="132"/>
    </row>
    <row r="69" spans="1:9" x14ac:dyDescent="0.2">
      <c r="B69" s="44" t="s">
        <v>104</v>
      </c>
      <c r="C69" s="69" t="s">
        <v>12</v>
      </c>
      <c r="D69" s="69"/>
      <c r="E69" s="139">
        <v>1050</v>
      </c>
    </row>
    <row r="70" spans="1:9" ht="13.5" thickBot="1" x14ac:dyDescent="0.25">
      <c r="B70" s="63" t="s">
        <v>35</v>
      </c>
      <c r="C70" s="133" t="s">
        <v>36</v>
      </c>
      <c r="D70" s="133"/>
      <c r="E70" s="137">
        <v>1000</v>
      </c>
    </row>
    <row r="71" spans="1:9" ht="13.5" thickBot="1" x14ac:dyDescent="0.25">
      <c r="B71" s="11"/>
      <c r="C71" s="134" t="s">
        <v>0</v>
      </c>
      <c r="D71" s="134"/>
      <c r="E71" s="138">
        <f>SUM(E68:E70)</f>
        <v>10113.790000000001</v>
      </c>
    </row>
    <row r="72" spans="1:9" ht="12.75" customHeight="1" x14ac:dyDescent="0.2">
      <c r="B72" s="11"/>
      <c r="C72" s="21"/>
      <c r="D72" s="21"/>
      <c r="E72" s="22"/>
      <c r="F72" s="22"/>
      <c r="G72" s="22"/>
      <c r="H72" s="22"/>
      <c r="I72" s="22"/>
    </row>
    <row r="73" spans="1:9" s="127" customFormat="1" ht="6.75" customHeight="1" x14ac:dyDescent="0.2">
      <c r="B73" s="128"/>
      <c r="C73" s="129"/>
      <c r="D73" s="129"/>
      <c r="E73" s="130"/>
      <c r="F73" s="130"/>
      <c r="G73" s="130"/>
      <c r="H73" s="130"/>
      <c r="I73" s="130"/>
    </row>
    <row r="74" spans="1:9" ht="19.5" customHeight="1" x14ac:dyDescent="0.2">
      <c r="A74" s="163"/>
      <c r="B74" s="122" t="s">
        <v>73</v>
      </c>
      <c r="C74" s="168" t="s">
        <v>202</v>
      </c>
      <c r="D74" s="142"/>
      <c r="E74" s="22"/>
      <c r="F74" s="22"/>
      <c r="G74" s="22"/>
      <c r="H74" s="22"/>
      <c r="I74" s="22"/>
    </row>
    <row r="75" spans="1:9" ht="19.5" customHeight="1" x14ac:dyDescent="0.2">
      <c r="B75" s="122" t="s">
        <v>75</v>
      </c>
      <c r="C75" s="414">
        <v>42550</v>
      </c>
      <c r="D75" s="414"/>
      <c r="E75" s="22"/>
      <c r="F75" s="22"/>
      <c r="G75" s="22"/>
      <c r="H75" s="22"/>
      <c r="I75" s="22"/>
    </row>
    <row r="76" spans="1:9" ht="4.5" customHeight="1" x14ac:dyDescent="0.45">
      <c r="B76" s="2"/>
      <c r="C76" s="41"/>
      <c r="D76" s="41"/>
      <c r="E76" s="415"/>
      <c r="F76" s="415"/>
      <c r="G76" s="3"/>
      <c r="H76" s="4"/>
      <c r="I76" s="4"/>
    </row>
    <row r="77" spans="1:9" s="6" customFormat="1" ht="13.5" thickBot="1" x14ac:dyDescent="0.25">
      <c r="B77" s="123" t="s">
        <v>74</v>
      </c>
      <c r="C77" s="225" t="s">
        <v>1</v>
      </c>
      <c r="D77" s="225"/>
      <c r="E77" s="126" t="s">
        <v>2</v>
      </c>
    </row>
    <row r="78" spans="1:9" x14ac:dyDescent="0.2">
      <c r="B78" s="62" t="s">
        <v>82</v>
      </c>
      <c r="C78" s="76" t="s">
        <v>27</v>
      </c>
      <c r="D78" s="174"/>
      <c r="E78" s="172">
        <v>1410.51</v>
      </c>
    </row>
    <row r="79" spans="1:9" x14ac:dyDescent="0.2">
      <c r="B79" s="155" t="s">
        <v>96</v>
      </c>
      <c r="C79" s="124" t="s">
        <v>24</v>
      </c>
      <c r="D79" s="175"/>
      <c r="E79" s="172">
        <v>1192</v>
      </c>
    </row>
    <row r="80" spans="1:9" x14ac:dyDescent="0.2">
      <c r="B80" s="155" t="s">
        <v>85</v>
      </c>
      <c r="C80" s="124" t="s">
        <v>76</v>
      </c>
      <c r="D80" s="175"/>
      <c r="E80" s="172">
        <v>752.24</v>
      </c>
      <c r="F80" s="184"/>
    </row>
    <row r="81" spans="1:9" x14ac:dyDescent="0.2">
      <c r="B81" s="155" t="s">
        <v>3</v>
      </c>
      <c r="C81" s="124" t="s">
        <v>25</v>
      </c>
      <c r="D81" s="175"/>
      <c r="E81" s="172">
        <v>837.04</v>
      </c>
      <c r="F81" s="294"/>
      <c r="G81" s="294"/>
    </row>
    <row r="82" spans="1:9" x14ac:dyDescent="0.2">
      <c r="B82" s="29" t="s">
        <v>4</v>
      </c>
      <c r="C82" s="40" t="s">
        <v>23</v>
      </c>
      <c r="D82" s="176"/>
      <c r="E82" s="173">
        <v>927.03</v>
      </c>
      <c r="G82" s="294"/>
    </row>
    <row r="83" spans="1:9" x14ac:dyDescent="0.2">
      <c r="B83" s="261" t="s">
        <v>78</v>
      </c>
      <c r="C83" s="262" t="s">
        <v>79</v>
      </c>
      <c r="D83" s="263"/>
      <c r="E83" s="135">
        <v>990</v>
      </c>
      <c r="F83" s="94"/>
    </row>
    <row r="84" spans="1:9" x14ac:dyDescent="0.2">
      <c r="B84" s="29" t="s">
        <v>210</v>
      </c>
      <c r="C84" s="40" t="s">
        <v>211</v>
      </c>
      <c r="D84" s="300"/>
      <c r="E84" s="139">
        <v>792</v>
      </c>
      <c r="F84" s="94"/>
    </row>
    <row r="85" spans="1:9" x14ac:dyDescent="0.2">
      <c r="B85" s="261" t="s">
        <v>85</v>
      </c>
      <c r="C85" s="124" t="s">
        <v>205</v>
      </c>
      <c r="D85" s="299"/>
      <c r="E85" s="135">
        <v>792</v>
      </c>
      <c r="F85" s="94"/>
    </row>
    <row r="86" spans="1:9" ht="13.5" thickBot="1" x14ac:dyDescent="0.25">
      <c r="B86" s="264" t="s">
        <v>85</v>
      </c>
      <c r="C86" s="265" t="s">
        <v>66</v>
      </c>
      <c r="D86" s="265"/>
      <c r="E86" s="137">
        <v>500</v>
      </c>
    </row>
    <row r="87" spans="1:9" s="4" customFormat="1" ht="13.5" thickBot="1" x14ac:dyDescent="0.25">
      <c r="B87" s="274"/>
      <c r="C87" s="275"/>
      <c r="D87" s="276"/>
      <c r="E87" s="277">
        <f>SUM(E78:E86)</f>
        <v>8192.82</v>
      </c>
      <c r="F87" s="132"/>
    </row>
    <row r="88" spans="1:9" x14ac:dyDescent="0.2">
      <c r="B88" s="44" t="s">
        <v>104</v>
      </c>
      <c r="C88" s="69" t="s">
        <v>12</v>
      </c>
      <c r="D88" s="69"/>
      <c r="E88" s="139">
        <v>1050</v>
      </c>
    </row>
    <row r="89" spans="1:9" ht="13.5" thickBot="1" x14ac:dyDescent="0.25">
      <c r="B89" s="63" t="s">
        <v>35</v>
      </c>
      <c r="C89" s="133" t="s">
        <v>36</v>
      </c>
      <c r="D89" s="133"/>
      <c r="E89" s="137">
        <v>1000</v>
      </c>
    </row>
    <row r="90" spans="1:9" ht="13.5" thickBot="1" x14ac:dyDescent="0.25">
      <c r="B90" s="11"/>
      <c r="C90" s="134" t="s">
        <v>0</v>
      </c>
      <c r="D90" s="134"/>
      <c r="E90" s="138">
        <f>SUM(E87:E89)</f>
        <v>10242.82</v>
      </c>
    </row>
    <row r="91" spans="1:9" ht="12.75" customHeight="1" x14ac:dyDescent="0.2">
      <c r="B91" s="11"/>
      <c r="C91" s="21"/>
      <c r="D91" s="21"/>
      <c r="E91" s="22"/>
      <c r="F91" s="22"/>
      <c r="G91" s="22"/>
      <c r="H91" s="22"/>
      <c r="I91" s="22"/>
    </row>
    <row r="92" spans="1:9" s="7" customFormat="1" ht="13.15" customHeight="1" x14ac:dyDescent="0.2">
      <c r="A92" s="32" t="s">
        <v>13</v>
      </c>
      <c r="B92" s="33" t="s">
        <v>14</v>
      </c>
      <c r="C92" s="33"/>
      <c r="D92" s="140">
        <v>9000</v>
      </c>
      <c r="E92" s="178"/>
      <c r="F92" s="32"/>
      <c r="G92" s="33" t="s">
        <v>40</v>
      </c>
      <c r="H92" s="140">
        <v>5000</v>
      </c>
      <c r="I92" s="140"/>
    </row>
    <row r="93" spans="1:9" s="7" customFormat="1" ht="13.15" customHeight="1" x14ac:dyDescent="0.2">
      <c r="A93" s="32" t="s">
        <v>15</v>
      </c>
      <c r="B93" s="33" t="s">
        <v>42</v>
      </c>
      <c r="C93" s="33"/>
      <c r="D93" s="140"/>
      <c r="E93" s="178"/>
      <c r="F93" s="32" t="s">
        <v>21</v>
      </c>
      <c r="G93" s="33" t="s">
        <v>22</v>
      </c>
      <c r="H93" s="140">
        <v>5000</v>
      </c>
      <c r="I93" s="211"/>
    </row>
    <row r="94" spans="1:9" s="7" customFormat="1" ht="13.15" customHeight="1" x14ac:dyDescent="0.2">
      <c r="A94" s="32" t="s">
        <v>16</v>
      </c>
      <c r="B94" s="33" t="s">
        <v>17</v>
      </c>
      <c r="C94" s="33"/>
      <c r="D94" s="140">
        <v>311.83999999999997</v>
      </c>
      <c r="E94" s="140"/>
      <c r="F94" s="32" t="s">
        <v>15</v>
      </c>
      <c r="G94" s="33" t="s">
        <v>41</v>
      </c>
      <c r="H94" s="140">
        <v>1020</v>
      </c>
      <c r="I94" s="143"/>
    </row>
    <row r="95" spans="1:9" s="7" customFormat="1" ht="13.15" customHeight="1" x14ac:dyDescent="0.2">
      <c r="A95" s="32" t="s">
        <v>93</v>
      </c>
      <c r="B95" s="33" t="s">
        <v>94</v>
      </c>
      <c r="C95" s="33"/>
      <c r="D95" s="140">
        <v>472.63</v>
      </c>
      <c r="E95" s="140"/>
      <c r="F95" s="32" t="s">
        <v>54</v>
      </c>
      <c r="G95" s="33" t="s">
        <v>56</v>
      </c>
      <c r="H95" s="140">
        <v>500</v>
      </c>
      <c r="I95" s="211" t="s">
        <v>148</v>
      </c>
    </row>
    <row r="96" spans="1:9" s="7" customFormat="1" ht="13.15" customHeight="1" x14ac:dyDescent="0.2">
      <c r="A96" s="32" t="s">
        <v>93</v>
      </c>
      <c r="B96" s="33" t="s">
        <v>95</v>
      </c>
      <c r="C96" s="33"/>
      <c r="D96" s="140">
        <v>86.94</v>
      </c>
      <c r="E96" s="140"/>
      <c r="F96" s="32" t="s">
        <v>55</v>
      </c>
      <c r="G96" s="33" t="s">
        <v>57</v>
      </c>
      <c r="H96" s="140">
        <v>500</v>
      </c>
      <c r="I96" s="211" t="s">
        <v>148</v>
      </c>
    </row>
    <row r="97" spans="1:10" s="7" customFormat="1" ht="13.15" customHeight="1" x14ac:dyDescent="0.2">
      <c r="A97" s="32" t="s">
        <v>19</v>
      </c>
      <c r="B97" s="33" t="s">
        <v>20</v>
      </c>
      <c r="C97" s="140"/>
      <c r="D97" s="140">
        <v>8000</v>
      </c>
      <c r="E97" s="178" t="s">
        <v>148</v>
      </c>
      <c r="F97" s="32" t="s">
        <v>16</v>
      </c>
      <c r="G97" s="33" t="s">
        <v>28</v>
      </c>
      <c r="H97" s="140">
        <v>12000</v>
      </c>
      <c r="I97" s="211" t="s">
        <v>148</v>
      </c>
    </row>
    <row r="98" spans="1:10" s="7" customFormat="1" ht="13.15" customHeight="1" thickBot="1" x14ac:dyDescent="0.25">
      <c r="A98" s="32" t="s">
        <v>18</v>
      </c>
      <c r="B98" s="33" t="s">
        <v>45</v>
      </c>
      <c r="C98" s="140"/>
      <c r="D98" s="140">
        <v>1000</v>
      </c>
      <c r="E98" s="140"/>
      <c r="F98" s="70" t="s">
        <v>38</v>
      </c>
      <c r="G98" s="33" t="s">
        <v>29</v>
      </c>
      <c r="H98" s="141">
        <v>11000</v>
      </c>
      <c r="I98" s="67"/>
    </row>
    <row r="99" spans="1:10" s="7" customFormat="1" ht="13.15" customHeight="1" thickTop="1" thickBot="1" x14ac:dyDescent="0.25">
      <c r="B99" s="212"/>
      <c r="C99" s="33"/>
      <c r="D99" s="213"/>
      <c r="E99" s="140"/>
      <c r="F99" s="34"/>
      <c r="G99" s="33"/>
      <c r="H99" s="162">
        <f>SUM(H92:H98)+SUM(D92:D99)</f>
        <v>53891.41</v>
      </c>
      <c r="I99" s="162"/>
      <c r="J99" s="242">
        <f>SUM(D92:D96,D98,H93:H94,H98)</f>
        <v>27891.41</v>
      </c>
    </row>
    <row r="100" spans="1:10" s="7" customFormat="1" ht="13.15" customHeight="1" thickBot="1" x14ac:dyDescent="0.25">
      <c r="B100" s="32"/>
      <c r="C100" s="33"/>
      <c r="D100" s="9"/>
      <c r="E100" s="140"/>
      <c r="F100" s="34"/>
      <c r="G100" s="145" t="s">
        <v>5</v>
      </c>
      <c r="H100" s="146">
        <f>E90+H99</f>
        <v>64134.23</v>
      </c>
      <c r="I100" s="162"/>
      <c r="J100" s="242">
        <f>E90</f>
        <v>10242.82</v>
      </c>
    </row>
    <row r="101" spans="1:10" s="7" customFormat="1" ht="13.15" customHeight="1" x14ac:dyDescent="0.2">
      <c r="B101" s="32"/>
      <c r="C101" s="33"/>
      <c r="D101" s="8"/>
      <c r="E101" s="9"/>
      <c r="F101" s="9"/>
      <c r="G101" s="9"/>
      <c r="H101" s="9"/>
      <c r="I101" s="162"/>
      <c r="J101" s="312">
        <f>SUM(J99:J100)</f>
        <v>38134.229999999996</v>
      </c>
    </row>
    <row r="102" spans="1:10" s="7" customFormat="1" ht="13.15" customHeight="1" x14ac:dyDescent="0.2">
      <c r="A102" s="9"/>
      <c r="B102" s="10"/>
      <c r="C102" s="9"/>
      <c r="D102" s="8"/>
      <c r="E102" s="9"/>
      <c r="F102" s="9"/>
      <c r="G102" s="9"/>
      <c r="H102" s="9"/>
      <c r="I102" s="162"/>
    </row>
    <row r="103" spans="1:10" s="7" customFormat="1" ht="13.15" customHeight="1" x14ac:dyDescent="0.2">
      <c r="A103" s="9"/>
      <c r="B103" s="10"/>
      <c r="C103" s="8"/>
      <c r="D103" s="8"/>
      <c r="E103" s="9"/>
      <c r="F103" s="9"/>
      <c r="G103" s="9"/>
      <c r="H103" s="9"/>
      <c r="I103" s="162"/>
    </row>
    <row r="104" spans="1:10" s="7" customFormat="1" ht="13.15" customHeight="1" x14ac:dyDescent="0.2">
      <c r="A104" s="9"/>
      <c r="B104" s="10"/>
      <c r="C104" s="8"/>
      <c r="D104" s="8"/>
      <c r="E104" s="9"/>
      <c r="F104" s="9"/>
      <c r="G104" s="9"/>
      <c r="H104" s="9"/>
      <c r="I104" s="162"/>
    </row>
    <row r="105" spans="1:10" s="7" customFormat="1" ht="13.15" customHeight="1" x14ac:dyDescent="0.2">
      <c r="A105" s="9"/>
      <c r="B105" s="10"/>
      <c r="C105" s="8"/>
      <c r="D105" s="8"/>
      <c r="E105" s="9"/>
      <c r="F105" s="9"/>
      <c r="G105" s="9"/>
      <c r="H105" s="9"/>
      <c r="I105" s="162"/>
    </row>
    <row r="106" spans="1:10" s="9" customFormat="1" ht="12" x14ac:dyDescent="0.2">
      <c r="B106" s="10"/>
      <c r="C106" s="8"/>
    </row>
    <row r="107" spans="1:10" s="9" customFormat="1" ht="12" x14ac:dyDescent="0.2">
      <c r="B107" s="10"/>
      <c r="C107" s="8"/>
    </row>
    <row r="108" spans="1:10" s="9" customFormat="1" ht="12" x14ac:dyDescent="0.2">
      <c r="B108" s="10"/>
      <c r="C108" s="8"/>
    </row>
    <row r="109" spans="1:10" s="9" customFormat="1" ht="12" x14ac:dyDescent="0.2">
      <c r="B109" s="10"/>
    </row>
    <row r="110" spans="1:10" s="9" customFormat="1" ht="12" x14ac:dyDescent="0.2">
      <c r="B110" s="10"/>
    </row>
    <row r="111" spans="1:10" s="9" customFormat="1" ht="12" x14ac:dyDescent="0.2">
      <c r="B111" s="10"/>
    </row>
    <row r="112" spans="1:10" s="9" customFormat="1" x14ac:dyDescent="0.2">
      <c r="B112" s="10"/>
      <c r="D112" s="5"/>
    </row>
    <row r="113" spans="1:9" s="9" customFormat="1" x14ac:dyDescent="0.2">
      <c r="B113" s="10"/>
      <c r="D113" s="5"/>
    </row>
    <row r="114" spans="1:9" s="9" customFormat="1" x14ac:dyDescent="0.2">
      <c r="B114" s="10"/>
      <c r="D114" s="5"/>
      <c r="E114" s="5"/>
      <c r="F114" s="5"/>
      <c r="G114" s="5"/>
      <c r="H114" s="5"/>
    </row>
    <row r="115" spans="1:9" s="9" customFormat="1" x14ac:dyDescent="0.2">
      <c r="B115" s="12"/>
      <c r="C115" s="5"/>
      <c r="D115" s="5"/>
      <c r="E115" s="5"/>
      <c r="F115" s="5"/>
      <c r="G115" s="5"/>
      <c r="H115" s="5"/>
    </row>
    <row r="116" spans="1:9" s="9" customFormat="1" x14ac:dyDescent="0.2">
      <c r="B116" s="12"/>
      <c r="C116" s="5"/>
      <c r="D116" s="5"/>
      <c r="E116" s="5"/>
      <c r="F116" s="5"/>
      <c r="G116" s="5"/>
      <c r="H116" s="5"/>
    </row>
    <row r="117" spans="1:9" s="9" customFormat="1" x14ac:dyDescent="0.2">
      <c r="B117" s="12"/>
      <c r="C117" s="5"/>
      <c r="D117" s="5"/>
      <c r="E117" s="5"/>
      <c r="F117" s="5"/>
      <c r="G117" s="5"/>
      <c r="H117" s="5"/>
    </row>
    <row r="118" spans="1:9" s="9" customFormat="1" x14ac:dyDescent="0.2">
      <c r="B118" s="12"/>
      <c r="C118" s="5"/>
      <c r="D118" s="5"/>
      <c r="E118" s="5"/>
      <c r="F118" s="5"/>
      <c r="G118" s="5"/>
      <c r="H118" s="5"/>
    </row>
    <row r="119" spans="1:9" s="9" customFormat="1" x14ac:dyDescent="0.2">
      <c r="A119" s="5"/>
      <c r="B119" s="12"/>
      <c r="C119" s="5"/>
      <c r="D119" s="5"/>
      <c r="E119" s="5"/>
      <c r="F119" s="5"/>
      <c r="G119" s="5"/>
      <c r="H119" s="5"/>
      <c r="I119" s="5"/>
    </row>
    <row r="120" spans="1:9" s="9" customFormat="1" x14ac:dyDescent="0.2">
      <c r="A120" s="5"/>
      <c r="B120" s="12"/>
      <c r="C120" s="5"/>
      <c r="D120" s="5"/>
      <c r="E120" s="5"/>
      <c r="F120" s="5"/>
      <c r="G120" s="5"/>
      <c r="H120" s="5"/>
      <c r="I120" s="5"/>
    </row>
    <row r="121" spans="1:9" s="9" customFormat="1" x14ac:dyDescent="0.2">
      <c r="A121" s="5"/>
      <c r="B121" s="12"/>
      <c r="C121" s="5"/>
      <c r="D121" s="5"/>
      <c r="E121" s="5"/>
      <c r="F121" s="5"/>
      <c r="G121" s="5"/>
      <c r="H121" s="5"/>
      <c r="I121" s="5"/>
    </row>
    <row r="122" spans="1:9" s="9" customFormat="1" x14ac:dyDescent="0.2">
      <c r="A122" s="5"/>
      <c r="B122" s="12"/>
      <c r="C122" s="5"/>
      <c r="D122" s="5"/>
      <c r="E122" s="5"/>
      <c r="F122" s="5"/>
      <c r="G122" s="5"/>
      <c r="H122" s="5"/>
      <c r="I122" s="5"/>
    </row>
  </sheetData>
  <mergeCells count="11">
    <mergeCell ref="C40:D40"/>
    <mergeCell ref="A1:H1"/>
    <mergeCell ref="C4:D4"/>
    <mergeCell ref="E5:F5"/>
    <mergeCell ref="C22:D22"/>
    <mergeCell ref="E23:F23"/>
    <mergeCell ref="E41:F41"/>
    <mergeCell ref="C75:D75"/>
    <mergeCell ref="E76:F76"/>
    <mergeCell ref="C56:D56"/>
    <mergeCell ref="E57:F57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opLeftCell="A52" workbookViewId="0">
      <selection activeCell="J80" sqref="J80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418" t="s">
        <v>230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231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42557</v>
      </c>
      <c r="D4" s="416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7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G6" s="123"/>
      <c r="H6" s="123"/>
      <c r="I6" s="97"/>
    </row>
    <row r="7" spans="1:9" x14ac:dyDescent="0.2">
      <c r="B7" s="62" t="s">
        <v>82</v>
      </c>
      <c r="C7" s="76" t="s">
        <v>27</v>
      </c>
      <c r="D7" s="174"/>
      <c r="E7" s="172">
        <v>1498.67</v>
      </c>
      <c r="F7" s="294"/>
      <c r="G7" s="164"/>
      <c r="H7" s="165"/>
      <c r="I7" s="4"/>
    </row>
    <row r="8" spans="1:9" x14ac:dyDescent="0.2">
      <c r="B8" s="155" t="s">
        <v>96</v>
      </c>
      <c r="C8" s="124" t="s">
        <v>24</v>
      </c>
      <c r="D8" s="175"/>
      <c r="E8" s="172">
        <v>1383.14</v>
      </c>
      <c r="G8" s="228"/>
      <c r="H8" s="165"/>
      <c r="I8" s="4"/>
    </row>
    <row r="9" spans="1:9" x14ac:dyDescent="0.2">
      <c r="B9" s="155" t="s">
        <v>85</v>
      </c>
      <c r="C9" s="124" t="s">
        <v>76</v>
      </c>
      <c r="D9" s="175"/>
      <c r="E9" s="172">
        <v>752.24</v>
      </c>
      <c r="G9" s="294"/>
      <c r="H9" s="165"/>
      <c r="I9" s="4"/>
    </row>
    <row r="10" spans="1:9" x14ac:dyDescent="0.2">
      <c r="B10" s="155" t="s">
        <v>3</v>
      </c>
      <c r="C10" s="124" t="s">
        <v>25</v>
      </c>
      <c r="D10" s="175"/>
      <c r="E10" s="172">
        <v>837.04</v>
      </c>
      <c r="G10" s="294"/>
      <c r="H10" s="165"/>
      <c r="I10" s="4"/>
    </row>
    <row r="11" spans="1:9" x14ac:dyDescent="0.2">
      <c r="B11" s="29" t="s">
        <v>4</v>
      </c>
      <c r="C11" s="40" t="s">
        <v>23</v>
      </c>
      <c r="D11" s="176"/>
      <c r="E11" s="173">
        <v>927.03</v>
      </c>
      <c r="G11" s="164"/>
      <c r="H11" s="165"/>
      <c r="I11" s="4"/>
    </row>
    <row r="12" spans="1:9" x14ac:dyDescent="0.2">
      <c r="B12" s="29" t="s">
        <v>78</v>
      </c>
      <c r="C12" s="40" t="s">
        <v>79</v>
      </c>
      <c r="D12" s="176"/>
      <c r="E12" s="135">
        <v>990</v>
      </c>
      <c r="F12" s="94"/>
      <c r="G12" s="4"/>
      <c r="H12" s="165"/>
      <c r="I12" s="4"/>
    </row>
    <row r="13" spans="1:9" x14ac:dyDescent="0.2">
      <c r="B13" s="29" t="s">
        <v>210</v>
      </c>
      <c r="C13" s="40" t="s">
        <v>211</v>
      </c>
      <c r="D13" s="300"/>
      <c r="E13" s="139">
        <v>792</v>
      </c>
      <c r="F13" s="94"/>
    </row>
    <row r="14" spans="1:9" x14ac:dyDescent="0.2">
      <c r="B14" s="261" t="s">
        <v>85</v>
      </c>
      <c r="C14" s="262" t="s">
        <v>205</v>
      </c>
      <c r="D14" s="299"/>
      <c r="E14" s="135">
        <v>792</v>
      </c>
      <c r="F14" s="94"/>
      <c r="G14" s="4"/>
      <c r="H14" s="165"/>
      <c r="I14" s="4"/>
    </row>
    <row r="15" spans="1:9" ht="13.5" thickBot="1" x14ac:dyDescent="0.25">
      <c r="B15" s="264" t="s">
        <v>85</v>
      </c>
      <c r="C15" s="265" t="s">
        <v>66</v>
      </c>
      <c r="D15" s="265"/>
      <c r="E15" s="137">
        <v>500</v>
      </c>
      <c r="G15" s="4"/>
      <c r="H15" s="165"/>
      <c r="I15" s="4"/>
    </row>
    <row r="16" spans="1:9" ht="14.25" thickTop="1" thickBot="1" x14ac:dyDescent="0.25">
      <c r="B16" s="270"/>
      <c r="C16" s="285"/>
      <c r="D16" s="286"/>
      <c r="E16" s="267">
        <f>SUM(E7:E15)</f>
        <v>8472.119999999999</v>
      </c>
      <c r="G16" s="4"/>
      <c r="H16" s="165"/>
      <c r="I16" s="4"/>
    </row>
    <row r="17" spans="1:9" x14ac:dyDescent="0.2">
      <c r="B17" s="268" t="s">
        <v>104</v>
      </c>
      <c r="C17" s="269" t="s">
        <v>12</v>
      </c>
      <c r="D17" s="269"/>
      <c r="E17" s="266">
        <v>1125</v>
      </c>
      <c r="G17" s="4"/>
      <c r="H17" s="165"/>
      <c r="I17" s="4"/>
    </row>
    <row r="18" spans="1:9" ht="13.5" thickBot="1" x14ac:dyDescent="0.25">
      <c r="B18" s="63" t="s">
        <v>35</v>
      </c>
      <c r="C18" s="133" t="s">
        <v>36</v>
      </c>
      <c r="D18" s="133"/>
      <c r="E18" s="137">
        <v>1000</v>
      </c>
      <c r="G18" s="4"/>
      <c r="H18" s="165"/>
      <c r="I18" s="4"/>
    </row>
    <row r="19" spans="1:9" ht="13.5" thickBot="1" x14ac:dyDescent="0.25">
      <c r="B19" s="11"/>
      <c r="C19" s="134" t="s">
        <v>0</v>
      </c>
      <c r="D19" s="134"/>
      <c r="E19" s="138">
        <f>SUM(E16:E18)</f>
        <v>10597.119999999999</v>
      </c>
      <c r="G19" s="166"/>
      <c r="H19" s="165"/>
      <c r="I19" s="4"/>
    </row>
    <row r="20" spans="1:9" x14ac:dyDescent="0.2">
      <c r="B20" s="11"/>
      <c r="C20" s="134"/>
      <c r="D20" s="134"/>
      <c r="E20" s="159"/>
      <c r="G20" s="166"/>
      <c r="H20" s="165"/>
      <c r="I20" s="4"/>
    </row>
    <row r="21" spans="1:9" x14ac:dyDescent="0.2">
      <c r="B21" s="11"/>
      <c r="C21" s="317" t="s">
        <v>240</v>
      </c>
      <c r="D21" s="134"/>
      <c r="E21" s="159">
        <v>827.61</v>
      </c>
      <c r="G21" s="166"/>
      <c r="H21" s="165"/>
      <c r="I21" s="4"/>
    </row>
    <row r="22" spans="1:9" x14ac:dyDescent="0.2">
      <c r="B22" s="11"/>
      <c r="C22" s="134"/>
      <c r="D22" s="134"/>
      <c r="E22" s="159"/>
      <c r="G22" s="166"/>
      <c r="H22" s="165"/>
      <c r="I22" s="4"/>
    </row>
    <row r="23" spans="1:9" s="127" customFormat="1" ht="6.75" customHeight="1" x14ac:dyDescent="0.2">
      <c r="B23" s="128"/>
      <c r="C23" s="129"/>
      <c r="D23" s="129"/>
      <c r="E23" s="130"/>
      <c r="F23" s="130"/>
      <c r="G23" s="130"/>
      <c r="H23" s="130"/>
      <c r="I23" s="130"/>
    </row>
    <row r="24" spans="1:9" ht="19.5" customHeight="1" x14ac:dyDescent="0.2">
      <c r="A24" s="163"/>
      <c r="B24" s="122" t="s">
        <v>73</v>
      </c>
      <c r="C24" s="168" t="s">
        <v>232</v>
      </c>
      <c r="D24" s="142"/>
      <c r="E24" s="22"/>
      <c r="F24" s="22"/>
      <c r="G24" s="22"/>
      <c r="H24" s="22"/>
      <c r="I24" s="22"/>
    </row>
    <row r="25" spans="1:9" ht="19.5" customHeight="1" x14ac:dyDescent="0.2">
      <c r="B25" s="122" t="s">
        <v>75</v>
      </c>
      <c r="C25" s="414">
        <v>42564</v>
      </c>
      <c r="D25" s="414"/>
      <c r="E25" s="22"/>
      <c r="F25" s="22"/>
      <c r="G25" s="22"/>
      <c r="H25" s="22"/>
      <c r="I25" s="22"/>
    </row>
    <row r="26" spans="1:9" ht="4.5" customHeight="1" x14ac:dyDescent="0.45">
      <c r="B26" s="2"/>
      <c r="C26" s="41"/>
      <c r="D26" s="41"/>
      <c r="E26" s="415"/>
      <c r="F26" s="415"/>
      <c r="G26" s="3"/>
      <c r="H26" s="4"/>
      <c r="I26" s="4"/>
    </row>
    <row r="27" spans="1:9" s="6" customFormat="1" ht="13.5" thickBot="1" x14ac:dyDescent="0.25">
      <c r="B27" s="123" t="s">
        <v>74</v>
      </c>
      <c r="C27" s="225" t="s">
        <v>1</v>
      </c>
      <c r="D27" s="225"/>
      <c r="E27" s="126" t="s">
        <v>2</v>
      </c>
    </row>
    <row r="28" spans="1:9" x14ac:dyDescent="0.2">
      <c r="B28" s="62" t="s">
        <v>82</v>
      </c>
      <c r="C28" s="76" t="s">
        <v>27</v>
      </c>
      <c r="D28" s="174"/>
      <c r="E28" s="172">
        <v>1412.62</v>
      </c>
    </row>
    <row r="29" spans="1:9" x14ac:dyDescent="0.2">
      <c r="B29" s="155" t="s">
        <v>96</v>
      </c>
      <c r="C29" s="124" t="s">
        <v>24</v>
      </c>
      <c r="D29" s="175"/>
      <c r="E29" s="172">
        <v>1192.02</v>
      </c>
    </row>
    <row r="30" spans="1:9" x14ac:dyDescent="0.2">
      <c r="B30" s="155" t="s">
        <v>85</v>
      </c>
      <c r="C30" s="124" t="s">
        <v>76</v>
      </c>
      <c r="D30" s="175"/>
      <c r="E30" s="172">
        <v>752.24</v>
      </c>
    </row>
    <row r="31" spans="1:9" x14ac:dyDescent="0.2">
      <c r="B31" s="155" t="s">
        <v>3</v>
      </c>
      <c r="C31" s="124" t="s">
        <v>25</v>
      </c>
      <c r="D31" s="175"/>
      <c r="E31" s="172">
        <v>837.04</v>
      </c>
    </row>
    <row r="32" spans="1:9" x14ac:dyDescent="0.2">
      <c r="B32" s="29" t="s">
        <v>4</v>
      </c>
      <c r="C32" s="40" t="s">
        <v>23</v>
      </c>
      <c r="D32" s="176"/>
      <c r="E32" s="173">
        <v>927.03</v>
      </c>
    </row>
    <row r="33" spans="1:9" x14ac:dyDescent="0.2">
      <c r="B33" s="261" t="s">
        <v>78</v>
      </c>
      <c r="C33" s="124" t="s">
        <v>79</v>
      </c>
      <c r="D33" s="263"/>
      <c r="E33" s="135">
        <v>990</v>
      </c>
      <c r="F33" s="94"/>
    </row>
    <row r="34" spans="1:9" x14ac:dyDescent="0.2">
      <c r="B34" s="29" t="s">
        <v>210</v>
      </c>
      <c r="C34" s="262" t="s">
        <v>211</v>
      </c>
      <c r="D34" s="300"/>
      <c r="E34" s="139">
        <v>792</v>
      </c>
      <c r="F34" s="94"/>
    </row>
    <row r="35" spans="1:9" x14ac:dyDescent="0.2">
      <c r="B35" s="261" t="s">
        <v>85</v>
      </c>
      <c r="C35" s="40" t="s">
        <v>205</v>
      </c>
      <c r="D35" s="299"/>
      <c r="E35" s="135">
        <v>792</v>
      </c>
      <c r="F35" s="94"/>
    </row>
    <row r="36" spans="1:9" ht="13.5" thickBot="1" x14ac:dyDescent="0.25">
      <c r="B36" s="264" t="s">
        <v>85</v>
      </c>
      <c r="C36" s="181" t="s">
        <v>66</v>
      </c>
      <c r="D36" s="301"/>
      <c r="E36" s="137">
        <v>500</v>
      </c>
    </row>
    <row r="37" spans="1:9" s="4" customFormat="1" ht="13.5" thickBot="1" x14ac:dyDescent="0.25">
      <c r="B37" s="274"/>
      <c r="C37" s="275"/>
      <c r="D37" s="276"/>
      <c r="E37" s="277">
        <f>SUM(E28:E36)</f>
        <v>8194.9500000000007</v>
      </c>
      <c r="F37" s="132"/>
    </row>
    <row r="38" spans="1:9" x14ac:dyDescent="0.2">
      <c r="B38" s="44" t="s">
        <v>104</v>
      </c>
      <c r="C38" s="69" t="s">
        <v>12</v>
      </c>
      <c r="D38" s="69"/>
      <c r="E38" s="139">
        <v>1125</v>
      </c>
    </row>
    <row r="39" spans="1:9" ht="13.5" thickBot="1" x14ac:dyDescent="0.25">
      <c r="B39" s="63" t="s">
        <v>35</v>
      </c>
      <c r="C39" s="133" t="s">
        <v>36</v>
      </c>
      <c r="D39" s="133"/>
      <c r="E39" s="137">
        <v>1000</v>
      </c>
    </row>
    <row r="40" spans="1:9" ht="13.5" thickBot="1" x14ac:dyDescent="0.25">
      <c r="B40" s="11"/>
      <c r="C40" s="134" t="s">
        <v>0</v>
      </c>
      <c r="D40" s="134"/>
      <c r="E40" s="138">
        <f>SUM(E37:E39)</f>
        <v>10319.950000000001</v>
      </c>
    </row>
    <row r="41" spans="1:9" ht="12.75" customHeight="1" x14ac:dyDescent="0.2">
      <c r="B41" s="11"/>
      <c r="C41" s="21"/>
      <c r="D41" s="21"/>
      <c r="E41" s="22"/>
      <c r="F41" s="22"/>
      <c r="G41" s="22"/>
      <c r="H41" s="22"/>
      <c r="I41" s="22"/>
    </row>
    <row r="42" spans="1:9" s="127" customFormat="1" ht="6.75" customHeight="1" x14ac:dyDescent="0.2">
      <c r="B42" s="128"/>
      <c r="C42" s="129"/>
      <c r="D42" s="129"/>
      <c r="E42" s="130"/>
      <c r="F42" s="130"/>
      <c r="G42" s="130"/>
      <c r="H42" s="130"/>
      <c r="I42" s="130"/>
    </row>
    <row r="43" spans="1:9" ht="19.5" customHeight="1" x14ac:dyDescent="0.2">
      <c r="A43" s="163"/>
      <c r="B43" s="122" t="s">
        <v>73</v>
      </c>
      <c r="C43" s="168" t="s">
        <v>233</v>
      </c>
      <c r="D43" s="142"/>
      <c r="E43" s="22"/>
      <c r="F43" s="22"/>
      <c r="G43" s="22"/>
      <c r="H43" s="22"/>
      <c r="I43" s="22"/>
    </row>
    <row r="44" spans="1:9" ht="19.5" customHeight="1" x14ac:dyDescent="0.2">
      <c r="B44" s="122" t="s">
        <v>75</v>
      </c>
      <c r="C44" s="414">
        <v>42571</v>
      </c>
      <c r="D44" s="414"/>
      <c r="E44" s="22"/>
      <c r="F44" s="22"/>
      <c r="G44" s="22"/>
      <c r="H44" s="22"/>
      <c r="I44" s="22"/>
    </row>
    <row r="45" spans="1:9" ht="4.5" customHeight="1" x14ac:dyDescent="0.45">
      <c r="B45" s="2"/>
      <c r="C45" s="41"/>
      <c r="D45" s="41"/>
      <c r="E45" s="415"/>
      <c r="F45" s="415"/>
      <c r="G45" s="3"/>
      <c r="H45" s="4"/>
      <c r="I45" s="4"/>
    </row>
    <row r="46" spans="1:9" s="6" customFormat="1" ht="13.5" thickBot="1" x14ac:dyDescent="0.25">
      <c r="B46" s="123" t="s">
        <v>74</v>
      </c>
      <c r="C46" s="225" t="s">
        <v>1</v>
      </c>
      <c r="D46" s="225"/>
      <c r="E46" s="126" t="s">
        <v>2</v>
      </c>
    </row>
    <row r="47" spans="1:9" x14ac:dyDescent="0.2">
      <c r="B47" s="62" t="s">
        <v>82</v>
      </c>
      <c r="C47" s="76" t="s">
        <v>27</v>
      </c>
      <c r="D47" s="174"/>
      <c r="E47" s="172">
        <v>1412.59</v>
      </c>
    </row>
    <row r="48" spans="1:9" x14ac:dyDescent="0.2">
      <c r="B48" s="155" t="s">
        <v>96</v>
      </c>
      <c r="C48" s="124" t="s">
        <v>24</v>
      </c>
      <c r="D48" s="175"/>
      <c r="E48" s="172">
        <v>1192</v>
      </c>
    </row>
    <row r="49" spans="1:9" x14ac:dyDescent="0.2">
      <c r="B49" s="155" t="s">
        <v>85</v>
      </c>
      <c r="C49" s="124" t="s">
        <v>76</v>
      </c>
      <c r="D49" s="175"/>
      <c r="E49" s="172">
        <v>752.24</v>
      </c>
    </row>
    <row r="50" spans="1:9" x14ac:dyDescent="0.2">
      <c r="B50" s="155" t="s">
        <v>3</v>
      </c>
      <c r="C50" s="124" t="s">
        <v>25</v>
      </c>
      <c r="D50" s="175"/>
      <c r="E50" s="172">
        <v>837.04</v>
      </c>
    </row>
    <row r="51" spans="1:9" x14ac:dyDescent="0.2">
      <c r="B51" s="29" t="s">
        <v>4</v>
      </c>
      <c r="C51" s="40" t="s">
        <v>23</v>
      </c>
      <c r="D51" s="176"/>
      <c r="E51" s="173">
        <v>927.03</v>
      </c>
    </row>
    <row r="52" spans="1:9" x14ac:dyDescent="0.2">
      <c r="B52" s="261" t="s">
        <v>78</v>
      </c>
      <c r="C52" s="262" t="s">
        <v>79</v>
      </c>
      <c r="D52" s="263"/>
      <c r="E52" s="135">
        <v>990</v>
      </c>
      <c r="F52" s="94"/>
    </row>
    <row r="53" spans="1:9" x14ac:dyDescent="0.2">
      <c r="B53" s="29" t="s">
        <v>210</v>
      </c>
      <c r="C53" s="40" t="s">
        <v>211</v>
      </c>
      <c r="D53" s="300"/>
      <c r="E53" s="139">
        <v>792</v>
      </c>
      <c r="F53" s="94"/>
    </row>
    <row r="54" spans="1:9" x14ac:dyDescent="0.2">
      <c r="B54" s="261" t="s">
        <v>85</v>
      </c>
      <c r="C54" s="124" t="s">
        <v>205</v>
      </c>
      <c r="D54" s="299"/>
      <c r="E54" s="135">
        <v>792</v>
      </c>
      <c r="F54" s="94"/>
    </row>
    <row r="55" spans="1:9" ht="13.5" thickBot="1" x14ac:dyDescent="0.25">
      <c r="B55" s="264" t="s">
        <v>85</v>
      </c>
      <c r="C55" s="181" t="s">
        <v>66</v>
      </c>
      <c r="D55" s="265"/>
      <c r="E55" s="137">
        <v>500</v>
      </c>
    </row>
    <row r="56" spans="1:9" s="4" customFormat="1" ht="13.5" thickBot="1" x14ac:dyDescent="0.25">
      <c r="B56" s="274"/>
      <c r="C56" s="275"/>
      <c r="D56" s="276"/>
      <c r="E56" s="277">
        <f>SUM(E47:E55)</f>
        <v>8194.9</v>
      </c>
      <c r="F56" s="132"/>
    </row>
    <row r="57" spans="1:9" x14ac:dyDescent="0.2">
      <c r="B57" s="44" t="s">
        <v>104</v>
      </c>
      <c r="C57" s="69" t="s">
        <v>12</v>
      </c>
      <c r="D57" s="69"/>
      <c r="E57" s="139">
        <v>1125</v>
      </c>
    </row>
    <row r="58" spans="1:9" ht="13.5" thickBot="1" x14ac:dyDescent="0.25">
      <c r="B58" s="63" t="s">
        <v>35</v>
      </c>
      <c r="C58" s="133" t="s">
        <v>36</v>
      </c>
      <c r="D58" s="133"/>
      <c r="E58" s="137">
        <v>1000</v>
      </c>
    </row>
    <row r="59" spans="1:9" ht="13.5" thickBot="1" x14ac:dyDescent="0.25">
      <c r="B59" s="11"/>
      <c r="C59" s="134" t="s">
        <v>0</v>
      </c>
      <c r="D59" s="134"/>
      <c r="E59" s="138">
        <f>SUM(E56:E58)</f>
        <v>10319.9</v>
      </c>
    </row>
    <row r="60" spans="1:9" ht="12.75" customHeight="1" x14ac:dyDescent="0.2">
      <c r="B60" s="11"/>
      <c r="C60" s="21"/>
      <c r="D60" s="21"/>
      <c r="E60" s="22"/>
      <c r="F60" s="22"/>
      <c r="G60" s="22"/>
      <c r="H60" s="22"/>
      <c r="I60" s="22"/>
    </row>
    <row r="61" spans="1:9" s="127" customFormat="1" ht="6.75" customHeight="1" x14ac:dyDescent="0.2">
      <c r="B61" s="128"/>
      <c r="C61" s="129"/>
      <c r="D61" s="129"/>
      <c r="E61" s="130"/>
      <c r="F61" s="130"/>
      <c r="G61" s="130"/>
      <c r="H61" s="130"/>
      <c r="I61" s="130"/>
    </row>
    <row r="62" spans="1:9" ht="19.5" customHeight="1" x14ac:dyDescent="0.2">
      <c r="A62" s="163"/>
      <c r="B62" s="122" t="s">
        <v>73</v>
      </c>
      <c r="C62" s="168" t="s">
        <v>112</v>
      </c>
      <c r="D62" s="142"/>
      <c r="E62" s="22"/>
      <c r="F62" s="22"/>
      <c r="G62" s="22"/>
      <c r="H62" s="22"/>
      <c r="I62" s="22"/>
    </row>
    <row r="63" spans="1:9" ht="19.5" customHeight="1" x14ac:dyDescent="0.2">
      <c r="B63" s="122" t="s">
        <v>75</v>
      </c>
      <c r="C63" s="414">
        <v>42578</v>
      </c>
      <c r="D63" s="414"/>
      <c r="E63" s="22"/>
      <c r="F63" s="22"/>
      <c r="G63" s="22"/>
      <c r="H63" s="22"/>
      <c r="I63" s="22"/>
    </row>
    <row r="64" spans="1:9" ht="4.5" customHeight="1" x14ac:dyDescent="0.45">
      <c r="B64" s="2"/>
      <c r="C64" s="41"/>
      <c r="D64" s="41"/>
      <c r="E64" s="415"/>
      <c r="F64" s="415"/>
      <c r="G64" s="3"/>
      <c r="H64" s="4"/>
      <c r="I64" s="4"/>
    </row>
    <row r="65" spans="1:9" s="6" customFormat="1" ht="13.5" thickBot="1" x14ac:dyDescent="0.25">
      <c r="B65" s="123" t="s">
        <v>74</v>
      </c>
      <c r="C65" s="225" t="s">
        <v>1</v>
      </c>
      <c r="D65" s="225"/>
      <c r="E65" s="126" t="s">
        <v>2</v>
      </c>
    </row>
    <row r="66" spans="1:9" x14ac:dyDescent="0.2">
      <c r="B66" s="62" t="s">
        <v>82</v>
      </c>
      <c r="C66" s="76" t="s">
        <v>27</v>
      </c>
      <c r="D66" s="174"/>
      <c r="E66" s="172">
        <v>1724.78</v>
      </c>
    </row>
    <row r="67" spans="1:9" x14ac:dyDescent="0.2">
      <c r="B67" s="155" t="s">
        <v>96</v>
      </c>
      <c r="C67" s="124" t="s">
        <v>24</v>
      </c>
      <c r="D67" s="175"/>
      <c r="E67" s="172">
        <v>1492.33</v>
      </c>
    </row>
    <row r="68" spans="1:9" x14ac:dyDescent="0.2">
      <c r="B68" s="155" t="s">
        <v>85</v>
      </c>
      <c r="C68" s="124" t="s">
        <v>76</v>
      </c>
      <c r="D68" s="175"/>
      <c r="E68" s="172">
        <v>752.24</v>
      </c>
      <c r="F68" s="184"/>
    </row>
    <row r="69" spans="1:9" x14ac:dyDescent="0.2">
      <c r="B69" s="155" t="s">
        <v>3</v>
      </c>
      <c r="C69" s="124" t="s">
        <v>25</v>
      </c>
      <c r="D69" s="175"/>
      <c r="E69" s="172">
        <v>837.04</v>
      </c>
      <c r="F69" s="294"/>
      <c r="G69" s="294"/>
    </row>
    <row r="70" spans="1:9" x14ac:dyDescent="0.2">
      <c r="B70" s="29" t="s">
        <v>4</v>
      </c>
      <c r="C70" s="40" t="s">
        <v>23</v>
      </c>
      <c r="D70" s="176"/>
      <c r="E70" s="173">
        <v>1043.4100000000001</v>
      </c>
      <c r="G70" s="294"/>
    </row>
    <row r="71" spans="1:9" x14ac:dyDescent="0.2">
      <c r="B71" s="261" t="s">
        <v>78</v>
      </c>
      <c r="C71" s="262" t="s">
        <v>79</v>
      </c>
      <c r="D71" s="263"/>
      <c r="E71" s="135">
        <v>990</v>
      </c>
      <c r="F71" s="94"/>
    </row>
    <row r="72" spans="1:9" x14ac:dyDescent="0.2">
      <c r="B72" s="29" t="s">
        <v>210</v>
      </c>
      <c r="C72" s="40" t="s">
        <v>211</v>
      </c>
      <c r="D72" s="300"/>
      <c r="E72" s="139">
        <v>792</v>
      </c>
      <c r="F72" s="94"/>
    </row>
    <row r="73" spans="1:9" x14ac:dyDescent="0.2">
      <c r="B73" s="261" t="s">
        <v>85</v>
      </c>
      <c r="C73" s="124" t="s">
        <v>205</v>
      </c>
      <c r="D73" s="299"/>
      <c r="E73" s="135">
        <v>792</v>
      </c>
      <c r="F73" s="94"/>
    </row>
    <row r="74" spans="1:9" ht="13.5" thickBot="1" x14ac:dyDescent="0.25">
      <c r="B74" s="264" t="s">
        <v>85</v>
      </c>
      <c r="C74" s="265" t="s">
        <v>66</v>
      </c>
      <c r="D74" s="265"/>
      <c r="E74" s="137">
        <v>565.63</v>
      </c>
    </row>
    <row r="75" spans="1:9" s="4" customFormat="1" ht="13.5" thickBot="1" x14ac:dyDescent="0.25">
      <c r="B75" s="274"/>
      <c r="C75" s="275"/>
      <c r="D75" s="276"/>
      <c r="E75" s="277">
        <f>SUM(E66:E74)</f>
        <v>8989.4299999999985</v>
      </c>
      <c r="F75" s="132"/>
    </row>
    <row r="76" spans="1:9" x14ac:dyDescent="0.2">
      <c r="B76" s="44" t="s">
        <v>104</v>
      </c>
      <c r="C76" s="69" t="s">
        <v>12</v>
      </c>
      <c r="D76" s="69"/>
      <c r="E76" s="139">
        <v>1125</v>
      </c>
    </row>
    <row r="77" spans="1:9" ht="13.5" thickBot="1" x14ac:dyDescent="0.25">
      <c r="B77" s="63" t="s">
        <v>35</v>
      </c>
      <c r="C77" s="133" t="s">
        <v>36</v>
      </c>
      <c r="D77" s="133"/>
      <c r="E77" s="137">
        <v>1000</v>
      </c>
    </row>
    <row r="78" spans="1:9" ht="13.5" thickBot="1" x14ac:dyDescent="0.25">
      <c r="B78" s="11"/>
      <c r="C78" s="134" t="s">
        <v>0</v>
      </c>
      <c r="D78" s="134"/>
      <c r="E78" s="138">
        <f>SUM(E75:E77)</f>
        <v>11114.429999999998</v>
      </c>
    </row>
    <row r="79" spans="1:9" ht="12.75" customHeight="1" x14ac:dyDescent="0.2">
      <c r="B79" s="11"/>
      <c r="C79" s="21"/>
      <c r="D79" s="21"/>
      <c r="E79" s="22"/>
      <c r="F79" s="22"/>
      <c r="G79" s="22"/>
      <c r="H79" s="22"/>
      <c r="I79" s="22"/>
    </row>
    <row r="80" spans="1:9" s="7" customFormat="1" ht="13.15" customHeight="1" x14ac:dyDescent="0.2">
      <c r="A80" s="32" t="s">
        <v>13</v>
      </c>
      <c r="B80" s="33" t="s">
        <v>14</v>
      </c>
      <c r="C80" s="33"/>
      <c r="D80" s="140">
        <v>9000</v>
      </c>
      <c r="E80" s="178"/>
      <c r="F80" s="32"/>
      <c r="G80" s="33" t="s">
        <v>40</v>
      </c>
      <c r="H80" s="140">
        <v>5000</v>
      </c>
      <c r="I80" s="140"/>
    </row>
    <row r="81" spans="1:9" s="7" customFormat="1" ht="13.15" customHeight="1" x14ac:dyDescent="0.2">
      <c r="A81" s="32" t="s">
        <v>15</v>
      </c>
      <c r="B81" s="33" t="s">
        <v>42</v>
      </c>
      <c r="C81" s="33"/>
      <c r="D81" s="140"/>
      <c r="E81" s="178"/>
      <c r="F81" s="32" t="s">
        <v>21</v>
      </c>
      <c r="G81" s="33" t="s">
        <v>22</v>
      </c>
      <c r="H81" s="140">
        <v>5000</v>
      </c>
      <c r="I81" s="211"/>
    </row>
    <row r="82" spans="1:9" s="7" customFormat="1" ht="13.15" customHeight="1" x14ac:dyDescent="0.2">
      <c r="A82" s="32" t="s">
        <v>16</v>
      </c>
      <c r="B82" s="33" t="s">
        <v>17</v>
      </c>
      <c r="C82" s="33"/>
      <c r="D82" s="140">
        <v>311.83999999999997</v>
      </c>
      <c r="E82" s="140"/>
      <c r="F82" s="32" t="s">
        <v>15</v>
      </c>
      <c r="G82" s="33" t="s">
        <v>41</v>
      </c>
      <c r="H82" s="140">
        <v>1020</v>
      </c>
      <c r="I82" s="143"/>
    </row>
    <row r="83" spans="1:9" s="7" customFormat="1" ht="13.15" customHeight="1" x14ac:dyDescent="0.2">
      <c r="A83" s="32" t="s">
        <v>93</v>
      </c>
      <c r="B83" s="33" t="s">
        <v>94</v>
      </c>
      <c r="C83" s="33"/>
      <c r="D83" s="140">
        <v>472.63</v>
      </c>
      <c r="E83" s="140"/>
      <c r="F83" s="32" t="s">
        <v>54</v>
      </c>
      <c r="G83" s="33" t="s">
        <v>56</v>
      </c>
      <c r="H83" s="140">
        <v>500</v>
      </c>
      <c r="I83" s="211"/>
    </row>
    <row r="84" spans="1:9" s="7" customFormat="1" ht="13.15" customHeight="1" x14ac:dyDescent="0.2">
      <c r="A84" s="32" t="s">
        <v>93</v>
      </c>
      <c r="B84" s="33" t="s">
        <v>95</v>
      </c>
      <c r="C84" s="33"/>
      <c r="D84" s="140">
        <v>86.94</v>
      </c>
      <c r="E84" s="140"/>
      <c r="F84" s="32" t="s">
        <v>55</v>
      </c>
      <c r="G84" s="33" t="s">
        <v>57</v>
      </c>
      <c r="H84" s="140">
        <v>500</v>
      </c>
      <c r="I84" s="211"/>
    </row>
    <row r="85" spans="1:9" s="7" customFormat="1" ht="13.15" customHeight="1" x14ac:dyDescent="0.2">
      <c r="A85" s="32" t="s">
        <v>19</v>
      </c>
      <c r="B85" s="33" t="s">
        <v>20</v>
      </c>
      <c r="C85" s="140"/>
      <c r="D85" s="140">
        <v>8000</v>
      </c>
      <c r="E85" s="178"/>
      <c r="F85" s="32" t="s">
        <v>16</v>
      </c>
      <c r="G85" s="33" t="s">
        <v>28</v>
      </c>
      <c r="H85" s="140">
        <v>12000</v>
      </c>
      <c r="I85" s="231"/>
    </row>
    <row r="86" spans="1:9" s="7" customFormat="1" ht="13.15" customHeight="1" thickBot="1" x14ac:dyDescent="0.25">
      <c r="A86" s="32" t="s">
        <v>18</v>
      </c>
      <c r="B86" s="33" t="s">
        <v>45</v>
      </c>
      <c r="C86" s="140"/>
      <c r="D86" s="140">
        <v>1000</v>
      </c>
      <c r="E86" s="140"/>
      <c r="F86" s="70" t="s">
        <v>38</v>
      </c>
      <c r="G86" s="33" t="s">
        <v>29</v>
      </c>
      <c r="H86" s="141">
        <v>11000</v>
      </c>
      <c r="I86" s="67"/>
    </row>
    <row r="87" spans="1:9" s="7" customFormat="1" ht="13.15" customHeight="1" thickTop="1" thickBot="1" x14ac:dyDescent="0.25">
      <c r="B87" s="212"/>
      <c r="C87" s="33"/>
      <c r="D87" s="213"/>
      <c r="E87" s="140"/>
      <c r="F87" s="34"/>
      <c r="G87" s="33"/>
      <c r="H87" s="162">
        <f>SUM(H80:H86)+SUM(D80:D87)</f>
        <v>53891.41</v>
      </c>
      <c r="I87" s="162"/>
    </row>
    <row r="88" spans="1:9" s="7" customFormat="1" ht="13.15" customHeight="1" thickBot="1" x14ac:dyDescent="0.25">
      <c r="B88" s="32"/>
      <c r="C88" s="33"/>
      <c r="D88" s="9"/>
      <c r="E88" s="140"/>
      <c r="F88" s="34"/>
      <c r="G88" s="145" t="s">
        <v>5</v>
      </c>
      <c r="H88" s="146">
        <f>E78+H87</f>
        <v>65005.840000000004</v>
      </c>
      <c r="I88" s="162"/>
    </row>
    <row r="89" spans="1:9" s="7" customFormat="1" ht="13.15" customHeight="1" x14ac:dyDescent="0.2">
      <c r="B89" s="32"/>
      <c r="C89" s="33"/>
      <c r="D89" s="8"/>
      <c r="E89" s="9"/>
      <c r="F89" s="9"/>
      <c r="G89" s="9"/>
      <c r="H89" s="9"/>
      <c r="I89" s="162"/>
    </row>
    <row r="90" spans="1:9" s="7" customFormat="1" ht="13.15" customHeight="1" x14ac:dyDescent="0.2">
      <c r="A90" s="9"/>
      <c r="B90" s="10"/>
      <c r="C90" s="9"/>
      <c r="D90" s="8"/>
      <c r="E90" s="9"/>
      <c r="F90" s="9"/>
      <c r="G90" s="9"/>
      <c r="H90" s="9"/>
      <c r="I90" s="162"/>
    </row>
    <row r="91" spans="1:9" s="7" customFormat="1" ht="13.15" customHeight="1" x14ac:dyDescent="0.2">
      <c r="A91" s="9"/>
      <c r="B91" s="10"/>
      <c r="C91" s="8"/>
      <c r="D91" s="8"/>
      <c r="E91" s="9"/>
      <c r="F91" s="9"/>
      <c r="G91" s="9"/>
      <c r="H91" s="9"/>
      <c r="I91" s="162"/>
    </row>
    <row r="92" spans="1:9" s="7" customFormat="1" ht="13.15" customHeight="1" x14ac:dyDescent="0.2">
      <c r="A92" s="9"/>
      <c r="B92" s="10"/>
      <c r="C92" s="8"/>
      <c r="D92" s="8"/>
      <c r="E92" s="9"/>
      <c r="F92" s="9"/>
      <c r="G92" s="9"/>
      <c r="H92" s="9"/>
      <c r="I92" s="162"/>
    </row>
    <row r="93" spans="1:9" s="7" customFormat="1" ht="13.15" customHeight="1" x14ac:dyDescent="0.2">
      <c r="A93" s="9"/>
      <c r="B93" s="10"/>
      <c r="C93" s="8"/>
      <c r="D93" s="8"/>
      <c r="E93" s="9"/>
      <c r="F93" s="9"/>
      <c r="G93" s="9"/>
      <c r="H93" s="9"/>
      <c r="I93" s="162"/>
    </row>
    <row r="94" spans="1:9" s="9" customFormat="1" ht="12" x14ac:dyDescent="0.2">
      <c r="B94" s="10"/>
      <c r="C94" s="8"/>
    </row>
    <row r="95" spans="1:9" s="9" customFormat="1" ht="12" x14ac:dyDescent="0.2">
      <c r="B95" s="10"/>
      <c r="C95" s="8"/>
    </row>
    <row r="96" spans="1:9" s="9" customFormat="1" ht="12" x14ac:dyDescent="0.2">
      <c r="B96" s="10"/>
      <c r="C96" s="8"/>
    </row>
    <row r="97" spans="1:9" s="9" customFormat="1" ht="12" x14ac:dyDescent="0.2">
      <c r="B97" s="10"/>
    </row>
    <row r="98" spans="1:9" s="9" customFormat="1" ht="12" x14ac:dyDescent="0.2">
      <c r="B98" s="10"/>
    </row>
    <row r="99" spans="1:9" s="9" customFormat="1" ht="12" x14ac:dyDescent="0.2">
      <c r="B99" s="10"/>
    </row>
    <row r="100" spans="1:9" s="9" customFormat="1" x14ac:dyDescent="0.2">
      <c r="B100" s="10"/>
      <c r="D100" s="5"/>
    </row>
    <row r="101" spans="1:9" s="9" customFormat="1" x14ac:dyDescent="0.2">
      <c r="B101" s="10"/>
      <c r="D101" s="5"/>
    </row>
    <row r="102" spans="1:9" s="9" customFormat="1" x14ac:dyDescent="0.2">
      <c r="B102" s="10"/>
      <c r="D102" s="5"/>
      <c r="E102" s="5"/>
      <c r="F102" s="5"/>
      <c r="G102" s="5"/>
      <c r="H102" s="5"/>
    </row>
    <row r="103" spans="1:9" s="9" customFormat="1" x14ac:dyDescent="0.2">
      <c r="B103" s="12"/>
      <c r="C103" s="5"/>
      <c r="D103" s="5"/>
      <c r="E103" s="5"/>
      <c r="F103" s="5"/>
      <c r="G103" s="5"/>
      <c r="H103" s="5"/>
    </row>
    <row r="104" spans="1:9" s="9" customFormat="1" x14ac:dyDescent="0.2">
      <c r="B104" s="12"/>
      <c r="C104" s="5"/>
      <c r="D104" s="5"/>
      <c r="E104" s="5"/>
      <c r="F104" s="5"/>
      <c r="G104" s="5"/>
      <c r="H104" s="5"/>
    </row>
    <row r="105" spans="1:9" s="9" customFormat="1" x14ac:dyDescent="0.2">
      <c r="B105" s="12"/>
      <c r="C105" s="5"/>
      <c r="D105" s="5"/>
      <c r="E105" s="5"/>
      <c r="F105" s="5"/>
      <c r="G105" s="5"/>
      <c r="H105" s="5"/>
    </row>
    <row r="106" spans="1:9" s="9" customFormat="1" x14ac:dyDescent="0.2">
      <c r="B106" s="12"/>
      <c r="C106" s="5"/>
      <c r="D106" s="5"/>
      <c r="E106" s="5"/>
      <c r="F106" s="5"/>
      <c r="G106" s="5"/>
      <c r="H106" s="5"/>
    </row>
    <row r="107" spans="1:9" s="9" customFormat="1" x14ac:dyDescent="0.2">
      <c r="A107" s="5"/>
      <c r="B107" s="12"/>
      <c r="C107" s="5"/>
      <c r="D107" s="5"/>
      <c r="E107" s="5"/>
      <c r="F107" s="5"/>
      <c r="G107" s="5"/>
      <c r="H107" s="5"/>
      <c r="I107" s="5"/>
    </row>
    <row r="108" spans="1:9" s="9" customFormat="1" x14ac:dyDescent="0.2">
      <c r="A108" s="5"/>
      <c r="B108" s="12"/>
      <c r="C108" s="5"/>
      <c r="D108" s="5"/>
      <c r="E108" s="5"/>
      <c r="F108" s="5"/>
      <c r="G108" s="5"/>
      <c r="H108" s="5"/>
      <c r="I108" s="5"/>
    </row>
    <row r="109" spans="1:9" s="9" customFormat="1" x14ac:dyDescent="0.2">
      <c r="A109" s="5"/>
      <c r="B109" s="12"/>
      <c r="C109" s="5"/>
      <c r="D109" s="5"/>
      <c r="E109" s="5"/>
      <c r="F109" s="5"/>
      <c r="G109" s="5"/>
      <c r="H109" s="5"/>
      <c r="I109" s="5"/>
    </row>
    <row r="110" spans="1:9" s="9" customFormat="1" x14ac:dyDescent="0.2">
      <c r="A110" s="5"/>
      <c r="B110" s="12"/>
      <c r="C110" s="5"/>
      <c r="D110" s="5"/>
      <c r="E110" s="5"/>
      <c r="F110" s="5"/>
      <c r="G110" s="5"/>
      <c r="H110" s="5"/>
      <c r="I110" s="5"/>
    </row>
  </sheetData>
  <mergeCells count="9">
    <mergeCell ref="C44:D44"/>
    <mergeCell ref="E45:F45"/>
    <mergeCell ref="C63:D63"/>
    <mergeCell ref="E64:F64"/>
    <mergeCell ref="A1:H1"/>
    <mergeCell ref="C4:D4"/>
    <mergeCell ref="E5:F5"/>
    <mergeCell ref="C25:D25"/>
    <mergeCell ref="E26:F26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58" zoomScaleNormal="100" workbookViewId="0">
      <selection activeCell="E77" sqref="E77:E7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418" t="s">
        <v>268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115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42585</v>
      </c>
      <c r="D4" s="416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7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G6" s="123"/>
      <c r="H6" s="123"/>
      <c r="I6" s="97"/>
    </row>
    <row r="7" spans="1:9" x14ac:dyDescent="0.2">
      <c r="B7" s="62" t="s">
        <v>82</v>
      </c>
      <c r="C7" s="76" t="s">
        <v>27</v>
      </c>
      <c r="D7" s="174"/>
      <c r="E7" s="172">
        <v>3361.37</v>
      </c>
      <c r="F7" s="294"/>
      <c r="G7" s="164"/>
      <c r="H7" s="165"/>
      <c r="I7" s="4"/>
    </row>
    <row r="8" spans="1:9" x14ac:dyDescent="0.2">
      <c r="B8" s="155" t="s">
        <v>96</v>
      </c>
      <c r="C8" s="124" t="s">
        <v>24</v>
      </c>
      <c r="D8" s="175"/>
      <c r="E8" s="172">
        <v>2166.02</v>
      </c>
      <c r="G8" s="228"/>
      <c r="H8" s="165"/>
      <c r="I8" s="4"/>
    </row>
    <row r="9" spans="1:9" x14ac:dyDescent="0.2">
      <c r="B9" s="155" t="s">
        <v>85</v>
      </c>
      <c r="C9" s="124" t="s">
        <v>76</v>
      </c>
      <c r="D9" s="175"/>
      <c r="E9" s="172">
        <v>752.24</v>
      </c>
      <c r="G9" s="294"/>
      <c r="H9" s="165"/>
      <c r="I9" s="4"/>
    </row>
    <row r="10" spans="1:9" x14ac:dyDescent="0.2">
      <c r="B10" s="155" t="s">
        <v>3</v>
      </c>
      <c r="C10" s="124" t="s">
        <v>25</v>
      </c>
      <c r="D10" s="175"/>
      <c r="E10" s="172">
        <v>837.04</v>
      </c>
      <c r="G10" s="294"/>
      <c r="H10" s="165"/>
      <c r="I10" s="4"/>
    </row>
    <row r="11" spans="1:9" x14ac:dyDescent="0.2">
      <c r="B11" s="29" t="s">
        <v>4</v>
      </c>
      <c r="C11" s="40" t="s">
        <v>23</v>
      </c>
      <c r="D11" s="176"/>
      <c r="E11" s="173">
        <v>1043.4100000000001</v>
      </c>
      <c r="G11" s="164"/>
      <c r="H11" s="165"/>
      <c r="I11" s="4"/>
    </row>
    <row r="12" spans="1:9" x14ac:dyDescent="0.2">
      <c r="B12" s="29" t="s">
        <v>78</v>
      </c>
      <c r="C12" s="40" t="s">
        <v>79</v>
      </c>
      <c r="D12" s="176"/>
      <c r="E12" s="135">
        <v>990</v>
      </c>
      <c r="F12" s="94"/>
      <c r="G12" s="4"/>
      <c r="H12" s="165"/>
      <c r="I12" s="4"/>
    </row>
    <row r="13" spans="1:9" x14ac:dyDescent="0.2">
      <c r="B13" s="29" t="s">
        <v>210</v>
      </c>
      <c r="C13" s="40" t="s">
        <v>211</v>
      </c>
      <c r="D13" s="300"/>
      <c r="E13" s="139">
        <v>792</v>
      </c>
      <c r="F13" s="94"/>
    </row>
    <row r="14" spans="1:9" x14ac:dyDescent="0.2">
      <c r="B14" s="261" t="s">
        <v>85</v>
      </c>
      <c r="C14" s="262" t="s">
        <v>205</v>
      </c>
      <c r="D14" s="299"/>
      <c r="E14" s="135">
        <v>792</v>
      </c>
      <c r="F14" s="94"/>
      <c r="G14" s="4"/>
      <c r="H14" s="165"/>
      <c r="I14" s="4"/>
    </row>
    <row r="15" spans="1:9" ht="13.5" thickBot="1" x14ac:dyDescent="0.25">
      <c r="B15" s="264" t="s">
        <v>85</v>
      </c>
      <c r="C15" s="265" t="s">
        <v>66</v>
      </c>
      <c r="D15" s="265"/>
      <c r="E15" s="137">
        <v>784.37</v>
      </c>
      <c r="G15" s="4"/>
      <c r="H15" s="165"/>
      <c r="I15" s="4"/>
    </row>
    <row r="16" spans="1:9" ht="14.25" thickTop="1" thickBot="1" x14ac:dyDescent="0.25">
      <c r="B16" s="270"/>
      <c r="C16" s="285"/>
      <c r="D16" s="286"/>
      <c r="E16" s="267">
        <f>SUM(E7:E15)</f>
        <v>11518.449999999999</v>
      </c>
      <c r="G16" s="4"/>
      <c r="H16" s="165"/>
      <c r="I16" s="4"/>
    </row>
    <row r="17" spans="1:9" x14ac:dyDescent="0.2">
      <c r="B17" s="268" t="s">
        <v>104</v>
      </c>
      <c r="C17" s="269" t="s">
        <v>12</v>
      </c>
      <c r="D17" s="269"/>
      <c r="E17" s="266">
        <v>1125</v>
      </c>
      <c r="G17" s="4"/>
      <c r="H17" s="165"/>
      <c r="I17" s="4"/>
    </row>
    <row r="18" spans="1:9" ht="13.5" thickBot="1" x14ac:dyDescent="0.25">
      <c r="B18" s="63" t="s">
        <v>35</v>
      </c>
      <c r="C18" s="133" t="s">
        <v>36</v>
      </c>
      <c r="D18" s="133"/>
      <c r="E18" s="137">
        <v>1000</v>
      </c>
      <c r="G18" s="4"/>
      <c r="H18" s="165"/>
      <c r="I18" s="4"/>
    </row>
    <row r="19" spans="1:9" ht="13.5" thickBot="1" x14ac:dyDescent="0.25">
      <c r="B19" s="11"/>
      <c r="C19" s="134" t="s">
        <v>0</v>
      </c>
      <c r="D19" s="134"/>
      <c r="E19" s="138">
        <f>SUM(E16:E18)</f>
        <v>13643.449999999999</v>
      </c>
      <c r="G19" s="166"/>
      <c r="H19" s="165"/>
      <c r="I19" s="4"/>
    </row>
    <row r="20" spans="1:9" x14ac:dyDescent="0.2">
      <c r="B20" s="11"/>
      <c r="C20" s="134"/>
      <c r="D20" s="134"/>
      <c r="E20" s="159"/>
      <c r="G20" s="166"/>
      <c r="H20" s="165"/>
      <c r="I20" s="4"/>
    </row>
    <row r="21" spans="1:9" s="127" customFormat="1" ht="6.75" customHeight="1" x14ac:dyDescent="0.2">
      <c r="B21" s="128"/>
      <c r="C21" s="129"/>
      <c r="D21" s="129"/>
      <c r="E21" s="130"/>
      <c r="F21" s="130"/>
      <c r="G21" s="130"/>
      <c r="H21" s="130"/>
      <c r="I21" s="130"/>
    </row>
    <row r="22" spans="1:9" ht="19.5" customHeight="1" x14ac:dyDescent="0.2">
      <c r="A22" s="163"/>
      <c r="B22" s="122" t="s">
        <v>73</v>
      </c>
      <c r="C22" s="168" t="s">
        <v>116</v>
      </c>
      <c r="D22" s="142"/>
      <c r="E22" s="22"/>
      <c r="F22" s="22"/>
      <c r="G22" s="22"/>
      <c r="H22" s="22"/>
      <c r="I22" s="22"/>
    </row>
    <row r="23" spans="1:9" ht="19.5" customHeight="1" x14ac:dyDescent="0.2">
      <c r="B23" s="122" t="s">
        <v>75</v>
      </c>
      <c r="C23" s="414">
        <v>42592</v>
      </c>
      <c r="D23" s="414"/>
      <c r="E23" s="22"/>
      <c r="F23" s="22"/>
      <c r="G23" s="22"/>
      <c r="H23" s="22"/>
      <c r="I23" s="22"/>
    </row>
    <row r="24" spans="1:9" ht="4.5" customHeight="1" x14ac:dyDescent="0.45">
      <c r="B24" s="2"/>
      <c r="C24" s="41"/>
      <c r="D24" s="41"/>
      <c r="E24" s="415"/>
      <c r="F24" s="415"/>
      <c r="G24" s="3"/>
      <c r="H24" s="4"/>
      <c r="I24" s="4"/>
    </row>
    <row r="25" spans="1:9" s="6" customFormat="1" ht="13.5" thickBot="1" x14ac:dyDescent="0.25">
      <c r="B25" s="123" t="s">
        <v>74</v>
      </c>
      <c r="C25" s="225" t="s">
        <v>1</v>
      </c>
      <c r="D25" s="225"/>
      <c r="E25" s="126" t="s">
        <v>2</v>
      </c>
    </row>
    <row r="26" spans="1:9" x14ac:dyDescent="0.2">
      <c r="B26" s="62" t="s">
        <v>82</v>
      </c>
      <c r="C26" s="76" t="s">
        <v>27</v>
      </c>
      <c r="D26" s="174"/>
      <c r="E26" s="172">
        <v>2100.83</v>
      </c>
    </row>
    <row r="27" spans="1:9" x14ac:dyDescent="0.2">
      <c r="B27" s="155" t="s">
        <v>96</v>
      </c>
      <c r="C27" s="124" t="s">
        <v>24</v>
      </c>
      <c r="D27" s="175"/>
      <c r="E27" s="172">
        <v>1920.17</v>
      </c>
    </row>
    <row r="28" spans="1:9" x14ac:dyDescent="0.2">
      <c r="B28" s="155" t="s">
        <v>85</v>
      </c>
      <c r="C28" s="124" t="s">
        <v>76</v>
      </c>
      <c r="D28" s="175"/>
      <c r="E28" s="172">
        <v>752.24</v>
      </c>
    </row>
    <row r="29" spans="1:9" x14ac:dyDescent="0.2">
      <c r="B29" s="155" t="s">
        <v>3</v>
      </c>
      <c r="C29" s="124" t="s">
        <v>25</v>
      </c>
      <c r="D29" s="175"/>
      <c r="E29" s="172">
        <v>837.04</v>
      </c>
    </row>
    <row r="30" spans="1:9" x14ac:dyDescent="0.2">
      <c r="B30" s="29" t="s">
        <v>4</v>
      </c>
      <c r="C30" s="40" t="s">
        <v>23</v>
      </c>
      <c r="D30" s="176"/>
      <c r="E30" s="173">
        <v>927.03</v>
      </c>
    </row>
    <row r="31" spans="1:9" x14ac:dyDescent="0.2">
      <c r="B31" s="29" t="s">
        <v>275</v>
      </c>
      <c r="C31" s="40" t="s">
        <v>276</v>
      </c>
      <c r="D31" s="176"/>
      <c r="E31" s="173">
        <v>475.2</v>
      </c>
    </row>
    <row r="32" spans="1:9" x14ac:dyDescent="0.2">
      <c r="B32" s="261" t="s">
        <v>78</v>
      </c>
      <c r="C32" s="124" t="s">
        <v>79</v>
      </c>
      <c r="D32" s="263"/>
      <c r="E32" s="135">
        <v>990</v>
      </c>
      <c r="F32" s="94"/>
    </row>
    <row r="33" spans="1:9" x14ac:dyDescent="0.2">
      <c r="B33" s="29" t="s">
        <v>210</v>
      </c>
      <c r="C33" s="262" t="s">
        <v>211</v>
      </c>
      <c r="D33" s="300"/>
      <c r="E33" s="139">
        <v>1029.5999999999999</v>
      </c>
      <c r="F33" s="94"/>
    </row>
    <row r="34" spans="1:9" x14ac:dyDescent="0.2">
      <c r="B34" s="261" t="s">
        <v>85</v>
      </c>
      <c r="C34" s="40" t="s">
        <v>205</v>
      </c>
      <c r="D34" s="299"/>
      <c r="E34" s="135">
        <v>792</v>
      </c>
      <c r="F34" s="94"/>
    </row>
    <row r="35" spans="1:9" ht="13.5" thickBot="1" x14ac:dyDescent="0.25">
      <c r="B35" s="264" t="s">
        <v>85</v>
      </c>
      <c r="C35" s="181" t="s">
        <v>66</v>
      </c>
      <c r="D35" s="301"/>
      <c r="E35" s="137">
        <v>500</v>
      </c>
    </row>
    <row r="36" spans="1:9" s="4" customFormat="1" ht="13.5" thickBot="1" x14ac:dyDescent="0.25">
      <c r="B36" s="274"/>
      <c r="C36" s="275"/>
      <c r="D36" s="276"/>
      <c r="E36" s="277">
        <f>SUM(E26:E35)</f>
        <v>10324.109999999999</v>
      </c>
      <c r="F36" s="132"/>
    </row>
    <row r="37" spans="1:9" x14ac:dyDescent="0.2">
      <c r="B37" s="44" t="s">
        <v>104</v>
      </c>
      <c r="C37" s="69" t="s">
        <v>12</v>
      </c>
      <c r="D37" s="69"/>
      <c r="E37" s="139">
        <v>1125</v>
      </c>
    </row>
    <row r="38" spans="1:9" ht="13.5" thickBot="1" x14ac:dyDescent="0.25">
      <c r="B38" s="63" t="s">
        <v>35</v>
      </c>
      <c r="C38" s="133" t="s">
        <v>36</v>
      </c>
      <c r="D38" s="133"/>
      <c r="E38" s="137">
        <v>1000</v>
      </c>
    </row>
    <row r="39" spans="1:9" ht="13.5" thickBot="1" x14ac:dyDescent="0.25">
      <c r="B39" s="11"/>
      <c r="C39" s="134" t="s">
        <v>0</v>
      </c>
      <c r="D39" s="134"/>
      <c r="E39" s="138">
        <f>SUM(E36:E38)</f>
        <v>12449.109999999999</v>
      </c>
    </row>
    <row r="40" spans="1:9" ht="12.75" customHeight="1" x14ac:dyDescent="0.2">
      <c r="B40" s="11"/>
      <c r="C40" s="21"/>
      <c r="D40" s="21"/>
      <c r="E40" s="22"/>
      <c r="F40" s="22"/>
      <c r="G40" s="22"/>
      <c r="H40" s="22"/>
      <c r="I40" s="22"/>
    </row>
    <row r="41" spans="1:9" s="127" customFormat="1" ht="6.75" customHeight="1" x14ac:dyDescent="0.2">
      <c r="B41" s="128"/>
      <c r="C41" s="129"/>
      <c r="D41" s="129"/>
      <c r="E41" s="130"/>
      <c r="F41" s="130"/>
      <c r="G41" s="130"/>
      <c r="H41" s="130"/>
      <c r="I41" s="130"/>
    </row>
    <row r="42" spans="1:9" ht="19.5" customHeight="1" x14ac:dyDescent="0.2">
      <c r="A42" s="163"/>
      <c r="B42" s="122" t="s">
        <v>73</v>
      </c>
      <c r="C42" s="168" t="s">
        <v>271</v>
      </c>
      <c r="D42" s="142"/>
      <c r="E42" s="22"/>
      <c r="F42" s="22"/>
      <c r="G42" s="22"/>
      <c r="H42" s="22"/>
      <c r="I42" s="22"/>
    </row>
    <row r="43" spans="1:9" ht="19.5" customHeight="1" x14ac:dyDescent="0.2">
      <c r="B43" s="122" t="s">
        <v>75</v>
      </c>
      <c r="C43" s="414">
        <v>42599</v>
      </c>
      <c r="D43" s="414"/>
      <c r="E43" s="22"/>
      <c r="F43" s="22"/>
      <c r="G43" s="22"/>
      <c r="H43" s="22"/>
      <c r="I43" s="22"/>
    </row>
    <row r="44" spans="1:9" ht="4.5" customHeight="1" x14ac:dyDescent="0.45">
      <c r="B44" s="2"/>
      <c r="C44" s="41"/>
      <c r="D44" s="41"/>
      <c r="E44" s="415"/>
      <c r="F44" s="415"/>
      <c r="G44" s="3"/>
      <c r="H44" s="4"/>
      <c r="I44" s="4"/>
    </row>
    <row r="45" spans="1:9" s="6" customFormat="1" ht="13.5" thickBot="1" x14ac:dyDescent="0.25">
      <c r="B45" s="123" t="s">
        <v>74</v>
      </c>
      <c r="C45" s="225" t="s">
        <v>1</v>
      </c>
      <c r="D45" s="225"/>
      <c r="E45" s="126" t="s">
        <v>2</v>
      </c>
    </row>
    <row r="46" spans="1:9" x14ac:dyDescent="0.2">
      <c r="B46" s="62" t="s">
        <v>82</v>
      </c>
      <c r="C46" s="76" t="s">
        <v>27</v>
      </c>
      <c r="D46" s="174"/>
      <c r="E46" s="172">
        <v>2899.66</v>
      </c>
    </row>
    <row r="47" spans="1:9" x14ac:dyDescent="0.2">
      <c r="B47" s="155" t="s">
        <v>96</v>
      </c>
      <c r="C47" s="124" t="s">
        <v>24</v>
      </c>
      <c r="D47" s="175"/>
      <c r="E47" s="172">
        <v>1710.79</v>
      </c>
    </row>
    <row r="48" spans="1:9" x14ac:dyDescent="0.2">
      <c r="B48" s="155" t="s">
        <v>85</v>
      </c>
      <c r="C48" s="124" t="s">
        <v>76</v>
      </c>
      <c r="D48" s="175"/>
      <c r="E48" s="172">
        <v>752.24</v>
      </c>
    </row>
    <row r="49" spans="1:9" x14ac:dyDescent="0.2">
      <c r="B49" s="155" t="s">
        <v>3</v>
      </c>
      <c r="C49" s="124" t="s">
        <v>25</v>
      </c>
      <c r="D49" s="175"/>
      <c r="E49" s="172">
        <v>937.04</v>
      </c>
      <c r="F49" s="184"/>
    </row>
    <row r="50" spans="1:9" x14ac:dyDescent="0.2">
      <c r="B50" s="29" t="s">
        <v>4</v>
      </c>
      <c r="C50" s="40" t="s">
        <v>23</v>
      </c>
      <c r="D50" s="176"/>
      <c r="E50" s="173">
        <v>927.03</v>
      </c>
    </row>
    <row r="51" spans="1:9" x14ac:dyDescent="0.2">
      <c r="B51" s="29" t="s">
        <v>275</v>
      </c>
      <c r="C51" s="40" t="s">
        <v>276</v>
      </c>
      <c r="D51" s="176"/>
      <c r="E51" s="173">
        <v>1074.1500000000001</v>
      </c>
    </row>
    <row r="52" spans="1:9" x14ac:dyDescent="0.2">
      <c r="B52" s="261" t="s">
        <v>78</v>
      </c>
      <c r="C52" s="262" t="s">
        <v>79</v>
      </c>
      <c r="D52" s="263"/>
      <c r="E52" s="135">
        <v>1379.81</v>
      </c>
      <c r="F52" s="94"/>
    </row>
    <row r="53" spans="1:9" x14ac:dyDescent="0.2">
      <c r="B53" s="29" t="s">
        <v>210</v>
      </c>
      <c r="C53" s="40" t="s">
        <v>211</v>
      </c>
      <c r="D53" s="300"/>
      <c r="E53" s="139">
        <v>792</v>
      </c>
      <c r="F53" s="94"/>
    </row>
    <row r="54" spans="1:9" x14ac:dyDescent="0.2">
      <c r="B54" s="261" t="s">
        <v>85</v>
      </c>
      <c r="C54" s="124" t="s">
        <v>205</v>
      </c>
      <c r="D54" s="299"/>
      <c r="E54" s="135">
        <v>792</v>
      </c>
      <c r="F54" s="94"/>
    </row>
    <row r="55" spans="1:9" ht="13.5" thickBot="1" x14ac:dyDescent="0.25">
      <c r="B55" s="264" t="s">
        <v>85</v>
      </c>
      <c r="C55" s="181" t="s">
        <v>66</v>
      </c>
      <c r="D55" s="265"/>
      <c r="E55" s="137">
        <v>1014.75</v>
      </c>
      <c r="F55" s="184"/>
    </row>
    <row r="56" spans="1:9" s="4" customFormat="1" ht="13.5" thickBot="1" x14ac:dyDescent="0.25">
      <c r="B56" s="274"/>
      <c r="C56" s="275"/>
      <c r="D56" s="276"/>
      <c r="E56" s="277">
        <f>SUM(E46:E55)</f>
        <v>12279.47</v>
      </c>
      <c r="F56" s="132"/>
    </row>
    <row r="57" spans="1:9" x14ac:dyDescent="0.2">
      <c r="B57" s="44" t="s">
        <v>104</v>
      </c>
      <c r="C57" s="69" t="s">
        <v>12</v>
      </c>
      <c r="D57" s="69"/>
      <c r="E57" s="139">
        <v>1125</v>
      </c>
    </row>
    <row r="58" spans="1:9" ht="13.5" thickBot="1" x14ac:dyDescent="0.25">
      <c r="B58" s="63" t="s">
        <v>35</v>
      </c>
      <c r="C58" s="133" t="s">
        <v>36</v>
      </c>
      <c r="D58" s="133"/>
      <c r="E58" s="137">
        <v>1000</v>
      </c>
    </row>
    <row r="59" spans="1:9" ht="13.5" thickBot="1" x14ac:dyDescent="0.25">
      <c r="B59" s="11"/>
      <c r="C59" s="134" t="s">
        <v>0</v>
      </c>
      <c r="D59" s="134"/>
      <c r="E59" s="138">
        <f>SUM(E56:E58)</f>
        <v>14404.47</v>
      </c>
    </row>
    <row r="60" spans="1:9" ht="12.75" customHeight="1" x14ac:dyDescent="0.2">
      <c r="B60" s="11"/>
      <c r="C60" s="21"/>
      <c r="D60" s="21"/>
      <c r="E60" s="22"/>
      <c r="F60" s="22"/>
      <c r="G60" s="22"/>
      <c r="H60" s="22"/>
      <c r="I60" s="22"/>
    </row>
    <row r="61" spans="1:9" s="127" customFormat="1" ht="6.75" customHeight="1" x14ac:dyDescent="0.2">
      <c r="B61" s="128"/>
      <c r="C61" s="129"/>
      <c r="D61" s="129"/>
      <c r="E61" s="130"/>
      <c r="F61" s="130"/>
      <c r="G61" s="130"/>
      <c r="H61" s="130"/>
      <c r="I61" s="130"/>
    </row>
    <row r="62" spans="1:9" ht="19.5" customHeight="1" x14ac:dyDescent="0.2">
      <c r="A62" s="163"/>
      <c r="B62" s="122" t="s">
        <v>73</v>
      </c>
      <c r="C62" s="168" t="s">
        <v>272</v>
      </c>
      <c r="D62" s="142"/>
      <c r="E62" s="22"/>
      <c r="F62" s="22"/>
      <c r="G62" s="22"/>
      <c r="H62" s="22"/>
      <c r="I62" s="22"/>
    </row>
    <row r="63" spans="1:9" ht="19.5" customHeight="1" x14ac:dyDescent="0.2">
      <c r="B63" s="122" t="s">
        <v>75</v>
      </c>
      <c r="C63" s="414">
        <v>42606</v>
      </c>
      <c r="D63" s="414"/>
      <c r="E63" s="22"/>
      <c r="F63" s="22"/>
      <c r="G63" s="22"/>
      <c r="H63" s="22"/>
      <c r="I63" s="22"/>
    </row>
    <row r="64" spans="1:9" ht="4.5" customHeight="1" x14ac:dyDescent="0.45">
      <c r="B64" s="2"/>
      <c r="C64" s="41"/>
      <c r="D64" s="41"/>
      <c r="E64" s="415"/>
      <c r="F64" s="415"/>
      <c r="G64" s="3"/>
      <c r="H64" s="4"/>
      <c r="I64" s="4"/>
    </row>
    <row r="65" spans="2:7" s="6" customFormat="1" ht="13.5" thickBot="1" x14ac:dyDescent="0.25">
      <c r="B65" s="123" t="s">
        <v>74</v>
      </c>
      <c r="C65" s="225" t="s">
        <v>1</v>
      </c>
      <c r="D65" s="225"/>
      <c r="E65" s="126" t="s">
        <v>2</v>
      </c>
    </row>
    <row r="66" spans="2:7" x14ac:dyDescent="0.2">
      <c r="B66" s="62" t="s">
        <v>82</v>
      </c>
      <c r="C66" s="76" t="s">
        <v>27</v>
      </c>
      <c r="D66" s="174"/>
      <c r="E66" s="172">
        <v>2316.27</v>
      </c>
    </row>
    <row r="67" spans="2:7" x14ac:dyDescent="0.2">
      <c r="B67" s="155" t="s">
        <v>96</v>
      </c>
      <c r="C67" s="124" t="s">
        <v>24</v>
      </c>
      <c r="D67" s="175"/>
      <c r="E67" s="172">
        <v>1738.19</v>
      </c>
    </row>
    <row r="68" spans="2:7" x14ac:dyDescent="0.2">
      <c r="B68" s="155" t="s">
        <v>85</v>
      </c>
      <c r="C68" s="124" t="s">
        <v>76</v>
      </c>
      <c r="D68" s="175"/>
      <c r="E68" s="172">
        <v>752.24</v>
      </c>
      <c r="F68" s="184"/>
    </row>
    <row r="69" spans="2:7" x14ac:dyDescent="0.2">
      <c r="B69" s="155" t="s">
        <v>3</v>
      </c>
      <c r="C69" s="124" t="s">
        <v>25</v>
      </c>
      <c r="D69" s="175"/>
      <c r="E69" s="172">
        <v>837.04</v>
      </c>
      <c r="F69" s="294"/>
      <c r="G69" s="294"/>
    </row>
    <row r="70" spans="2:7" x14ac:dyDescent="0.2">
      <c r="B70" s="29" t="s">
        <v>4</v>
      </c>
      <c r="C70" s="40" t="s">
        <v>23</v>
      </c>
      <c r="D70" s="176"/>
      <c r="E70" s="173">
        <v>927.03</v>
      </c>
      <c r="G70" s="294"/>
    </row>
    <row r="71" spans="2:7" x14ac:dyDescent="0.2">
      <c r="B71" s="29" t="s">
        <v>275</v>
      </c>
      <c r="C71" s="40" t="s">
        <v>276</v>
      </c>
      <c r="D71" s="176"/>
      <c r="E71" s="173">
        <v>851.4</v>
      </c>
    </row>
    <row r="72" spans="2:7" x14ac:dyDescent="0.2">
      <c r="B72" s="261" t="s">
        <v>78</v>
      </c>
      <c r="C72" s="262" t="s">
        <v>79</v>
      </c>
      <c r="D72" s="263"/>
      <c r="E72" s="135">
        <v>990</v>
      </c>
      <c r="F72" s="94"/>
    </row>
    <row r="73" spans="2:7" x14ac:dyDescent="0.2">
      <c r="B73" s="29" t="s">
        <v>210</v>
      </c>
      <c r="C73" s="40" t="s">
        <v>211</v>
      </c>
      <c r="D73" s="300"/>
      <c r="E73" s="139">
        <v>851.4</v>
      </c>
      <c r="F73" s="94"/>
    </row>
    <row r="74" spans="2:7" x14ac:dyDescent="0.2">
      <c r="B74" s="261" t="s">
        <v>85</v>
      </c>
      <c r="C74" s="124" t="s">
        <v>205</v>
      </c>
      <c r="D74" s="299"/>
      <c r="E74" s="135">
        <v>806.85</v>
      </c>
      <c r="F74" s="94"/>
    </row>
    <row r="75" spans="2:7" ht="13.5" thickBot="1" x14ac:dyDescent="0.25">
      <c r="B75" s="264" t="s">
        <v>85</v>
      </c>
      <c r="C75" s="265" t="s">
        <v>66</v>
      </c>
      <c r="D75" s="265"/>
      <c r="E75" s="137">
        <v>405.29</v>
      </c>
    </row>
    <row r="76" spans="2:7" s="4" customFormat="1" ht="13.5" thickBot="1" x14ac:dyDescent="0.25">
      <c r="B76" s="274"/>
      <c r="C76" s="275"/>
      <c r="D76" s="276"/>
      <c r="E76" s="277">
        <f>SUM(E66:E75)</f>
        <v>10475.709999999999</v>
      </c>
      <c r="F76" s="132"/>
    </row>
    <row r="77" spans="2:7" x14ac:dyDescent="0.2">
      <c r="B77" s="44" t="s">
        <v>104</v>
      </c>
      <c r="C77" s="69" t="s">
        <v>12</v>
      </c>
      <c r="D77" s="69"/>
      <c r="E77" s="139">
        <v>1125</v>
      </c>
    </row>
    <row r="78" spans="2:7" ht="13.5" thickBot="1" x14ac:dyDescent="0.25">
      <c r="B78" s="63" t="s">
        <v>35</v>
      </c>
      <c r="C78" s="133" t="s">
        <v>36</v>
      </c>
      <c r="D78" s="133"/>
      <c r="E78" s="137">
        <v>1000</v>
      </c>
    </row>
    <row r="79" spans="2:7" ht="13.5" thickBot="1" x14ac:dyDescent="0.25">
      <c r="B79" s="11"/>
      <c r="C79" s="134" t="s">
        <v>0</v>
      </c>
      <c r="D79" s="134"/>
      <c r="E79" s="138">
        <f>SUM(E76:E78)</f>
        <v>12600.71</v>
      </c>
    </row>
    <row r="80" spans="2:7" x14ac:dyDescent="0.2">
      <c r="B80" s="11"/>
      <c r="C80" s="134"/>
      <c r="D80" s="134"/>
      <c r="E80" s="159"/>
    </row>
    <row r="81" spans="1:9" s="127" customFormat="1" ht="6.75" customHeight="1" x14ac:dyDescent="0.2">
      <c r="B81" s="128"/>
      <c r="C81" s="129"/>
      <c r="D81" s="129"/>
      <c r="E81" s="130"/>
      <c r="F81" s="130"/>
      <c r="G81" s="130"/>
      <c r="H81" s="130"/>
      <c r="I81" s="130"/>
    </row>
    <row r="82" spans="1:9" ht="19.5" customHeight="1" x14ac:dyDescent="0.2">
      <c r="A82" s="163"/>
      <c r="B82" s="122" t="s">
        <v>73</v>
      </c>
      <c r="C82" s="168" t="s">
        <v>100</v>
      </c>
      <c r="D82" s="142"/>
      <c r="E82" s="22"/>
      <c r="F82" s="22"/>
      <c r="G82" s="22"/>
      <c r="H82" s="22"/>
      <c r="I82" s="22"/>
    </row>
    <row r="83" spans="1:9" ht="19.5" customHeight="1" x14ac:dyDescent="0.2">
      <c r="B83" s="122" t="s">
        <v>75</v>
      </c>
      <c r="C83" s="414">
        <v>42613</v>
      </c>
      <c r="D83" s="414"/>
      <c r="E83" s="22"/>
      <c r="F83" s="22"/>
      <c r="G83" s="22"/>
      <c r="H83" s="22"/>
      <c r="I83" s="22"/>
    </row>
    <row r="84" spans="1:9" ht="4.5" customHeight="1" x14ac:dyDescent="0.45">
      <c r="B84" s="2"/>
      <c r="C84" s="41"/>
      <c r="D84" s="41"/>
      <c r="E84" s="415"/>
      <c r="F84" s="415"/>
      <c r="G84" s="3"/>
      <c r="H84" s="4"/>
      <c r="I84" s="4"/>
    </row>
    <row r="85" spans="1:9" s="6" customFormat="1" ht="13.5" thickBot="1" x14ac:dyDescent="0.25">
      <c r="B85" s="123" t="s">
        <v>74</v>
      </c>
      <c r="C85" s="225" t="s">
        <v>1</v>
      </c>
      <c r="D85" s="225"/>
      <c r="E85" s="126" t="s">
        <v>2</v>
      </c>
    </row>
    <row r="86" spans="1:9" x14ac:dyDescent="0.2">
      <c r="B86" s="62" t="s">
        <v>82</v>
      </c>
      <c r="C86" s="76" t="s">
        <v>27</v>
      </c>
      <c r="D86" s="174"/>
      <c r="E86" s="172">
        <v>2428.61</v>
      </c>
    </row>
    <row r="87" spans="1:9" x14ac:dyDescent="0.2">
      <c r="B87" s="155" t="s">
        <v>96</v>
      </c>
      <c r="C87" s="124" t="s">
        <v>24</v>
      </c>
      <c r="D87" s="175"/>
      <c r="E87" s="172">
        <v>2157.56</v>
      </c>
    </row>
    <row r="88" spans="1:9" x14ac:dyDescent="0.2">
      <c r="B88" s="155" t="s">
        <v>85</v>
      </c>
      <c r="C88" s="124" t="s">
        <v>76</v>
      </c>
      <c r="D88" s="175"/>
      <c r="E88" s="172">
        <v>808.67</v>
      </c>
      <c r="F88" s="184"/>
    </row>
    <row r="89" spans="1:9" x14ac:dyDescent="0.2">
      <c r="B89" s="155" t="s">
        <v>3</v>
      </c>
      <c r="C89" s="124" t="s">
        <v>25</v>
      </c>
      <c r="D89" s="175"/>
      <c r="E89" s="172">
        <v>1122.1600000000001</v>
      </c>
      <c r="F89" s="294"/>
      <c r="G89" s="294"/>
    </row>
    <row r="90" spans="1:9" x14ac:dyDescent="0.2">
      <c r="B90" s="29" t="s">
        <v>4</v>
      </c>
      <c r="C90" s="40" t="s">
        <v>23</v>
      </c>
      <c r="D90" s="176"/>
      <c r="E90" s="173">
        <v>927.03</v>
      </c>
      <c r="G90" s="294"/>
    </row>
    <row r="91" spans="1:9" x14ac:dyDescent="0.2">
      <c r="B91" s="29" t="s">
        <v>275</v>
      </c>
      <c r="C91" s="40" t="s">
        <v>276</v>
      </c>
      <c r="D91" s="176"/>
      <c r="E91" s="173">
        <v>1029.5999999999999</v>
      </c>
    </row>
    <row r="92" spans="1:9" x14ac:dyDescent="0.2">
      <c r="B92" s="261" t="s">
        <v>78</v>
      </c>
      <c r="C92" s="262" t="s">
        <v>79</v>
      </c>
      <c r="D92" s="263"/>
      <c r="E92" s="135">
        <v>990</v>
      </c>
      <c r="F92" s="94"/>
    </row>
    <row r="93" spans="1:9" x14ac:dyDescent="0.2">
      <c r="B93" s="29" t="s">
        <v>210</v>
      </c>
      <c r="C93" s="40" t="s">
        <v>211</v>
      </c>
      <c r="D93" s="300"/>
      <c r="E93" s="139">
        <v>1029.5999999999999</v>
      </c>
      <c r="F93" s="94"/>
    </row>
    <row r="94" spans="1:9" x14ac:dyDescent="0.2">
      <c r="B94" s="261" t="s">
        <v>85</v>
      </c>
      <c r="C94" s="124" t="s">
        <v>205</v>
      </c>
      <c r="D94" s="299"/>
      <c r="E94" s="139">
        <v>1029.5999999999999</v>
      </c>
      <c r="F94" s="94"/>
    </row>
    <row r="95" spans="1:9" ht="13.5" thickBot="1" x14ac:dyDescent="0.25">
      <c r="B95" s="264" t="s">
        <v>85</v>
      </c>
      <c r="C95" s="265" t="s">
        <v>66</v>
      </c>
      <c r="D95" s="265"/>
      <c r="E95" s="137">
        <v>643.5</v>
      </c>
    </row>
    <row r="96" spans="1:9" ht="13.5" thickBot="1" x14ac:dyDescent="0.25">
      <c r="B96" s="11"/>
      <c r="C96" s="134" t="s">
        <v>0</v>
      </c>
      <c r="D96" s="134"/>
      <c r="E96" s="138">
        <f>SUM(E86:E95)</f>
        <v>12166.33</v>
      </c>
    </row>
    <row r="97" spans="1:9" ht="12.75" customHeight="1" x14ac:dyDescent="0.2">
      <c r="B97" s="11"/>
      <c r="C97" s="21"/>
      <c r="D97" s="21"/>
      <c r="E97" s="22"/>
      <c r="F97" s="22"/>
      <c r="G97" s="22"/>
      <c r="H97" s="22"/>
      <c r="I97" s="22"/>
    </row>
    <row r="98" spans="1:9" s="7" customFormat="1" ht="13.15" customHeight="1" x14ac:dyDescent="0.2">
      <c r="A98" s="32" t="s">
        <v>13</v>
      </c>
      <c r="B98" s="33" t="s">
        <v>14</v>
      </c>
      <c r="C98" s="33"/>
      <c r="D98" s="140">
        <v>9000</v>
      </c>
      <c r="E98" s="178" t="s">
        <v>148</v>
      </c>
      <c r="F98" s="32"/>
      <c r="G98" s="33" t="s">
        <v>40</v>
      </c>
      <c r="H98" s="140">
        <v>5000</v>
      </c>
      <c r="I98" s="140"/>
    </row>
    <row r="99" spans="1:9" s="7" customFormat="1" ht="13.15" customHeight="1" x14ac:dyDescent="0.2">
      <c r="A99" s="32" t="s">
        <v>15</v>
      </c>
      <c r="B99" s="33" t="s">
        <v>42</v>
      </c>
      <c r="C99" s="33"/>
      <c r="D99" s="140"/>
      <c r="E99" s="178"/>
      <c r="F99" s="32" t="s">
        <v>21</v>
      </c>
      <c r="G99" s="33" t="s">
        <v>22</v>
      </c>
      <c r="H99" s="140">
        <v>5000</v>
      </c>
      <c r="I99" s="330" t="s">
        <v>148</v>
      </c>
    </row>
    <row r="100" spans="1:9" s="7" customFormat="1" ht="13.15" customHeight="1" x14ac:dyDescent="0.2">
      <c r="A100" s="32" t="s">
        <v>16</v>
      </c>
      <c r="B100" s="33" t="s">
        <v>17</v>
      </c>
      <c r="C100" s="33"/>
      <c r="D100" s="140">
        <v>311.83999999999997</v>
      </c>
      <c r="E100" s="178" t="s">
        <v>148</v>
      </c>
      <c r="F100" s="32" t="s">
        <v>15</v>
      </c>
      <c r="G100" s="33" t="s">
        <v>41</v>
      </c>
      <c r="H100" s="140">
        <v>1020</v>
      </c>
      <c r="I100" s="143"/>
    </row>
    <row r="101" spans="1:9" s="7" customFormat="1" ht="13.15" customHeight="1" x14ac:dyDescent="0.2">
      <c r="A101" s="32" t="s">
        <v>93</v>
      </c>
      <c r="B101" s="33" t="s">
        <v>94</v>
      </c>
      <c r="C101" s="33"/>
      <c r="D101" s="140">
        <v>472.63</v>
      </c>
      <c r="E101" s="178" t="s">
        <v>148</v>
      </c>
      <c r="F101" s="32" t="s">
        <v>54</v>
      </c>
      <c r="G101" s="33" t="s">
        <v>56</v>
      </c>
      <c r="H101" s="140">
        <v>500</v>
      </c>
      <c r="I101" s="330" t="s">
        <v>148</v>
      </c>
    </row>
    <row r="102" spans="1:9" s="7" customFormat="1" ht="13.15" customHeight="1" x14ac:dyDescent="0.2">
      <c r="A102" s="32" t="s">
        <v>93</v>
      </c>
      <c r="B102" s="33" t="s">
        <v>95</v>
      </c>
      <c r="C102" s="33"/>
      <c r="D102" s="140">
        <v>86.94</v>
      </c>
      <c r="E102" s="178" t="s">
        <v>148</v>
      </c>
      <c r="F102" s="32" t="s">
        <v>55</v>
      </c>
      <c r="G102" s="33" t="s">
        <v>57</v>
      </c>
      <c r="H102" s="140">
        <v>500</v>
      </c>
      <c r="I102" s="330" t="s">
        <v>148</v>
      </c>
    </row>
    <row r="103" spans="1:9" s="7" customFormat="1" ht="13.15" customHeight="1" x14ac:dyDescent="0.2">
      <c r="A103" s="32" t="s">
        <v>19</v>
      </c>
      <c r="B103" s="33" t="s">
        <v>20</v>
      </c>
      <c r="C103" s="140"/>
      <c r="D103" s="140">
        <v>8000</v>
      </c>
      <c r="E103" s="178" t="s">
        <v>148</v>
      </c>
      <c r="F103" s="32" t="s">
        <v>16</v>
      </c>
      <c r="G103" s="33" t="s">
        <v>28</v>
      </c>
      <c r="H103" s="140">
        <v>12000</v>
      </c>
      <c r="I103" s="330" t="s">
        <v>148</v>
      </c>
    </row>
    <row r="104" spans="1:9" s="7" customFormat="1" ht="13.15" customHeight="1" thickBot="1" x14ac:dyDescent="0.25">
      <c r="A104" s="32" t="s">
        <v>18</v>
      </c>
      <c r="B104" s="33" t="s">
        <v>45</v>
      </c>
      <c r="C104" s="140"/>
      <c r="D104" s="140">
        <v>1000</v>
      </c>
      <c r="E104" s="140"/>
      <c r="F104" s="70" t="s">
        <v>38</v>
      </c>
      <c r="G104" s="33" t="s">
        <v>29</v>
      </c>
      <c r="H104" s="141">
        <v>11000</v>
      </c>
      <c r="I104" s="330" t="s">
        <v>148</v>
      </c>
    </row>
    <row r="105" spans="1:9" s="7" customFormat="1" ht="13.15" customHeight="1" thickTop="1" thickBot="1" x14ac:dyDescent="0.25">
      <c r="B105" s="212"/>
      <c r="C105" s="33"/>
      <c r="D105" s="213"/>
      <c r="E105" s="140"/>
      <c r="F105" s="34"/>
      <c r="G105" s="33"/>
      <c r="H105" s="162">
        <f>SUM(H98:H104)+SUM(D98:D105)</f>
        <v>53891.41</v>
      </c>
      <c r="I105" s="162"/>
    </row>
    <row r="106" spans="1:9" s="7" customFormat="1" ht="13.15" customHeight="1" thickBot="1" x14ac:dyDescent="0.25">
      <c r="B106" s="32"/>
      <c r="C106" s="33"/>
      <c r="D106" s="9"/>
      <c r="E106" s="140"/>
      <c r="F106" s="34"/>
      <c r="G106" s="145" t="s">
        <v>5</v>
      </c>
      <c r="H106" s="146">
        <f>E96+H105</f>
        <v>66057.740000000005</v>
      </c>
      <c r="I106" s="162"/>
    </row>
    <row r="107" spans="1:9" s="7" customFormat="1" ht="13.15" customHeight="1" x14ac:dyDescent="0.2">
      <c r="B107" s="32"/>
      <c r="C107" s="33"/>
      <c r="D107" s="8"/>
      <c r="E107" s="9"/>
      <c r="F107" s="9"/>
      <c r="G107" s="9"/>
      <c r="H107" s="9"/>
      <c r="I107" s="162"/>
    </row>
    <row r="108" spans="1:9" s="7" customFormat="1" ht="13.15" customHeight="1" x14ac:dyDescent="0.2">
      <c r="A108" s="9"/>
      <c r="B108" s="10"/>
      <c r="C108" s="9"/>
      <c r="D108" s="8"/>
      <c r="E108" s="9"/>
      <c r="F108" s="9"/>
      <c r="G108" s="9"/>
      <c r="H108" s="9"/>
      <c r="I108" s="162"/>
    </row>
    <row r="109" spans="1:9" s="7" customFormat="1" ht="13.15" customHeight="1" x14ac:dyDescent="0.2">
      <c r="A109" s="9"/>
      <c r="B109" s="10"/>
      <c r="C109" s="8"/>
      <c r="D109" s="8"/>
      <c r="E109" s="9"/>
      <c r="F109" s="9"/>
      <c r="G109" s="9"/>
      <c r="H109" s="9"/>
      <c r="I109" s="162"/>
    </row>
    <row r="110" spans="1:9" s="7" customFormat="1" ht="13.15" customHeight="1" x14ac:dyDescent="0.2">
      <c r="A110" s="9"/>
      <c r="B110" s="10"/>
      <c r="C110" s="8"/>
      <c r="D110" s="8"/>
      <c r="E110" s="9"/>
      <c r="F110" s="9"/>
      <c r="G110" s="9"/>
      <c r="H110" s="9"/>
      <c r="I110" s="162"/>
    </row>
    <row r="111" spans="1:9" s="7" customFormat="1" ht="13.15" customHeight="1" x14ac:dyDescent="0.2">
      <c r="A111" s="9"/>
      <c r="B111" s="10"/>
      <c r="C111" s="8"/>
      <c r="D111" s="8"/>
      <c r="E111" s="9"/>
      <c r="F111" s="9"/>
      <c r="G111" s="9"/>
      <c r="H111" s="9"/>
      <c r="I111" s="162"/>
    </row>
    <row r="112" spans="1:9" s="9" customFormat="1" ht="12" x14ac:dyDescent="0.2">
      <c r="B112" s="10"/>
      <c r="C112" s="8"/>
    </row>
    <row r="113" spans="1:9" s="9" customFormat="1" ht="12" x14ac:dyDescent="0.2">
      <c r="B113" s="10"/>
      <c r="C113" s="8"/>
    </row>
    <row r="114" spans="1:9" s="9" customFormat="1" ht="12" x14ac:dyDescent="0.2">
      <c r="B114" s="10"/>
      <c r="C114" s="8"/>
    </row>
    <row r="115" spans="1:9" s="9" customFormat="1" ht="12" x14ac:dyDescent="0.2">
      <c r="B115" s="10"/>
    </row>
    <row r="116" spans="1:9" s="9" customFormat="1" ht="12" x14ac:dyDescent="0.2">
      <c r="B116" s="10"/>
    </row>
    <row r="117" spans="1:9" s="9" customFormat="1" ht="12" x14ac:dyDescent="0.2">
      <c r="B117" s="10"/>
    </row>
    <row r="118" spans="1:9" s="9" customFormat="1" x14ac:dyDescent="0.2">
      <c r="B118" s="10"/>
      <c r="D118" s="5"/>
    </row>
    <row r="119" spans="1:9" s="9" customFormat="1" x14ac:dyDescent="0.2">
      <c r="B119" s="10"/>
      <c r="D119" s="5"/>
    </row>
    <row r="120" spans="1:9" s="9" customFormat="1" x14ac:dyDescent="0.2">
      <c r="B120" s="10"/>
      <c r="D120" s="5"/>
      <c r="E120" s="5"/>
      <c r="F120" s="5"/>
      <c r="G120" s="5"/>
      <c r="H120" s="5"/>
    </row>
    <row r="121" spans="1:9" s="9" customFormat="1" x14ac:dyDescent="0.2">
      <c r="B121" s="12"/>
      <c r="C121" s="5"/>
      <c r="D121" s="5"/>
      <c r="E121" s="5"/>
      <c r="F121" s="5"/>
      <c r="G121" s="5"/>
      <c r="H121" s="5"/>
    </row>
    <row r="122" spans="1:9" s="9" customFormat="1" x14ac:dyDescent="0.2">
      <c r="B122" s="12"/>
      <c r="C122" s="5"/>
      <c r="D122" s="5"/>
      <c r="E122" s="5"/>
      <c r="F122" s="5"/>
      <c r="G122" s="5"/>
      <c r="H122" s="5"/>
    </row>
    <row r="123" spans="1:9" s="9" customFormat="1" x14ac:dyDescent="0.2">
      <c r="B123" s="12"/>
      <c r="C123" s="5"/>
      <c r="D123" s="5"/>
      <c r="E123" s="5"/>
      <c r="F123" s="5"/>
      <c r="G123" s="5"/>
      <c r="H123" s="5"/>
    </row>
    <row r="124" spans="1:9" s="9" customFormat="1" x14ac:dyDescent="0.2">
      <c r="B124" s="12"/>
      <c r="C124" s="5"/>
      <c r="D124" s="5"/>
      <c r="E124" s="5"/>
      <c r="F124" s="5"/>
      <c r="G124" s="5"/>
      <c r="H124" s="5"/>
    </row>
    <row r="125" spans="1:9" s="9" customFormat="1" x14ac:dyDescent="0.2">
      <c r="A125" s="5"/>
      <c r="B125" s="12"/>
      <c r="C125" s="5"/>
      <c r="D125" s="5"/>
      <c r="E125" s="5"/>
      <c r="F125" s="5"/>
      <c r="G125" s="5"/>
      <c r="H125" s="5"/>
      <c r="I125" s="5"/>
    </row>
    <row r="126" spans="1:9" s="9" customFormat="1" x14ac:dyDescent="0.2">
      <c r="A126" s="5"/>
      <c r="B126" s="12"/>
      <c r="C126" s="5"/>
      <c r="D126" s="5"/>
      <c r="E126" s="5"/>
      <c r="F126" s="5"/>
      <c r="G126" s="5"/>
      <c r="H126" s="5"/>
      <c r="I126" s="5"/>
    </row>
    <row r="127" spans="1:9" s="9" customFormat="1" x14ac:dyDescent="0.2">
      <c r="A127" s="5"/>
      <c r="B127" s="12"/>
      <c r="C127" s="5"/>
      <c r="D127" s="5"/>
      <c r="E127" s="5"/>
      <c r="F127" s="5"/>
      <c r="G127" s="5"/>
      <c r="H127" s="5"/>
      <c r="I127" s="5"/>
    </row>
    <row r="128" spans="1:9" s="9" customFormat="1" x14ac:dyDescent="0.2">
      <c r="A128" s="5"/>
      <c r="B128" s="12"/>
      <c r="C128" s="5"/>
      <c r="D128" s="5"/>
      <c r="E128" s="5"/>
      <c r="F128" s="5"/>
      <c r="G128" s="5"/>
      <c r="H128" s="5"/>
      <c r="I128" s="5"/>
    </row>
  </sheetData>
  <mergeCells count="11">
    <mergeCell ref="E44:F44"/>
    <mergeCell ref="C83:D83"/>
    <mergeCell ref="E84:F84"/>
    <mergeCell ref="C63:D63"/>
    <mergeCell ref="E64:F64"/>
    <mergeCell ref="C43:D43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opLeftCell="A40" zoomScaleNormal="100" workbookViewId="0">
      <selection activeCell="G55" sqref="G55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418" t="s">
        <v>288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59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42620</v>
      </c>
      <c r="D4" s="416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7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G6" s="123"/>
      <c r="H6" s="123"/>
      <c r="I6" s="97"/>
    </row>
    <row r="7" spans="1:9" x14ac:dyDescent="0.2">
      <c r="B7" s="62" t="s">
        <v>82</v>
      </c>
      <c r="C7" s="76" t="s">
        <v>27</v>
      </c>
      <c r="D7" s="174"/>
      <c r="E7" s="172">
        <v>2659.89</v>
      </c>
      <c r="F7" s="294"/>
      <c r="G7" s="164"/>
      <c r="H7" s="165"/>
      <c r="I7" s="4"/>
    </row>
    <row r="8" spans="1:9" x14ac:dyDescent="0.2">
      <c r="B8" s="155" t="s">
        <v>96</v>
      </c>
      <c r="C8" s="124" t="s">
        <v>24</v>
      </c>
      <c r="D8" s="175"/>
      <c r="E8" s="172">
        <v>1983.86</v>
      </c>
      <c r="G8" s="228"/>
      <c r="H8" s="165"/>
      <c r="I8" s="4"/>
    </row>
    <row r="9" spans="1:9" x14ac:dyDescent="0.2">
      <c r="B9" s="155" t="s">
        <v>85</v>
      </c>
      <c r="C9" s="124" t="s">
        <v>76</v>
      </c>
      <c r="D9" s="175"/>
      <c r="E9" s="172">
        <v>752.24</v>
      </c>
      <c r="G9" s="294"/>
      <c r="H9" s="165"/>
      <c r="I9" s="4"/>
    </row>
    <row r="10" spans="1:9" x14ac:dyDescent="0.2">
      <c r="B10" s="155" t="s">
        <v>3</v>
      </c>
      <c r="C10" s="124" t="s">
        <v>25</v>
      </c>
      <c r="D10" s="175"/>
      <c r="E10" s="172">
        <v>1122.1600000000001</v>
      </c>
      <c r="G10" s="294"/>
      <c r="H10" s="165"/>
      <c r="I10" s="4"/>
    </row>
    <row r="11" spans="1:9" x14ac:dyDescent="0.2">
      <c r="B11" s="29" t="s">
        <v>4</v>
      </c>
      <c r="C11" s="40" t="s">
        <v>23</v>
      </c>
      <c r="D11" s="176"/>
      <c r="E11" s="173">
        <v>927.03</v>
      </c>
      <c r="G11" s="164"/>
      <c r="H11" s="165"/>
      <c r="I11" s="4"/>
    </row>
    <row r="12" spans="1:9" x14ac:dyDescent="0.2">
      <c r="B12" s="29" t="s">
        <v>275</v>
      </c>
      <c r="C12" s="40" t="s">
        <v>276</v>
      </c>
      <c r="D12" s="176"/>
      <c r="E12" s="173">
        <v>1029.5999999999999</v>
      </c>
    </row>
    <row r="13" spans="1:9" x14ac:dyDescent="0.2">
      <c r="B13" s="29" t="s">
        <v>78</v>
      </c>
      <c r="C13" s="40" t="s">
        <v>79</v>
      </c>
      <c r="D13" s="176"/>
      <c r="E13" s="135">
        <v>792</v>
      </c>
      <c r="F13" s="94"/>
      <c r="G13" s="4"/>
      <c r="H13" s="165"/>
      <c r="I13" s="4"/>
    </row>
    <row r="14" spans="1:9" x14ac:dyDescent="0.2">
      <c r="B14" s="29" t="s">
        <v>210</v>
      </c>
      <c r="C14" s="40" t="s">
        <v>211</v>
      </c>
      <c r="D14" s="300"/>
      <c r="E14" s="139">
        <v>851.4</v>
      </c>
      <c r="F14" s="94"/>
    </row>
    <row r="15" spans="1:9" x14ac:dyDescent="0.2">
      <c r="B15" s="261" t="s">
        <v>85</v>
      </c>
      <c r="C15" s="262" t="s">
        <v>205</v>
      </c>
      <c r="D15" s="299"/>
      <c r="E15" s="135">
        <v>1029.5999999999999</v>
      </c>
      <c r="F15" s="94"/>
      <c r="G15" s="4"/>
      <c r="H15" s="165"/>
      <c r="I15" s="4"/>
    </row>
    <row r="16" spans="1:9" ht="13.5" thickBot="1" x14ac:dyDescent="0.25">
      <c r="B16" s="264" t="s">
        <v>85</v>
      </c>
      <c r="C16" s="265" t="s">
        <v>66</v>
      </c>
      <c r="D16" s="265"/>
      <c r="E16" s="137">
        <v>1029.5999999999999</v>
      </c>
      <c r="G16" s="4"/>
      <c r="H16" s="165"/>
      <c r="I16" s="4"/>
    </row>
    <row r="17" spans="1:9" ht="14.25" thickTop="1" thickBot="1" x14ac:dyDescent="0.25">
      <c r="B17" s="270"/>
      <c r="C17" s="285"/>
      <c r="D17" s="286"/>
      <c r="E17" s="267">
        <f>SUM(E7:E16)</f>
        <v>12177.38</v>
      </c>
      <c r="G17" s="4"/>
      <c r="H17" s="165"/>
      <c r="I17" s="4"/>
    </row>
    <row r="18" spans="1:9" x14ac:dyDescent="0.2">
      <c r="B18" s="268" t="s">
        <v>104</v>
      </c>
      <c r="C18" s="269" t="s">
        <v>12</v>
      </c>
      <c r="D18" s="269"/>
      <c r="E18" s="139">
        <v>1125</v>
      </c>
      <c r="G18" s="4"/>
      <c r="H18" s="165"/>
      <c r="I18" s="4"/>
    </row>
    <row r="19" spans="1:9" ht="13.5" thickBot="1" x14ac:dyDescent="0.25">
      <c r="B19" s="63" t="s">
        <v>35</v>
      </c>
      <c r="C19" s="133" t="s">
        <v>36</v>
      </c>
      <c r="D19" s="133"/>
      <c r="E19" s="137">
        <v>1000</v>
      </c>
      <c r="G19" s="4"/>
      <c r="H19" s="165"/>
      <c r="I19" s="4"/>
    </row>
    <row r="20" spans="1:9" ht="13.5" thickBot="1" x14ac:dyDescent="0.25">
      <c r="B20" s="11"/>
      <c r="C20" s="134" t="s">
        <v>0</v>
      </c>
      <c r="D20" s="134"/>
      <c r="E20" s="138">
        <f>SUM(E17:E19)</f>
        <v>14302.38</v>
      </c>
      <c r="G20" s="166"/>
      <c r="H20" s="165"/>
      <c r="I20" s="4"/>
    </row>
    <row r="21" spans="1:9" x14ac:dyDescent="0.2">
      <c r="B21" s="11"/>
      <c r="C21" s="134"/>
      <c r="D21" s="134"/>
      <c r="E21" s="159"/>
      <c r="G21" s="166"/>
      <c r="H21" s="165"/>
      <c r="I21" s="4"/>
    </row>
    <row r="22" spans="1:9" s="127" customFormat="1" ht="6.75" customHeight="1" x14ac:dyDescent="0.2">
      <c r="B22" s="128"/>
      <c r="C22" s="129"/>
      <c r="D22" s="129"/>
      <c r="E22" s="130"/>
      <c r="F22" s="130"/>
      <c r="G22" s="130"/>
      <c r="H22" s="130"/>
      <c r="I22" s="130"/>
    </row>
    <row r="23" spans="1:9" ht="19.5" customHeight="1" x14ac:dyDescent="0.2">
      <c r="A23" s="163"/>
      <c r="B23" s="122" t="s">
        <v>73</v>
      </c>
      <c r="C23" s="168" t="s">
        <v>118</v>
      </c>
      <c r="D23" s="142"/>
      <c r="E23" s="22"/>
      <c r="F23" s="22"/>
      <c r="G23" s="22"/>
      <c r="H23" s="22"/>
      <c r="I23" s="22"/>
    </row>
    <row r="24" spans="1:9" ht="19.5" customHeight="1" x14ac:dyDescent="0.2">
      <c r="B24" s="122" t="s">
        <v>75</v>
      </c>
      <c r="C24" s="414">
        <v>42627</v>
      </c>
      <c r="D24" s="414"/>
      <c r="E24" s="22"/>
      <c r="F24" s="22"/>
      <c r="G24" s="22"/>
      <c r="H24" s="22"/>
      <c r="I24" s="22"/>
    </row>
    <row r="25" spans="1:9" ht="4.5" customHeight="1" x14ac:dyDescent="0.45">
      <c r="B25" s="2"/>
      <c r="C25" s="41"/>
      <c r="D25" s="41"/>
      <c r="E25" s="415"/>
      <c r="F25" s="415"/>
      <c r="G25" s="3"/>
      <c r="H25" s="4"/>
      <c r="I25" s="4"/>
    </row>
    <row r="26" spans="1:9" s="6" customFormat="1" ht="13.5" thickBot="1" x14ac:dyDescent="0.25">
      <c r="B26" s="123" t="s">
        <v>74</v>
      </c>
      <c r="C26" s="225" t="s">
        <v>1</v>
      </c>
      <c r="D26" s="225"/>
      <c r="E26" s="126" t="s">
        <v>2</v>
      </c>
    </row>
    <row r="27" spans="1:9" x14ac:dyDescent="0.2">
      <c r="B27" s="62" t="s">
        <v>82</v>
      </c>
      <c r="C27" s="76" t="s">
        <v>27</v>
      </c>
      <c r="D27" s="174"/>
      <c r="E27" s="172">
        <v>2918.06</v>
      </c>
    </row>
    <row r="28" spans="1:9" x14ac:dyDescent="0.2">
      <c r="B28" s="155" t="s">
        <v>96</v>
      </c>
      <c r="C28" s="124" t="s">
        <v>24</v>
      </c>
      <c r="D28" s="175"/>
      <c r="E28" s="172">
        <v>1901.99</v>
      </c>
    </row>
    <row r="29" spans="1:9" x14ac:dyDescent="0.2">
      <c r="B29" s="155" t="s">
        <v>85</v>
      </c>
      <c r="C29" s="124" t="s">
        <v>76</v>
      </c>
      <c r="D29" s="175"/>
      <c r="E29" s="172">
        <v>752.24</v>
      </c>
    </row>
    <row r="30" spans="1:9" x14ac:dyDescent="0.2">
      <c r="B30" s="155" t="s">
        <v>3</v>
      </c>
      <c r="C30" s="124" t="s">
        <v>25</v>
      </c>
      <c r="D30" s="175"/>
      <c r="E30" s="172">
        <v>1336</v>
      </c>
    </row>
    <row r="31" spans="1:9" x14ac:dyDescent="0.2">
      <c r="B31" s="29" t="s">
        <v>4</v>
      </c>
      <c r="C31" s="40" t="s">
        <v>23</v>
      </c>
      <c r="D31" s="176"/>
      <c r="E31" s="173">
        <v>927.03</v>
      </c>
    </row>
    <row r="32" spans="1:9" x14ac:dyDescent="0.2">
      <c r="B32" s="29" t="s">
        <v>275</v>
      </c>
      <c r="C32" s="40" t="s">
        <v>276</v>
      </c>
      <c r="D32" s="176"/>
      <c r="E32" s="173">
        <v>1237.5</v>
      </c>
    </row>
    <row r="33" spans="1:9" x14ac:dyDescent="0.2">
      <c r="B33" s="261" t="s">
        <v>78</v>
      </c>
      <c r="C33" s="124" t="s">
        <v>79</v>
      </c>
      <c r="D33" s="263"/>
      <c r="E33" s="135">
        <v>990</v>
      </c>
      <c r="F33" s="94"/>
    </row>
    <row r="34" spans="1:9" x14ac:dyDescent="0.2">
      <c r="B34" s="29" t="s">
        <v>210</v>
      </c>
      <c r="C34" s="262" t="s">
        <v>211</v>
      </c>
      <c r="D34" s="300"/>
      <c r="E34" s="139">
        <v>1237.5</v>
      </c>
      <c r="F34" s="94"/>
    </row>
    <row r="35" spans="1:9" x14ac:dyDescent="0.2">
      <c r="B35" s="261" t="s">
        <v>85</v>
      </c>
      <c r="C35" s="40" t="s">
        <v>205</v>
      </c>
      <c r="D35" s="299"/>
      <c r="E35" s="135">
        <v>792</v>
      </c>
      <c r="F35" s="94"/>
    </row>
    <row r="36" spans="1:9" ht="13.5" thickBot="1" x14ac:dyDescent="0.25">
      <c r="B36" s="264" t="s">
        <v>85</v>
      </c>
      <c r="C36" s="181" t="s">
        <v>66</v>
      </c>
      <c r="D36" s="301"/>
      <c r="E36" s="137">
        <v>1207.8</v>
      </c>
    </row>
    <row r="37" spans="1:9" s="4" customFormat="1" ht="13.5" thickBot="1" x14ac:dyDescent="0.25">
      <c r="B37" s="274"/>
      <c r="C37" s="275"/>
      <c r="D37" s="276"/>
      <c r="E37" s="277">
        <f>SUM(E27:E36)</f>
        <v>13300.119999999999</v>
      </c>
      <c r="F37" s="132"/>
    </row>
    <row r="38" spans="1:9" x14ac:dyDescent="0.2">
      <c r="B38" s="44" t="s">
        <v>104</v>
      </c>
      <c r="C38" s="69" t="s">
        <v>12</v>
      </c>
      <c r="D38" s="69"/>
      <c r="E38" s="139">
        <v>1125</v>
      </c>
    </row>
    <row r="39" spans="1:9" ht="13.5" thickBot="1" x14ac:dyDescent="0.25">
      <c r="B39" s="63" t="s">
        <v>35</v>
      </c>
      <c r="C39" s="133" t="s">
        <v>36</v>
      </c>
      <c r="D39" s="133"/>
      <c r="E39" s="137">
        <v>1000</v>
      </c>
    </row>
    <row r="40" spans="1:9" ht="13.5" thickBot="1" x14ac:dyDescent="0.25">
      <c r="B40" s="11"/>
      <c r="C40" s="134" t="s">
        <v>0</v>
      </c>
      <c r="D40" s="134"/>
      <c r="E40" s="138">
        <f>SUM(E37:E39)</f>
        <v>15425.119999999999</v>
      </c>
    </row>
    <row r="41" spans="1:9" ht="12.75" customHeight="1" x14ac:dyDescent="0.2">
      <c r="B41" s="11"/>
      <c r="C41" s="21"/>
      <c r="D41" s="21"/>
      <c r="E41" s="22"/>
      <c r="F41" s="22"/>
      <c r="G41" s="22"/>
      <c r="H41" s="22"/>
      <c r="I41" s="22"/>
    </row>
    <row r="42" spans="1:9" s="127" customFormat="1" ht="6.75" customHeight="1" x14ac:dyDescent="0.2">
      <c r="B42" s="128"/>
      <c r="C42" s="129"/>
      <c r="D42" s="129"/>
      <c r="E42" s="130"/>
      <c r="F42" s="130"/>
      <c r="G42" s="130"/>
      <c r="H42" s="130"/>
      <c r="I42" s="130"/>
    </row>
    <row r="43" spans="1:9" ht="19.5" customHeight="1" x14ac:dyDescent="0.2">
      <c r="A43" s="163"/>
      <c r="B43" s="122" t="s">
        <v>73</v>
      </c>
      <c r="C43" s="168" t="s">
        <v>50</v>
      </c>
      <c r="D43" s="142"/>
      <c r="E43" s="22"/>
      <c r="F43" s="22"/>
      <c r="G43" s="22"/>
      <c r="H43" s="22"/>
      <c r="I43" s="22"/>
    </row>
    <row r="44" spans="1:9" ht="19.5" customHeight="1" x14ac:dyDescent="0.2">
      <c r="B44" s="122" t="s">
        <v>75</v>
      </c>
      <c r="C44" s="414">
        <v>42634</v>
      </c>
      <c r="D44" s="414"/>
      <c r="E44" s="22"/>
      <c r="F44" s="22"/>
      <c r="G44" s="22"/>
      <c r="H44" s="22"/>
      <c r="I44" s="22"/>
    </row>
    <row r="45" spans="1:9" ht="4.5" customHeight="1" x14ac:dyDescent="0.45">
      <c r="B45" s="2"/>
      <c r="C45" s="41"/>
      <c r="D45" s="41"/>
      <c r="E45" s="415"/>
      <c r="F45" s="415"/>
      <c r="G45" s="3"/>
      <c r="H45" s="4"/>
      <c r="I45" s="4"/>
    </row>
    <row r="46" spans="1:9" s="6" customFormat="1" ht="13.5" thickBot="1" x14ac:dyDescent="0.25">
      <c r="B46" s="123" t="s">
        <v>74</v>
      </c>
      <c r="C46" s="225" t="s">
        <v>1</v>
      </c>
      <c r="D46" s="225"/>
      <c r="E46" s="126" t="s">
        <v>2</v>
      </c>
    </row>
    <row r="47" spans="1:9" x14ac:dyDescent="0.2">
      <c r="B47" s="62" t="s">
        <v>82</v>
      </c>
      <c r="C47" s="76" t="s">
        <v>27</v>
      </c>
      <c r="D47" s="174"/>
      <c r="E47" s="172">
        <v>2813.41</v>
      </c>
    </row>
    <row r="48" spans="1:9" x14ac:dyDescent="0.2">
      <c r="B48" s="155" t="s">
        <v>96</v>
      </c>
      <c r="C48" s="124" t="s">
        <v>24</v>
      </c>
      <c r="D48" s="175"/>
      <c r="E48" s="172">
        <v>1628.94</v>
      </c>
    </row>
    <row r="49" spans="1:9" x14ac:dyDescent="0.2">
      <c r="B49" s="155" t="s">
        <v>85</v>
      </c>
      <c r="C49" s="124" t="s">
        <v>76</v>
      </c>
      <c r="D49" s="175"/>
      <c r="E49" s="172">
        <v>752.24</v>
      </c>
    </row>
    <row r="50" spans="1:9" x14ac:dyDescent="0.2">
      <c r="B50" s="155" t="s">
        <v>3</v>
      </c>
      <c r="C50" s="124" t="s">
        <v>25</v>
      </c>
      <c r="D50" s="175"/>
      <c r="E50" s="172">
        <v>1043.96</v>
      </c>
      <c r="F50" s="184"/>
    </row>
    <row r="51" spans="1:9" x14ac:dyDescent="0.2">
      <c r="B51" s="29" t="s">
        <v>4</v>
      </c>
      <c r="C51" s="40" t="s">
        <v>23</v>
      </c>
      <c r="D51" s="176"/>
      <c r="E51" s="173">
        <v>927.03</v>
      </c>
    </row>
    <row r="52" spans="1:9" x14ac:dyDescent="0.2">
      <c r="B52" s="29" t="s">
        <v>275</v>
      </c>
      <c r="C52" s="40" t="s">
        <v>276</v>
      </c>
      <c r="D52" s="176"/>
      <c r="E52" s="173">
        <v>1029.5999999999999</v>
      </c>
    </row>
    <row r="53" spans="1:9" x14ac:dyDescent="0.2">
      <c r="B53" s="261" t="s">
        <v>78</v>
      </c>
      <c r="C53" s="262" t="s">
        <v>79</v>
      </c>
      <c r="D53" s="263"/>
      <c r="E53" s="135">
        <v>990</v>
      </c>
      <c r="F53" s="94"/>
    </row>
    <row r="54" spans="1:9" x14ac:dyDescent="0.2">
      <c r="B54" s="29" t="s">
        <v>210</v>
      </c>
      <c r="C54" s="40" t="s">
        <v>211</v>
      </c>
      <c r="D54" s="300"/>
      <c r="E54" s="139">
        <v>881.1</v>
      </c>
      <c r="F54" s="94"/>
    </row>
    <row r="55" spans="1:9" x14ac:dyDescent="0.2">
      <c r="B55" s="261" t="s">
        <v>85</v>
      </c>
      <c r="C55" s="124" t="s">
        <v>205</v>
      </c>
      <c r="D55" s="299"/>
      <c r="E55" s="135">
        <v>792</v>
      </c>
      <c r="F55" s="94"/>
    </row>
    <row r="56" spans="1:9" ht="13.5" thickBot="1" x14ac:dyDescent="0.25">
      <c r="B56" s="264" t="s">
        <v>85</v>
      </c>
      <c r="C56" s="181" t="s">
        <v>66</v>
      </c>
      <c r="D56" s="265"/>
      <c r="E56" s="137">
        <v>792</v>
      </c>
      <c r="F56" s="184"/>
    </row>
    <row r="57" spans="1:9" s="4" customFormat="1" ht="13.5" thickBot="1" x14ac:dyDescent="0.25">
      <c r="B57" s="274"/>
      <c r="C57" s="275"/>
      <c r="D57" s="276"/>
      <c r="E57" s="277">
        <f>SUM(E47:E56)</f>
        <v>11650.28</v>
      </c>
      <c r="F57" s="132"/>
    </row>
    <row r="58" spans="1:9" x14ac:dyDescent="0.2">
      <c r="B58" s="44" t="s">
        <v>104</v>
      </c>
      <c r="C58" s="69" t="s">
        <v>12</v>
      </c>
      <c r="D58" s="69"/>
      <c r="E58" s="139">
        <v>1125</v>
      </c>
    </row>
    <row r="59" spans="1:9" ht="13.5" thickBot="1" x14ac:dyDescent="0.25">
      <c r="B59" s="63" t="s">
        <v>35</v>
      </c>
      <c r="C59" s="133" t="s">
        <v>36</v>
      </c>
      <c r="D59" s="133"/>
      <c r="E59" s="137">
        <v>1000</v>
      </c>
    </row>
    <row r="60" spans="1:9" ht="13.5" thickBot="1" x14ac:dyDescent="0.25">
      <c r="B60" s="11"/>
      <c r="C60" s="134" t="s">
        <v>0</v>
      </c>
      <c r="D60" s="134"/>
      <c r="E60" s="138">
        <f>SUM(E57:E59)</f>
        <v>13775.28</v>
      </c>
    </row>
    <row r="61" spans="1:9" ht="12.75" customHeight="1" x14ac:dyDescent="0.2">
      <c r="B61" s="11"/>
      <c r="C61" s="21"/>
      <c r="D61" s="21"/>
      <c r="E61" s="22"/>
      <c r="F61" s="22"/>
      <c r="G61" s="22"/>
      <c r="H61" s="22"/>
      <c r="I61" s="22"/>
    </row>
    <row r="62" spans="1:9" s="127" customFormat="1" ht="6.75" customHeight="1" x14ac:dyDescent="0.2">
      <c r="B62" s="128"/>
      <c r="C62" s="129"/>
      <c r="D62" s="129"/>
      <c r="E62" s="130"/>
      <c r="F62" s="130"/>
      <c r="G62" s="130"/>
      <c r="H62" s="130"/>
      <c r="I62" s="130"/>
    </row>
    <row r="63" spans="1:9" ht="19.5" customHeight="1" x14ac:dyDescent="0.2">
      <c r="A63" s="163"/>
      <c r="B63" s="122" t="s">
        <v>73</v>
      </c>
      <c r="C63" s="168" t="s">
        <v>80</v>
      </c>
      <c r="D63" s="142"/>
      <c r="E63" s="22"/>
      <c r="F63" s="22"/>
      <c r="G63" s="22"/>
      <c r="H63" s="22"/>
      <c r="I63" s="22"/>
    </row>
    <row r="64" spans="1:9" ht="19.5" customHeight="1" x14ac:dyDescent="0.2">
      <c r="B64" s="122" t="s">
        <v>75</v>
      </c>
      <c r="C64" s="414">
        <v>42641</v>
      </c>
      <c r="D64" s="414"/>
      <c r="E64" s="22"/>
      <c r="F64" s="22"/>
      <c r="G64" s="22"/>
      <c r="H64" s="22"/>
      <c r="I64" s="22"/>
    </row>
    <row r="65" spans="2:9" ht="4.5" customHeight="1" x14ac:dyDescent="0.45">
      <c r="B65" s="2"/>
      <c r="C65" s="41"/>
      <c r="D65" s="41"/>
      <c r="E65" s="415"/>
      <c r="F65" s="415"/>
      <c r="G65" s="3"/>
      <c r="H65" s="4"/>
      <c r="I65" s="4"/>
    </row>
    <row r="66" spans="2:9" s="6" customFormat="1" ht="13.5" thickBot="1" x14ac:dyDescent="0.25">
      <c r="B66" s="123" t="s">
        <v>74</v>
      </c>
      <c r="C66" s="225" t="s">
        <v>1</v>
      </c>
      <c r="D66" s="225"/>
      <c r="E66" s="126" t="s">
        <v>2</v>
      </c>
    </row>
    <row r="67" spans="2:9" x14ac:dyDescent="0.2">
      <c r="B67" s="62" t="s">
        <v>82</v>
      </c>
      <c r="C67" s="76" t="s">
        <v>27</v>
      </c>
      <c r="D67" s="174"/>
      <c r="E67" s="172">
        <v>2142.13</v>
      </c>
    </row>
    <row r="68" spans="2:9" x14ac:dyDescent="0.2">
      <c r="B68" s="155" t="s">
        <v>96</v>
      </c>
      <c r="C68" s="124" t="s">
        <v>24</v>
      </c>
      <c r="D68" s="175"/>
      <c r="E68" s="172">
        <v>1628.87</v>
      </c>
    </row>
    <row r="69" spans="2:9" x14ac:dyDescent="0.2">
      <c r="B69" s="155" t="s">
        <v>85</v>
      </c>
      <c r="C69" s="124" t="s">
        <v>76</v>
      </c>
      <c r="D69" s="175"/>
      <c r="E69" s="172">
        <v>752.24</v>
      </c>
      <c r="F69" s="184"/>
    </row>
    <row r="70" spans="2:9" x14ac:dyDescent="0.2">
      <c r="B70" s="155" t="s">
        <v>3</v>
      </c>
      <c r="C70" s="124" t="s">
        <v>25</v>
      </c>
      <c r="D70" s="175"/>
      <c r="E70" s="172">
        <v>1222.1600000000001</v>
      </c>
      <c r="F70" s="294"/>
      <c r="G70" s="294"/>
    </row>
    <row r="71" spans="2:9" x14ac:dyDescent="0.2">
      <c r="B71" s="29" t="s">
        <v>4</v>
      </c>
      <c r="C71" s="40" t="s">
        <v>23</v>
      </c>
      <c r="D71" s="176"/>
      <c r="E71" s="173">
        <v>927.03</v>
      </c>
      <c r="G71" s="294"/>
    </row>
    <row r="72" spans="2:9" x14ac:dyDescent="0.2">
      <c r="B72" s="29" t="s">
        <v>275</v>
      </c>
      <c r="C72" s="40" t="s">
        <v>276</v>
      </c>
      <c r="D72" s="176"/>
      <c r="E72" s="173">
        <v>1029.5999999999999</v>
      </c>
    </row>
    <row r="73" spans="2:9" x14ac:dyDescent="0.2">
      <c r="B73" s="261" t="s">
        <v>78</v>
      </c>
      <c r="C73" s="262" t="s">
        <v>79</v>
      </c>
      <c r="D73" s="263"/>
      <c r="E73" s="135">
        <v>990</v>
      </c>
      <c r="F73" s="94"/>
    </row>
    <row r="74" spans="2:9" x14ac:dyDescent="0.2">
      <c r="B74" s="29" t="s">
        <v>210</v>
      </c>
      <c r="C74" s="40" t="s">
        <v>211</v>
      </c>
      <c r="D74" s="300"/>
      <c r="E74" s="139">
        <v>1029.5999999999999</v>
      </c>
      <c r="F74" s="94"/>
    </row>
    <row r="75" spans="2:9" x14ac:dyDescent="0.2">
      <c r="B75" s="261" t="s">
        <v>85</v>
      </c>
      <c r="C75" s="124" t="s">
        <v>205</v>
      </c>
      <c r="D75" s="299"/>
      <c r="E75" s="135">
        <v>1029.5999999999999</v>
      </c>
      <c r="F75" s="94"/>
    </row>
    <row r="76" spans="2:9" ht="13.5" thickBot="1" x14ac:dyDescent="0.25">
      <c r="B76" s="264" t="s">
        <v>85</v>
      </c>
      <c r="C76" s="265" t="s">
        <v>66</v>
      </c>
      <c r="D76" s="265"/>
      <c r="E76" s="137">
        <v>1029.5999999999999</v>
      </c>
    </row>
    <row r="77" spans="2:9" s="4" customFormat="1" ht="13.5" thickBot="1" x14ac:dyDescent="0.25">
      <c r="B77" s="274"/>
      <c r="C77" s="275"/>
      <c r="D77" s="276"/>
      <c r="E77" s="277">
        <f>SUM(E67:E76)</f>
        <v>11780.83</v>
      </c>
      <c r="F77" s="132"/>
    </row>
    <row r="78" spans="2:9" x14ac:dyDescent="0.2">
      <c r="B78" s="44" t="s">
        <v>104</v>
      </c>
      <c r="C78" s="69" t="s">
        <v>12</v>
      </c>
      <c r="D78" s="69"/>
      <c r="E78" s="139">
        <v>1125</v>
      </c>
    </row>
    <row r="79" spans="2:9" ht="13.5" thickBot="1" x14ac:dyDescent="0.25">
      <c r="B79" s="63" t="s">
        <v>35</v>
      </c>
      <c r="C79" s="133" t="s">
        <v>36</v>
      </c>
      <c r="D79" s="133"/>
      <c r="E79" s="137">
        <v>1000</v>
      </c>
    </row>
    <row r="80" spans="2:9" ht="13.5" thickBot="1" x14ac:dyDescent="0.25">
      <c r="B80" s="11"/>
      <c r="C80" s="134" t="s">
        <v>0</v>
      </c>
      <c r="D80" s="134"/>
      <c r="E80" s="138">
        <f>SUM(E77:E79)</f>
        <v>13905.83</v>
      </c>
    </row>
    <row r="81" spans="1:9" ht="12.75" customHeight="1" x14ac:dyDescent="0.2">
      <c r="B81" s="11"/>
      <c r="C81" s="21"/>
      <c r="D81" s="21"/>
      <c r="E81" s="22"/>
      <c r="F81" s="22"/>
      <c r="G81" s="22"/>
      <c r="H81" s="22"/>
      <c r="I81" s="22"/>
    </row>
    <row r="82" spans="1:9" s="7" customFormat="1" ht="13.15" customHeight="1" x14ac:dyDescent="0.2">
      <c r="A82" s="32" t="s">
        <v>13</v>
      </c>
      <c r="B82" s="33" t="s">
        <v>14</v>
      </c>
      <c r="C82" s="33"/>
      <c r="D82" s="140">
        <v>9000</v>
      </c>
      <c r="E82" s="178"/>
      <c r="F82" s="32"/>
      <c r="G82" s="33" t="s">
        <v>40</v>
      </c>
      <c r="H82" s="140">
        <v>5000</v>
      </c>
      <c r="I82" s="140"/>
    </row>
    <row r="83" spans="1:9" s="7" customFormat="1" ht="13.15" customHeight="1" x14ac:dyDescent="0.2">
      <c r="A83" s="32" t="s">
        <v>15</v>
      </c>
      <c r="B83" s="33" t="s">
        <v>42</v>
      </c>
      <c r="C83" s="33"/>
      <c r="D83" s="140"/>
      <c r="E83" s="178"/>
      <c r="F83" s="32" t="s">
        <v>21</v>
      </c>
      <c r="G83" s="33" t="s">
        <v>22</v>
      </c>
      <c r="H83" s="140">
        <v>5000</v>
      </c>
      <c r="I83" s="330"/>
    </row>
    <row r="84" spans="1:9" s="7" customFormat="1" ht="13.15" customHeight="1" x14ac:dyDescent="0.2">
      <c r="A84" s="32" t="s">
        <v>16</v>
      </c>
      <c r="B84" s="33" t="s">
        <v>17</v>
      </c>
      <c r="C84" s="33"/>
      <c r="D84" s="140">
        <v>311.83999999999997</v>
      </c>
      <c r="E84" s="178"/>
      <c r="F84" s="32" t="s">
        <v>15</v>
      </c>
      <c r="G84" s="33" t="s">
        <v>41</v>
      </c>
      <c r="H84" s="140">
        <v>1020</v>
      </c>
      <c r="I84" s="143"/>
    </row>
    <row r="85" spans="1:9" s="7" customFormat="1" ht="13.15" customHeight="1" x14ac:dyDescent="0.2">
      <c r="A85" s="32" t="s">
        <v>93</v>
      </c>
      <c r="B85" s="33" t="s">
        <v>94</v>
      </c>
      <c r="C85" s="33"/>
      <c r="D85" s="140">
        <v>472.63</v>
      </c>
      <c r="E85" s="178"/>
      <c r="F85" s="32" t="s">
        <v>54</v>
      </c>
      <c r="G85" s="33" t="s">
        <v>56</v>
      </c>
      <c r="H85" s="140">
        <v>500</v>
      </c>
      <c r="I85" s="330"/>
    </row>
    <row r="86" spans="1:9" s="7" customFormat="1" ht="13.15" customHeight="1" x14ac:dyDescent="0.2">
      <c r="A86" s="32" t="s">
        <v>93</v>
      </c>
      <c r="B86" s="33" t="s">
        <v>95</v>
      </c>
      <c r="C86" s="33"/>
      <c r="D86" s="140">
        <v>86.94</v>
      </c>
      <c r="E86" s="178"/>
      <c r="F86" s="32" t="s">
        <v>55</v>
      </c>
      <c r="G86" s="33" t="s">
        <v>57</v>
      </c>
      <c r="H86" s="140">
        <v>500</v>
      </c>
      <c r="I86" s="330"/>
    </row>
    <row r="87" spans="1:9" s="7" customFormat="1" ht="13.15" customHeight="1" x14ac:dyDescent="0.2">
      <c r="A87" s="32" t="s">
        <v>19</v>
      </c>
      <c r="B87" s="33" t="s">
        <v>20</v>
      </c>
      <c r="C87" s="140"/>
      <c r="D87" s="140">
        <v>8000</v>
      </c>
      <c r="E87" s="178"/>
      <c r="F87" s="32" t="s">
        <v>16</v>
      </c>
      <c r="G87" s="33" t="s">
        <v>28</v>
      </c>
      <c r="H87" s="140">
        <v>12000</v>
      </c>
      <c r="I87" s="330"/>
    </row>
    <row r="88" spans="1:9" s="7" customFormat="1" ht="13.15" customHeight="1" thickBot="1" x14ac:dyDescent="0.25">
      <c r="A88" s="32" t="s">
        <v>18</v>
      </c>
      <c r="B88" s="33" t="s">
        <v>45</v>
      </c>
      <c r="C88" s="140"/>
      <c r="D88" s="140">
        <v>1000</v>
      </c>
      <c r="E88" s="140"/>
      <c r="F88" s="70" t="s">
        <v>38</v>
      </c>
      <c r="G88" s="33" t="s">
        <v>29</v>
      </c>
      <c r="H88" s="141">
        <v>11000</v>
      </c>
      <c r="I88" s="330"/>
    </row>
    <row r="89" spans="1:9" s="7" customFormat="1" ht="13.15" customHeight="1" thickTop="1" thickBot="1" x14ac:dyDescent="0.25">
      <c r="B89" s="212"/>
      <c r="C89" s="33"/>
      <c r="D89" s="213"/>
      <c r="E89" s="140"/>
      <c r="F89" s="34"/>
      <c r="G89" s="33"/>
      <c r="H89" s="162">
        <f>SUM(H82:H88)+SUM(D82:D89)</f>
        <v>53891.41</v>
      </c>
      <c r="I89" s="162"/>
    </row>
    <row r="90" spans="1:9" s="7" customFormat="1" ht="13.15" customHeight="1" thickBot="1" x14ac:dyDescent="0.25">
      <c r="B90" s="32"/>
      <c r="C90" s="33"/>
      <c r="D90" s="9"/>
      <c r="E90" s="140"/>
      <c r="F90" s="34"/>
      <c r="G90" s="145" t="s">
        <v>5</v>
      </c>
      <c r="H90" s="146">
        <f>E80+H89</f>
        <v>67797.240000000005</v>
      </c>
      <c r="I90" s="162"/>
    </row>
    <row r="91" spans="1:9" s="7" customFormat="1" ht="13.15" customHeight="1" x14ac:dyDescent="0.2">
      <c r="B91" s="32"/>
      <c r="C91" s="33"/>
      <c r="D91" s="8"/>
      <c r="E91" s="9"/>
      <c r="F91" s="9"/>
      <c r="G91" s="9"/>
      <c r="H91" s="9"/>
      <c r="I91" s="162"/>
    </row>
    <row r="92" spans="1:9" s="7" customFormat="1" ht="13.15" customHeight="1" x14ac:dyDescent="0.2">
      <c r="A92" s="9"/>
      <c r="B92" s="10"/>
      <c r="C92" s="9"/>
      <c r="D92" s="8"/>
      <c r="E92" s="9"/>
      <c r="F92" s="9"/>
      <c r="G92" s="9"/>
      <c r="H92" s="9"/>
      <c r="I92" s="162"/>
    </row>
    <row r="93" spans="1:9" s="7" customFormat="1" ht="13.15" customHeight="1" x14ac:dyDescent="0.2">
      <c r="A93" s="9"/>
      <c r="B93" s="10"/>
      <c r="C93" s="8"/>
      <c r="D93" s="8"/>
      <c r="E93" s="9"/>
      <c r="F93" s="9"/>
      <c r="G93" s="9"/>
      <c r="H93" s="9"/>
      <c r="I93" s="162"/>
    </row>
    <row r="94" spans="1:9" s="7" customFormat="1" ht="13.15" customHeight="1" x14ac:dyDescent="0.2">
      <c r="A94" s="9"/>
      <c r="B94" s="10"/>
      <c r="C94" s="8"/>
      <c r="D94" s="8"/>
      <c r="E94" s="9"/>
      <c r="F94" s="9"/>
      <c r="G94" s="9"/>
      <c r="H94" s="9"/>
      <c r="I94" s="162"/>
    </row>
    <row r="95" spans="1:9" s="7" customFormat="1" ht="13.15" customHeight="1" x14ac:dyDescent="0.2">
      <c r="A95" s="9"/>
      <c r="B95" s="10"/>
      <c r="C95" s="8"/>
      <c r="D95" s="8"/>
      <c r="E95" s="9"/>
      <c r="F95" s="9"/>
      <c r="G95" s="9"/>
      <c r="H95" s="9"/>
      <c r="I95" s="162"/>
    </row>
    <row r="96" spans="1:9" s="9" customFormat="1" ht="12" x14ac:dyDescent="0.2">
      <c r="B96" s="10"/>
      <c r="C96" s="8"/>
    </row>
    <row r="97" spans="1:9" s="9" customFormat="1" ht="12" x14ac:dyDescent="0.2">
      <c r="B97" s="10"/>
      <c r="C97" s="8"/>
    </row>
    <row r="98" spans="1:9" s="9" customFormat="1" ht="12" x14ac:dyDescent="0.2">
      <c r="B98" s="10"/>
      <c r="C98" s="8"/>
    </row>
    <row r="99" spans="1:9" s="9" customFormat="1" ht="12" x14ac:dyDescent="0.2">
      <c r="B99" s="10"/>
    </row>
    <row r="100" spans="1:9" s="9" customFormat="1" ht="12" x14ac:dyDescent="0.2">
      <c r="B100" s="10"/>
    </row>
    <row r="101" spans="1:9" s="9" customFormat="1" ht="12" x14ac:dyDescent="0.2">
      <c r="B101" s="10"/>
    </row>
    <row r="102" spans="1:9" s="9" customFormat="1" x14ac:dyDescent="0.2">
      <c r="B102" s="10"/>
      <c r="D102" s="5"/>
    </row>
    <row r="103" spans="1:9" s="9" customFormat="1" x14ac:dyDescent="0.2">
      <c r="B103" s="10"/>
      <c r="D103" s="5"/>
    </row>
    <row r="104" spans="1:9" s="9" customFormat="1" x14ac:dyDescent="0.2">
      <c r="B104" s="10"/>
      <c r="D104" s="5"/>
      <c r="E104" s="5"/>
      <c r="F104" s="5"/>
      <c r="G104" s="5"/>
      <c r="H104" s="5"/>
    </row>
    <row r="105" spans="1:9" s="9" customFormat="1" x14ac:dyDescent="0.2">
      <c r="B105" s="12"/>
      <c r="C105" s="5"/>
      <c r="D105" s="5"/>
      <c r="E105" s="5"/>
      <c r="F105" s="5"/>
      <c r="G105" s="5"/>
      <c r="H105" s="5"/>
    </row>
    <row r="106" spans="1:9" s="9" customFormat="1" x14ac:dyDescent="0.2">
      <c r="B106" s="12"/>
      <c r="C106" s="5"/>
      <c r="D106" s="5"/>
      <c r="E106" s="5"/>
      <c r="F106" s="5"/>
      <c r="G106" s="5"/>
      <c r="H106" s="5"/>
    </row>
    <row r="107" spans="1:9" s="9" customFormat="1" x14ac:dyDescent="0.2">
      <c r="B107" s="12"/>
      <c r="C107" s="5"/>
      <c r="D107" s="5"/>
      <c r="E107" s="5"/>
      <c r="F107" s="5"/>
      <c r="G107" s="5"/>
      <c r="H107" s="5"/>
    </row>
    <row r="108" spans="1:9" s="9" customFormat="1" x14ac:dyDescent="0.2">
      <c r="B108" s="12"/>
      <c r="C108" s="5"/>
      <c r="D108" s="5"/>
      <c r="E108" s="5"/>
      <c r="F108" s="5"/>
      <c r="G108" s="5"/>
      <c r="H108" s="5"/>
    </row>
    <row r="109" spans="1:9" s="9" customFormat="1" x14ac:dyDescent="0.2">
      <c r="A109" s="5"/>
      <c r="B109" s="12"/>
      <c r="C109" s="5"/>
      <c r="D109" s="5"/>
      <c r="E109" s="5"/>
      <c r="F109" s="5"/>
      <c r="G109" s="5"/>
      <c r="H109" s="5"/>
      <c r="I109" s="5"/>
    </row>
    <row r="110" spans="1:9" s="9" customFormat="1" x14ac:dyDescent="0.2">
      <c r="A110" s="5"/>
      <c r="B110" s="12"/>
      <c r="C110" s="5"/>
      <c r="D110" s="5"/>
      <c r="E110" s="5"/>
      <c r="F110" s="5"/>
      <c r="G110" s="5"/>
      <c r="H110" s="5"/>
      <c r="I110" s="5"/>
    </row>
    <row r="111" spans="1:9" s="9" customFormat="1" x14ac:dyDescent="0.2">
      <c r="A111" s="5"/>
      <c r="B111" s="12"/>
      <c r="C111" s="5"/>
      <c r="D111" s="5"/>
      <c r="E111" s="5"/>
      <c r="F111" s="5"/>
      <c r="G111" s="5"/>
      <c r="H111" s="5"/>
      <c r="I111" s="5"/>
    </row>
    <row r="112" spans="1:9" s="9" customFormat="1" x14ac:dyDescent="0.2">
      <c r="A112" s="5"/>
      <c r="B112" s="12"/>
      <c r="C112" s="5"/>
      <c r="D112" s="5"/>
      <c r="E112" s="5"/>
      <c r="F112" s="5"/>
      <c r="G112" s="5"/>
      <c r="H112" s="5"/>
      <c r="I112" s="5"/>
    </row>
  </sheetData>
  <mergeCells count="9">
    <mergeCell ref="E45:F45"/>
    <mergeCell ref="C64:D64"/>
    <mergeCell ref="E65:F65"/>
    <mergeCell ref="A1:H1"/>
    <mergeCell ref="C4:D4"/>
    <mergeCell ref="E5:F5"/>
    <mergeCell ref="C24:D24"/>
    <mergeCell ref="E25:F25"/>
    <mergeCell ref="C44:D4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55" zoomScaleNormal="100" workbookViewId="0">
      <selection activeCell="J61" sqref="J6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9.8554687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418" t="s">
        <v>327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328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42648</v>
      </c>
      <c r="D4" s="416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7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G6" s="123"/>
      <c r="H6" s="123"/>
      <c r="I6" s="97"/>
    </row>
    <row r="7" spans="1:9" x14ac:dyDescent="0.2">
      <c r="B7" s="62" t="s">
        <v>82</v>
      </c>
      <c r="C7" s="76" t="s">
        <v>27</v>
      </c>
      <c r="D7" s="174"/>
      <c r="E7" s="172">
        <v>3119.17</v>
      </c>
      <c r="F7" s="294"/>
      <c r="G7" s="164"/>
      <c r="H7" s="165"/>
      <c r="I7" s="4"/>
    </row>
    <row r="8" spans="1:9" x14ac:dyDescent="0.2">
      <c r="B8" s="155" t="s">
        <v>96</v>
      </c>
      <c r="C8" s="124" t="s">
        <v>24</v>
      </c>
      <c r="D8" s="175"/>
      <c r="E8" s="172">
        <v>2120.5300000000002</v>
      </c>
      <c r="G8" s="228"/>
      <c r="H8" s="165"/>
      <c r="I8" s="4"/>
    </row>
    <row r="9" spans="1:9" x14ac:dyDescent="0.2">
      <c r="B9" s="155" t="s">
        <v>85</v>
      </c>
      <c r="C9" s="124" t="s">
        <v>76</v>
      </c>
      <c r="D9" s="175"/>
      <c r="E9" s="172">
        <v>752.24</v>
      </c>
      <c r="G9" s="294"/>
      <c r="H9" s="165"/>
      <c r="I9" s="4"/>
    </row>
    <row r="10" spans="1:9" x14ac:dyDescent="0.2">
      <c r="B10" s="155" t="s">
        <v>3</v>
      </c>
      <c r="C10" s="124" t="s">
        <v>25</v>
      </c>
      <c r="D10" s="175"/>
      <c r="E10" s="172">
        <v>1649.84</v>
      </c>
      <c r="G10" s="294"/>
      <c r="H10" s="165"/>
      <c r="I10" s="4"/>
    </row>
    <row r="11" spans="1:9" x14ac:dyDescent="0.2">
      <c r="B11" s="29" t="s">
        <v>4</v>
      </c>
      <c r="C11" s="40" t="s">
        <v>23</v>
      </c>
      <c r="D11" s="176"/>
      <c r="E11" s="173">
        <v>927.03</v>
      </c>
      <c r="G11" s="164"/>
      <c r="H11" s="165"/>
      <c r="I11" s="4"/>
    </row>
    <row r="12" spans="1:9" x14ac:dyDescent="0.2">
      <c r="B12" s="29" t="s">
        <v>275</v>
      </c>
      <c r="C12" s="40" t="s">
        <v>276</v>
      </c>
      <c r="D12" s="176"/>
      <c r="E12" s="173">
        <v>1386</v>
      </c>
    </row>
    <row r="13" spans="1:9" x14ac:dyDescent="0.2">
      <c r="B13" s="29" t="s">
        <v>78</v>
      </c>
      <c r="C13" s="40" t="s">
        <v>79</v>
      </c>
      <c r="D13" s="176"/>
      <c r="E13" s="135">
        <v>1314.85</v>
      </c>
      <c r="F13" s="94"/>
      <c r="G13" s="4"/>
      <c r="H13" s="165"/>
      <c r="I13" s="4"/>
    </row>
    <row r="14" spans="1:9" x14ac:dyDescent="0.2">
      <c r="B14" s="29" t="s">
        <v>210</v>
      </c>
      <c r="C14" s="40" t="s">
        <v>211</v>
      </c>
      <c r="D14" s="300"/>
      <c r="E14" s="139">
        <v>1386</v>
      </c>
      <c r="F14" s="94"/>
    </row>
    <row r="15" spans="1:9" x14ac:dyDescent="0.2">
      <c r="B15" s="261" t="s">
        <v>85</v>
      </c>
      <c r="C15" s="262" t="s">
        <v>205</v>
      </c>
      <c r="D15" s="299"/>
      <c r="E15" s="135">
        <v>792</v>
      </c>
      <c r="F15" s="94"/>
      <c r="G15" s="4"/>
      <c r="H15" s="165"/>
      <c r="I15" s="4"/>
    </row>
    <row r="16" spans="1:9" ht="13.5" thickBot="1" x14ac:dyDescent="0.25">
      <c r="B16" s="264" t="s">
        <v>85</v>
      </c>
      <c r="C16" s="265" t="s">
        <v>66</v>
      </c>
      <c r="D16" s="265"/>
      <c r="E16" s="137">
        <v>405.9</v>
      </c>
      <c r="G16" s="4"/>
      <c r="H16" s="165"/>
      <c r="I16" s="4"/>
    </row>
    <row r="17" spans="1:9" ht="14.25" thickTop="1" thickBot="1" x14ac:dyDescent="0.25">
      <c r="B17" s="270"/>
      <c r="C17" s="285"/>
      <c r="D17" s="286"/>
      <c r="E17" s="267">
        <f>SUM(E7:E16)</f>
        <v>13853.560000000001</v>
      </c>
      <c r="G17" s="4"/>
      <c r="H17" s="165"/>
      <c r="I17" s="4"/>
    </row>
    <row r="18" spans="1:9" x14ac:dyDescent="0.2">
      <c r="B18" s="268" t="s">
        <v>104</v>
      </c>
      <c r="C18" s="269" t="s">
        <v>12</v>
      </c>
      <c r="D18" s="269"/>
      <c r="E18" s="139">
        <v>1125</v>
      </c>
      <c r="G18" s="4"/>
      <c r="H18" s="165"/>
      <c r="I18" s="4"/>
    </row>
    <row r="19" spans="1:9" ht="13.5" thickBot="1" x14ac:dyDescent="0.25">
      <c r="B19" s="63" t="s">
        <v>35</v>
      </c>
      <c r="C19" s="133" t="s">
        <v>36</v>
      </c>
      <c r="D19" s="133"/>
      <c r="E19" s="137">
        <v>1000</v>
      </c>
      <c r="G19" s="4"/>
      <c r="H19" s="165"/>
      <c r="I19" s="4"/>
    </row>
    <row r="20" spans="1:9" ht="13.5" thickBot="1" x14ac:dyDescent="0.25">
      <c r="B20" s="11"/>
      <c r="C20" s="134" t="s">
        <v>0</v>
      </c>
      <c r="D20" s="134"/>
      <c r="E20" s="138">
        <f>SUM(E17:E19)</f>
        <v>15978.560000000001</v>
      </c>
      <c r="G20" s="166"/>
      <c r="H20" s="165"/>
      <c r="I20" s="4"/>
    </row>
    <row r="21" spans="1:9" x14ac:dyDescent="0.2">
      <c r="B21" s="11"/>
      <c r="C21" s="134"/>
      <c r="D21" s="134"/>
      <c r="E21" s="159"/>
      <c r="G21" s="166"/>
      <c r="H21" s="165"/>
      <c r="I21" s="4"/>
    </row>
    <row r="22" spans="1:9" s="127" customFormat="1" ht="6.75" customHeight="1" x14ac:dyDescent="0.2">
      <c r="B22" s="128"/>
      <c r="C22" s="129"/>
      <c r="D22" s="129"/>
      <c r="E22" s="130"/>
      <c r="F22" s="130"/>
      <c r="G22" s="130"/>
      <c r="H22" s="130"/>
      <c r="I22" s="130"/>
    </row>
    <row r="23" spans="1:9" ht="19.5" customHeight="1" x14ac:dyDescent="0.2">
      <c r="A23" s="163"/>
      <c r="B23" s="122" t="s">
        <v>73</v>
      </c>
      <c r="C23" s="168" t="s">
        <v>329</v>
      </c>
      <c r="D23" s="142"/>
      <c r="E23" s="22"/>
      <c r="F23" s="22"/>
      <c r="G23" s="22"/>
      <c r="H23" s="22"/>
      <c r="I23" s="22"/>
    </row>
    <row r="24" spans="1:9" ht="19.5" customHeight="1" x14ac:dyDescent="0.2">
      <c r="B24" s="122" t="s">
        <v>75</v>
      </c>
      <c r="C24" s="414">
        <v>42655</v>
      </c>
      <c r="D24" s="414"/>
      <c r="E24" s="22"/>
      <c r="F24" s="22"/>
      <c r="G24" s="22"/>
      <c r="H24" s="22"/>
      <c r="I24" s="22"/>
    </row>
    <row r="25" spans="1:9" ht="4.5" customHeight="1" x14ac:dyDescent="0.45">
      <c r="B25" s="2"/>
      <c r="C25" s="41"/>
      <c r="D25" s="41"/>
      <c r="E25" s="415"/>
      <c r="F25" s="415"/>
      <c r="G25" s="3"/>
      <c r="H25" s="4"/>
      <c r="I25" s="4"/>
    </row>
    <row r="26" spans="1:9" s="6" customFormat="1" ht="13.5" thickBot="1" x14ac:dyDescent="0.25">
      <c r="B26" s="123" t="s">
        <v>74</v>
      </c>
      <c r="C26" s="225" t="s">
        <v>1</v>
      </c>
      <c r="D26" s="225"/>
      <c r="E26" s="126" t="s">
        <v>2</v>
      </c>
    </row>
    <row r="27" spans="1:9" x14ac:dyDescent="0.2">
      <c r="B27" s="62" t="s">
        <v>82</v>
      </c>
      <c r="C27" s="76" t="s">
        <v>27</v>
      </c>
      <c r="D27" s="174"/>
      <c r="E27" s="172">
        <v>1857.41</v>
      </c>
      <c r="F27" s="240">
        <v>1200</v>
      </c>
      <c r="G27" s="354">
        <f>SUM(E27:F27)</f>
        <v>3057.41</v>
      </c>
    </row>
    <row r="28" spans="1:9" x14ac:dyDescent="0.2">
      <c r="B28" s="155" t="s">
        <v>96</v>
      </c>
      <c r="C28" s="124" t="s">
        <v>24</v>
      </c>
      <c r="D28" s="175"/>
      <c r="E28" s="172">
        <v>1747.41</v>
      </c>
      <c r="F28" s="240">
        <v>500</v>
      </c>
      <c r="G28" s="354">
        <f>SUM(E28:F28)</f>
        <v>2247.41</v>
      </c>
    </row>
    <row r="29" spans="1:9" x14ac:dyDescent="0.2">
      <c r="B29" s="155" t="s">
        <v>85</v>
      </c>
      <c r="C29" s="124" t="s">
        <v>76</v>
      </c>
      <c r="D29" s="175"/>
      <c r="E29" s="172">
        <v>752.24</v>
      </c>
    </row>
    <row r="30" spans="1:9" x14ac:dyDescent="0.2">
      <c r="B30" s="155" t="s">
        <v>3</v>
      </c>
      <c r="C30" s="124" t="s">
        <v>25</v>
      </c>
      <c r="D30" s="175"/>
      <c r="E30" s="172">
        <v>937.04</v>
      </c>
    </row>
    <row r="31" spans="1:9" x14ac:dyDescent="0.2">
      <c r="B31" s="29" t="s">
        <v>4</v>
      </c>
      <c r="C31" s="40" t="s">
        <v>23</v>
      </c>
      <c r="D31" s="176"/>
      <c r="E31" s="173">
        <v>927.03</v>
      </c>
    </row>
    <row r="32" spans="1:9" x14ac:dyDescent="0.2">
      <c r="B32" s="29" t="s">
        <v>275</v>
      </c>
      <c r="C32" s="40" t="s">
        <v>276</v>
      </c>
      <c r="D32" s="176"/>
      <c r="E32" s="173">
        <v>1074.1500000000001</v>
      </c>
    </row>
    <row r="33" spans="1:9" x14ac:dyDescent="0.2">
      <c r="B33" s="261" t="s">
        <v>78</v>
      </c>
      <c r="C33" s="124" t="s">
        <v>79</v>
      </c>
      <c r="D33" s="263"/>
      <c r="E33" s="135">
        <v>1305.56</v>
      </c>
      <c r="F33" s="94"/>
    </row>
    <row r="34" spans="1:9" x14ac:dyDescent="0.2">
      <c r="B34" s="29" t="s">
        <v>210</v>
      </c>
      <c r="C34" s="40" t="s">
        <v>211</v>
      </c>
      <c r="D34" s="300"/>
      <c r="E34" s="139">
        <v>1074.1500000000001</v>
      </c>
      <c r="F34" s="94"/>
    </row>
    <row r="35" spans="1:9" x14ac:dyDescent="0.2">
      <c r="B35" s="29" t="s">
        <v>338</v>
      </c>
      <c r="C35" s="40" t="s">
        <v>337</v>
      </c>
      <c r="D35" s="176"/>
      <c r="E35" s="266">
        <v>443.52</v>
      </c>
      <c r="F35" s="359">
        <f>475.2-E35</f>
        <v>31.680000000000007</v>
      </c>
    </row>
    <row r="36" spans="1:9" ht="13.5" thickBot="1" x14ac:dyDescent="0.25">
      <c r="B36" s="180" t="s">
        <v>85</v>
      </c>
      <c r="C36" s="181" t="s">
        <v>205</v>
      </c>
      <c r="D36" s="182"/>
      <c r="E36" s="137">
        <v>792</v>
      </c>
      <c r="F36" s="94"/>
    </row>
    <row r="37" spans="1:9" s="4" customFormat="1" ht="13.5" thickBot="1" x14ac:dyDescent="0.25">
      <c r="B37" s="274"/>
      <c r="C37" s="275"/>
      <c r="D37" s="276"/>
      <c r="E37" s="277">
        <f>SUM(E27:E36)</f>
        <v>10910.51</v>
      </c>
      <c r="F37" s="132"/>
    </row>
    <row r="38" spans="1:9" x14ac:dyDescent="0.2">
      <c r="B38" s="44" t="s">
        <v>104</v>
      </c>
      <c r="C38" s="69" t="s">
        <v>12</v>
      </c>
      <c r="D38" s="69"/>
      <c r="E38" s="139">
        <v>1125</v>
      </c>
    </row>
    <row r="39" spans="1:9" ht="13.5" thickBot="1" x14ac:dyDescent="0.25">
      <c r="B39" s="63" t="s">
        <v>35</v>
      </c>
      <c r="C39" s="133" t="s">
        <v>36</v>
      </c>
      <c r="D39" s="133"/>
      <c r="E39" s="137">
        <v>1000</v>
      </c>
    </row>
    <row r="40" spans="1:9" ht="13.5" thickBot="1" x14ac:dyDescent="0.25">
      <c r="B40" s="11"/>
      <c r="C40" s="134" t="s">
        <v>0</v>
      </c>
      <c r="D40" s="134"/>
      <c r="E40" s="138">
        <f>SUM(E37:E39)</f>
        <v>13035.51</v>
      </c>
    </row>
    <row r="41" spans="1:9" ht="12.75" customHeight="1" x14ac:dyDescent="0.2">
      <c r="B41" s="11"/>
      <c r="C41" s="21"/>
      <c r="D41" s="21"/>
      <c r="E41" s="22"/>
      <c r="F41" s="22"/>
      <c r="G41" s="22"/>
      <c r="H41" s="22"/>
      <c r="I41" s="22"/>
    </row>
    <row r="42" spans="1:9" s="127" customFormat="1" ht="6.75" customHeight="1" x14ac:dyDescent="0.2">
      <c r="B42" s="128"/>
      <c r="C42" s="129"/>
      <c r="D42" s="129"/>
      <c r="E42" s="130"/>
      <c r="F42" s="130"/>
      <c r="G42" s="130"/>
      <c r="H42" s="130"/>
      <c r="I42" s="130"/>
    </row>
    <row r="43" spans="1:9" ht="19.5" customHeight="1" x14ac:dyDescent="0.2">
      <c r="A43" s="163"/>
      <c r="B43" s="122" t="s">
        <v>73</v>
      </c>
      <c r="C43" s="168" t="s">
        <v>330</v>
      </c>
      <c r="D43" s="142"/>
      <c r="E43" s="22"/>
      <c r="F43" s="22"/>
      <c r="G43" s="22"/>
      <c r="H43" s="22"/>
      <c r="I43" s="22"/>
    </row>
    <row r="44" spans="1:9" ht="19.5" customHeight="1" x14ac:dyDescent="0.2">
      <c r="B44" s="122" t="s">
        <v>75</v>
      </c>
      <c r="C44" s="414">
        <v>42662</v>
      </c>
      <c r="D44" s="414"/>
      <c r="E44" s="22"/>
      <c r="F44" s="22"/>
      <c r="G44" s="22"/>
      <c r="H44" s="22"/>
      <c r="I44" s="22"/>
    </row>
    <row r="45" spans="1:9" ht="4.5" customHeight="1" x14ac:dyDescent="0.45">
      <c r="B45" s="2"/>
      <c r="C45" s="41"/>
      <c r="D45" s="41"/>
      <c r="E45" s="415"/>
      <c r="F45" s="415"/>
      <c r="G45" s="3"/>
      <c r="H45" s="4"/>
      <c r="I45" s="4"/>
    </row>
    <row r="46" spans="1:9" s="6" customFormat="1" ht="13.5" thickBot="1" x14ac:dyDescent="0.25">
      <c r="B46" s="123" t="s">
        <v>74</v>
      </c>
      <c r="C46" s="225" t="s">
        <v>1</v>
      </c>
      <c r="D46" s="225"/>
      <c r="E46" s="126" t="s">
        <v>2</v>
      </c>
    </row>
    <row r="47" spans="1:9" x14ac:dyDescent="0.2">
      <c r="B47" s="62" t="s">
        <v>82</v>
      </c>
      <c r="C47" s="76" t="s">
        <v>27</v>
      </c>
      <c r="D47" s="174"/>
      <c r="E47" s="172">
        <v>3507.15</v>
      </c>
      <c r="F47" s="347">
        <v>-600</v>
      </c>
      <c r="G47" s="357">
        <f>SUM(E47:F47)</f>
        <v>2907.15</v>
      </c>
    </row>
    <row r="48" spans="1:9" x14ac:dyDescent="0.2">
      <c r="B48" s="155" t="s">
        <v>96</v>
      </c>
      <c r="C48" s="124" t="s">
        <v>24</v>
      </c>
      <c r="D48" s="175"/>
      <c r="E48" s="172">
        <v>2681.88</v>
      </c>
      <c r="F48" s="240">
        <v>-500</v>
      </c>
      <c r="G48" s="357">
        <f>SUM(E48:F48)</f>
        <v>2181.88</v>
      </c>
    </row>
    <row r="49" spans="1:9" x14ac:dyDescent="0.2">
      <c r="B49" s="155" t="s">
        <v>85</v>
      </c>
      <c r="C49" s="124" t="s">
        <v>76</v>
      </c>
      <c r="D49" s="175"/>
      <c r="E49" s="172">
        <v>566.35</v>
      </c>
      <c r="F49" s="184"/>
    </row>
    <row r="50" spans="1:9" x14ac:dyDescent="0.2">
      <c r="B50" s="155" t="s">
        <v>3</v>
      </c>
      <c r="C50" s="124" t="s">
        <v>25</v>
      </c>
      <c r="D50" s="175"/>
      <c r="E50" s="172">
        <v>1222.1600000000001</v>
      </c>
      <c r="F50" s="184"/>
    </row>
    <row r="51" spans="1:9" x14ac:dyDescent="0.2">
      <c r="B51" s="29" t="s">
        <v>4</v>
      </c>
      <c r="C51" s="40" t="s">
        <v>23</v>
      </c>
      <c r="D51" s="176"/>
      <c r="E51" s="173">
        <v>927.03</v>
      </c>
    </row>
    <row r="52" spans="1:9" x14ac:dyDescent="0.2">
      <c r="B52" s="29" t="s">
        <v>275</v>
      </c>
      <c r="C52" s="40" t="s">
        <v>276</v>
      </c>
      <c r="D52" s="176"/>
      <c r="E52" s="173">
        <v>1042.96</v>
      </c>
    </row>
    <row r="53" spans="1:9" x14ac:dyDescent="0.2">
      <c r="B53" s="261" t="s">
        <v>78</v>
      </c>
      <c r="C53" s="262" t="s">
        <v>79</v>
      </c>
      <c r="D53" s="263"/>
      <c r="E53" s="135">
        <v>1008.56</v>
      </c>
      <c r="F53" s="94"/>
    </row>
    <row r="54" spans="1:9" x14ac:dyDescent="0.2">
      <c r="B54" s="29" t="s">
        <v>210</v>
      </c>
      <c r="C54" s="40" t="s">
        <v>211</v>
      </c>
      <c r="D54" s="300"/>
      <c r="E54" s="139">
        <v>792</v>
      </c>
      <c r="F54" s="94"/>
    </row>
    <row r="55" spans="1:9" x14ac:dyDescent="0.2">
      <c r="B55" s="44" t="s">
        <v>338</v>
      </c>
      <c r="C55" s="124" t="s">
        <v>337</v>
      </c>
      <c r="D55" s="299"/>
      <c r="E55" s="135">
        <v>1042.96</v>
      </c>
      <c r="F55" s="94"/>
    </row>
    <row r="56" spans="1:9" ht="13.5" thickBot="1" x14ac:dyDescent="0.25">
      <c r="B56" s="356" t="s">
        <v>85</v>
      </c>
      <c r="C56" s="355" t="s">
        <v>205</v>
      </c>
      <c r="D56" s="265"/>
      <c r="E56" s="137">
        <v>792</v>
      </c>
      <c r="F56" s="184"/>
    </row>
    <row r="57" spans="1:9" s="4" customFormat="1" ht="13.5" thickBot="1" x14ac:dyDescent="0.25">
      <c r="B57" s="274"/>
      <c r="C57" s="275"/>
      <c r="D57" s="276"/>
      <c r="E57" s="277">
        <f>SUM(E47:E56)</f>
        <v>13583.050000000003</v>
      </c>
      <c r="F57" s="132"/>
    </row>
    <row r="58" spans="1:9" x14ac:dyDescent="0.2">
      <c r="B58" s="44" t="s">
        <v>104</v>
      </c>
      <c r="C58" s="69" t="s">
        <v>12</v>
      </c>
      <c r="D58" s="69"/>
      <c r="E58" s="139">
        <v>1125</v>
      </c>
    </row>
    <row r="59" spans="1:9" ht="13.5" thickBot="1" x14ac:dyDescent="0.25">
      <c r="B59" s="63" t="s">
        <v>35</v>
      </c>
      <c r="C59" s="133" t="s">
        <v>36</v>
      </c>
      <c r="D59" s="133"/>
      <c r="E59" s="137">
        <v>1000</v>
      </c>
    </row>
    <row r="60" spans="1:9" ht="13.5" thickBot="1" x14ac:dyDescent="0.25">
      <c r="B60" s="11"/>
      <c r="C60" s="134" t="s">
        <v>0</v>
      </c>
      <c r="D60" s="134"/>
      <c r="E60" s="138">
        <f>SUM(E57:E59)</f>
        <v>15708.050000000003</v>
      </c>
    </row>
    <row r="61" spans="1:9" ht="12.75" customHeight="1" x14ac:dyDescent="0.2">
      <c r="B61" s="11"/>
      <c r="C61" s="21"/>
      <c r="D61" s="21"/>
      <c r="E61" s="22"/>
      <c r="F61" s="22"/>
      <c r="G61" s="22"/>
      <c r="H61" s="22"/>
      <c r="I61" s="22"/>
    </row>
    <row r="62" spans="1:9" s="127" customFormat="1" ht="6.75" customHeight="1" x14ac:dyDescent="0.2">
      <c r="B62" s="128"/>
      <c r="C62" s="129"/>
      <c r="D62" s="129"/>
      <c r="E62" s="130"/>
      <c r="F62" s="130"/>
      <c r="G62" s="130"/>
      <c r="H62" s="130"/>
      <c r="I62" s="130"/>
    </row>
    <row r="63" spans="1:9" ht="19.5" customHeight="1" x14ac:dyDescent="0.2">
      <c r="A63" s="163"/>
      <c r="B63" s="122" t="s">
        <v>73</v>
      </c>
      <c r="C63" s="168" t="s">
        <v>331</v>
      </c>
      <c r="D63" s="142"/>
      <c r="E63" s="22"/>
      <c r="F63" s="22"/>
      <c r="G63" s="22"/>
      <c r="H63" s="22"/>
      <c r="I63" s="22"/>
    </row>
    <row r="64" spans="1:9" ht="19.5" customHeight="1" x14ac:dyDescent="0.2">
      <c r="B64" s="122" t="s">
        <v>75</v>
      </c>
      <c r="C64" s="414">
        <v>42669</v>
      </c>
      <c r="D64" s="414"/>
      <c r="E64" s="22"/>
      <c r="F64" s="22"/>
      <c r="G64" s="22"/>
      <c r="H64" s="22"/>
      <c r="I64" s="22"/>
    </row>
    <row r="65" spans="2:9" ht="4.5" customHeight="1" x14ac:dyDescent="0.45">
      <c r="B65" s="2"/>
      <c r="C65" s="41"/>
      <c r="D65" s="41"/>
      <c r="E65" s="415"/>
      <c r="F65" s="415"/>
      <c r="G65" s="3"/>
      <c r="H65" s="4"/>
      <c r="I65" s="4"/>
    </row>
    <row r="66" spans="2:9" s="6" customFormat="1" ht="13.5" thickBot="1" x14ac:dyDescent="0.25">
      <c r="B66" s="123" t="s">
        <v>74</v>
      </c>
      <c r="C66" s="225" t="s">
        <v>1</v>
      </c>
      <c r="D66" s="225"/>
      <c r="E66" s="126" t="s">
        <v>2</v>
      </c>
    </row>
    <row r="67" spans="2:9" x14ac:dyDescent="0.2">
      <c r="B67" s="62" t="s">
        <v>82</v>
      </c>
      <c r="C67" s="76" t="s">
        <v>27</v>
      </c>
      <c r="D67" s="174"/>
      <c r="E67" s="172">
        <v>3484.64</v>
      </c>
      <c r="F67" s="347">
        <f>-F27-F47</f>
        <v>-600</v>
      </c>
      <c r="G67" s="357">
        <f>SUM(E67:F67)</f>
        <v>2884.64</v>
      </c>
    </row>
    <row r="68" spans="2:9" x14ac:dyDescent="0.2">
      <c r="B68" s="155" t="s">
        <v>96</v>
      </c>
      <c r="C68" s="124" t="s">
        <v>24</v>
      </c>
      <c r="D68" s="175"/>
      <c r="E68" s="172">
        <v>1983.82</v>
      </c>
    </row>
    <row r="69" spans="2:9" x14ac:dyDescent="0.2">
      <c r="B69" s="155" t="s">
        <v>85</v>
      </c>
      <c r="C69" s="124" t="s">
        <v>76</v>
      </c>
      <c r="D69" s="175"/>
      <c r="E69" s="172">
        <v>552.24</v>
      </c>
      <c r="F69" s="184"/>
    </row>
    <row r="70" spans="2:9" x14ac:dyDescent="0.2">
      <c r="B70" s="155" t="s">
        <v>3</v>
      </c>
      <c r="C70" s="124" t="s">
        <v>25</v>
      </c>
      <c r="D70" s="175"/>
      <c r="E70" s="172">
        <v>1222.1600000000001</v>
      </c>
      <c r="F70" s="294"/>
      <c r="G70" s="294"/>
    </row>
    <row r="71" spans="2:9" x14ac:dyDescent="0.2">
      <c r="B71" s="29" t="s">
        <v>369</v>
      </c>
      <c r="C71" s="40" t="s">
        <v>23</v>
      </c>
      <c r="D71" s="176"/>
      <c r="E71" s="173">
        <v>927.03</v>
      </c>
      <c r="G71" s="294"/>
    </row>
    <row r="72" spans="2:9" x14ac:dyDescent="0.2">
      <c r="B72" s="155" t="s">
        <v>367</v>
      </c>
      <c r="C72" s="124" t="s">
        <v>368</v>
      </c>
      <c r="D72" s="175"/>
      <c r="E72" s="172">
        <v>247.5</v>
      </c>
      <c r="F72" s="294"/>
      <c r="G72" s="294"/>
    </row>
    <row r="73" spans="2:9" x14ac:dyDescent="0.2">
      <c r="B73" s="29" t="s">
        <v>275</v>
      </c>
      <c r="C73" s="40" t="s">
        <v>276</v>
      </c>
      <c r="D73" s="176"/>
      <c r="E73" s="173">
        <v>1118.7</v>
      </c>
    </row>
    <row r="74" spans="2:9" x14ac:dyDescent="0.2">
      <c r="B74" s="261" t="s">
        <v>78</v>
      </c>
      <c r="C74" s="262" t="s">
        <v>79</v>
      </c>
      <c r="D74" s="263"/>
      <c r="E74" s="135">
        <v>1342.69</v>
      </c>
      <c r="F74" s="94"/>
    </row>
    <row r="75" spans="2:9" x14ac:dyDescent="0.2">
      <c r="B75" s="29" t="s">
        <v>210</v>
      </c>
      <c r="C75" s="40" t="s">
        <v>211</v>
      </c>
      <c r="D75" s="300"/>
      <c r="E75" s="139">
        <v>1118.7</v>
      </c>
      <c r="F75" s="94"/>
    </row>
    <row r="76" spans="2:9" x14ac:dyDescent="0.2">
      <c r="B76" s="261" t="s">
        <v>338</v>
      </c>
      <c r="C76" s="124" t="s">
        <v>337</v>
      </c>
      <c r="D76" s="299"/>
      <c r="E76" s="135">
        <v>1118.7</v>
      </c>
      <c r="F76" s="94"/>
    </row>
    <row r="77" spans="2:9" ht="13.5" thickBot="1" x14ac:dyDescent="0.25">
      <c r="B77" s="264" t="s">
        <v>85</v>
      </c>
      <c r="C77" s="265" t="s">
        <v>205</v>
      </c>
      <c r="D77" s="265"/>
      <c r="E77" s="137">
        <v>792</v>
      </c>
    </row>
    <row r="78" spans="2:9" s="4" customFormat="1" ht="13.5" thickBot="1" x14ac:dyDescent="0.25">
      <c r="B78" s="274"/>
      <c r="C78" s="275"/>
      <c r="D78" s="276"/>
      <c r="E78" s="277">
        <f>SUM(E67:E77)</f>
        <v>13908.180000000002</v>
      </c>
      <c r="F78" s="132"/>
    </row>
    <row r="79" spans="2:9" x14ac:dyDescent="0.2">
      <c r="B79" s="44" t="s">
        <v>104</v>
      </c>
      <c r="C79" s="69" t="s">
        <v>12</v>
      </c>
      <c r="D79" s="69"/>
      <c r="E79" s="139">
        <v>1125</v>
      </c>
    </row>
    <row r="80" spans="2:9" ht="13.5" thickBot="1" x14ac:dyDescent="0.25">
      <c r="B80" s="63" t="s">
        <v>35</v>
      </c>
      <c r="C80" s="133" t="s">
        <v>36</v>
      </c>
      <c r="D80" s="133"/>
      <c r="E80" s="137">
        <v>1000</v>
      </c>
    </row>
    <row r="81" spans="1:9" ht="13.5" thickBot="1" x14ac:dyDescent="0.25">
      <c r="B81" s="11"/>
      <c r="C81" s="134" t="s">
        <v>0</v>
      </c>
      <c r="D81" s="134"/>
      <c r="E81" s="138">
        <f>SUM(E78:E80)</f>
        <v>16033.180000000002</v>
      </c>
    </row>
    <row r="82" spans="1:9" ht="12.75" customHeight="1" x14ac:dyDescent="0.2">
      <c r="B82" s="11"/>
      <c r="C82" s="21"/>
      <c r="D82" s="21"/>
      <c r="E82" s="22"/>
      <c r="F82" s="22"/>
      <c r="G82" s="22"/>
      <c r="H82" s="22"/>
      <c r="I82" s="22"/>
    </row>
    <row r="83" spans="1:9" s="7" customFormat="1" ht="13.15" customHeight="1" x14ac:dyDescent="0.2">
      <c r="A83" s="32" t="s">
        <v>13</v>
      </c>
      <c r="B83" s="33" t="s">
        <v>14</v>
      </c>
      <c r="C83" s="33"/>
      <c r="D83" s="140">
        <v>9000</v>
      </c>
      <c r="E83" s="178"/>
      <c r="F83" s="32"/>
      <c r="G83" s="33" t="s">
        <v>40</v>
      </c>
      <c r="H83" s="140">
        <v>5000</v>
      </c>
      <c r="I83" s="140"/>
    </row>
    <row r="84" spans="1:9" s="7" customFormat="1" ht="13.15" customHeight="1" x14ac:dyDescent="0.2">
      <c r="A84" s="32" t="s">
        <v>15</v>
      </c>
      <c r="B84" s="33" t="s">
        <v>42</v>
      </c>
      <c r="C84" s="33"/>
      <c r="D84" s="140"/>
      <c r="E84" s="178"/>
      <c r="F84" s="32" t="s">
        <v>21</v>
      </c>
      <c r="G84" s="33" t="s">
        <v>22</v>
      </c>
      <c r="H84" s="140">
        <v>5000</v>
      </c>
      <c r="I84" s="330"/>
    </row>
    <row r="85" spans="1:9" s="7" customFormat="1" ht="13.15" customHeight="1" x14ac:dyDescent="0.2">
      <c r="A85" s="32" t="s">
        <v>16</v>
      </c>
      <c r="B85" s="33" t="s">
        <v>17</v>
      </c>
      <c r="C85" s="33"/>
      <c r="D85" s="140">
        <v>311.83999999999997</v>
      </c>
      <c r="E85" s="178"/>
      <c r="F85" s="32" t="s">
        <v>15</v>
      </c>
      <c r="G85" s="33" t="s">
        <v>41</v>
      </c>
      <c r="H85" s="140">
        <v>1020</v>
      </c>
      <c r="I85" s="143"/>
    </row>
    <row r="86" spans="1:9" s="7" customFormat="1" ht="13.15" customHeight="1" x14ac:dyDescent="0.2">
      <c r="A86" s="32" t="s">
        <v>93</v>
      </c>
      <c r="B86" s="33" t="s">
        <v>94</v>
      </c>
      <c r="C86" s="33"/>
      <c r="D86" s="140">
        <v>472.63</v>
      </c>
      <c r="E86" s="178"/>
      <c r="F86" s="32" t="s">
        <v>54</v>
      </c>
      <c r="G86" s="33" t="s">
        <v>56</v>
      </c>
      <c r="H86" s="140">
        <v>500</v>
      </c>
      <c r="I86" s="330"/>
    </row>
    <row r="87" spans="1:9" s="7" customFormat="1" ht="13.15" customHeight="1" x14ac:dyDescent="0.2">
      <c r="A87" s="32" t="s">
        <v>93</v>
      </c>
      <c r="B87" s="33" t="s">
        <v>95</v>
      </c>
      <c r="C87" s="33"/>
      <c r="D87" s="140">
        <v>86.94</v>
      </c>
      <c r="E87" s="178"/>
      <c r="F87" s="32" t="s">
        <v>55</v>
      </c>
      <c r="G87" s="33" t="s">
        <v>57</v>
      </c>
      <c r="H87" s="140">
        <v>500</v>
      </c>
      <c r="I87" s="330"/>
    </row>
    <row r="88" spans="1:9" s="7" customFormat="1" ht="13.15" customHeight="1" x14ac:dyDescent="0.2">
      <c r="A88" s="32" t="s">
        <v>19</v>
      </c>
      <c r="B88" s="33" t="s">
        <v>20</v>
      </c>
      <c r="C88" s="140"/>
      <c r="D88" s="140">
        <v>8000</v>
      </c>
      <c r="E88" s="178"/>
      <c r="F88" s="32" t="s">
        <v>16</v>
      </c>
      <c r="G88" s="33" t="s">
        <v>28</v>
      </c>
      <c r="H88" s="140">
        <v>12000</v>
      </c>
      <c r="I88" s="330"/>
    </row>
    <row r="89" spans="1:9" s="7" customFormat="1" ht="13.15" customHeight="1" thickBot="1" x14ac:dyDescent="0.25">
      <c r="A89" s="32" t="s">
        <v>18</v>
      </c>
      <c r="B89" s="33" t="s">
        <v>45</v>
      </c>
      <c r="C89" s="140"/>
      <c r="D89" s="140">
        <v>1000</v>
      </c>
      <c r="E89" s="140"/>
      <c r="F89" s="70" t="s">
        <v>38</v>
      </c>
      <c r="G89" s="33" t="s">
        <v>29</v>
      </c>
      <c r="H89" s="141">
        <v>11000</v>
      </c>
      <c r="I89" s="330"/>
    </row>
    <row r="90" spans="1:9" s="7" customFormat="1" ht="13.15" customHeight="1" thickTop="1" thickBot="1" x14ac:dyDescent="0.25">
      <c r="B90" s="212"/>
      <c r="C90" s="33"/>
      <c r="D90" s="213"/>
      <c r="E90" s="140"/>
      <c r="F90" s="34"/>
      <c r="G90" s="33"/>
      <c r="H90" s="162">
        <f>SUM(H83:H89)+SUM(D83:D90)</f>
        <v>53891.41</v>
      </c>
      <c r="I90" s="162"/>
    </row>
    <row r="91" spans="1:9" s="7" customFormat="1" ht="13.15" customHeight="1" thickBot="1" x14ac:dyDescent="0.25">
      <c r="B91" s="32"/>
      <c r="C91" s="33"/>
      <c r="D91" s="9"/>
      <c r="E91" s="140"/>
      <c r="F91" s="34"/>
      <c r="G91" s="145" t="s">
        <v>5</v>
      </c>
      <c r="H91" s="146">
        <f>E81+H90</f>
        <v>69924.590000000011</v>
      </c>
      <c r="I91" s="162"/>
    </row>
    <row r="92" spans="1:9" s="7" customFormat="1" ht="13.15" customHeight="1" x14ac:dyDescent="0.2">
      <c r="B92" s="32"/>
      <c r="C92" s="33"/>
      <c r="D92" s="8"/>
      <c r="E92" s="9"/>
      <c r="F92" s="9"/>
      <c r="G92" s="9"/>
      <c r="H92" s="9"/>
      <c r="I92" s="162"/>
    </row>
    <row r="93" spans="1:9" s="7" customFormat="1" ht="13.15" customHeight="1" x14ac:dyDescent="0.2">
      <c r="A93" s="9"/>
      <c r="B93" s="10"/>
      <c r="C93" s="9"/>
      <c r="D93" s="8"/>
      <c r="E93" s="9"/>
      <c r="F93" s="9"/>
      <c r="G93" s="9"/>
      <c r="H93" s="9"/>
      <c r="I93" s="162"/>
    </row>
    <row r="94" spans="1:9" s="7" customFormat="1" ht="13.15" customHeight="1" x14ac:dyDescent="0.2">
      <c r="A94" s="9"/>
      <c r="B94" s="10"/>
      <c r="C94" s="8"/>
      <c r="D94" s="8"/>
      <c r="E94" s="9"/>
      <c r="F94" s="9"/>
      <c r="G94" s="9"/>
      <c r="H94" s="9"/>
      <c r="I94" s="162"/>
    </row>
    <row r="95" spans="1:9" s="7" customFormat="1" ht="13.15" customHeight="1" x14ac:dyDescent="0.2">
      <c r="A95" s="9"/>
      <c r="B95" s="10"/>
      <c r="C95" s="8"/>
      <c r="D95" s="8"/>
      <c r="E95" s="9"/>
      <c r="F95" s="9"/>
      <c r="G95" s="9"/>
      <c r="H95" s="9"/>
      <c r="I95" s="162"/>
    </row>
    <row r="96" spans="1:9" s="7" customFormat="1" ht="13.15" customHeight="1" x14ac:dyDescent="0.2">
      <c r="A96" s="9"/>
      <c r="B96" s="10"/>
      <c r="C96" s="8"/>
      <c r="D96" s="8"/>
      <c r="E96" s="9"/>
      <c r="F96" s="9"/>
      <c r="G96" s="9"/>
      <c r="H96" s="9"/>
      <c r="I96" s="162"/>
    </row>
    <row r="97" spans="1:9" s="9" customFormat="1" ht="12" x14ac:dyDescent="0.2">
      <c r="B97" s="10"/>
      <c r="C97" s="8"/>
    </row>
    <row r="98" spans="1:9" s="9" customFormat="1" ht="12" x14ac:dyDescent="0.2">
      <c r="B98" s="10"/>
      <c r="C98" s="8"/>
    </row>
    <row r="99" spans="1:9" s="9" customFormat="1" ht="12" x14ac:dyDescent="0.2">
      <c r="B99" s="10"/>
      <c r="C99" s="8"/>
    </row>
    <row r="100" spans="1:9" s="9" customFormat="1" ht="12" x14ac:dyDescent="0.2">
      <c r="B100" s="10"/>
    </row>
    <row r="101" spans="1:9" s="9" customFormat="1" ht="12" x14ac:dyDescent="0.2">
      <c r="B101" s="10"/>
    </row>
    <row r="102" spans="1:9" s="9" customFormat="1" ht="12" x14ac:dyDescent="0.2">
      <c r="B102" s="10"/>
    </row>
    <row r="103" spans="1:9" s="9" customFormat="1" x14ac:dyDescent="0.2">
      <c r="B103" s="10"/>
      <c r="D103" s="5"/>
    </row>
    <row r="104" spans="1:9" s="9" customFormat="1" x14ac:dyDescent="0.2">
      <c r="B104" s="10"/>
      <c r="D104" s="5"/>
    </row>
    <row r="105" spans="1:9" s="9" customFormat="1" x14ac:dyDescent="0.2">
      <c r="B105" s="10"/>
      <c r="D105" s="5"/>
      <c r="E105" s="5"/>
      <c r="F105" s="5"/>
      <c r="G105" s="5"/>
      <c r="H105" s="5"/>
    </row>
    <row r="106" spans="1:9" s="9" customFormat="1" x14ac:dyDescent="0.2">
      <c r="B106" s="12"/>
      <c r="C106" s="5"/>
      <c r="D106" s="5"/>
      <c r="E106" s="5"/>
      <c r="F106" s="5"/>
      <c r="G106" s="5"/>
      <c r="H106" s="5"/>
    </row>
    <row r="107" spans="1:9" s="9" customFormat="1" x14ac:dyDescent="0.2">
      <c r="B107" s="12"/>
      <c r="C107" s="5"/>
      <c r="D107" s="5"/>
      <c r="E107" s="5"/>
      <c r="F107" s="5"/>
      <c r="G107" s="5"/>
      <c r="H107" s="5"/>
    </row>
    <row r="108" spans="1:9" s="9" customFormat="1" x14ac:dyDescent="0.2">
      <c r="B108" s="12"/>
      <c r="C108" s="5"/>
      <c r="D108" s="5"/>
      <c r="E108" s="5"/>
      <c r="F108" s="5"/>
      <c r="G108" s="5"/>
      <c r="H108" s="5"/>
    </row>
    <row r="109" spans="1:9" s="9" customFormat="1" x14ac:dyDescent="0.2">
      <c r="B109" s="12"/>
      <c r="C109" s="5"/>
      <c r="D109" s="5"/>
      <c r="E109" s="5"/>
      <c r="F109" s="5"/>
      <c r="G109" s="5"/>
      <c r="H109" s="5"/>
    </row>
    <row r="110" spans="1:9" s="9" customFormat="1" x14ac:dyDescent="0.2">
      <c r="A110" s="5"/>
      <c r="B110" s="12"/>
      <c r="C110" s="5"/>
      <c r="D110" s="5"/>
      <c r="E110" s="5"/>
      <c r="F110" s="5"/>
      <c r="G110" s="5"/>
      <c r="H110" s="5"/>
      <c r="I110" s="5"/>
    </row>
    <row r="111" spans="1:9" s="9" customFormat="1" x14ac:dyDescent="0.2">
      <c r="A111" s="5"/>
      <c r="B111" s="12"/>
      <c r="C111" s="5"/>
      <c r="D111" s="5"/>
      <c r="E111" s="5"/>
      <c r="F111" s="5"/>
      <c r="G111" s="5"/>
      <c r="H111" s="5"/>
      <c r="I111" s="5"/>
    </row>
    <row r="112" spans="1:9" s="9" customFormat="1" x14ac:dyDescent="0.2">
      <c r="A112" s="5"/>
      <c r="B112" s="12"/>
      <c r="C112" s="5"/>
      <c r="D112" s="5"/>
      <c r="E112" s="5"/>
      <c r="F112" s="5"/>
      <c r="G112" s="5"/>
      <c r="H112" s="5"/>
      <c r="I112" s="5"/>
    </row>
    <row r="113" spans="1:9" s="9" customFormat="1" x14ac:dyDescent="0.2">
      <c r="A113" s="5"/>
      <c r="B113" s="12"/>
      <c r="C113" s="5"/>
      <c r="D113" s="5"/>
      <c r="E113" s="5"/>
      <c r="F113" s="5"/>
      <c r="G113" s="5"/>
      <c r="H113" s="5"/>
      <c r="I113" s="5"/>
    </row>
  </sheetData>
  <mergeCells count="9">
    <mergeCell ref="E45:F45"/>
    <mergeCell ref="C64:D64"/>
    <mergeCell ref="E65:F65"/>
    <mergeCell ref="A1:H1"/>
    <mergeCell ref="C4:D4"/>
    <mergeCell ref="E5:F5"/>
    <mergeCell ref="C24:D24"/>
    <mergeCell ref="E25:F25"/>
    <mergeCell ref="C44:D4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opLeftCell="A61" zoomScaleNormal="100" workbookViewId="0">
      <selection activeCell="F71" sqref="F7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9.8554687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418" t="s">
        <v>342</v>
      </c>
      <c r="B1" s="418"/>
      <c r="C1" s="418"/>
      <c r="D1" s="418"/>
      <c r="E1" s="418"/>
      <c r="F1" s="418"/>
      <c r="G1" s="418"/>
      <c r="H1" s="418"/>
      <c r="I1" s="148"/>
    </row>
    <row r="2" spans="1:9" s="127" customFormat="1" ht="6.75" customHeight="1" x14ac:dyDescent="0.2">
      <c r="B2" s="128"/>
      <c r="C2" s="129"/>
      <c r="D2" s="129"/>
      <c r="E2" s="130"/>
      <c r="F2" s="130"/>
      <c r="G2" s="130"/>
      <c r="H2" s="130"/>
      <c r="I2" s="130"/>
    </row>
    <row r="3" spans="1:9" ht="19.5" customHeight="1" x14ac:dyDescent="0.2">
      <c r="A3" s="163"/>
      <c r="B3" s="122" t="s">
        <v>73</v>
      </c>
      <c r="C3" s="168" t="s">
        <v>343</v>
      </c>
      <c r="D3" s="142"/>
      <c r="E3" s="22"/>
      <c r="F3" s="22"/>
      <c r="G3" s="22"/>
      <c r="H3" s="22"/>
      <c r="I3" s="22"/>
    </row>
    <row r="4" spans="1:9" ht="19.5" customHeight="1" x14ac:dyDescent="0.2">
      <c r="B4" s="122" t="s">
        <v>75</v>
      </c>
      <c r="C4" s="414">
        <v>42676</v>
      </c>
      <c r="D4" s="416"/>
      <c r="E4" s="22"/>
      <c r="F4" s="22"/>
      <c r="G4" s="22"/>
      <c r="H4" s="22"/>
      <c r="I4" s="22"/>
    </row>
    <row r="5" spans="1:9" ht="4.5" customHeight="1" x14ac:dyDescent="0.45">
      <c r="B5" s="2"/>
      <c r="C5" s="41"/>
      <c r="D5" s="41"/>
      <c r="E5" s="415"/>
      <c r="F5" s="417"/>
      <c r="G5" s="3"/>
      <c r="H5" s="4"/>
      <c r="I5" s="4"/>
    </row>
    <row r="6" spans="1:9" s="6" customFormat="1" ht="13.5" thickBot="1" x14ac:dyDescent="0.25">
      <c r="B6" s="123" t="s">
        <v>74</v>
      </c>
      <c r="C6" s="225" t="s">
        <v>1</v>
      </c>
      <c r="D6" s="225"/>
      <c r="E6" s="126" t="s">
        <v>2</v>
      </c>
      <c r="G6" s="123"/>
      <c r="H6" s="123"/>
      <c r="I6" s="97"/>
    </row>
    <row r="7" spans="1:9" x14ac:dyDescent="0.2">
      <c r="B7" s="62" t="s">
        <v>82</v>
      </c>
      <c r="C7" s="76" t="s">
        <v>27</v>
      </c>
      <c r="D7" s="174"/>
      <c r="E7" s="172">
        <v>3276.61</v>
      </c>
      <c r="F7" s="294"/>
      <c r="G7" s="164"/>
      <c r="H7" s="165"/>
      <c r="I7" s="4"/>
    </row>
    <row r="8" spans="1:9" x14ac:dyDescent="0.2">
      <c r="B8" s="155" t="s">
        <v>96</v>
      </c>
      <c r="C8" s="124" t="s">
        <v>24</v>
      </c>
      <c r="D8" s="175"/>
      <c r="E8" s="172">
        <v>1929.3</v>
      </c>
      <c r="F8" s="358"/>
      <c r="G8" s="228"/>
      <c r="H8" s="165"/>
      <c r="I8" s="4"/>
    </row>
    <row r="9" spans="1:9" x14ac:dyDescent="0.2">
      <c r="B9" s="155" t="s">
        <v>85</v>
      </c>
      <c r="C9" s="124" t="s">
        <v>76</v>
      </c>
      <c r="D9" s="175"/>
      <c r="E9" s="172">
        <v>752.24</v>
      </c>
      <c r="G9" s="294"/>
      <c r="H9" s="165"/>
      <c r="I9" s="4"/>
    </row>
    <row r="10" spans="1:9" x14ac:dyDescent="0.2">
      <c r="B10" s="155" t="s">
        <v>3</v>
      </c>
      <c r="C10" s="124" t="s">
        <v>25</v>
      </c>
      <c r="D10" s="175"/>
      <c r="E10" s="172">
        <v>1329.08</v>
      </c>
      <c r="G10" s="294"/>
      <c r="H10" s="165"/>
      <c r="I10" s="4"/>
    </row>
    <row r="11" spans="1:9" x14ac:dyDescent="0.2">
      <c r="B11" s="29" t="s">
        <v>369</v>
      </c>
      <c r="C11" s="40" t="s">
        <v>23</v>
      </c>
      <c r="D11" s="176"/>
      <c r="E11" s="173">
        <v>927.03</v>
      </c>
      <c r="G11" s="164"/>
      <c r="H11" s="165"/>
      <c r="I11" s="4"/>
    </row>
    <row r="12" spans="1:9" x14ac:dyDescent="0.2">
      <c r="B12" s="29" t="s">
        <v>367</v>
      </c>
      <c r="C12" s="40" t="s">
        <v>368</v>
      </c>
      <c r="D12" s="176"/>
      <c r="E12" s="173">
        <v>1178.0999999999999</v>
      </c>
      <c r="G12" s="164"/>
      <c r="H12" s="165"/>
      <c r="I12" s="4"/>
    </row>
    <row r="13" spans="1:9" x14ac:dyDescent="0.2">
      <c r="B13" s="29" t="s">
        <v>275</v>
      </c>
      <c r="C13" s="40" t="s">
        <v>276</v>
      </c>
      <c r="D13" s="176"/>
      <c r="E13" s="173">
        <v>1118.7</v>
      </c>
    </row>
    <row r="14" spans="1:9" x14ac:dyDescent="0.2">
      <c r="B14" s="29" t="s">
        <v>78</v>
      </c>
      <c r="C14" s="40" t="s">
        <v>79</v>
      </c>
      <c r="D14" s="176"/>
      <c r="E14" s="135">
        <v>1454.06</v>
      </c>
      <c r="F14" s="94"/>
      <c r="G14" s="4"/>
      <c r="H14" s="165"/>
      <c r="I14" s="4"/>
    </row>
    <row r="15" spans="1:9" x14ac:dyDescent="0.2">
      <c r="B15" s="29" t="s">
        <v>210</v>
      </c>
      <c r="C15" s="40" t="s">
        <v>211</v>
      </c>
      <c r="D15" s="300"/>
      <c r="E15" s="139">
        <v>1118.7</v>
      </c>
      <c r="F15" s="94"/>
    </row>
    <row r="16" spans="1:9" x14ac:dyDescent="0.2">
      <c r="B16" s="261" t="s">
        <v>338</v>
      </c>
      <c r="C16" s="262" t="s">
        <v>337</v>
      </c>
      <c r="D16" s="299"/>
      <c r="E16" s="135">
        <v>1118.7</v>
      </c>
      <c r="F16" s="94"/>
      <c r="G16" s="4"/>
      <c r="H16" s="165"/>
      <c r="I16" s="4"/>
    </row>
    <row r="17" spans="1:9" ht="13.5" thickBot="1" x14ac:dyDescent="0.25">
      <c r="B17" s="264" t="s">
        <v>85</v>
      </c>
      <c r="C17" s="265" t="s">
        <v>205</v>
      </c>
      <c r="D17" s="265"/>
      <c r="E17" s="137">
        <v>792</v>
      </c>
      <c r="G17" s="4"/>
      <c r="H17" s="165"/>
      <c r="I17" s="4"/>
    </row>
    <row r="18" spans="1:9" ht="14.25" thickTop="1" thickBot="1" x14ac:dyDescent="0.25">
      <c r="B18" s="270"/>
      <c r="C18" s="285"/>
      <c r="D18" s="286"/>
      <c r="E18" s="267">
        <f>SUM(E7:E17)</f>
        <v>14994.520000000002</v>
      </c>
      <c r="G18" s="4"/>
      <c r="H18" s="165"/>
      <c r="I18" s="4"/>
    </row>
    <row r="19" spans="1:9" x14ac:dyDescent="0.2">
      <c r="B19" s="268" t="s">
        <v>104</v>
      </c>
      <c r="C19" s="269" t="s">
        <v>12</v>
      </c>
      <c r="D19" s="269"/>
      <c r="E19" s="139">
        <v>1125</v>
      </c>
      <c r="G19" s="4"/>
      <c r="H19" s="165"/>
      <c r="I19" s="4"/>
    </row>
    <row r="20" spans="1:9" ht="13.5" thickBot="1" x14ac:dyDescent="0.25">
      <c r="B20" s="63" t="s">
        <v>35</v>
      </c>
      <c r="C20" s="133" t="s">
        <v>36</v>
      </c>
      <c r="D20" s="133"/>
      <c r="E20" s="137">
        <v>1050</v>
      </c>
      <c r="G20" s="4"/>
      <c r="H20" s="165"/>
      <c r="I20" s="4"/>
    </row>
    <row r="21" spans="1:9" ht="13.5" thickBot="1" x14ac:dyDescent="0.25">
      <c r="B21" s="11"/>
      <c r="C21" s="134" t="s">
        <v>0</v>
      </c>
      <c r="D21" s="134"/>
      <c r="E21" s="138">
        <f>SUM(E18:E20)</f>
        <v>17169.520000000004</v>
      </c>
      <c r="G21" s="166"/>
      <c r="H21" s="165"/>
      <c r="I21" s="4"/>
    </row>
    <row r="22" spans="1:9" x14ac:dyDescent="0.2">
      <c r="B22" s="11"/>
      <c r="C22" s="134"/>
      <c r="D22" s="134"/>
      <c r="E22" s="159"/>
      <c r="G22" s="166"/>
      <c r="H22" s="165"/>
      <c r="I22" s="4"/>
    </row>
    <row r="23" spans="1:9" s="127" customFormat="1" ht="6.75" customHeight="1" x14ac:dyDescent="0.2">
      <c r="B23" s="128"/>
      <c r="C23" s="129"/>
      <c r="D23" s="129"/>
      <c r="E23" s="130"/>
      <c r="F23" s="130"/>
      <c r="G23" s="130"/>
      <c r="H23" s="130"/>
      <c r="I23" s="130"/>
    </row>
    <row r="24" spans="1:9" ht="19.5" customHeight="1" x14ac:dyDescent="0.2">
      <c r="A24" s="163"/>
      <c r="B24" s="122" t="s">
        <v>73</v>
      </c>
      <c r="C24" s="168" t="s">
        <v>344</v>
      </c>
      <c r="D24" s="142"/>
      <c r="E24" s="22"/>
      <c r="F24" s="22"/>
      <c r="G24" s="22"/>
      <c r="H24" s="22"/>
      <c r="I24" s="22"/>
    </row>
    <row r="25" spans="1:9" ht="19.5" customHeight="1" x14ac:dyDescent="0.2">
      <c r="B25" s="122" t="s">
        <v>75</v>
      </c>
      <c r="C25" s="414">
        <v>42683</v>
      </c>
      <c r="D25" s="414"/>
      <c r="E25" s="22"/>
      <c r="F25" s="22"/>
      <c r="G25" s="22"/>
      <c r="H25" s="22"/>
      <c r="I25" s="22"/>
    </row>
    <row r="26" spans="1:9" ht="4.5" customHeight="1" x14ac:dyDescent="0.45">
      <c r="B26" s="2"/>
      <c r="C26" s="41"/>
      <c r="D26" s="41"/>
      <c r="E26" s="415"/>
      <c r="F26" s="415"/>
      <c r="G26" s="3"/>
      <c r="H26" s="4"/>
      <c r="I26" s="4"/>
    </row>
    <row r="27" spans="1:9" s="6" customFormat="1" ht="13.5" thickBot="1" x14ac:dyDescent="0.25">
      <c r="B27" s="123" t="s">
        <v>74</v>
      </c>
      <c r="C27" s="225" t="s">
        <v>1</v>
      </c>
      <c r="D27" s="225"/>
      <c r="E27" s="126" t="s">
        <v>2</v>
      </c>
    </row>
    <row r="28" spans="1:9" x14ac:dyDescent="0.2">
      <c r="B28" s="62" t="s">
        <v>82</v>
      </c>
      <c r="C28" s="76" t="s">
        <v>27</v>
      </c>
      <c r="D28" s="174"/>
      <c r="E28" s="172">
        <v>2772.66</v>
      </c>
      <c r="F28" s="240"/>
      <c r="G28" s="354"/>
    </row>
    <row r="29" spans="1:9" x14ac:dyDescent="0.2">
      <c r="B29" s="155" t="s">
        <v>96</v>
      </c>
      <c r="C29" s="124" t="s">
        <v>24</v>
      </c>
      <c r="D29" s="175"/>
      <c r="E29" s="172">
        <v>1902.01</v>
      </c>
      <c r="F29" s="358"/>
      <c r="G29" s="354"/>
    </row>
    <row r="30" spans="1:9" x14ac:dyDescent="0.2">
      <c r="B30" s="155" t="s">
        <v>85</v>
      </c>
      <c r="C30" s="124" t="s">
        <v>76</v>
      </c>
      <c r="D30" s="175"/>
      <c r="E30" s="172">
        <v>552.24</v>
      </c>
    </row>
    <row r="31" spans="1:9" x14ac:dyDescent="0.2">
      <c r="B31" s="155" t="s">
        <v>3</v>
      </c>
      <c r="C31" s="124" t="s">
        <v>25</v>
      </c>
      <c r="D31" s="175"/>
      <c r="E31" s="172">
        <v>937.04</v>
      </c>
    </row>
    <row r="32" spans="1:9" x14ac:dyDescent="0.2">
      <c r="B32" s="29" t="s">
        <v>369</v>
      </c>
      <c r="C32" s="40" t="s">
        <v>23</v>
      </c>
      <c r="D32" s="176"/>
      <c r="E32" s="173">
        <v>927.03</v>
      </c>
    </row>
    <row r="33" spans="1:9" x14ac:dyDescent="0.2">
      <c r="B33" s="29" t="s">
        <v>367</v>
      </c>
      <c r="C33" s="40" t="s">
        <v>368</v>
      </c>
      <c r="D33" s="176"/>
      <c r="E33" s="173">
        <v>985.05</v>
      </c>
      <c r="G33" s="164"/>
      <c r="H33" s="165"/>
      <c r="I33" s="4"/>
    </row>
    <row r="34" spans="1:9" x14ac:dyDescent="0.2">
      <c r="B34" s="29" t="s">
        <v>275</v>
      </c>
      <c r="C34" s="40" t="s">
        <v>276</v>
      </c>
      <c r="D34" s="176"/>
      <c r="E34" s="173">
        <v>821.7</v>
      </c>
    </row>
    <row r="35" spans="1:9" x14ac:dyDescent="0.2">
      <c r="B35" s="261" t="s">
        <v>78</v>
      </c>
      <c r="C35" s="124" t="s">
        <v>79</v>
      </c>
      <c r="D35" s="263"/>
      <c r="E35" s="135">
        <v>1157.06</v>
      </c>
      <c r="F35" s="94"/>
    </row>
    <row r="36" spans="1:9" x14ac:dyDescent="0.2">
      <c r="B36" s="29" t="s">
        <v>210</v>
      </c>
      <c r="C36" s="40" t="s">
        <v>211</v>
      </c>
      <c r="D36" s="300"/>
      <c r="E36" s="139">
        <v>836.55</v>
      </c>
      <c r="F36" s="94"/>
    </row>
    <row r="37" spans="1:9" x14ac:dyDescent="0.2">
      <c r="B37" s="29" t="s">
        <v>338</v>
      </c>
      <c r="C37" s="40" t="s">
        <v>337</v>
      </c>
      <c r="D37" s="176"/>
      <c r="E37" s="266">
        <v>836.55</v>
      </c>
      <c r="F37" s="94"/>
    </row>
    <row r="38" spans="1:9" ht="13.5" thickBot="1" x14ac:dyDescent="0.25">
      <c r="B38" s="180" t="s">
        <v>85</v>
      </c>
      <c r="C38" s="181" t="s">
        <v>205</v>
      </c>
      <c r="D38" s="182"/>
      <c r="E38" s="137">
        <v>791.55</v>
      </c>
      <c r="F38" s="94"/>
    </row>
    <row r="39" spans="1:9" s="4" customFormat="1" ht="13.5" thickBot="1" x14ac:dyDescent="0.25">
      <c r="B39" s="274"/>
      <c r="C39" s="275"/>
      <c r="D39" s="276"/>
      <c r="E39" s="277">
        <f>SUM(E28:E38)</f>
        <v>12519.439999999997</v>
      </c>
      <c r="F39" s="132"/>
    </row>
    <row r="40" spans="1:9" x14ac:dyDescent="0.2">
      <c r="B40" s="44" t="s">
        <v>104</v>
      </c>
      <c r="C40" s="69" t="s">
        <v>12</v>
      </c>
      <c r="D40" s="69"/>
      <c r="E40" s="139">
        <v>1125</v>
      </c>
    </row>
    <row r="41" spans="1:9" ht="13.5" thickBot="1" x14ac:dyDescent="0.25">
      <c r="B41" s="63" t="s">
        <v>35</v>
      </c>
      <c r="C41" s="133" t="s">
        <v>36</v>
      </c>
      <c r="D41" s="133"/>
      <c r="E41" s="137">
        <v>1050</v>
      </c>
    </row>
    <row r="42" spans="1:9" ht="13.5" thickBot="1" x14ac:dyDescent="0.25">
      <c r="B42" s="11"/>
      <c r="C42" s="134" t="s">
        <v>0</v>
      </c>
      <c r="D42" s="134"/>
      <c r="E42" s="138">
        <f>SUM(E39:E41)</f>
        <v>14694.439999999997</v>
      </c>
    </row>
    <row r="43" spans="1:9" ht="12.75" customHeight="1" x14ac:dyDescent="0.2">
      <c r="B43" s="11"/>
      <c r="C43" s="21"/>
      <c r="D43" s="21"/>
      <c r="E43" s="22"/>
      <c r="F43" s="22"/>
      <c r="G43" s="22"/>
      <c r="H43" s="22"/>
      <c r="I43" s="22"/>
    </row>
    <row r="44" spans="1:9" s="127" customFormat="1" ht="6.75" customHeight="1" x14ac:dyDescent="0.2">
      <c r="B44" s="128"/>
      <c r="C44" s="129"/>
      <c r="D44" s="129"/>
      <c r="E44" s="130"/>
      <c r="F44" s="130"/>
      <c r="G44" s="130"/>
      <c r="H44" s="130"/>
      <c r="I44" s="130"/>
    </row>
    <row r="45" spans="1:9" ht="19.5" customHeight="1" x14ac:dyDescent="0.2">
      <c r="A45" s="163"/>
      <c r="B45" s="122" t="s">
        <v>73</v>
      </c>
      <c r="C45" s="168" t="s">
        <v>345</v>
      </c>
      <c r="D45" s="142"/>
      <c r="E45" s="22"/>
      <c r="F45" s="22"/>
      <c r="G45" s="22"/>
      <c r="H45" s="22"/>
      <c r="I45" s="22"/>
    </row>
    <row r="46" spans="1:9" ht="19.5" customHeight="1" x14ac:dyDescent="0.2">
      <c r="B46" s="122" t="s">
        <v>75</v>
      </c>
      <c r="C46" s="414">
        <v>42690</v>
      </c>
      <c r="D46" s="414"/>
      <c r="E46" s="22"/>
      <c r="F46" s="22"/>
      <c r="G46" s="22"/>
      <c r="H46" s="22"/>
      <c r="I46" s="22"/>
    </row>
    <row r="47" spans="1:9" ht="4.5" customHeight="1" x14ac:dyDescent="0.45">
      <c r="B47" s="2"/>
      <c r="C47" s="41"/>
      <c r="D47" s="41"/>
      <c r="E47" s="415"/>
      <c r="F47" s="415"/>
      <c r="G47" s="3"/>
      <c r="H47" s="4"/>
      <c r="I47" s="4"/>
    </row>
    <row r="48" spans="1:9" s="6" customFormat="1" ht="13.5" thickBot="1" x14ac:dyDescent="0.25">
      <c r="B48" s="123" t="s">
        <v>74</v>
      </c>
      <c r="C48" s="225" t="s">
        <v>1</v>
      </c>
      <c r="D48" s="225"/>
      <c r="E48" s="126" t="s">
        <v>2</v>
      </c>
    </row>
    <row r="49" spans="2:9" x14ac:dyDescent="0.2">
      <c r="B49" s="62" t="s">
        <v>82</v>
      </c>
      <c r="C49" s="76" t="s">
        <v>27</v>
      </c>
      <c r="D49" s="174"/>
      <c r="E49" s="172">
        <v>2767.88</v>
      </c>
      <c r="F49" s="240"/>
      <c r="G49" s="354"/>
    </row>
    <row r="50" spans="2:9" x14ac:dyDescent="0.2">
      <c r="B50" s="155" t="s">
        <v>96</v>
      </c>
      <c r="C50" s="124" t="s">
        <v>24</v>
      </c>
      <c r="D50" s="175"/>
      <c r="E50" s="172">
        <v>2393.54</v>
      </c>
      <c r="F50" s="358"/>
      <c r="G50" s="354"/>
    </row>
    <row r="51" spans="2:9" x14ac:dyDescent="0.2">
      <c r="B51" s="155" t="s">
        <v>85</v>
      </c>
      <c r="C51" s="124" t="s">
        <v>76</v>
      </c>
      <c r="D51" s="175"/>
      <c r="E51" s="172">
        <v>552.24</v>
      </c>
    </row>
    <row r="52" spans="2:9" x14ac:dyDescent="0.2">
      <c r="B52" s="155" t="s">
        <v>3</v>
      </c>
      <c r="C52" s="124" t="s">
        <v>25</v>
      </c>
      <c r="D52" s="175"/>
      <c r="E52" s="172">
        <v>937.04</v>
      </c>
    </row>
    <row r="53" spans="2:9" x14ac:dyDescent="0.2">
      <c r="B53" s="29" t="s">
        <v>369</v>
      </c>
      <c r="C53" s="40" t="s">
        <v>23</v>
      </c>
      <c r="D53" s="176"/>
      <c r="E53" s="173">
        <v>927.03</v>
      </c>
    </row>
    <row r="54" spans="2:9" x14ac:dyDescent="0.2">
      <c r="B54" s="29" t="s">
        <v>367</v>
      </c>
      <c r="C54" s="40" t="s">
        <v>368</v>
      </c>
      <c r="D54" s="176"/>
      <c r="E54" s="173">
        <v>955.35</v>
      </c>
      <c r="G54" s="164"/>
      <c r="H54" s="165"/>
      <c r="I54" s="4"/>
    </row>
    <row r="55" spans="2:9" x14ac:dyDescent="0.2">
      <c r="B55" s="29" t="s">
        <v>275</v>
      </c>
      <c r="C55" s="40" t="s">
        <v>276</v>
      </c>
      <c r="D55" s="176"/>
      <c r="E55" s="173">
        <v>999.9</v>
      </c>
    </row>
    <row r="56" spans="2:9" x14ac:dyDescent="0.2">
      <c r="B56" s="261" t="s">
        <v>78</v>
      </c>
      <c r="C56" s="124" t="s">
        <v>79</v>
      </c>
      <c r="D56" s="263"/>
      <c r="E56" s="135">
        <v>1249.8699999999999</v>
      </c>
      <c r="F56" s="94"/>
    </row>
    <row r="57" spans="2:9" x14ac:dyDescent="0.2">
      <c r="B57" s="29" t="s">
        <v>210</v>
      </c>
      <c r="C57" s="40" t="s">
        <v>211</v>
      </c>
      <c r="D57" s="300"/>
      <c r="E57" s="139">
        <v>792</v>
      </c>
      <c r="F57" s="94"/>
    </row>
    <row r="58" spans="2:9" x14ac:dyDescent="0.2">
      <c r="B58" s="29" t="s">
        <v>338</v>
      </c>
      <c r="C58" s="40" t="s">
        <v>337</v>
      </c>
      <c r="D58" s="176"/>
      <c r="E58" s="266">
        <v>940.5</v>
      </c>
      <c r="F58" s="94"/>
    </row>
    <row r="59" spans="2:9" ht="13.5" thickBot="1" x14ac:dyDescent="0.25">
      <c r="B59" s="180" t="s">
        <v>85</v>
      </c>
      <c r="C59" s="181" t="s">
        <v>205</v>
      </c>
      <c r="D59" s="182"/>
      <c r="E59" s="137">
        <v>792</v>
      </c>
      <c r="F59" s="94"/>
    </row>
    <row r="60" spans="2:9" s="4" customFormat="1" ht="13.5" thickBot="1" x14ac:dyDescent="0.25">
      <c r="B60" s="274"/>
      <c r="C60" s="275"/>
      <c r="D60" s="276"/>
      <c r="E60" s="277">
        <f>SUM(E49:E59)</f>
        <v>13307.349999999999</v>
      </c>
      <c r="F60" s="132"/>
    </row>
    <row r="61" spans="2:9" x14ac:dyDescent="0.2">
      <c r="B61" s="44" t="s">
        <v>104</v>
      </c>
      <c r="C61" s="69" t="s">
        <v>12</v>
      </c>
      <c r="D61" s="69"/>
      <c r="E61" s="139">
        <v>1125</v>
      </c>
    </row>
    <row r="62" spans="2:9" ht="13.5" thickBot="1" x14ac:dyDescent="0.25">
      <c r="B62" s="63" t="s">
        <v>35</v>
      </c>
      <c r="C62" s="133" t="s">
        <v>36</v>
      </c>
      <c r="D62" s="133"/>
      <c r="E62" s="137">
        <v>1050</v>
      </c>
    </row>
    <row r="63" spans="2:9" ht="13.5" thickBot="1" x14ac:dyDescent="0.25">
      <c r="B63" s="11"/>
      <c r="C63" s="134" t="s">
        <v>0</v>
      </c>
      <c r="D63" s="134"/>
      <c r="E63" s="138">
        <f>SUM(E60:E62)</f>
        <v>15482.349999999999</v>
      </c>
    </row>
    <row r="64" spans="2:9" ht="12.75" customHeight="1" x14ac:dyDescent="0.2">
      <c r="B64" s="11"/>
      <c r="C64" s="21"/>
      <c r="D64" s="21"/>
      <c r="E64" s="22"/>
      <c r="F64" s="22"/>
      <c r="G64" s="22"/>
      <c r="H64" s="22"/>
      <c r="I64" s="22"/>
    </row>
    <row r="65" spans="1:9" s="127" customFormat="1" ht="6.75" customHeight="1" x14ac:dyDescent="0.2">
      <c r="B65" s="128"/>
      <c r="C65" s="129"/>
      <c r="D65" s="129"/>
      <c r="E65" s="130"/>
      <c r="F65" s="130"/>
      <c r="G65" s="130"/>
      <c r="H65" s="130"/>
      <c r="I65" s="130"/>
    </row>
    <row r="66" spans="1:9" ht="19.5" customHeight="1" x14ac:dyDescent="0.2">
      <c r="A66" s="163"/>
      <c r="B66" s="122" t="s">
        <v>73</v>
      </c>
      <c r="C66" s="168" t="s">
        <v>346</v>
      </c>
      <c r="D66" s="142"/>
      <c r="E66" s="22"/>
      <c r="F66" s="22"/>
      <c r="G66" s="22"/>
      <c r="H66" s="22"/>
      <c r="I66" s="22"/>
    </row>
    <row r="67" spans="1:9" ht="19.5" customHeight="1" x14ac:dyDescent="0.2">
      <c r="B67" s="122" t="s">
        <v>75</v>
      </c>
      <c r="C67" s="414">
        <v>42697</v>
      </c>
      <c r="D67" s="414"/>
      <c r="E67" s="22"/>
      <c r="F67" s="22"/>
      <c r="G67" s="22"/>
      <c r="H67" s="22"/>
      <c r="I67" s="22"/>
    </row>
    <row r="68" spans="1:9" ht="4.5" customHeight="1" x14ac:dyDescent="0.45">
      <c r="B68" s="2"/>
      <c r="C68" s="41"/>
      <c r="D68" s="41"/>
      <c r="E68" s="415"/>
      <c r="F68" s="415"/>
      <c r="G68" s="3"/>
      <c r="H68" s="4"/>
      <c r="I68" s="4"/>
    </row>
    <row r="69" spans="1:9" s="6" customFormat="1" ht="13.5" thickBot="1" x14ac:dyDescent="0.25">
      <c r="B69" s="123" t="s">
        <v>74</v>
      </c>
      <c r="C69" s="225" t="s">
        <v>1</v>
      </c>
      <c r="D69" s="225"/>
      <c r="E69" s="126" t="s">
        <v>2</v>
      </c>
    </row>
    <row r="70" spans="1:9" x14ac:dyDescent="0.2">
      <c r="B70" s="62" t="s">
        <v>82</v>
      </c>
      <c r="C70" s="76" t="s">
        <v>27</v>
      </c>
      <c r="D70" s="174"/>
      <c r="E70" s="172">
        <v>3137.78</v>
      </c>
      <c r="F70" s="347"/>
      <c r="G70" s="357"/>
    </row>
    <row r="71" spans="1:9" x14ac:dyDescent="0.2">
      <c r="B71" s="155" t="s">
        <v>96</v>
      </c>
      <c r="C71" s="124" t="s">
        <v>24</v>
      </c>
      <c r="D71" s="175"/>
      <c r="E71" s="172">
        <v>2475.4699999999998</v>
      </c>
      <c r="F71" s="358"/>
      <c r="G71" s="357"/>
    </row>
    <row r="72" spans="1:9" x14ac:dyDescent="0.2">
      <c r="B72" s="155" t="s">
        <v>85</v>
      </c>
      <c r="C72" s="124" t="s">
        <v>76</v>
      </c>
      <c r="D72" s="175"/>
      <c r="E72" s="172">
        <v>552.24</v>
      </c>
    </row>
    <row r="73" spans="1:9" x14ac:dyDescent="0.2">
      <c r="B73" s="155" t="s">
        <v>3</v>
      </c>
      <c r="C73" s="124" t="s">
        <v>25</v>
      </c>
      <c r="D73" s="175"/>
      <c r="E73" s="172">
        <v>937.04</v>
      </c>
      <c r="F73" s="184"/>
    </row>
    <row r="74" spans="1:9" x14ac:dyDescent="0.2">
      <c r="B74" s="29" t="s">
        <v>369</v>
      </c>
      <c r="C74" s="40" t="s">
        <v>23</v>
      </c>
      <c r="D74" s="176"/>
      <c r="E74" s="173">
        <v>927.03</v>
      </c>
    </row>
    <row r="75" spans="1:9" x14ac:dyDescent="0.2">
      <c r="B75" s="29" t="s">
        <v>367</v>
      </c>
      <c r="C75" s="40" t="s">
        <v>368</v>
      </c>
      <c r="D75" s="176"/>
      <c r="E75" s="173">
        <v>866.25</v>
      </c>
      <c r="G75" s="164"/>
      <c r="H75" s="165"/>
      <c r="I75" s="4"/>
    </row>
    <row r="76" spans="1:9" x14ac:dyDescent="0.2">
      <c r="B76" s="29" t="s">
        <v>275</v>
      </c>
      <c r="C76" s="40" t="s">
        <v>276</v>
      </c>
      <c r="D76" s="176"/>
      <c r="E76" s="173">
        <v>792</v>
      </c>
    </row>
    <row r="77" spans="1:9" x14ac:dyDescent="0.2">
      <c r="B77" s="261" t="s">
        <v>78</v>
      </c>
      <c r="C77" s="262" t="s">
        <v>79</v>
      </c>
      <c r="D77" s="263"/>
      <c r="E77" s="135">
        <v>1342.69</v>
      </c>
      <c r="F77" s="94"/>
    </row>
    <row r="78" spans="1:9" x14ac:dyDescent="0.2">
      <c r="B78" s="29" t="s">
        <v>210</v>
      </c>
      <c r="C78" s="40" t="s">
        <v>211</v>
      </c>
      <c r="D78" s="300"/>
      <c r="E78" s="139">
        <v>792</v>
      </c>
      <c r="F78" s="94"/>
    </row>
    <row r="79" spans="1:9" x14ac:dyDescent="0.2">
      <c r="B79" s="44" t="s">
        <v>338</v>
      </c>
      <c r="C79" s="124" t="s">
        <v>337</v>
      </c>
      <c r="D79" s="299"/>
      <c r="E79" s="135">
        <v>792</v>
      </c>
      <c r="F79" s="94"/>
    </row>
    <row r="80" spans="1:9" ht="13.5" thickBot="1" x14ac:dyDescent="0.25">
      <c r="B80" s="356" t="s">
        <v>85</v>
      </c>
      <c r="C80" s="355" t="s">
        <v>205</v>
      </c>
      <c r="D80" s="265"/>
      <c r="E80" s="137">
        <v>792</v>
      </c>
      <c r="F80" s="184"/>
    </row>
    <row r="81" spans="1:9" s="4" customFormat="1" ht="13.5" thickBot="1" x14ac:dyDescent="0.25">
      <c r="B81" s="274"/>
      <c r="C81" s="275"/>
      <c r="D81" s="276"/>
      <c r="E81" s="277">
        <f>SUM(E70:E80)</f>
        <v>13406.5</v>
      </c>
      <c r="F81" s="132"/>
    </row>
    <row r="82" spans="1:9" x14ac:dyDescent="0.2">
      <c r="B82" s="44" t="s">
        <v>104</v>
      </c>
      <c r="C82" s="69" t="s">
        <v>12</v>
      </c>
      <c r="D82" s="69"/>
      <c r="E82" s="139">
        <v>1125</v>
      </c>
    </row>
    <row r="83" spans="1:9" ht="13.5" thickBot="1" x14ac:dyDescent="0.25">
      <c r="B83" s="63" t="s">
        <v>35</v>
      </c>
      <c r="C83" s="133" t="s">
        <v>36</v>
      </c>
      <c r="D83" s="133"/>
      <c r="E83" s="137">
        <v>1050</v>
      </c>
    </row>
    <row r="84" spans="1:9" ht="13.5" thickBot="1" x14ac:dyDescent="0.25">
      <c r="B84" s="11"/>
      <c r="C84" s="134" t="s">
        <v>0</v>
      </c>
      <c r="D84" s="134"/>
      <c r="E84" s="138">
        <f>SUM(E81:E83)</f>
        <v>15581.5</v>
      </c>
    </row>
    <row r="85" spans="1:9" ht="12.75" customHeight="1" x14ac:dyDescent="0.2">
      <c r="B85" s="11"/>
      <c r="C85" s="21"/>
      <c r="D85" s="21"/>
      <c r="E85" s="22"/>
      <c r="F85" s="22"/>
      <c r="G85" s="22"/>
      <c r="H85" s="22"/>
      <c r="I85" s="22"/>
    </row>
    <row r="86" spans="1:9" s="127" customFormat="1" ht="6.75" customHeight="1" x14ac:dyDescent="0.2">
      <c r="B86" s="128"/>
      <c r="C86" s="129"/>
      <c r="D86" s="129"/>
      <c r="E86" s="130"/>
      <c r="F86" s="130"/>
      <c r="G86" s="130"/>
      <c r="H86" s="130"/>
      <c r="I86" s="130"/>
    </row>
    <row r="87" spans="1:9" ht="19.5" customHeight="1" x14ac:dyDescent="0.2">
      <c r="A87" s="163"/>
      <c r="B87" s="122" t="s">
        <v>73</v>
      </c>
      <c r="C87" s="168" t="s">
        <v>347</v>
      </c>
      <c r="D87" s="142"/>
      <c r="E87" s="22"/>
      <c r="F87" s="22"/>
      <c r="G87" s="22"/>
      <c r="H87" s="22"/>
      <c r="I87" s="22"/>
    </row>
    <row r="88" spans="1:9" ht="19.5" customHeight="1" x14ac:dyDescent="0.2">
      <c r="B88" s="122" t="s">
        <v>75</v>
      </c>
      <c r="C88" s="414">
        <v>42704</v>
      </c>
      <c r="D88" s="414"/>
      <c r="E88" s="22"/>
      <c r="F88" s="22"/>
      <c r="G88" s="22"/>
      <c r="H88" s="22"/>
      <c r="I88" s="22"/>
    </row>
    <row r="89" spans="1:9" ht="4.5" customHeight="1" x14ac:dyDescent="0.45">
      <c r="B89" s="2"/>
      <c r="C89" s="41"/>
      <c r="D89" s="41"/>
      <c r="E89" s="415"/>
      <c r="F89" s="415"/>
      <c r="G89" s="3"/>
      <c r="H89" s="4"/>
      <c r="I89" s="4"/>
    </row>
    <row r="90" spans="1:9" s="6" customFormat="1" ht="13.5" thickBot="1" x14ac:dyDescent="0.25">
      <c r="B90" s="123" t="s">
        <v>74</v>
      </c>
      <c r="C90" s="225" t="s">
        <v>1</v>
      </c>
      <c r="D90" s="225"/>
      <c r="E90" s="126" t="s">
        <v>2</v>
      </c>
    </row>
    <row r="91" spans="1:9" x14ac:dyDescent="0.2">
      <c r="B91" s="62" t="s">
        <v>82</v>
      </c>
      <c r="C91" s="76" t="s">
        <v>27</v>
      </c>
      <c r="D91" s="174"/>
      <c r="E91" s="172">
        <v>3213.48</v>
      </c>
    </row>
    <row r="92" spans="1:9" x14ac:dyDescent="0.2">
      <c r="B92" s="155" t="s">
        <v>96</v>
      </c>
      <c r="C92" s="124" t="s">
        <v>24</v>
      </c>
      <c r="D92" s="175"/>
      <c r="E92" s="172">
        <v>2393.12</v>
      </c>
      <c r="F92" s="358"/>
    </row>
    <row r="93" spans="1:9" x14ac:dyDescent="0.2">
      <c r="B93" s="155" t="s">
        <v>85</v>
      </c>
      <c r="C93" s="124" t="s">
        <v>76</v>
      </c>
      <c r="D93" s="175"/>
      <c r="E93" s="172">
        <v>552.24</v>
      </c>
      <c r="F93" s="366"/>
    </row>
    <row r="94" spans="1:9" x14ac:dyDescent="0.2">
      <c r="B94" s="155" t="s">
        <v>3</v>
      </c>
      <c r="C94" s="124" t="s">
        <v>25</v>
      </c>
      <c r="D94" s="175"/>
      <c r="E94" s="172">
        <v>937.04</v>
      </c>
      <c r="F94" s="294"/>
      <c r="G94" s="294"/>
    </row>
    <row r="95" spans="1:9" x14ac:dyDescent="0.2">
      <c r="B95" s="29" t="s">
        <v>369</v>
      </c>
      <c r="C95" s="40" t="s">
        <v>23</v>
      </c>
      <c r="D95" s="176"/>
      <c r="E95" s="173">
        <v>927.03</v>
      </c>
      <c r="G95" s="294"/>
    </row>
    <row r="96" spans="1:9" x14ac:dyDescent="0.2">
      <c r="B96" s="29" t="s">
        <v>367</v>
      </c>
      <c r="C96" s="40" t="s">
        <v>368</v>
      </c>
      <c r="D96" s="176"/>
      <c r="E96" s="173">
        <v>1014.75</v>
      </c>
      <c r="G96" s="164"/>
      <c r="H96" s="165"/>
      <c r="I96" s="4"/>
    </row>
    <row r="97" spans="1:9" x14ac:dyDescent="0.2">
      <c r="B97" s="29" t="s">
        <v>275</v>
      </c>
      <c r="C97" s="40" t="s">
        <v>276</v>
      </c>
      <c r="D97" s="176"/>
      <c r="E97" s="173">
        <v>792</v>
      </c>
    </row>
    <row r="98" spans="1:9" x14ac:dyDescent="0.2">
      <c r="B98" s="261" t="s">
        <v>78</v>
      </c>
      <c r="C98" s="262" t="s">
        <v>79</v>
      </c>
      <c r="D98" s="263"/>
      <c r="E98" s="135">
        <v>1231.31</v>
      </c>
      <c r="F98" s="94"/>
    </row>
    <row r="99" spans="1:9" x14ac:dyDescent="0.2">
      <c r="B99" s="29" t="s">
        <v>210</v>
      </c>
      <c r="C99" s="40" t="s">
        <v>211</v>
      </c>
      <c r="D99" s="300"/>
      <c r="E99" s="139">
        <v>792</v>
      </c>
      <c r="F99" s="94"/>
    </row>
    <row r="100" spans="1:9" x14ac:dyDescent="0.2">
      <c r="B100" s="261" t="s">
        <v>338</v>
      </c>
      <c r="C100" s="124" t="s">
        <v>337</v>
      </c>
      <c r="D100" s="299"/>
      <c r="E100" s="135">
        <v>792</v>
      </c>
      <c r="F100" s="94"/>
    </row>
    <row r="101" spans="1:9" ht="13.5" thickBot="1" x14ac:dyDescent="0.25">
      <c r="B101" s="264" t="s">
        <v>85</v>
      </c>
      <c r="C101" s="265" t="s">
        <v>205</v>
      </c>
      <c r="D101" s="265"/>
      <c r="E101" s="137">
        <v>792</v>
      </c>
    </row>
    <row r="102" spans="1:9" ht="13.5" thickBot="1" x14ac:dyDescent="0.25">
      <c r="B102" s="11"/>
      <c r="C102" s="134" t="s">
        <v>0</v>
      </c>
      <c r="D102" s="134"/>
      <c r="E102" s="138">
        <f>SUM(E91:E101)</f>
        <v>13436.97</v>
      </c>
    </row>
    <row r="103" spans="1:9" ht="12.75" customHeight="1" x14ac:dyDescent="0.2">
      <c r="B103" s="11"/>
      <c r="C103" s="21"/>
      <c r="D103" s="21"/>
      <c r="E103" s="22"/>
      <c r="F103" s="22"/>
      <c r="G103" s="22"/>
      <c r="H103" s="22"/>
      <c r="I103" s="22"/>
    </row>
    <row r="104" spans="1:9" s="7" customFormat="1" ht="13.15" customHeight="1" x14ac:dyDescent="0.2">
      <c r="A104" s="32" t="s">
        <v>13</v>
      </c>
      <c r="B104" s="33" t="s">
        <v>14</v>
      </c>
      <c r="C104" s="33"/>
      <c r="D104" s="140">
        <v>9000</v>
      </c>
      <c r="E104" s="178" t="s">
        <v>148</v>
      </c>
      <c r="F104" s="32" t="s">
        <v>21</v>
      </c>
      <c r="G104" s="33" t="s">
        <v>22</v>
      </c>
      <c r="H104" s="140">
        <v>5000</v>
      </c>
      <c r="I104" s="330" t="s">
        <v>148</v>
      </c>
    </row>
    <row r="105" spans="1:9" s="7" customFormat="1" ht="13.15" customHeight="1" x14ac:dyDescent="0.2">
      <c r="A105" s="32" t="s">
        <v>16</v>
      </c>
      <c r="B105" s="33" t="s">
        <v>17</v>
      </c>
      <c r="C105" s="33"/>
      <c r="D105" s="140">
        <v>311.83999999999997</v>
      </c>
      <c r="E105" s="178" t="s">
        <v>148</v>
      </c>
      <c r="F105" s="32" t="s">
        <v>15</v>
      </c>
      <c r="G105" s="33" t="s">
        <v>41</v>
      </c>
      <c r="H105" s="140">
        <v>1020</v>
      </c>
      <c r="I105" s="330" t="s">
        <v>148</v>
      </c>
    </row>
    <row r="106" spans="1:9" s="7" customFormat="1" ht="13.15" customHeight="1" x14ac:dyDescent="0.2">
      <c r="A106" s="32" t="s">
        <v>93</v>
      </c>
      <c r="B106" s="33" t="s">
        <v>94</v>
      </c>
      <c r="C106" s="33"/>
      <c r="D106" s="140">
        <v>472.63</v>
      </c>
      <c r="E106" s="178" t="s">
        <v>148</v>
      </c>
      <c r="F106" s="32" t="s">
        <v>54</v>
      </c>
      <c r="G106" s="33" t="s">
        <v>56</v>
      </c>
      <c r="H106" s="140">
        <v>500</v>
      </c>
      <c r="I106" s="330" t="s">
        <v>148</v>
      </c>
    </row>
    <row r="107" spans="1:9" s="7" customFormat="1" ht="13.15" customHeight="1" x14ac:dyDescent="0.2">
      <c r="A107" s="32" t="s">
        <v>390</v>
      </c>
      <c r="B107" s="33" t="s">
        <v>388</v>
      </c>
      <c r="C107" s="140"/>
      <c r="D107" s="140">
        <v>5000</v>
      </c>
      <c r="E107" s="178" t="s">
        <v>148</v>
      </c>
      <c r="F107" s="32" t="s">
        <v>55</v>
      </c>
      <c r="G107" s="33" t="s">
        <v>57</v>
      </c>
      <c r="H107" s="140">
        <v>500</v>
      </c>
      <c r="I107" s="330" t="s">
        <v>148</v>
      </c>
    </row>
    <row r="108" spans="1:9" s="7" customFormat="1" ht="13.15" customHeight="1" x14ac:dyDescent="0.2">
      <c r="A108" s="32" t="s">
        <v>390</v>
      </c>
      <c r="B108" s="33" t="s">
        <v>389</v>
      </c>
      <c r="C108" s="140"/>
      <c r="D108" s="140">
        <v>4000</v>
      </c>
      <c r="E108" s="178" t="s">
        <v>148</v>
      </c>
      <c r="F108" s="32" t="s">
        <v>16</v>
      </c>
      <c r="G108" s="33" t="s">
        <v>28</v>
      </c>
      <c r="H108" s="140">
        <v>12000</v>
      </c>
      <c r="I108" s="330" t="s">
        <v>148</v>
      </c>
    </row>
    <row r="109" spans="1:9" s="7" customFormat="1" ht="13.15" customHeight="1" thickBot="1" x14ac:dyDescent="0.25">
      <c r="A109" s="32"/>
      <c r="B109" s="33"/>
      <c r="C109" s="140"/>
      <c r="D109" s="140"/>
      <c r="E109" s="178"/>
      <c r="F109" s="70" t="s">
        <v>38</v>
      </c>
      <c r="G109" s="33" t="s">
        <v>29</v>
      </c>
      <c r="H109" s="141">
        <v>11000</v>
      </c>
      <c r="I109" s="330" t="s">
        <v>148</v>
      </c>
    </row>
    <row r="110" spans="1:9" s="7" customFormat="1" ht="13.15" customHeight="1" thickTop="1" thickBot="1" x14ac:dyDescent="0.25">
      <c r="A110" s="32"/>
      <c r="B110" s="33"/>
      <c r="C110" s="140"/>
      <c r="D110" s="140"/>
      <c r="E110" s="140"/>
      <c r="F110" s="34"/>
      <c r="G110" s="33"/>
      <c r="H110" s="162">
        <f>SUM(H104:H109)+SUM(D104:D111)</f>
        <v>48804.47</v>
      </c>
      <c r="I110" s="330"/>
    </row>
    <row r="111" spans="1:9" s="7" customFormat="1" ht="13.15" customHeight="1" thickBot="1" x14ac:dyDescent="0.25">
      <c r="B111" s="212"/>
      <c r="C111" s="33"/>
      <c r="D111" s="213"/>
      <c r="E111" s="140"/>
      <c r="F111" s="34"/>
      <c r="G111" s="145" t="s">
        <v>5</v>
      </c>
      <c r="H111" s="146">
        <f>E102+H110</f>
        <v>62241.440000000002</v>
      </c>
      <c r="I111" s="162"/>
    </row>
    <row r="112" spans="1:9" s="7" customFormat="1" ht="13.15" customHeight="1" x14ac:dyDescent="0.2">
      <c r="B112" s="32"/>
      <c r="C112" s="33"/>
      <c r="D112" s="9"/>
      <c r="E112" s="140"/>
      <c r="F112" s="9"/>
      <c r="G112" s="9"/>
      <c r="H112" s="9"/>
      <c r="I112" s="162"/>
    </row>
    <row r="113" spans="1:9" s="7" customFormat="1" ht="13.15" customHeight="1" x14ac:dyDescent="0.2">
      <c r="B113" s="32"/>
      <c r="C113" s="33"/>
      <c r="D113" s="8"/>
      <c r="E113" s="9"/>
      <c r="F113" s="9"/>
      <c r="G113" s="9"/>
      <c r="H113" s="9"/>
      <c r="I113" s="162"/>
    </row>
    <row r="114" spans="1:9" s="7" customFormat="1" ht="13.15" customHeight="1" x14ac:dyDescent="0.2">
      <c r="A114" s="9"/>
      <c r="B114" s="10"/>
      <c r="C114" s="9"/>
      <c r="D114" s="8"/>
      <c r="E114" s="9"/>
      <c r="F114" s="9"/>
      <c r="G114" s="9"/>
      <c r="H114" s="9"/>
      <c r="I114" s="162"/>
    </row>
    <row r="115" spans="1:9" s="7" customFormat="1" ht="13.15" customHeight="1" x14ac:dyDescent="0.2">
      <c r="A115" s="9"/>
      <c r="B115" s="10"/>
      <c r="C115" s="8"/>
      <c r="D115" s="8"/>
      <c r="E115" s="9"/>
      <c r="F115" s="9"/>
      <c r="G115" s="9"/>
      <c r="H115" s="9"/>
      <c r="I115" s="162"/>
    </row>
    <row r="116" spans="1:9" s="7" customFormat="1" ht="13.15" customHeight="1" x14ac:dyDescent="0.2">
      <c r="A116" s="9"/>
      <c r="B116" s="10"/>
      <c r="C116" s="8"/>
      <c r="D116" s="8"/>
      <c r="E116" s="9"/>
      <c r="F116" s="9"/>
      <c r="G116" s="9"/>
      <c r="H116" s="9"/>
      <c r="I116" s="162"/>
    </row>
    <row r="117" spans="1:9" s="7" customFormat="1" ht="13.15" customHeight="1" x14ac:dyDescent="0.2">
      <c r="A117" s="9"/>
      <c r="B117" s="10"/>
      <c r="C117" s="8"/>
      <c r="D117" s="8"/>
      <c r="E117" s="9"/>
      <c r="F117" s="9"/>
      <c r="G117" s="9"/>
      <c r="H117" s="9"/>
      <c r="I117" s="162"/>
    </row>
    <row r="118" spans="1:9" s="9" customFormat="1" ht="12" x14ac:dyDescent="0.2">
      <c r="B118" s="10"/>
      <c r="C118" s="8"/>
    </row>
    <row r="119" spans="1:9" s="9" customFormat="1" ht="12" x14ac:dyDescent="0.2">
      <c r="B119" s="10"/>
      <c r="C119" s="8"/>
    </row>
    <row r="120" spans="1:9" s="9" customFormat="1" ht="12" x14ac:dyDescent="0.2">
      <c r="B120" s="10"/>
      <c r="C120" s="8"/>
    </row>
    <row r="121" spans="1:9" s="9" customFormat="1" ht="12" x14ac:dyDescent="0.2">
      <c r="B121" s="10"/>
    </row>
    <row r="122" spans="1:9" s="9" customFormat="1" ht="12" x14ac:dyDescent="0.2">
      <c r="B122" s="10"/>
    </row>
    <row r="123" spans="1:9" s="9" customFormat="1" ht="12" x14ac:dyDescent="0.2">
      <c r="B123" s="10"/>
    </row>
    <row r="124" spans="1:9" s="9" customFormat="1" x14ac:dyDescent="0.2">
      <c r="B124" s="10"/>
      <c r="D124" s="5"/>
    </row>
    <row r="125" spans="1:9" s="9" customFormat="1" x14ac:dyDescent="0.2">
      <c r="B125" s="10"/>
      <c r="D125" s="5"/>
      <c r="F125" s="5"/>
      <c r="G125" s="5"/>
      <c r="H125" s="5"/>
    </row>
    <row r="126" spans="1:9" s="9" customFormat="1" x14ac:dyDescent="0.2">
      <c r="B126" s="10"/>
      <c r="D126" s="5"/>
      <c r="E126" s="5"/>
      <c r="F126" s="5"/>
      <c r="G126" s="5"/>
      <c r="H126" s="5"/>
    </row>
    <row r="127" spans="1:9" s="9" customFormat="1" x14ac:dyDescent="0.2">
      <c r="B127" s="12"/>
      <c r="C127" s="5"/>
      <c r="D127" s="5"/>
      <c r="E127" s="5"/>
      <c r="F127" s="5"/>
      <c r="G127" s="5"/>
      <c r="H127" s="5"/>
    </row>
    <row r="128" spans="1:9" s="9" customFormat="1" x14ac:dyDescent="0.2">
      <c r="B128" s="12"/>
      <c r="C128" s="5"/>
      <c r="D128" s="5"/>
      <c r="E128" s="5"/>
      <c r="F128" s="5"/>
      <c r="G128" s="5"/>
      <c r="H128" s="5"/>
    </row>
    <row r="129" spans="1:9" s="9" customFormat="1" x14ac:dyDescent="0.2">
      <c r="B129" s="12"/>
      <c r="C129" s="5"/>
      <c r="D129" s="5"/>
      <c r="E129" s="5"/>
      <c r="F129" s="5"/>
      <c r="G129" s="5"/>
      <c r="H129" s="5"/>
    </row>
    <row r="130" spans="1:9" s="9" customFormat="1" x14ac:dyDescent="0.2">
      <c r="B130" s="12"/>
      <c r="C130" s="5"/>
      <c r="D130" s="5"/>
      <c r="E130" s="5"/>
      <c r="F130" s="5"/>
      <c r="G130" s="5"/>
      <c r="H130" s="5"/>
    </row>
    <row r="131" spans="1:9" s="9" customFormat="1" x14ac:dyDescent="0.2">
      <c r="A131" s="5"/>
      <c r="B131" s="12"/>
      <c r="C131" s="5"/>
      <c r="D131" s="5"/>
      <c r="E131" s="5"/>
      <c r="F131" s="5"/>
      <c r="G131" s="5"/>
      <c r="H131" s="5"/>
      <c r="I131" s="5"/>
    </row>
    <row r="132" spans="1:9" s="9" customFormat="1" x14ac:dyDescent="0.2">
      <c r="A132" s="5"/>
      <c r="B132" s="12"/>
      <c r="C132" s="5"/>
      <c r="D132" s="5"/>
      <c r="E132" s="5"/>
      <c r="F132" s="5"/>
      <c r="G132" s="5"/>
      <c r="H132" s="5"/>
      <c r="I132" s="5"/>
    </row>
    <row r="133" spans="1:9" s="9" customFormat="1" x14ac:dyDescent="0.2">
      <c r="A133" s="5"/>
      <c r="B133" s="12"/>
      <c r="C133" s="5"/>
      <c r="D133" s="5"/>
      <c r="E133" s="5"/>
      <c r="F133" s="5"/>
      <c r="G133" s="5"/>
      <c r="H133" s="5"/>
      <c r="I133" s="5"/>
    </row>
    <row r="134" spans="1:9" s="9" customFormat="1" x14ac:dyDescent="0.2">
      <c r="A134" s="5"/>
      <c r="B134" s="12"/>
      <c r="C134" s="5"/>
      <c r="D134" s="5"/>
      <c r="E134" s="5"/>
      <c r="F134" s="5"/>
      <c r="G134" s="5"/>
      <c r="H134" s="5"/>
      <c r="I134" s="5"/>
    </row>
  </sheetData>
  <mergeCells count="11">
    <mergeCell ref="E68:F68"/>
    <mergeCell ref="C88:D88"/>
    <mergeCell ref="E89:F89"/>
    <mergeCell ref="C46:D46"/>
    <mergeCell ref="E47:F47"/>
    <mergeCell ref="C67:D67"/>
    <mergeCell ref="A1:H1"/>
    <mergeCell ref="C4:D4"/>
    <mergeCell ref="E5:F5"/>
    <mergeCell ref="C25:D25"/>
    <mergeCell ref="E26:F26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March '16</vt:lpstr>
      <vt:lpstr>April '16</vt:lpstr>
      <vt:lpstr>May '16</vt:lpstr>
      <vt:lpstr>June '16</vt:lpstr>
      <vt:lpstr>July '16</vt:lpstr>
      <vt:lpstr>August '16</vt:lpstr>
      <vt:lpstr>September '16</vt:lpstr>
      <vt:lpstr>October '16</vt:lpstr>
      <vt:lpstr>November '16</vt:lpstr>
      <vt:lpstr>December '16</vt:lpstr>
      <vt:lpstr>January '17</vt:lpstr>
      <vt:lpstr>February '17</vt:lpstr>
      <vt:lpstr>Nikki</vt:lpstr>
      <vt:lpstr>'April ''16'!Print_Area</vt:lpstr>
      <vt:lpstr>'August ''16'!Print_Area</vt:lpstr>
      <vt:lpstr>'December ''16'!Print_Area</vt:lpstr>
      <vt:lpstr>'February ''17'!Print_Area</vt:lpstr>
      <vt:lpstr>'January ''17'!Print_Area</vt:lpstr>
      <vt:lpstr>'July ''16'!Print_Area</vt:lpstr>
      <vt:lpstr>'June ''16'!Print_Area</vt:lpstr>
      <vt:lpstr>'March ''16'!Print_Area</vt:lpstr>
      <vt:lpstr>'May ''16'!Print_Area</vt:lpstr>
      <vt:lpstr>'November ''16'!Print_Area</vt:lpstr>
      <vt:lpstr>'October ''16'!Print_Area</vt:lpstr>
      <vt:lpstr>'September ''16'!Print_Area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2017-02-23T07:48:50Z</cp:lastPrinted>
  <dcterms:created xsi:type="dcterms:W3CDTF">2006-03-02T06:43:14Z</dcterms:created>
  <dcterms:modified xsi:type="dcterms:W3CDTF">2019-03-15T12:55:38Z</dcterms:modified>
</cp:coreProperties>
</file>