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875" yWindow="810" windowWidth="10305" windowHeight="8520" tabRatio="967" activeTab="11"/>
  </bookViews>
  <sheets>
    <sheet name="March '14" sheetId="110" r:id="rId1"/>
    <sheet name="April '14" sheetId="112" r:id="rId2"/>
    <sheet name="May '14" sheetId="113" r:id="rId3"/>
    <sheet name="June '14" sheetId="114" r:id="rId4"/>
    <sheet name="July '14" sheetId="115" r:id="rId5"/>
    <sheet name="August '14" sheetId="116" r:id="rId6"/>
    <sheet name="September '14" sheetId="117" r:id="rId7"/>
    <sheet name="October '14" sheetId="118" r:id="rId8"/>
    <sheet name="November '14" sheetId="119" r:id="rId9"/>
    <sheet name="December '14" sheetId="120" r:id="rId10"/>
    <sheet name="January '14" sheetId="121" r:id="rId11"/>
    <sheet name="February '14" sheetId="122" r:id="rId12"/>
    <sheet name="Increases" sheetId="111" r:id="rId13"/>
    <sheet name="Nikki" sheetId="9" r:id="rId14"/>
  </sheets>
  <externalReferences>
    <externalReference r:id="rId15"/>
    <externalReference r:id="rId16"/>
    <externalReference r:id="rId17"/>
  </externalReferences>
  <definedNames>
    <definedName name="_xlnm.Print_Area" localSheetId="1">'April ''14'!$A$76:$H$99</definedName>
    <definedName name="_xlnm.Print_Area" localSheetId="5">'August ''14'!$A$64:$H$92</definedName>
    <definedName name="_xlnm.Print_Area" localSheetId="9">'December ''14'!$A$45:$H$67</definedName>
    <definedName name="_xlnm.Print_Area" localSheetId="11">'February ''14'!$A$60:$I$88</definedName>
    <definedName name="_xlnm.Print_Area" localSheetId="12">Increases!$A$1:$L$26</definedName>
    <definedName name="_xlnm.Print_Area" localSheetId="10">'January ''14'!$A$44:$I$72</definedName>
    <definedName name="_xlnm.Print_Area" localSheetId="4">'July ''14'!$A$75:$I$100</definedName>
    <definedName name="_xlnm.Print_Area" localSheetId="3">'June ''14'!$A$61:$H$88</definedName>
    <definedName name="_xlnm.Print_Area" localSheetId="0">'March ''14'!$A$60:$H$86</definedName>
    <definedName name="_xlnm.Print_Area" localSheetId="2">'May ''14'!$A$57:$H$84</definedName>
    <definedName name="_xlnm.Print_Area" localSheetId="8">'November ''14'!$A$65:$H$93</definedName>
    <definedName name="_xlnm.Print_Area" localSheetId="7">'October ''14'!$A$88:$I$115</definedName>
    <definedName name="_xlnm.Print_Area" localSheetId="6">'September ''14'!$A$64:$H$93</definedName>
  </definedNames>
  <calcPr calcId="145621"/>
</workbook>
</file>

<file path=xl/calcChain.xml><?xml version="1.0" encoding="utf-8"?>
<calcChain xmlns="http://schemas.openxmlformats.org/spreadsheetml/2006/main">
  <c r="N1575" i="9" l="1"/>
  <c r="N1576" i="9"/>
  <c r="N1577" i="9" s="1"/>
  <c r="N1578" i="9" s="1"/>
  <c r="N1579" i="9" s="1"/>
  <c r="N1570" i="9" l="1"/>
  <c r="N1571" i="9" s="1"/>
  <c r="N1572" i="9" s="1"/>
  <c r="N1573" i="9" s="1"/>
  <c r="N1574" i="9" s="1"/>
  <c r="E1557" i="9" l="1"/>
  <c r="M1573" i="9" s="1"/>
  <c r="E1553" i="9"/>
  <c r="D78" i="122" l="1"/>
  <c r="E1554" i="9"/>
  <c r="P1564" i="9"/>
  <c r="E1558" i="9"/>
  <c r="D79" i="122" s="1"/>
  <c r="H1535" i="9" l="1"/>
  <c r="H79" i="122" l="1"/>
  <c r="H87" i="122" s="1"/>
  <c r="E72" i="122"/>
  <c r="E76" i="122" s="1"/>
  <c r="E53" i="122"/>
  <c r="E57" i="122" s="1"/>
  <c r="E36" i="122"/>
  <c r="E34" i="122"/>
  <c r="E15" i="122"/>
  <c r="E19" i="122" s="1"/>
  <c r="P1534" i="9"/>
  <c r="E1526" i="9"/>
  <c r="M1532" i="9" s="1"/>
  <c r="M1524" i="9"/>
  <c r="E1522" i="9"/>
  <c r="P1547" i="9" s="1"/>
  <c r="D62" i="121" l="1"/>
  <c r="E38" i="122"/>
  <c r="H88" i="122"/>
  <c r="E1523" i="9"/>
  <c r="E1527" i="9"/>
  <c r="D63" i="121" s="1"/>
  <c r="D73" i="120" l="1"/>
  <c r="P1484" i="9"/>
  <c r="E1480" i="9"/>
  <c r="M1504" i="9" s="1"/>
  <c r="P1478" i="9"/>
  <c r="P1477" i="9"/>
  <c r="M1476" i="9"/>
  <c r="E1475" i="9"/>
  <c r="D74" i="120" l="1"/>
  <c r="E1477" i="9"/>
  <c r="P1491" i="9"/>
  <c r="H1475" i="9"/>
  <c r="E1481" i="9"/>
  <c r="G1482" i="9" l="1"/>
  <c r="H1480" i="9"/>
  <c r="E57" i="120"/>
  <c r="E62" i="120"/>
  <c r="E64" i="120" l="1"/>
  <c r="E63" i="120"/>
  <c r="H74" i="120" l="1"/>
  <c r="H82" i="120" s="1"/>
  <c r="E56" i="121"/>
  <c r="E60" i="121" s="1"/>
  <c r="H63" i="121"/>
  <c r="H71" i="121" s="1"/>
  <c r="E37" i="121"/>
  <c r="E41" i="121" s="1"/>
  <c r="E20" i="121"/>
  <c r="E18" i="121"/>
  <c r="H72" i="121" l="1"/>
  <c r="E22" i="121"/>
  <c r="E12" i="120"/>
  <c r="E61" i="120" l="1"/>
  <c r="E65" i="120" s="1"/>
  <c r="E39" i="120"/>
  <c r="E43" i="120" s="1"/>
  <c r="E16" i="120"/>
  <c r="E20" i="120" s="1"/>
  <c r="D84" i="119"/>
  <c r="E1435" i="9" l="1"/>
  <c r="M1454" i="9" s="1"/>
  <c r="E1431" i="9"/>
  <c r="E79" i="119"/>
  <c r="P1443" i="9" l="1"/>
  <c r="D85" i="119"/>
  <c r="E1432" i="9"/>
  <c r="H1431" i="9"/>
  <c r="E1436" i="9"/>
  <c r="H1435" i="9" s="1"/>
  <c r="G1437" i="9" l="1"/>
  <c r="E12" i="119" l="1"/>
  <c r="H85" i="119" l="1"/>
  <c r="E58" i="119"/>
  <c r="E62" i="119" s="1"/>
  <c r="E38" i="119"/>
  <c r="E42" i="119" s="1"/>
  <c r="E16" i="119"/>
  <c r="E20" i="119" s="1"/>
  <c r="H93" i="119" l="1"/>
  <c r="E78" i="119"/>
  <c r="E82" i="119" s="1"/>
  <c r="D105" i="118"/>
  <c r="M1401" i="9"/>
  <c r="E1386" i="9"/>
  <c r="M1412" i="9" s="1"/>
  <c r="E1382" i="9"/>
  <c r="D106" i="118" s="1"/>
  <c r="H94" i="119" l="1"/>
  <c r="E1383" i="9"/>
  <c r="H1382" i="9"/>
  <c r="P1410" i="9"/>
  <c r="E1387" i="9"/>
  <c r="G1388" i="9" l="1"/>
  <c r="H1386" i="9"/>
  <c r="E72" i="118" l="1"/>
  <c r="E70" i="118"/>
  <c r="E62" i="118" l="1"/>
  <c r="E52" i="118"/>
  <c r="E79" i="118" l="1"/>
  <c r="E83" i="118" s="1"/>
  <c r="H106" i="118"/>
  <c r="H114" i="118" s="1"/>
  <c r="E101" i="118"/>
  <c r="E103" i="118" s="1"/>
  <c r="E56" i="118"/>
  <c r="E60" i="118" s="1"/>
  <c r="E36" i="118"/>
  <c r="E40" i="118" s="1"/>
  <c r="E16" i="118"/>
  <c r="E20" i="118" s="1"/>
  <c r="H115" i="118" l="1"/>
  <c r="D83" i="117" l="1"/>
  <c r="E1358" i="9"/>
  <c r="M1363" i="9" s="1"/>
  <c r="E1353" i="9"/>
  <c r="P1374" i="9" s="1"/>
  <c r="D84" i="117" l="1"/>
  <c r="E1355" i="9"/>
  <c r="H1353" i="9"/>
  <c r="E1359" i="9"/>
  <c r="H1358" i="9" s="1"/>
  <c r="G1360" i="9" l="1"/>
  <c r="E77" i="117"/>
  <c r="E81" i="117" s="1"/>
  <c r="E57" i="117"/>
  <c r="E61" i="117" s="1"/>
  <c r="H84" i="117"/>
  <c r="H92" i="117" s="1"/>
  <c r="E37" i="117"/>
  <c r="E41" i="117" s="1"/>
  <c r="E17" i="117"/>
  <c r="E21" i="117" s="1"/>
  <c r="H93" i="117" l="1"/>
  <c r="D82" i="116" l="1"/>
  <c r="E1325" i="9"/>
  <c r="M1334" i="9" s="1"/>
  <c r="E1320" i="9"/>
  <c r="E1322" i="9" s="1"/>
  <c r="D83" i="116" l="1"/>
  <c r="H1320" i="9"/>
  <c r="E1326" i="9"/>
  <c r="P1343" i="9" l="1"/>
  <c r="H1325" i="9"/>
  <c r="G1327" i="9"/>
  <c r="E76" i="116" l="1"/>
  <c r="E80" i="116" s="1"/>
  <c r="H83" i="116" l="1"/>
  <c r="H91" i="116" s="1"/>
  <c r="H92" i="116" s="1"/>
  <c r="E57" i="116"/>
  <c r="E61" i="116" s="1"/>
  <c r="E38" i="116"/>
  <c r="E42" i="116" s="1"/>
  <c r="E15" i="116"/>
  <c r="E19" i="116" s="1"/>
  <c r="D90" i="115" l="1"/>
  <c r="P1306" i="9"/>
  <c r="M1313" i="9"/>
  <c r="E1298" i="9"/>
  <c r="M1301" i="9" s="1"/>
  <c r="P1296" i="9"/>
  <c r="E1293" i="9"/>
  <c r="E1299" i="9" s="1"/>
  <c r="D91" i="115" l="1"/>
  <c r="G1300" i="9"/>
  <c r="P1307" i="9"/>
  <c r="H1298" i="9"/>
  <c r="E1295" i="9"/>
  <c r="H1293" i="9"/>
  <c r="M1268" i="9" l="1"/>
  <c r="E68" i="115" l="1"/>
  <c r="E72" i="115" s="1"/>
  <c r="H91" i="115"/>
  <c r="H99" i="115" s="1"/>
  <c r="E86" i="115"/>
  <c r="E88" i="115" s="1"/>
  <c r="E50" i="115"/>
  <c r="E54" i="115" s="1"/>
  <c r="E32" i="115"/>
  <c r="E36" i="115" s="1"/>
  <c r="E14" i="115"/>
  <c r="E18" i="115" s="1"/>
  <c r="D78" i="114"/>
  <c r="M1279" i="9"/>
  <c r="P1263" i="9"/>
  <c r="E1263" i="9"/>
  <c r="E1258" i="9"/>
  <c r="H1258" i="9" s="1"/>
  <c r="D79" i="114" l="1"/>
  <c r="H100" i="115"/>
  <c r="E1260" i="9"/>
  <c r="E1264" i="9"/>
  <c r="H1263" i="9" l="1"/>
  <c r="P1287" i="9"/>
  <c r="G1265" i="9"/>
  <c r="H79" i="114" l="1"/>
  <c r="H87" i="114" s="1"/>
  <c r="E72" i="114"/>
  <c r="E76" i="114" s="1"/>
  <c r="E54" i="114"/>
  <c r="E58" i="114" s="1"/>
  <c r="E34" i="114"/>
  <c r="E38" i="114" s="1"/>
  <c r="E14" i="114"/>
  <c r="E18" i="114" s="1"/>
  <c r="H88" i="114" l="1"/>
  <c r="M1251" i="9" l="1"/>
  <c r="M1239" i="9"/>
  <c r="T1234" i="9"/>
  <c r="M1234" i="9"/>
  <c r="E1234" i="9"/>
  <c r="P1231" i="9"/>
  <c r="E1229" i="9"/>
  <c r="E1235" i="9" s="1"/>
  <c r="D75" i="113" s="1"/>
  <c r="M1240" i="9" l="1"/>
  <c r="D74" i="113"/>
  <c r="H83" i="113" s="1"/>
  <c r="P1241" i="9"/>
  <c r="H1234" i="9"/>
  <c r="H1229" i="9"/>
  <c r="E1231" i="9"/>
  <c r="G1236" i="9"/>
  <c r="H75" i="113" l="1"/>
  <c r="E68" i="113"/>
  <c r="E72" i="113" s="1"/>
  <c r="E50" i="113"/>
  <c r="E54" i="113" s="1"/>
  <c r="E32" i="113"/>
  <c r="E36" i="113" s="1"/>
  <c r="E14" i="113"/>
  <c r="E18" i="113" s="1"/>
  <c r="H84" i="113" l="1"/>
  <c r="D91" i="112"/>
  <c r="M1222" i="9"/>
  <c r="E1203" i="9"/>
  <c r="M1211" i="9" s="1"/>
  <c r="P1202" i="9"/>
  <c r="E1198" i="9"/>
  <c r="H1198" i="9" s="1"/>
  <c r="D92" i="112" l="1"/>
  <c r="E1200" i="9"/>
  <c r="E1204" i="9"/>
  <c r="P1211" i="9" l="1"/>
  <c r="H1203" i="9"/>
  <c r="G1205" i="9"/>
  <c r="E70" i="112"/>
  <c r="P1159" i="9" l="1"/>
  <c r="E69" i="112"/>
  <c r="E73" i="112" s="1"/>
  <c r="H92" i="112"/>
  <c r="H97" i="112" s="1"/>
  <c r="E87" i="112"/>
  <c r="E89" i="112" s="1"/>
  <c r="E51" i="112"/>
  <c r="E55" i="112" s="1"/>
  <c r="E33" i="112"/>
  <c r="E37" i="112" s="1"/>
  <c r="E15" i="112"/>
  <c r="E19" i="112" s="1"/>
  <c r="D79" i="110"/>
  <c r="M1191" i="9"/>
  <c r="E1160" i="9"/>
  <c r="M1179" i="9" s="1"/>
  <c r="P1156" i="9"/>
  <c r="E1155" i="9"/>
  <c r="E1157" i="9" s="1"/>
  <c r="E1161" i="9" l="1"/>
  <c r="P1174" i="9" s="1"/>
  <c r="D80" i="110"/>
  <c r="H1155" i="9"/>
  <c r="H98" i="112"/>
  <c r="G1162" i="9" l="1"/>
  <c r="H1160" i="9"/>
  <c r="M1148" i="9" l="1"/>
  <c r="E1128" i="9"/>
  <c r="M1133" i="9" s="1"/>
  <c r="P1125" i="9"/>
  <c r="P1124" i="9"/>
  <c r="E1123" i="9"/>
  <c r="E1129" i="9" s="1"/>
  <c r="H1123" i="9" l="1"/>
  <c r="E1125" i="9"/>
  <c r="P1133" i="9"/>
  <c r="G1130" i="9"/>
  <c r="H1128" i="9"/>
  <c r="M1112" i="9" l="1"/>
  <c r="E1101" i="9"/>
  <c r="M1100" i="9" s="1"/>
  <c r="M1099" i="9"/>
  <c r="E1096" i="9"/>
  <c r="E1098" i="9" s="1"/>
  <c r="H1096" i="9" l="1"/>
  <c r="E1102" i="9"/>
  <c r="P1117" i="9" l="1"/>
  <c r="H1101" i="9"/>
  <c r="G1103" i="9"/>
  <c r="M1084" i="9" l="1"/>
  <c r="M1087" i="9"/>
  <c r="P1068" i="9" l="1"/>
  <c r="M1089" i="9" l="1"/>
  <c r="P1070" i="9"/>
  <c r="E1068" i="9"/>
  <c r="M1075" i="9" s="1"/>
  <c r="M1066" i="9"/>
  <c r="E1063" i="9"/>
  <c r="H1063" i="9" s="1"/>
  <c r="E1065" i="9" l="1"/>
  <c r="E1069" i="9"/>
  <c r="H1068" i="9" l="1"/>
  <c r="G1070" i="9"/>
  <c r="P47" i="9" l="1"/>
  <c r="Q47" i="9" s="1"/>
  <c r="P55" i="9"/>
  <c r="P89" i="9"/>
  <c r="P118" i="9"/>
  <c r="P169" i="9"/>
  <c r="P192" i="9"/>
  <c r="P198" i="9"/>
  <c r="P234" i="9"/>
  <c r="P277" i="9"/>
  <c r="P280" i="9"/>
  <c r="P289" i="9"/>
  <c r="P301" i="9"/>
  <c r="P302" i="9"/>
  <c r="P308" i="9"/>
  <c r="P388" i="9"/>
  <c r="P400" i="9"/>
  <c r="P405" i="9"/>
  <c r="P413" i="9"/>
  <c r="P415" i="9"/>
  <c r="P624" i="9"/>
  <c r="P634" i="9"/>
  <c r="P668" i="9"/>
  <c r="P676" i="9"/>
  <c r="P696" i="9"/>
  <c r="P703" i="9"/>
  <c r="P726" i="9"/>
  <c r="R47" i="9" l="1"/>
  <c r="Q48" i="9"/>
  <c r="R48" i="9" l="1"/>
  <c r="Q49" i="9"/>
  <c r="R49" i="9" l="1"/>
  <c r="Q50" i="9"/>
  <c r="R50" i="9" l="1"/>
  <c r="Q51" i="9"/>
  <c r="R51" i="9" l="1"/>
  <c r="Q52" i="9"/>
  <c r="R52" i="9" l="1"/>
  <c r="Q53" i="9"/>
  <c r="M1056" i="9"/>
  <c r="M1039" i="9"/>
  <c r="E1025" i="9"/>
  <c r="E1020" i="9"/>
  <c r="R53" i="9" l="1"/>
  <c r="Q54" i="9"/>
  <c r="E1026" i="9"/>
  <c r="H1020" i="9"/>
  <c r="M1041" i="9"/>
  <c r="E1022" i="9"/>
  <c r="R54" i="9" l="1"/>
  <c r="Q55" i="9"/>
  <c r="P1043" i="9"/>
  <c r="H1025" i="9"/>
  <c r="G1027" i="9"/>
  <c r="Q56" i="9" l="1"/>
  <c r="R55" i="9"/>
  <c r="Q57" i="9" l="1"/>
  <c r="R56" i="9"/>
  <c r="Q58" i="9" l="1"/>
  <c r="R57" i="9"/>
  <c r="M1013" i="9"/>
  <c r="E994" i="9"/>
  <c r="M1000" i="9" s="1"/>
  <c r="E989" i="9"/>
  <c r="E991" i="9" s="1"/>
  <c r="Q59" i="9" l="1"/>
  <c r="R58" i="9"/>
  <c r="E995" i="9"/>
  <c r="H989" i="9"/>
  <c r="R59" i="9" l="1"/>
  <c r="G996" i="9"/>
  <c r="P1002" i="9"/>
  <c r="H994" i="9"/>
  <c r="M982" i="9" l="1"/>
  <c r="M981" i="9"/>
  <c r="E963" i="9"/>
  <c r="M969" i="9" s="1"/>
  <c r="E959" i="9"/>
  <c r="E958" i="9"/>
  <c r="E964" i="9" l="1"/>
  <c r="E960" i="9"/>
  <c r="H958" i="9"/>
  <c r="P973" i="9" l="1"/>
  <c r="H963" i="9"/>
  <c r="G965" i="9"/>
  <c r="M951" i="9" l="1"/>
  <c r="M950" i="9"/>
  <c r="P932" i="9"/>
  <c r="E930" i="9"/>
  <c r="M936" i="9" s="1"/>
  <c r="P927" i="9"/>
  <c r="E925" i="9"/>
  <c r="H925" i="9" s="1"/>
  <c r="E927" i="9" l="1"/>
  <c r="E931" i="9"/>
  <c r="P937" i="9" l="1"/>
  <c r="G932" i="9"/>
  <c r="H930" i="9"/>
  <c r="M918" i="9" l="1"/>
  <c r="M917" i="9"/>
  <c r="P909" i="9" l="1"/>
  <c r="M902" i="9"/>
  <c r="M901" i="9"/>
  <c r="E899" i="9"/>
  <c r="M898" i="9"/>
  <c r="E894" i="9"/>
  <c r="H894" i="9" s="1"/>
  <c r="M916" i="9" l="1"/>
  <c r="E896" i="9"/>
  <c r="E900" i="9"/>
  <c r="P912" i="9" l="1"/>
  <c r="G901" i="9"/>
  <c r="H899" i="9"/>
  <c r="M886" i="9" l="1"/>
  <c r="P867" i="9" l="1"/>
  <c r="E867" i="9"/>
  <c r="M882" i="9" s="1"/>
  <c r="E862" i="9"/>
  <c r="E868" i="9" s="1"/>
  <c r="G869" i="9" l="1"/>
  <c r="P879" i="9"/>
  <c r="H867" i="9"/>
  <c r="H862" i="9"/>
  <c r="E864" i="9"/>
  <c r="M855" i="9" l="1"/>
  <c r="E838" i="9" l="1"/>
  <c r="M843" i="9" s="1"/>
  <c r="P837" i="9"/>
  <c r="E834" i="9"/>
  <c r="E833" i="9"/>
  <c r="E839" i="9" l="1"/>
  <c r="E835" i="9"/>
  <c r="H833" i="9"/>
  <c r="P848" i="9" l="1"/>
  <c r="H838" i="9"/>
  <c r="G840" i="9"/>
  <c r="M820" i="9" l="1"/>
  <c r="H803" i="9" l="1"/>
  <c r="M825" i="9" l="1"/>
  <c r="M823" i="9"/>
  <c r="E10" i="9" l="1"/>
  <c r="M14" i="9" s="1"/>
  <c r="P802" i="9" l="1"/>
  <c r="E797" i="9"/>
  <c r="M837" i="9" s="1"/>
  <c r="M793" i="9"/>
  <c r="E792" i="9"/>
  <c r="E794" i="9" s="1"/>
  <c r="E798" i="9" l="1"/>
  <c r="H792" i="9"/>
  <c r="G799" i="9" l="1"/>
  <c r="P805" i="9"/>
  <c r="H797" i="9"/>
  <c r="M786" i="9" l="1"/>
  <c r="M767" i="9" l="1"/>
  <c r="E753" i="9" l="1"/>
  <c r="P751" i="9"/>
  <c r="E748" i="9"/>
  <c r="E754" i="9" s="1"/>
  <c r="M777" i="9" l="1"/>
  <c r="P758" i="9" s="1"/>
  <c r="H748" i="9"/>
  <c r="H753" i="9"/>
  <c r="E750" i="9"/>
  <c r="G755" i="9"/>
  <c r="L26" i="111" l="1"/>
  <c r="K26" i="111"/>
  <c r="J26" i="111"/>
  <c r="L24" i="111"/>
  <c r="L16" i="111"/>
  <c r="K24" i="111"/>
  <c r="K23" i="111"/>
  <c r="L23" i="111" s="1"/>
  <c r="K22" i="111"/>
  <c r="L22" i="111" s="1"/>
  <c r="K21" i="111"/>
  <c r="L21" i="111" s="1"/>
  <c r="K20" i="111"/>
  <c r="L20" i="111" s="1"/>
  <c r="K19" i="111"/>
  <c r="L19" i="111" s="1"/>
  <c r="K18" i="111"/>
  <c r="L18" i="111" s="1"/>
  <c r="K17" i="111"/>
  <c r="L17" i="111" s="1"/>
  <c r="K16" i="111"/>
  <c r="E10" i="111"/>
  <c r="G8" i="111"/>
  <c r="G24" i="111"/>
  <c r="I24" i="111" s="1"/>
  <c r="J24" i="111" s="1"/>
  <c r="G23" i="111"/>
  <c r="G22" i="111"/>
  <c r="G21" i="111"/>
  <c r="G20" i="111"/>
  <c r="G19" i="111"/>
  <c r="G18" i="111"/>
  <c r="G17" i="111"/>
  <c r="G16" i="111"/>
  <c r="J23" i="111"/>
  <c r="J22" i="111"/>
  <c r="J21" i="111"/>
  <c r="J20" i="111"/>
  <c r="J19" i="111"/>
  <c r="J18" i="111"/>
  <c r="J17" i="111"/>
  <c r="G11" i="111"/>
  <c r="G9" i="111"/>
  <c r="G7" i="111"/>
  <c r="G6" i="111"/>
  <c r="G5" i="111"/>
  <c r="G4" i="111"/>
  <c r="E3" i="111"/>
  <c r="G3" i="111" s="1"/>
  <c r="F10" i="111"/>
  <c r="G10" i="111" s="1"/>
  <c r="J16" i="111" l="1"/>
  <c r="J25" i="111" s="1"/>
  <c r="G12" i="111"/>
  <c r="E720" i="9" l="1"/>
  <c r="E726" i="9" s="1"/>
  <c r="P730" i="9" s="1"/>
  <c r="E719" i="9"/>
  <c r="E725" i="9" s="1"/>
  <c r="M730" i="9" l="1"/>
  <c r="E722" i="9"/>
  <c r="E53" i="110" l="1"/>
  <c r="H80" i="110"/>
  <c r="H85" i="110" s="1"/>
  <c r="E72" i="110"/>
  <c r="E77" i="110" s="1"/>
  <c r="E34" i="110"/>
  <c r="E15" i="110"/>
  <c r="H86" i="110" l="1"/>
  <c r="E19" i="110"/>
  <c r="E57" i="110"/>
  <c r="E38" i="110"/>
  <c r="I701" i="9" l="1"/>
  <c r="E700" i="9" l="1"/>
  <c r="E695" i="9"/>
  <c r="E697" i="9" s="1"/>
  <c r="E701" i="9" l="1"/>
  <c r="P714" i="9" s="1"/>
  <c r="H695" i="9"/>
  <c r="G704" i="9" l="1"/>
  <c r="H700" i="9"/>
  <c r="E672" i="9" l="1"/>
  <c r="M682" i="9" s="1"/>
  <c r="E667" i="9"/>
  <c r="E669" i="9" s="1"/>
  <c r="E673" i="9" l="1"/>
  <c r="P686" i="9" s="1"/>
  <c r="H667" i="9"/>
  <c r="G676" i="9" l="1"/>
  <c r="H672" i="9"/>
  <c r="G649" i="9" l="1"/>
  <c r="G648" i="9"/>
  <c r="E647" i="9"/>
  <c r="M645" i="9" s="1"/>
  <c r="E642" i="9"/>
  <c r="H642" i="9" s="1"/>
  <c r="E644" i="9" l="1"/>
  <c r="E648" i="9"/>
  <c r="P661" i="9" s="1"/>
  <c r="G651" i="9" l="1"/>
  <c r="H647" i="9"/>
  <c r="E622" i="9" l="1"/>
  <c r="E617" i="9"/>
  <c r="E619" i="9" s="1"/>
  <c r="M625" i="9" l="1"/>
  <c r="H617" i="9"/>
  <c r="E623" i="9"/>
  <c r="P636" i="9" s="1"/>
  <c r="G626" i="9" l="1"/>
  <c r="H622" i="9"/>
  <c r="M595" i="9" l="1"/>
  <c r="M594" i="9"/>
  <c r="G592" i="9"/>
  <c r="E590" i="9"/>
  <c r="M599" i="9" s="1"/>
  <c r="E585" i="9"/>
  <c r="E587" i="9" s="1"/>
  <c r="E591" i="9" l="1"/>
  <c r="P587" i="9" s="1"/>
  <c r="H585" i="9"/>
  <c r="H590" i="9" l="1"/>
  <c r="G594" i="9"/>
  <c r="M566" i="9" l="1"/>
  <c r="E541" i="9" l="1"/>
  <c r="M569" i="9" l="1"/>
  <c r="M565" i="9"/>
  <c r="M554" i="9"/>
  <c r="G550" i="9"/>
  <c r="G549" i="9"/>
  <c r="G547" i="9"/>
  <c r="E546" i="9"/>
  <c r="E542" i="9"/>
  <c r="M567" i="9" l="1"/>
  <c r="E543" i="9"/>
  <c r="E547" i="9" s="1"/>
  <c r="P544" i="9" s="1"/>
  <c r="H541" i="9"/>
  <c r="G551" i="9" l="1"/>
  <c r="H546" i="9"/>
  <c r="E509" i="9" l="1"/>
  <c r="M526" i="9" l="1"/>
  <c r="G515" i="9"/>
  <c r="E514" i="9"/>
  <c r="M525" i="9" s="1"/>
  <c r="E510" i="9"/>
  <c r="E511" i="9" l="1"/>
  <c r="E515" i="9" s="1"/>
  <c r="P515" i="9" s="1"/>
  <c r="H509" i="9"/>
  <c r="G517" i="9" l="1"/>
  <c r="E475" i="9" l="1"/>
  <c r="M491" i="9" l="1"/>
  <c r="M490" i="9"/>
  <c r="G489" i="9"/>
  <c r="E480" i="9"/>
  <c r="E482" i="9" s="1"/>
  <c r="Z478" i="9"/>
  <c r="Z477" i="9"/>
  <c r="Z476" i="9"/>
  <c r="M476" i="9"/>
  <c r="E476" i="9"/>
  <c r="E477" i="9" s="1"/>
  <c r="E484" i="9" l="1"/>
  <c r="E488" i="9" s="1"/>
  <c r="P483" i="9" s="1"/>
  <c r="Z479" i="9"/>
  <c r="G488" i="9" l="1"/>
  <c r="G490" i="9" s="1"/>
  <c r="M459" i="9" l="1"/>
  <c r="G453" i="9" l="1"/>
  <c r="E439" i="9"/>
  <c r="M463" i="9" l="1"/>
  <c r="M462" i="9"/>
  <c r="M455" i="9"/>
  <c r="M447" i="9"/>
  <c r="E444" i="9"/>
  <c r="E446" i="9" s="1"/>
  <c r="E440" i="9"/>
  <c r="E441" i="9" s="1"/>
  <c r="E448" i="9" l="1"/>
  <c r="E452" i="9" l="1"/>
  <c r="P459" i="9" s="1"/>
  <c r="G452" i="9" l="1"/>
  <c r="G454" i="9" s="1"/>
  <c r="M426" i="9" l="1"/>
  <c r="M425" i="9"/>
  <c r="E417" i="9"/>
  <c r="E419" i="9" s="1"/>
  <c r="M416" i="9"/>
  <c r="E414" i="9"/>
  <c r="E421" i="9" l="1"/>
  <c r="E426" i="9" s="1"/>
  <c r="P428" i="9" s="1"/>
  <c r="G426" i="9" l="1"/>
  <c r="E386" i="9" l="1"/>
  <c r="M395" i="9" l="1"/>
  <c r="E391" i="9"/>
  <c r="E393" i="9" s="1"/>
  <c r="E388" i="9"/>
  <c r="E395" i="9" l="1"/>
  <c r="E400" i="9" s="1"/>
  <c r="P406" i="9" s="1"/>
  <c r="G400" i="9" l="1"/>
  <c r="E366" i="9" l="1"/>
  <c r="M372" i="9" l="1"/>
  <c r="E371" i="9" l="1"/>
  <c r="E374" i="9" s="1"/>
  <c r="E367" i="9"/>
  <c r="E368" i="9" s="1"/>
  <c r="E376" i="9" l="1"/>
  <c r="E381" i="9" s="1"/>
  <c r="P378" i="9" s="1"/>
  <c r="G381" i="9" l="1"/>
  <c r="M343" i="9" l="1"/>
  <c r="E341" i="9"/>
  <c r="E344" i="9" s="1"/>
  <c r="E336" i="9"/>
  <c r="E338" i="9" s="1"/>
  <c r="E346" i="9" l="1"/>
  <c r="E351" i="9" s="1"/>
  <c r="P360" i="9" s="1"/>
  <c r="G351" i="9" l="1"/>
  <c r="E298" i="9" l="1"/>
  <c r="M304" i="9" l="1"/>
  <c r="E303" i="9"/>
  <c r="E300" i="9"/>
  <c r="I286" i="9" l="1"/>
  <c r="M282" i="9"/>
  <c r="E281" i="9"/>
  <c r="I280" i="9"/>
  <c r="I285" i="9" s="1"/>
  <c r="E277" i="9"/>
  <c r="E276" i="9"/>
  <c r="I287" i="9" l="1"/>
  <c r="E283" i="9" s="1"/>
  <c r="E304" i="9" s="1"/>
  <c r="E306" i="9" s="1"/>
  <c r="E308" i="9" s="1"/>
  <c r="E313" i="9" s="1"/>
  <c r="P330" i="9" s="1"/>
  <c r="E278" i="9"/>
  <c r="E285" i="9" l="1"/>
  <c r="E287" i="9" s="1"/>
  <c r="E292" i="9" s="1"/>
  <c r="P292" i="9" s="1"/>
  <c r="G313" i="9"/>
  <c r="G292" i="9" l="1"/>
  <c r="E255" i="9" l="1"/>
  <c r="I265" i="9" l="1"/>
  <c r="M259" i="9"/>
  <c r="E260" i="9"/>
  <c r="I259" i="9"/>
  <c r="I264" i="9" s="1"/>
  <c r="E257" i="9"/>
  <c r="I266" i="9" l="1"/>
  <c r="E262" i="9" s="1"/>
  <c r="E264" i="9" s="1"/>
  <c r="E266" i="9" s="1"/>
  <c r="E271" i="9" s="1"/>
  <c r="P268" i="9" s="1"/>
  <c r="G271" i="9" l="1"/>
  <c r="I243" i="9" l="1"/>
  <c r="I241" i="9"/>
  <c r="M238" i="9"/>
  <c r="E238" i="9"/>
  <c r="I237" i="9"/>
  <c r="E233" i="9"/>
  <c r="E235" i="9" s="1"/>
  <c r="I242" i="9" l="1"/>
  <c r="I244" i="9" s="1"/>
  <c r="E240" i="9" s="1"/>
  <c r="E242" i="9" s="1"/>
  <c r="E244" i="9" s="1"/>
  <c r="E249" i="9" s="1"/>
  <c r="P249" i="9" s="1"/>
  <c r="G249" i="9" l="1"/>
  <c r="M215" i="9" l="1"/>
  <c r="E212" i="9" l="1"/>
  <c r="E214" i="9" s="1"/>
  <c r="M225" i="9"/>
  <c r="M223" i="9"/>
  <c r="I222" i="9"/>
  <c r="M221" i="9"/>
  <c r="M218" i="9"/>
  <c r="E217" i="9"/>
  <c r="I216" i="9"/>
  <c r="I221" i="9" s="1"/>
  <c r="I223" i="9" l="1"/>
  <c r="E219" i="9" s="1"/>
  <c r="E221" i="9" s="1"/>
  <c r="E223" i="9" s="1"/>
  <c r="E228" i="9" l="1"/>
  <c r="P224" i="9" s="1"/>
  <c r="G228" i="9" l="1"/>
  <c r="M195" i="9" l="1"/>
  <c r="E190" i="9" l="1"/>
  <c r="M206" i="9" l="1"/>
  <c r="M204" i="9"/>
  <c r="M202" i="9"/>
  <c r="M200" i="9"/>
  <c r="I200" i="9"/>
  <c r="M198" i="9"/>
  <c r="I198" i="9"/>
  <c r="E195" i="9"/>
  <c r="I194" i="9"/>
  <c r="E192" i="9"/>
  <c r="I199" i="9" l="1"/>
  <c r="I201" i="9" s="1"/>
  <c r="E197" i="9" s="1"/>
  <c r="E199" i="9" s="1"/>
  <c r="E201" i="9" s="1"/>
  <c r="E206" i="9" s="1"/>
  <c r="P206" i="9" s="1"/>
  <c r="G206" i="9" l="1"/>
  <c r="M184" i="9" l="1"/>
  <c r="M182" i="9"/>
  <c r="M180" i="9"/>
  <c r="M178" i="9"/>
  <c r="M176" i="9"/>
  <c r="I172" i="9"/>
  <c r="M171" i="9"/>
  <c r="I170" i="9"/>
  <c r="E167" i="9"/>
  <c r="I166" i="9"/>
  <c r="E162" i="9"/>
  <c r="E164" i="9" s="1"/>
  <c r="I171" i="9" l="1"/>
  <c r="I173" i="9" s="1"/>
  <c r="E169" i="9" s="1"/>
  <c r="E171" i="9" s="1"/>
  <c r="E173" i="9" s="1"/>
  <c r="E178" i="9" s="1"/>
  <c r="P174" i="9" s="1"/>
  <c r="G178" i="9" l="1"/>
  <c r="M156" i="9" l="1"/>
  <c r="M154" i="9" l="1"/>
  <c r="M152" i="9"/>
  <c r="M150" i="9"/>
  <c r="M148" i="9"/>
  <c r="M145" i="9"/>
  <c r="I144" i="9"/>
  <c r="E139" i="9"/>
  <c r="I138" i="9"/>
  <c r="I143" i="9" s="1"/>
  <c r="E135" i="9"/>
  <c r="E134" i="9"/>
  <c r="E136" i="9" l="1"/>
  <c r="M119" i="9" l="1"/>
  <c r="E115" i="9"/>
  <c r="I118" i="9"/>
  <c r="I116" i="9"/>
  <c r="M128" i="9" l="1"/>
  <c r="M126" i="9"/>
  <c r="M124" i="9"/>
  <c r="M122" i="9"/>
  <c r="M120" i="9"/>
  <c r="E113" i="9"/>
  <c r="I112" i="9"/>
  <c r="I117" i="9" s="1"/>
  <c r="I119" i="9" s="1"/>
  <c r="M110" i="9"/>
  <c r="E109" i="9"/>
  <c r="E108" i="9"/>
  <c r="E110" i="9" l="1"/>
  <c r="I121" i="9"/>
  <c r="E117" i="9"/>
  <c r="I145" i="9" l="1"/>
  <c r="I146" i="9" s="1"/>
  <c r="E141" i="9" s="1"/>
  <c r="E143" i="9" s="1"/>
  <c r="E145" i="9" s="1"/>
  <c r="E150" i="9" s="1"/>
  <c r="P141" i="9" s="1"/>
  <c r="E119" i="9"/>
  <c r="E124" i="9" s="1"/>
  <c r="P121" i="9" s="1"/>
  <c r="G150" i="9" l="1"/>
  <c r="G125" i="9"/>
  <c r="E85" i="9"/>
  <c r="M99" i="9" l="1"/>
  <c r="M97" i="9"/>
  <c r="M95" i="9"/>
  <c r="M93" i="9"/>
  <c r="M90" i="9"/>
  <c r="I96" i="9"/>
  <c r="I94" i="9"/>
  <c r="E91" i="9"/>
  <c r="I90" i="9"/>
  <c r="E86" i="9"/>
  <c r="E88" i="9" s="1"/>
  <c r="I95" i="9" l="1"/>
  <c r="I97" i="9" s="1"/>
  <c r="E93" i="9" s="1"/>
  <c r="E95" i="9" s="1"/>
  <c r="E97" i="9" s="1"/>
  <c r="E102" i="9" l="1"/>
  <c r="P95" i="9" s="1"/>
  <c r="G103" i="9" l="1"/>
  <c r="M66" i="9" l="1"/>
  <c r="M47" i="9" l="1"/>
  <c r="M79" i="9" l="1"/>
  <c r="M77" i="9"/>
  <c r="M75" i="9"/>
  <c r="M73" i="9"/>
  <c r="M71" i="9"/>
  <c r="I57" i="9"/>
  <c r="I56" i="9"/>
  <c r="E53" i="9"/>
  <c r="I52" i="9"/>
  <c r="E48" i="9"/>
  <c r="E47" i="9"/>
  <c r="E50" i="9" l="1"/>
  <c r="I58" i="9"/>
  <c r="E55" i="9" s="1"/>
  <c r="E57" i="9" s="1"/>
  <c r="E59" i="9" l="1"/>
  <c r="E64" i="9" s="1"/>
  <c r="P60" i="9" s="1"/>
  <c r="P61" i="9" l="1"/>
  <c r="Q60" i="9"/>
  <c r="G65" i="9"/>
  <c r="R60" i="9" l="1"/>
  <c r="P85" i="9"/>
  <c r="M80" i="9"/>
  <c r="N47" i="9"/>
  <c r="N48" i="9" s="1"/>
  <c r="N49" i="9" s="1"/>
  <c r="N50" i="9" s="1"/>
  <c r="N51" i="9" s="1"/>
  <c r="N52" i="9" s="1"/>
  <c r="N53" i="9" s="1"/>
  <c r="N54" i="9" s="1"/>
  <c r="N55" i="9" s="1"/>
  <c r="N56" i="9" s="1"/>
  <c r="N57" i="9" s="1"/>
  <c r="N58" i="9" s="1"/>
  <c r="N59" i="9" s="1"/>
  <c r="N60" i="9" s="1"/>
  <c r="N61" i="9" s="1"/>
  <c r="N62" i="9" s="1"/>
  <c r="N63" i="9" s="1"/>
  <c r="N64" i="9" s="1"/>
  <c r="Q85" i="9" l="1"/>
  <c r="P96" i="9"/>
  <c r="M85" i="9"/>
  <c r="N65" i="9"/>
  <c r="R85" i="9" l="1"/>
  <c r="Q86" i="9"/>
  <c r="M100" i="9"/>
  <c r="N85" i="9"/>
  <c r="N86" i="9" s="1"/>
  <c r="N87" i="9" s="1"/>
  <c r="N88" i="9" s="1"/>
  <c r="N89" i="9" s="1"/>
  <c r="N90" i="9" s="1"/>
  <c r="N91" i="9" s="1"/>
  <c r="N92" i="9" s="1"/>
  <c r="N93" i="9" s="1"/>
  <c r="N94" i="9" s="1"/>
  <c r="N95" i="9" s="1"/>
  <c r="N96" i="9" s="1"/>
  <c r="N97" i="9" s="1"/>
  <c r="N66" i="9"/>
  <c r="N67" i="9" s="1"/>
  <c r="R86" i="9" l="1"/>
  <c r="Q87" i="9"/>
  <c r="M108" i="9"/>
  <c r="N68" i="9"/>
  <c r="N69" i="9" s="1"/>
  <c r="R87" i="9" l="1"/>
  <c r="Q88" i="9"/>
  <c r="M129" i="9"/>
  <c r="N108" i="9"/>
  <c r="N109" i="9" s="1"/>
  <c r="N110" i="9" s="1"/>
  <c r="N111" i="9" s="1"/>
  <c r="N112" i="9" s="1"/>
  <c r="N113" i="9" s="1"/>
  <c r="N114" i="9" s="1"/>
  <c r="N115" i="9" s="1"/>
  <c r="N116" i="9" s="1"/>
  <c r="N117" i="9" s="1"/>
  <c r="N118" i="9" s="1"/>
  <c r="N119" i="9" s="1"/>
  <c r="N120" i="9" s="1"/>
  <c r="N121" i="9" s="1"/>
  <c r="N122" i="9" s="1"/>
  <c r="N123" i="9" s="1"/>
  <c r="N124" i="9" s="1"/>
  <c r="N125" i="9" s="1"/>
  <c r="N126" i="9" s="1"/>
  <c r="N127" i="9" s="1"/>
  <c r="N128" i="9" s="1"/>
  <c r="N98" i="9"/>
  <c r="N99" i="9" s="1"/>
  <c r="N70" i="9"/>
  <c r="N71" i="9" s="1"/>
  <c r="R88" i="9" l="1"/>
  <c r="Q89" i="9"/>
  <c r="M134" i="9"/>
  <c r="N72" i="9"/>
  <c r="Q90" i="9" l="1"/>
  <c r="R89" i="9"/>
  <c r="M157" i="9"/>
  <c r="M162" i="9" s="1"/>
  <c r="N134" i="9"/>
  <c r="N135" i="9" s="1"/>
  <c r="N136" i="9" s="1"/>
  <c r="N137" i="9" s="1"/>
  <c r="N138" i="9" s="1"/>
  <c r="N139" i="9" s="1"/>
  <c r="N140" i="9" s="1"/>
  <c r="N141" i="9" s="1"/>
  <c r="N142" i="9" s="1"/>
  <c r="N143" i="9" s="1"/>
  <c r="N144" i="9" s="1"/>
  <c r="N145" i="9" s="1"/>
  <c r="N146" i="9" s="1"/>
  <c r="N147" i="9" s="1"/>
  <c r="N148" i="9" s="1"/>
  <c r="N73" i="9"/>
  <c r="N74" i="9" s="1"/>
  <c r="N75" i="9" s="1"/>
  <c r="N76" i="9" s="1"/>
  <c r="N77" i="9" s="1"/>
  <c r="N78" i="9" s="1"/>
  <c r="N79" i="9" s="1"/>
  <c r="Q91" i="9" l="1"/>
  <c r="R90" i="9"/>
  <c r="N149" i="9"/>
  <c r="N150" i="9" s="1"/>
  <c r="N151" i="9" s="1"/>
  <c r="N152" i="9" s="1"/>
  <c r="N153" i="9" s="1"/>
  <c r="N154" i="9" s="1"/>
  <c r="N155" i="9" s="1"/>
  <c r="N156" i="9" s="1"/>
  <c r="Q92" i="9" l="1"/>
  <c r="R91" i="9"/>
  <c r="M185" i="9"/>
  <c r="M190" i="9" s="1"/>
  <c r="N162" i="9"/>
  <c r="N163" i="9" s="1"/>
  <c r="N164" i="9" s="1"/>
  <c r="N165" i="9" s="1"/>
  <c r="N166" i="9" s="1"/>
  <c r="N167" i="9" s="1"/>
  <c r="N168" i="9" s="1"/>
  <c r="N169" i="9" s="1"/>
  <c r="Q93" i="9" l="1"/>
  <c r="R92" i="9"/>
  <c r="N170" i="9"/>
  <c r="N171" i="9" s="1"/>
  <c r="N172" i="9" s="1"/>
  <c r="N173" i="9" s="1"/>
  <c r="Q94" i="9" l="1"/>
  <c r="R93" i="9"/>
  <c r="M207" i="9"/>
  <c r="N190" i="9"/>
  <c r="N191" i="9" s="1"/>
  <c r="N192" i="9" s="1"/>
  <c r="N174" i="9"/>
  <c r="N175" i="9" s="1"/>
  <c r="N176" i="9" s="1"/>
  <c r="N177" i="9" s="1"/>
  <c r="N178" i="9" s="1"/>
  <c r="N179" i="9" s="1"/>
  <c r="N180" i="9" s="1"/>
  <c r="N181" i="9" s="1"/>
  <c r="N182" i="9" s="1"/>
  <c r="N183" i="9" s="1"/>
  <c r="N184" i="9" s="1"/>
  <c r="R94" i="9" l="1"/>
  <c r="Q95" i="9"/>
  <c r="M212" i="9"/>
  <c r="N193" i="9"/>
  <c r="N194" i="9" s="1"/>
  <c r="N195" i="9" s="1"/>
  <c r="N196" i="9" s="1"/>
  <c r="N197" i="9" s="1"/>
  <c r="N198" i="9" s="1"/>
  <c r="N199" i="9" s="1"/>
  <c r="N200" i="9" s="1"/>
  <c r="N201" i="9" s="1"/>
  <c r="N202" i="9" s="1"/>
  <c r="N203" i="9" s="1"/>
  <c r="N204" i="9" s="1"/>
  <c r="N205" i="9" s="1"/>
  <c r="N206" i="9" s="1"/>
  <c r="R95" i="9" l="1"/>
  <c r="P108" i="9"/>
  <c r="M227" i="9"/>
  <c r="N212" i="9"/>
  <c r="N213" i="9" s="1"/>
  <c r="Q108" i="9" l="1"/>
  <c r="P122" i="9"/>
  <c r="M233" i="9"/>
  <c r="N214" i="9"/>
  <c r="N215" i="9" s="1"/>
  <c r="N216" i="9" s="1"/>
  <c r="N217" i="9" s="1"/>
  <c r="N218" i="9" s="1"/>
  <c r="R108" i="9" l="1"/>
  <c r="Q109" i="9"/>
  <c r="M248" i="9"/>
  <c r="M255" i="9" s="1"/>
  <c r="N233" i="9"/>
  <c r="N234" i="9" s="1"/>
  <c r="N235" i="9" s="1"/>
  <c r="N236" i="9" s="1"/>
  <c r="N237" i="9" s="1"/>
  <c r="N238" i="9" s="1"/>
  <c r="N239" i="9" s="1"/>
  <c r="N240" i="9" s="1"/>
  <c r="N219" i="9"/>
  <c r="R109" i="9" l="1"/>
  <c r="Q110" i="9"/>
  <c r="M266" i="9"/>
  <c r="N255" i="9"/>
  <c r="N256" i="9" s="1"/>
  <c r="N257" i="9" s="1"/>
  <c r="N241" i="9"/>
  <c r="N242" i="9" s="1"/>
  <c r="N243" i="9" s="1"/>
  <c r="N244" i="9" s="1"/>
  <c r="N245" i="9" s="1"/>
  <c r="N246" i="9" s="1"/>
  <c r="N247" i="9" s="1"/>
  <c r="N220" i="9"/>
  <c r="N221" i="9" s="1"/>
  <c r="N222" i="9" s="1"/>
  <c r="N223" i="9" s="1"/>
  <c r="N224" i="9" s="1"/>
  <c r="N225" i="9" s="1"/>
  <c r="N226" i="9" s="1"/>
  <c r="R110" i="9" l="1"/>
  <c r="Q111" i="9"/>
  <c r="M276" i="9"/>
  <c r="N258" i="9"/>
  <c r="N259" i="9" s="1"/>
  <c r="R111" i="9" l="1"/>
  <c r="Q112" i="9"/>
  <c r="M290" i="9"/>
  <c r="N276" i="9"/>
  <c r="N277" i="9" s="1"/>
  <c r="N278" i="9" s="1"/>
  <c r="N279" i="9" s="1"/>
  <c r="N280" i="9" s="1"/>
  <c r="N260" i="9"/>
  <c r="N261" i="9" s="1"/>
  <c r="N262" i="9" s="1"/>
  <c r="N263" i="9" s="1"/>
  <c r="N264" i="9" s="1"/>
  <c r="N265" i="9" s="1"/>
  <c r="R112" i="9" l="1"/>
  <c r="Q113" i="9"/>
  <c r="M298" i="9"/>
  <c r="N281" i="9"/>
  <c r="N282" i="9" s="1"/>
  <c r="N283" i="9" s="1"/>
  <c r="N284" i="9" s="1"/>
  <c r="N285" i="9" s="1"/>
  <c r="N286" i="9" s="1"/>
  <c r="N287" i="9" s="1"/>
  <c r="N288" i="9" s="1"/>
  <c r="N289" i="9" s="1"/>
  <c r="R113" i="9" l="1"/>
  <c r="Q114" i="9"/>
  <c r="M313" i="9"/>
  <c r="N298" i="9"/>
  <c r="N299" i="9" s="1"/>
  <c r="N300" i="9" s="1"/>
  <c r="N301" i="9" s="1"/>
  <c r="N302" i="9" s="1"/>
  <c r="N303" i="9" s="1"/>
  <c r="N304" i="9" s="1"/>
  <c r="N305" i="9" s="1"/>
  <c r="N306" i="9" s="1"/>
  <c r="R114" i="9" l="1"/>
  <c r="Q115" i="9"/>
  <c r="M336" i="9"/>
  <c r="N307" i="9"/>
  <c r="N308" i="9" s="1"/>
  <c r="N309" i="9" s="1"/>
  <c r="N310" i="9" s="1"/>
  <c r="N311" i="9" s="1"/>
  <c r="N312" i="9" s="1"/>
  <c r="R115" i="9" l="1"/>
  <c r="Q116" i="9"/>
  <c r="M352" i="9"/>
  <c r="M366" i="9" s="1"/>
  <c r="N336" i="9"/>
  <c r="N337" i="9" s="1"/>
  <c r="N338" i="9" s="1"/>
  <c r="N339" i="9" s="1"/>
  <c r="N340" i="9" s="1"/>
  <c r="N341" i="9" s="1"/>
  <c r="N342" i="9" s="1"/>
  <c r="N343" i="9" s="1"/>
  <c r="N344" i="9" s="1"/>
  <c r="N345" i="9" s="1"/>
  <c r="N346" i="9" s="1"/>
  <c r="N347" i="9" s="1"/>
  <c r="N348" i="9" s="1"/>
  <c r="N349" i="9" s="1"/>
  <c r="R116" i="9" l="1"/>
  <c r="Q117" i="9"/>
  <c r="N350" i="9"/>
  <c r="N351" i="9" s="1"/>
  <c r="R117" i="9" l="1"/>
  <c r="Q118" i="9"/>
  <c r="M380" i="9"/>
  <c r="M386" i="9" s="1"/>
  <c r="N366" i="9"/>
  <c r="N367" i="9" s="1"/>
  <c r="N368" i="9" s="1"/>
  <c r="N369" i="9" s="1"/>
  <c r="Q119" i="9" l="1"/>
  <c r="R118" i="9"/>
  <c r="N370" i="9"/>
  <c r="N371" i="9" s="1"/>
  <c r="N372" i="9" s="1"/>
  <c r="N373" i="9" s="1"/>
  <c r="N374" i="9" s="1"/>
  <c r="N375" i="9" s="1"/>
  <c r="N376" i="9" s="1"/>
  <c r="N377" i="9" s="1"/>
  <c r="N378" i="9" s="1"/>
  <c r="N379" i="9" s="1"/>
  <c r="Q120" i="9" l="1"/>
  <c r="R119" i="9"/>
  <c r="M404" i="9"/>
  <c r="N386" i="9"/>
  <c r="N387" i="9" s="1"/>
  <c r="N388" i="9" s="1"/>
  <c r="N389" i="9" s="1"/>
  <c r="N390" i="9" s="1"/>
  <c r="N391" i="9" s="1"/>
  <c r="N392" i="9" s="1"/>
  <c r="N393" i="9" s="1"/>
  <c r="N394" i="9" s="1"/>
  <c r="N395" i="9" s="1"/>
  <c r="N396" i="9" s="1"/>
  <c r="N397" i="9" s="1"/>
  <c r="N398" i="9" s="1"/>
  <c r="N399" i="9" s="1"/>
  <c r="N400" i="9" s="1"/>
  <c r="N401" i="9" s="1"/>
  <c r="N402" i="9" s="1"/>
  <c r="N403" i="9" s="1"/>
  <c r="R120" i="9" l="1"/>
  <c r="Q121" i="9"/>
  <c r="M412" i="9"/>
  <c r="R121" i="9" l="1"/>
  <c r="P134" i="9"/>
  <c r="M434" i="9"/>
  <c r="M439" i="9" s="1"/>
  <c r="N412" i="9"/>
  <c r="N413" i="9" s="1"/>
  <c r="N414" i="9" s="1"/>
  <c r="N415" i="9" s="1"/>
  <c r="N416" i="9" s="1"/>
  <c r="N417" i="9" s="1"/>
  <c r="N418" i="9" s="1"/>
  <c r="N419" i="9" s="1"/>
  <c r="N420" i="9" s="1"/>
  <c r="N421" i="9" s="1"/>
  <c r="P142" i="9" l="1"/>
  <c r="Q134" i="9"/>
  <c r="N422" i="9"/>
  <c r="N423" i="9" s="1"/>
  <c r="N424" i="9" s="1"/>
  <c r="N425" i="9" s="1"/>
  <c r="N426" i="9" s="1"/>
  <c r="R134" i="9" l="1"/>
  <c r="Q135" i="9"/>
  <c r="M470" i="9"/>
  <c r="N439" i="9"/>
  <c r="N440" i="9" s="1"/>
  <c r="N441" i="9" s="1"/>
  <c r="N442" i="9" s="1"/>
  <c r="N443" i="9" s="1"/>
  <c r="N444" i="9" s="1"/>
  <c r="N445" i="9" s="1"/>
  <c r="N446" i="9" s="1"/>
  <c r="N447" i="9" s="1"/>
  <c r="N448" i="9" s="1"/>
  <c r="N449" i="9" s="1"/>
  <c r="N450" i="9" s="1"/>
  <c r="N451" i="9" s="1"/>
  <c r="N452" i="9" s="1"/>
  <c r="N453" i="9" s="1"/>
  <c r="N427" i="9"/>
  <c r="N428" i="9" s="1"/>
  <c r="N429" i="9" s="1"/>
  <c r="N430" i="9" s="1"/>
  <c r="N431" i="9" s="1"/>
  <c r="N432" i="9" s="1"/>
  <c r="N433" i="9" s="1"/>
  <c r="R135" i="9" l="1"/>
  <c r="Q136" i="9"/>
  <c r="M475" i="9"/>
  <c r="N454" i="9"/>
  <c r="N455" i="9" s="1"/>
  <c r="N456" i="9" s="1"/>
  <c r="N457" i="9" s="1"/>
  <c r="N458" i="9" s="1"/>
  <c r="N459" i="9" s="1"/>
  <c r="N460" i="9" s="1"/>
  <c r="R136" i="9" l="1"/>
  <c r="Q137" i="9"/>
  <c r="M504" i="9"/>
  <c r="N475" i="9"/>
  <c r="N476" i="9" s="1"/>
  <c r="N477" i="9" s="1"/>
  <c r="N478" i="9" s="1"/>
  <c r="N479" i="9" s="1"/>
  <c r="N480" i="9" s="1"/>
  <c r="N481" i="9" s="1"/>
  <c r="N482" i="9" s="1"/>
  <c r="N483" i="9" s="1"/>
  <c r="N484" i="9" s="1"/>
  <c r="N485" i="9" s="1"/>
  <c r="N486" i="9" s="1"/>
  <c r="N487" i="9" s="1"/>
  <c r="N488" i="9" s="1"/>
  <c r="N489" i="9" s="1"/>
  <c r="N490" i="9" s="1"/>
  <c r="N491" i="9" s="1"/>
  <c r="N492" i="9" s="1"/>
  <c r="N493" i="9" s="1"/>
  <c r="N494" i="9" s="1"/>
  <c r="N495" i="9" s="1"/>
  <c r="N496" i="9" s="1"/>
  <c r="N497" i="9" s="1"/>
  <c r="N498" i="9" s="1"/>
  <c r="N499" i="9" s="1"/>
  <c r="N500" i="9" s="1"/>
  <c r="N501" i="9" s="1"/>
  <c r="N502" i="9" s="1"/>
  <c r="N461" i="9"/>
  <c r="N462" i="9" s="1"/>
  <c r="N463" i="9" s="1"/>
  <c r="R137" i="9" l="1"/>
  <c r="Q138" i="9"/>
  <c r="M509" i="9"/>
  <c r="N464" i="9"/>
  <c r="R138" i="9" l="1"/>
  <c r="Q139" i="9"/>
  <c r="M536" i="9"/>
  <c r="N509" i="9"/>
  <c r="N510" i="9" s="1"/>
  <c r="N511" i="9" s="1"/>
  <c r="N512" i="9" s="1"/>
  <c r="N513" i="9" s="1"/>
  <c r="N514" i="9" s="1"/>
  <c r="N515" i="9" s="1"/>
  <c r="N516" i="9" s="1"/>
  <c r="N517" i="9" s="1"/>
  <c r="N518" i="9" s="1"/>
  <c r="N503" i="9"/>
  <c r="N465" i="9"/>
  <c r="N466" i="9" s="1"/>
  <c r="N467" i="9" s="1"/>
  <c r="N468" i="9" s="1"/>
  <c r="N469" i="9" s="1"/>
  <c r="R139" i="9" l="1"/>
  <c r="Q140" i="9"/>
  <c r="M541" i="9"/>
  <c r="N519" i="9"/>
  <c r="R140" i="9" l="1"/>
  <c r="Q141" i="9"/>
  <c r="M580" i="9"/>
  <c r="M585" i="9" s="1"/>
  <c r="N541" i="9"/>
  <c r="N542" i="9" s="1"/>
  <c r="N543" i="9" s="1"/>
  <c r="N544" i="9" s="1"/>
  <c r="N545" i="9" s="1"/>
  <c r="N546" i="9" s="1"/>
  <c r="N547" i="9" s="1"/>
  <c r="N548" i="9" s="1"/>
  <c r="N549" i="9" s="1"/>
  <c r="N550" i="9" s="1"/>
  <c r="N551" i="9" s="1"/>
  <c r="N552" i="9" s="1"/>
  <c r="N553" i="9" s="1"/>
  <c r="N554" i="9" s="1"/>
  <c r="N555" i="9" s="1"/>
  <c r="N556" i="9" s="1"/>
  <c r="N557" i="9" s="1"/>
  <c r="N558" i="9" s="1"/>
  <c r="N559" i="9" s="1"/>
  <c r="N560" i="9" s="1"/>
  <c r="N561" i="9" s="1"/>
  <c r="N562" i="9" s="1"/>
  <c r="N563" i="9" s="1"/>
  <c r="N564" i="9" s="1"/>
  <c r="N565" i="9" s="1"/>
  <c r="N566" i="9" s="1"/>
  <c r="N520" i="9"/>
  <c r="N521" i="9" s="1"/>
  <c r="R141" i="9" l="1"/>
  <c r="P162" i="9"/>
  <c r="N567" i="9"/>
  <c r="N568" i="9" s="1"/>
  <c r="N569" i="9" s="1"/>
  <c r="N570" i="9" s="1"/>
  <c r="N571" i="9" s="1"/>
  <c r="N572" i="9" s="1"/>
  <c r="N573" i="9" s="1"/>
  <c r="N574" i="9" s="1"/>
  <c r="N575" i="9" s="1"/>
  <c r="N576" i="9" s="1"/>
  <c r="N577" i="9" s="1"/>
  <c r="N578" i="9" s="1"/>
  <c r="N522" i="9"/>
  <c r="N523" i="9" s="1"/>
  <c r="N524" i="9" s="1"/>
  <c r="N525" i="9" s="1"/>
  <c r="N526" i="9" s="1"/>
  <c r="N527" i="9" s="1"/>
  <c r="N528" i="9" s="1"/>
  <c r="N529" i="9" s="1"/>
  <c r="N530" i="9" s="1"/>
  <c r="N531" i="9" s="1"/>
  <c r="N532" i="9" s="1"/>
  <c r="N533" i="9" s="1"/>
  <c r="Q162" i="9" l="1"/>
  <c r="P175" i="9"/>
  <c r="M612" i="9"/>
  <c r="N585" i="9"/>
  <c r="N586" i="9" s="1"/>
  <c r="N587" i="9" s="1"/>
  <c r="N588" i="9" s="1"/>
  <c r="N589" i="9" s="1"/>
  <c r="N590" i="9" s="1"/>
  <c r="N591" i="9" s="1"/>
  <c r="N592" i="9" s="1"/>
  <c r="N593" i="9" s="1"/>
  <c r="N594" i="9" s="1"/>
  <c r="N579" i="9"/>
  <c r="N534" i="9"/>
  <c r="N535" i="9" s="1"/>
  <c r="Q163" i="9" l="1"/>
  <c r="R162" i="9"/>
  <c r="M617" i="9"/>
  <c r="N595" i="9"/>
  <c r="N596" i="9" s="1"/>
  <c r="N597" i="9" s="1"/>
  <c r="N598" i="9" s="1"/>
  <c r="N599" i="9" s="1"/>
  <c r="N600" i="9" s="1"/>
  <c r="N601" i="9" s="1"/>
  <c r="N602" i="9" s="1"/>
  <c r="N603" i="9" s="1"/>
  <c r="N604" i="9" s="1"/>
  <c r="N605" i="9" s="1"/>
  <c r="N606" i="9" s="1"/>
  <c r="N607" i="9" s="1"/>
  <c r="N608" i="9" s="1"/>
  <c r="Q164" i="9" l="1"/>
  <c r="R163" i="9"/>
  <c r="M637" i="9"/>
  <c r="N617" i="9"/>
  <c r="N618" i="9" s="1"/>
  <c r="N619" i="9" s="1"/>
  <c r="N620" i="9" s="1"/>
  <c r="N621" i="9" s="1"/>
  <c r="N622" i="9" s="1"/>
  <c r="N623" i="9" s="1"/>
  <c r="N624" i="9" s="1"/>
  <c r="N625" i="9" s="1"/>
  <c r="N626" i="9" s="1"/>
  <c r="N627" i="9" s="1"/>
  <c r="N628" i="9" s="1"/>
  <c r="N629" i="9" s="1"/>
  <c r="N630" i="9" s="1"/>
  <c r="N631" i="9" s="1"/>
  <c r="N632" i="9" s="1"/>
  <c r="N633" i="9" s="1"/>
  <c r="N634" i="9" s="1"/>
  <c r="Q165" i="9" l="1"/>
  <c r="R164" i="9"/>
  <c r="M642" i="9"/>
  <c r="N635" i="9"/>
  <c r="N636" i="9" s="1"/>
  <c r="N609" i="9"/>
  <c r="N610" i="9" s="1"/>
  <c r="N611" i="9" s="1"/>
  <c r="Q166" i="9" l="1"/>
  <c r="R165" i="9"/>
  <c r="M658" i="9"/>
  <c r="M667" i="9" s="1"/>
  <c r="N642" i="9"/>
  <c r="N643" i="9" s="1"/>
  <c r="N644" i="9" s="1"/>
  <c r="N645" i="9" s="1"/>
  <c r="N646" i="9" s="1"/>
  <c r="N647" i="9" s="1"/>
  <c r="N648" i="9" s="1"/>
  <c r="N649" i="9" s="1"/>
  <c r="N650" i="9" s="1"/>
  <c r="N651" i="9" s="1"/>
  <c r="N652" i="9" s="1"/>
  <c r="N653" i="9" s="1"/>
  <c r="N654" i="9" s="1"/>
  <c r="N655" i="9" s="1"/>
  <c r="N656" i="9" s="1"/>
  <c r="N657" i="9" s="1"/>
  <c r="Q167" i="9" l="1"/>
  <c r="R166" i="9"/>
  <c r="N667" i="9"/>
  <c r="N668" i="9" s="1"/>
  <c r="N669" i="9" s="1"/>
  <c r="N670" i="9" s="1"/>
  <c r="N671" i="9" s="1"/>
  <c r="N672" i="9" s="1"/>
  <c r="N673" i="9" s="1"/>
  <c r="N674" i="9" s="1"/>
  <c r="N675" i="9" s="1"/>
  <c r="N676" i="9" s="1"/>
  <c r="N677" i="9" s="1"/>
  <c r="M690" i="9"/>
  <c r="Q168" i="9" l="1"/>
  <c r="R167" i="9"/>
  <c r="M695" i="9"/>
  <c r="N678" i="9"/>
  <c r="N679" i="9" s="1"/>
  <c r="N680" i="9" s="1"/>
  <c r="N681" i="9" s="1"/>
  <c r="R168" i="9" l="1"/>
  <c r="Q169" i="9"/>
  <c r="N695" i="9"/>
  <c r="N696" i="9" s="1"/>
  <c r="N697" i="9" s="1"/>
  <c r="N698" i="9" s="1"/>
  <c r="N699" i="9" s="1"/>
  <c r="N700" i="9" s="1"/>
  <c r="N701" i="9" s="1"/>
  <c r="N702" i="9" s="1"/>
  <c r="N703" i="9" s="1"/>
  <c r="N704" i="9" s="1"/>
  <c r="N705" i="9" s="1"/>
  <c r="M714" i="9"/>
  <c r="N682" i="9"/>
  <c r="N683" i="9" s="1"/>
  <c r="R169" i="9" l="1"/>
  <c r="Q170" i="9"/>
  <c r="M720" i="9"/>
  <c r="N706" i="9"/>
  <c r="N707" i="9" s="1"/>
  <c r="N708" i="9" s="1"/>
  <c r="N709" i="9" s="1"/>
  <c r="N710" i="9" s="1"/>
  <c r="N711" i="9" s="1"/>
  <c r="N712" i="9" s="1"/>
  <c r="N713" i="9" s="1"/>
  <c r="N684" i="9"/>
  <c r="N685" i="9" s="1"/>
  <c r="N686" i="9" s="1"/>
  <c r="N687" i="9" s="1"/>
  <c r="N688" i="9" s="1"/>
  <c r="N689" i="9" s="1"/>
  <c r="R170" i="9" l="1"/>
  <c r="Q171" i="9"/>
  <c r="M743" i="9"/>
  <c r="N720" i="9"/>
  <c r="N721" i="9" s="1"/>
  <c r="N722" i="9" s="1"/>
  <c r="N723" i="9" s="1"/>
  <c r="N724" i="9" s="1"/>
  <c r="N725" i="9" s="1"/>
  <c r="N726" i="9" s="1"/>
  <c r="N727" i="9" s="1"/>
  <c r="N728" i="9" s="1"/>
  <c r="R171" i="9" l="1"/>
  <c r="Q172" i="9"/>
  <c r="M748" i="9"/>
  <c r="N729" i="9"/>
  <c r="N730" i="9" s="1"/>
  <c r="N731" i="9" s="1"/>
  <c r="N732" i="9" s="1"/>
  <c r="N733" i="9" s="1"/>
  <c r="N734" i="9" s="1"/>
  <c r="N735" i="9" s="1"/>
  <c r="N736" i="9" s="1"/>
  <c r="N737" i="9" s="1"/>
  <c r="N738" i="9" s="1"/>
  <c r="N739" i="9" s="1"/>
  <c r="N740" i="9" s="1"/>
  <c r="N741" i="9" s="1"/>
  <c r="N742" i="9" s="1"/>
  <c r="R172" i="9" l="1"/>
  <c r="Q173" i="9"/>
  <c r="M787" i="9"/>
  <c r="N748" i="9"/>
  <c r="N749" i="9" s="1"/>
  <c r="N750" i="9" s="1"/>
  <c r="N751" i="9" s="1"/>
  <c r="N752" i="9" s="1"/>
  <c r="N753" i="9" s="1"/>
  <c r="N754" i="9" s="1"/>
  <c r="N755" i="9" s="1"/>
  <c r="N756" i="9" s="1"/>
  <c r="N757" i="9" s="1"/>
  <c r="N758" i="9" s="1"/>
  <c r="N759" i="9" s="1"/>
  <c r="N760" i="9" s="1"/>
  <c r="N761" i="9" s="1"/>
  <c r="N762" i="9" s="1"/>
  <c r="N763" i="9" s="1"/>
  <c r="R173" i="9" l="1"/>
  <c r="Q174" i="9"/>
  <c r="M792" i="9"/>
  <c r="M828" i="9" s="1"/>
  <c r="M833" i="9" s="1"/>
  <c r="N764" i="9"/>
  <c r="N765" i="9" s="1"/>
  <c r="N766" i="9" s="1"/>
  <c r="N767" i="9" s="1"/>
  <c r="N768" i="9" s="1"/>
  <c r="N769" i="9" s="1"/>
  <c r="N770" i="9" s="1"/>
  <c r="N771" i="9" s="1"/>
  <c r="N772" i="9" s="1"/>
  <c r="N773" i="9" s="1"/>
  <c r="N774" i="9" s="1"/>
  <c r="N775" i="9" s="1"/>
  <c r="N776" i="9" s="1"/>
  <c r="N777" i="9" s="1"/>
  <c r="R174" i="9" l="1"/>
  <c r="P190" i="9"/>
  <c r="M857" i="9"/>
  <c r="N833" i="9"/>
  <c r="N834" i="9" s="1"/>
  <c r="N835" i="9" s="1"/>
  <c r="N836" i="9" s="1"/>
  <c r="N837" i="9" s="1"/>
  <c r="N838" i="9" s="1"/>
  <c r="N839" i="9" s="1"/>
  <c r="N840" i="9" s="1"/>
  <c r="N841" i="9" s="1"/>
  <c r="N842" i="9" s="1"/>
  <c r="N843" i="9" s="1"/>
  <c r="N844" i="9" s="1"/>
  <c r="N792" i="9"/>
  <c r="N793" i="9" s="1"/>
  <c r="N794" i="9" s="1"/>
  <c r="N795" i="9" s="1"/>
  <c r="N796" i="9" s="1"/>
  <c r="N797" i="9" s="1"/>
  <c r="N798" i="9" s="1"/>
  <c r="N799" i="9" s="1"/>
  <c r="N800" i="9" s="1"/>
  <c r="N801" i="9" s="1"/>
  <c r="N802" i="9" s="1"/>
  <c r="N803" i="9" s="1"/>
  <c r="N804" i="9" s="1"/>
  <c r="N805" i="9" s="1"/>
  <c r="N806" i="9" s="1"/>
  <c r="N807" i="9" s="1"/>
  <c r="N808" i="9" s="1"/>
  <c r="N809" i="9" s="1"/>
  <c r="N810" i="9" s="1"/>
  <c r="N811" i="9" s="1"/>
  <c r="N812" i="9" s="1"/>
  <c r="N813" i="9" s="1"/>
  <c r="N814" i="9" s="1"/>
  <c r="N815" i="9" s="1"/>
  <c r="N816" i="9" s="1"/>
  <c r="N817" i="9" s="1"/>
  <c r="N818" i="9" s="1"/>
  <c r="N819" i="9" s="1"/>
  <c r="N820" i="9" s="1"/>
  <c r="N821" i="9" s="1"/>
  <c r="N822" i="9" s="1"/>
  <c r="N778" i="9"/>
  <c r="N779" i="9" s="1"/>
  <c r="N780" i="9" s="1"/>
  <c r="N781" i="9" s="1"/>
  <c r="Q190" i="9" l="1"/>
  <c r="P207" i="9"/>
  <c r="M862" i="9"/>
  <c r="N845" i="9"/>
  <c r="N846" i="9" s="1"/>
  <c r="N847" i="9" s="1"/>
  <c r="N848" i="9" s="1"/>
  <c r="N849" i="9" s="1"/>
  <c r="N850" i="9" s="1"/>
  <c r="N851" i="9" s="1"/>
  <c r="N782" i="9"/>
  <c r="Q191" i="9" l="1"/>
  <c r="R190" i="9"/>
  <c r="M889" i="9"/>
  <c r="N862" i="9"/>
  <c r="N863" i="9" s="1"/>
  <c r="N864" i="9" s="1"/>
  <c r="N865" i="9" s="1"/>
  <c r="N866" i="9" s="1"/>
  <c r="N867" i="9" s="1"/>
  <c r="N868" i="9" s="1"/>
  <c r="N869" i="9" s="1"/>
  <c r="N870" i="9" s="1"/>
  <c r="N871" i="9" s="1"/>
  <c r="N872" i="9" s="1"/>
  <c r="N873" i="9" s="1"/>
  <c r="N874" i="9" s="1"/>
  <c r="N852" i="9"/>
  <c r="N853" i="9" s="1"/>
  <c r="N854" i="9" s="1"/>
  <c r="N855" i="9" s="1"/>
  <c r="N856" i="9" s="1"/>
  <c r="N823" i="9"/>
  <c r="N824" i="9" s="1"/>
  <c r="N825" i="9" s="1"/>
  <c r="N826" i="9" s="1"/>
  <c r="R191" i="9" l="1"/>
  <c r="Q192" i="9"/>
  <c r="M894" i="9"/>
  <c r="N875" i="9"/>
  <c r="N876" i="9" s="1"/>
  <c r="N877" i="9" s="1"/>
  <c r="N878" i="9" s="1"/>
  <c r="N879" i="9" s="1"/>
  <c r="N880" i="9" s="1"/>
  <c r="N881" i="9" s="1"/>
  <c r="N882" i="9" s="1"/>
  <c r="N883" i="9" s="1"/>
  <c r="N884" i="9" s="1"/>
  <c r="N885" i="9" s="1"/>
  <c r="N886" i="9" s="1"/>
  <c r="N887" i="9" s="1"/>
  <c r="N888" i="9" s="1"/>
  <c r="N827" i="9"/>
  <c r="N783" i="9"/>
  <c r="N784" i="9" s="1"/>
  <c r="N785" i="9" s="1"/>
  <c r="N786" i="9" s="1"/>
  <c r="Q193" i="9" l="1"/>
  <c r="R192" i="9"/>
  <c r="M920" i="9"/>
  <c r="N894" i="9"/>
  <c r="N895" i="9" s="1"/>
  <c r="N896" i="9" s="1"/>
  <c r="N897" i="9" s="1"/>
  <c r="N898" i="9" s="1"/>
  <c r="N899" i="9" s="1"/>
  <c r="N900" i="9" s="1"/>
  <c r="N901" i="9" s="1"/>
  <c r="N902" i="9" s="1"/>
  <c r="Q194" i="9" l="1"/>
  <c r="R193" i="9"/>
  <c r="M925" i="9"/>
  <c r="N903" i="9"/>
  <c r="N904" i="9" s="1"/>
  <c r="N905" i="9" s="1"/>
  <c r="N906" i="9" s="1"/>
  <c r="N907" i="9" s="1"/>
  <c r="N908" i="9" s="1"/>
  <c r="N909" i="9" s="1"/>
  <c r="N910" i="9" s="1"/>
  <c r="N911" i="9" s="1"/>
  <c r="N912" i="9" s="1"/>
  <c r="N913" i="9" s="1"/>
  <c r="N914" i="9" s="1"/>
  <c r="N915" i="9" s="1"/>
  <c r="N916" i="9" s="1"/>
  <c r="N917" i="9" s="1"/>
  <c r="N918" i="9" s="1"/>
  <c r="N919" i="9" s="1"/>
  <c r="Q195" i="9" l="1"/>
  <c r="R194" i="9"/>
  <c r="N925" i="9"/>
  <c r="N926" i="9" s="1"/>
  <c r="N927" i="9" s="1"/>
  <c r="N928" i="9" s="1"/>
  <c r="N929" i="9" s="1"/>
  <c r="N930" i="9" s="1"/>
  <c r="N931" i="9" s="1"/>
  <c r="N932" i="9" s="1"/>
  <c r="M953" i="9"/>
  <c r="M958" i="9" s="1"/>
  <c r="Q196" i="9" l="1"/>
  <c r="R195" i="9"/>
  <c r="N933" i="9"/>
  <c r="N934" i="9" s="1"/>
  <c r="N935" i="9" s="1"/>
  <c r="N936" i="9" s="1"/>
  <c r="N937" i="9" s="1"/>
  <c r="N938" i="9" s="1"/>
  <c r="N939" i="9" s="1"/>
  <c r="N940" i="9" s="1"/>
  <c r="N941" i="9" s="1"/>
  <c r="N942" i="9" s="1"/>
  <c r="N943" i="9" s="1"/>
  <c r="N944" i="9" s="1"/>
  <c r="N945" i="9" s="1"/>
  <c r="N946" i="9" s="1"/>
  <c r="Q197" i="9" l="1"/>
  <c r="R196" i="9"/>
  <c r="M984" i="9"/>
  <c r="M989" i="9" s="1"/>
  <c r="N958" i="9"/>
  <c r="N959" i="9" s="1"/>
  <c r="N960" i="9" s="1"/>
  <c r="N961" i="9" s="1"/>
  <c r="N962" i="9" s="1"/>
  <c r="N963" i="9" s="1"/>
  <c r="N964" i="9" s="1"/>
  <c r="N965" i="9" s="1"/>
  <c r="N966" i="9" s="1"/>
  <c r="N967" i="9" s="1"/>
  <c r="N968" i="9" s="1"/>
  <c r="N969" i="9" s="1"/>
  <c r="N970" i="9" s="1"/>
  <c r="N971" i="9" s="1"/>
  <c r="N972" i="9" s="1"/>
  <c r="N973" i="9" s="1"/>
  <c r="N947" i="9"/>
  <c r="N948" i="9" s="1"/>
  <c r="N949" i="9" s="1"/>
  <c r="R197" i="9" l="1"/>
  <c r="Q198" i="9"/>
  <c r="N974" i="9"/>
  <c r="N975" i="9" s="1"/>
  <c r="N976" i="9" s="1"/>
  <c r="N977" i="9" s="1"/>
  <c r="N978" i="9" s="1"/>
  <c r="N979" i="9" s="1"/>
  <c r="N980" i="9" s="1"/>
  <c r="N981" i="9" s="1"/>
  <c r="N982" i="9" s="1"/>
  <c r="N983" i="9" s="1"/>
  <c r="N950" i="9"/>
  <c r="N951" i="9" s="1"/>
  <c r="N952" i="9" s="1"/>
  <c r="R198" i="9" l="1"/>
  <c r="Q199" i="9"/>
  <c r="M1015" i="9"/>
  <c r="N989" i="9"/>
  <c r="N990" i="9" s="1"/>
  <c r="N991" i="9" s="1"/>
  <c r="N992" i="9" s="1"/>
  <c r="N993" i="9" s="1"/>
  <c r="N994" i="9" s="1"/>
  <c r="N995" i="9" s="1"/>
  <c r="N996" i="9" s="1"/>
  <c r="N997" i="9" s="1"/>
  <c r="N998" i="9" s="1"/>
  <c r="N999" i="9" s="1"/>
  <c r="N1000" i="9" s="1"/>
  <c r="N1001" i="9" s="1"/>
  <c r="N1002" i="9" s="1"/>
  <c r="N1003" i="9" s="1"/>
  <c r="N1004" i="9" s="1"/>
  <c r="N1005" i="9" s="1"/>
  <c r="N1006" i="9" s="1"/>
  <c r="N1007" i="9" s="1"/>
  <c r="N1008" i="9" s="1"/>
  <c r="N1009" i="9" s="1"/>
  <c r="N1010" i="9" s="1"/>
  <c r="N1011" i="9" s="1"/>
  <c r="N1012" i="9" s="1"/>
  <c r="N1013" i="9" s="1"/>
  <c r="N1014" i="9" s="1"/>
  <c r="R199" i="9" l="1"/>
  <c r="Q200" i="9"/>
  <c r="M1020" i="9"/>
  <c r="R200" i="9" l="1"/>
  <c r="Q201" i="9"/>
  <c r="N1020" i="9"/>
  <c r="N1021" i="9" s="1"/>
  <c r="N1022" i="9" s="1"/>
  <c r="N1023" i="9" s="1"/>
  <c r="N1024" i="9" s="1"/>
  <c r="N1025" i="9" s="1"/>
  <c r="N1026" i="9" s="1"/>
  <c r="N1027" i="9" s="1"/>
  <c r="N1028" i="9" s="1"/>
  <c r="N1029" i="9" s="1"/>
  <c r="N1030" i="9" s="1"/>
  <c r="N1031" i="9" s="1"/>
  <c r="N1032" i="9" s="1"/>
  <c r="N1033" i="9" s="1"/>
  <c r="N1034" i="9" s="1"/>
  <c r="N1035" i="9" s="1"/>
  <c r="N1036" i="9" s="1"/>
  <c r="N1037" i="9" s="1"/>
  <c r="N1038" i="9" s="1"/>
  <c r="N1039" i="9" s="1"/>
  <c r="N1040" i="9" s="1"/>
  <c r="N1041" i="9" s="1"/>
  <c r="N1042" i="9" s="1"/>
  <c r="N1043" i="9" s="1"/>
  <c r="N1044" i="9" s="1"/>
  <c r="N1045" i="9" s="1"/>
  <c r="N1046" i="9" s="1"/>
  <c r="N1047" i="9" s="1"/>
  <c r="N1048" i="9" s="1"/>
  <c r="N1049" i="9" s="1"/>
  <c r="N1050" i="9" s="1"/>
  <c r="N1051" i="9" s="1"/>
  <c r="N1052" i="9" s="1"/>
  <c r="M1058" i="9"/>
  <c r="M1063" i="9" s="1"/>
  <c r="R201" i="9" l="1"/>
  <c r="Q202" i="9"/>
  <c r="N1053" i="9"/>
  <c r="N1054" i="9" s="1"/>
  <c r="N1055" i="9" s="1"/>
  <c r="N1056" i="9" s="1"/>
  <c r="N1057" i="9" s="1"/>
  <c r="M1091" i="9" l="1"/>
  <c r="N1063" i="9"/>
  <c r="N1064" i="9" s="1"/>
  <c r="N1065" i="9" s="1"/>
  <c r="N1066" i="9" s="1"/>
  <c r="N1067" i="9" s="1"/>
  <c r="N1068" i="9" s="1"/>
  <c r="N1069" i="9" s="1"/>
  <c r="N1070" i="9" s="1"/>
  <c r="N1071" i="9" s="1"/>
  <c r="N1072" i="9" s="1"/>
  <c r="N1073" i="9" s="1"/>
  <c r="N1074" i="9" s="1"/>
  <c r="N1075" i="9" s="1"/>
  <c r="N1076" i="9" s="1"/>
  <c r="N1077" i="9" s="1"/>
  <c r="N1078" i="9" s="1"/>
  <c r="R202" i="9"/>
  <c r="Q203" i="9"/>
  <c r="M1096" i="9" l="1"/>
  <c r="N1079" i="9"/>
  <c r="N1080" i="9" s="1"/>
  <c r="N1081" i="9" s="1"/>
  <c r="N1082" i="9" s="1"/>
  <c r="R203" i="9"/>
  <c r="Q204" i="9"/>
  <c r="M1114" i="9" l="1"/>
  <c r="N1096" i="9"/>
  <c r="N1097" i="9" s="1"/>
  <c r="N1098" i="9" s="1"/>
  <c r="N1083" i="9"/>
  <c r="N1084" i="9" s="1"/>
  <c r="N1085" i="9" s="1"/>
  <c r="N1086" i="9" s="1"/>
  <c r="N1087" i="9" s="1"/>
  <c r="N1088" i="9" s="1"/>
  <c r="N1089" i="9" s="1"/>
  <c r="N1090" i="9" s="1"/>
  <c r="R204" i="9"/>
  <c r="Q205" i="9"/>
  <c r="M1123" i="9" l="1"/>
  <c r="N1099" i="9"/>
  <c r="N1100" i="9" s="1"/>
  <c r="R205" i="9"/>
  <c r="Q206" i="9"/>
  <c r="N1123" i="9" l="1"/>
  <c r="N1124" i="9" s="1"/>
  <c r="N1125" i="9" s="1"/>
  <c r="N1126" i="9" s="1"/>
  <c r="N1127" i="9" s="1"/>
  <c r="N1128" i="9" s="1"/>
  <c r="N1129" i="9" s="1"/>
  <c r="N1130" i="9" s="1"/>
  <c r="N1131" i="9" s="1"/>
  <c r="N1132" i="9" s="1"/>
  <c r="N1133" i="9" s="1"/>
  <c r="N1134" i="9" s="1"/>
  <c r="N1135" i="9" s="1"/>
  <c r="N1136" i="9" s="1"/>
  <c r="N1137" i="9" s="1"/>
  <c r="N1138" i="9" s="1"/>
  <c r="N1139" i="9" s="1"/>
  <c r="N1140" i="9" s="1"/>
  <c r="N1141" i="9" s="1"/>
  <c r="N1142" i="9" s="1"/>
  <c r="M1150" i="9"/>
  <c r="N1101" i="9"/>
  <c r="N1102" i="9" s="1"/>
  <c r="N1103" i="9" s="1"/>
  <c r="N1104" i="9" s="1"/>
  <c r="N1105" i="9" s="1"/>
  <c r="N1106" i="9" s="1"/>
  <c r="N1107" i="9" s="1"/>
  <c r="N1108" i="9" s="1"/>
  <c r="N1109" i="9" s="1"/>
  <c r="N1110" i="9" s="1"/>
  <c r="N1111" i="9" s="1"/>
  <c r="N1112" i="9" s="1"/>
  <c r="N1113" i="9" s="1"/>
  <c r="R206" i="9"/>
  <c r="P212" i="9"/>
  <c r="M1155" i="9" l="1"/>
  <c r="N1143" i="9"/>
  <c r="N1144" i="9" s="1"/>
  <c r="N1145" i="9" s="1"/>
  <c r="N1146" i="9" s="1"/>
  <c r="N1147" i="9" s="1"/>
  <c r="N1148" i="9" s="1"/>
  <c r="N1149" i="9" s="1"/>
  <c r="Q212" i="9"/>
  <c r="P225" i="9"/>
  <c r="M1193" i="9" l="1"/>
  <c r="N1155" i="9"/>
  <c r="N1156" i="9" s="1"/>
  <c r="N1157" i="9" s="1"/>
  <c r="N1158" i="9" s="1"/>
  <c r="N1159" i="9" s="1"/>
  <c r="N1160" i="9" s="1"/>
  <c r="N1161" i="9" s="1"/>
  <c r="N1162" i="9" s="1"/>
  <c r="N1163" i="9" s="1"/>
  <c r="N1164" i="9" s="1"/>
  <c r="N1165" i="9" s="1"/>
  <c r="N1166" i="9" s="1"/>
  <c r="N1167" i="9" s="1"/>
  <c r="N1168" i="9" s="1"/>
  <c r="N1169" i="9" s="1"/>
  <c r="N1170" i="9" s="1"/>
  <c r="N1171" i="9" s="1"/>
  <c r="N1172" i="9" s="1"/>
  <c r="N1173" i="9" s="1"/>
  <c r="N1174" i="9" s="1"/>
  <c r="N1175" i="9" s="1"/>
  <c r="N1176" i="9" s="1"/>
  <c r="N1177" i="9" s="1"/>
  <c r="N1178" i="9" s="1"/>
  <c r="N1179" i="9" s="1"/>
  <c r="N1180" i="9" s="1"/>
  <c r="N1181" i="9" s="1"/>
  <c r="N1182" i="9" s="1"/>
  <c r="N1183" i="9" s="1"/>
  <c r="N1184" i="9" s="1"/>
  <c r="N1185" i="9" s="1"/>
  <c r="Q213" i="9"/>
  <c r="R212" i="9"/>
  <c r="M1198" i="9" l="1"/>
  <c r="Q214" i="9"/>
  <c r="R213" i="9"/>
  <c r="M1224" i="9" l="1"/>
  <c r="M1229" i="9" s="1"/>
  <c r="N1198" i="9"/>
  <c r="N1199" i="9" s="1"/>
  <c r="N1200" i="9" s="1"/>
  <c r="N1201" i="9" s="1"/>
  <c r="N1202" i="9" s="1"/>
  <c r="N1203" i="9" s="1"/>
  <c r="N1204" i="9" s="1"/>
  <c r="N1205" i="9" s="1"/>
  <c r="N1206" i="9" s="1"/>
  <c r="N1207" i="9" s="1"/>
  <c r="N1208" i="9" s="1"/>
  <c r="N1209" i="9" s="1"/>
  <c r="N1210" i="9" s="1"/>
  <c r="N1211" i="9" s="1"/>
  <c r="N1212" i="9" s="1"/>
  <c r="N1213" i="9" s="1"/>
  <c r="N1214" i="9" s="1"/>
  <c r="N1215" i="9" s="1"/>
  <c r="N1216" i="9" s="1"/>
  <c r="N1217" i="9" s="1"/>
  <c r="N1218" i="9" s="1"/>
  <c r="N1219" i="9" s="1"/>
  <c r="N1220" i="9" s="1"/>
  <c r="N1221" i="9" s="1"/>
  <c r="N1222" i="9" s="1"/>
  <c r="N1223" i="9" s="1"/>
  <c r="N1186" i="9"/>
  <c r="N1187" i="9" s="1"/>
  <c r="N1188" i="9" s="1"/>
  <c r="N1189" i="9" s="1"/>
  <c r="Q215" i="9"/>
  <c r="R214" i="9"/>
  <c r="M1253" i="9" l="1"/>
  <c r="N1229" i="9"/>
  <c r="N1230" i="9" s="1"/>
  <c r="N1231" i="9" s="1"/>
  <c r="N1232" i="9" s="1"/>
  <c r="N1233" i="9" s="1"/>
  <c r="N1234" i="9" s="1"/>
  <c r="N1235" i="9" s="1"/>
  <c r="N1236" i="9" s="1"/>
  <c r="N1237" i="9" s="1"/>
  <c r="N1238" i="9" s="1"/>
  <c r="N1239" i="9" s="1"/>
  <c r="N1240" i="9" s="1"/>
  <c r="N1241" i="9" s="1"/>
  <c r="N1242" i="9" s="1"/>
  <c r="N1243" i="9" s="1"/>
  <c r="N1244" i="9" s="1"/>
  <c r="N1245" i="9" s="1"/>
  <c r="N1246" i="9" s="1"/>
  <c r="N1247" i="9" s="1"/>
  <c r="N1190" i="9"/>
  <c r="N1191" i="9" s="1"/>
  <c r="N1192" i="9" s="1"/>
  <c r="Q216" i="9"/>
  <c r="R215" i="9"/>
  <c r="M1258" i="9" l="1"/>
  <c r="N1248" i="9"/>
  <c r="N1249" i="9" s="1"/>
  <c r="N1250" i="9" s="1"/>
  <c r="N1251" i="9" s="1"/>
  <c r="N1252" i="9" s="1"/>
  <c r="Q217" i="9"/>
  <c r="R216" i="9"/>
  <c r="N1258" i="9" l="1"/>
  <c r="N1259" i="9" s="1"/>
  <c r="N1260" i="9" s="1"/>
  <c r="N1261" i="9" s="1"/>
  <c r="N1262" i="9" s="1"/>
  <c r="N1263" i="9" s="1"/>
  <c r="N1264" i="9" s="1"/>
  <c r="N1265" i="9" s="1"/>
  <c r="M1281" i="9"/>
  <c r="Q218" i="9"/>
  <c r="R217" i="9"/>
  <c r="M1293" i="9" l="1"/>
  <c r="N1266" i="9"/>
  <c r="N1267" i="9" s="1"/>
  <c r="N1268" i="9" s="1"/>
  <c r="N1269" i="9" s="1"/>
  <c r="N1270" i="9" s="1"/>
  <c r="N1271" i="9" s="1"/>
  <c r="N1272" i="9" s="1"/>
  <c r="N1273" i="9" s="1"/>
  <c r="N1274" i="9" s="1"/>
  <c r="Q219" i="9"/>
  <c r="R218" i="9"/>
  <c r="M1315" i="9" l="1"/>
  <c r="M1320" i="9" s="1"/>
  <c r="N1293" i="9"/>
  <c r="N1294" i="9" s="1"/>
  <c r="N1295" i="9" s="1"/>
  <c r="N1296" i="9" s="1"/>
  <c r="N1297" i="9" s="1"/>
  <c r="N1298" i="9" s="1"/>
  <c r="N1299" i="9" s="1"/>
  <c r="N1300" i="9" s="1"/>
  <c r="N1275" i="9"/>
  <c r="N1276" i="9" s="1"/>
  <c r="N1277" i="9" s="1"/>
  <c r="N1278" i="9" s="1"/>
  <c r="N1279" i="9" s="1"/>
  <c r="N1280" i="9" s="1"/>
  <c r="Q220" i="9"/>
  <c r="R219" i="9"/>
  <c r="M1348" i="9" l="1"/>
  <c r="N1320" i="9"/>
  <c r="N1321" i="9" s="1"/>
  <c r="N1322" i="9" s="1"/>
  <c r="N1323" i="9" s="1"/>
  <c r="N1324" i="9" s="1"/>
  <c r="N1325" i="9" s="1"/>
  <c r="N1326" i="9" s="1"/>
  <c r="N1327" i="9" s="1"/>
  <c r="N1328" i="9" s="1"/>
  <c r="N1329" i="9" s="1"/>
  <c r="N1330" i="9" s="1"/>
  <c r="N1331" i="9" s="1"/>
  <c r="N1332" i="9" s="1"/>
  <c r="N1333" i="9" s="1"/>
  <c r="N1334" i="9" s="1"/>
  <c r="N1335" i="9" s="1"/>
  <c r="N1336" i="9" s="1"/>
  <c r="N1337" i="9" s="1"/>
  <c r="N1338" i="9" s="1"/>
  <c r="N1339" i="9" s="1"/>
  <c r="N1340" i="9" s="1"/>
  <c r="N1341" i="9" s="1"/>
  <c r="N1342" i="9" s="1"/>
  <c r="N1343" i="9" s="1"/>
  <c r="N1344" i="9" s="1"/>
  <c r="N1345" i="9" s="1"/>
  <c r="N1346" i="9" s="1"/>
  <c r="N1347" i="9" s="1"/>
  <c r="N1301" i="9"/>
  <c r="N1302" i="9" s="1"/>
  <c r="N1303" i="9" s="1"/>
  <c r="N1304" i="9" s="1"/>
  <c r="N1305" i="9" s="1"/>
  <c r="N1306" i="9" s="1"/>
  <c r="N1307" i="9" s="1"/>
  <c r="N1308" i="9" s="1"/>
  <c r="N1309" i="9" s="1"/>
  <c r="N1310" i="9" s="1"/>
  <c r="N1311" i="9" s="1"/>
  <c r="N1312" i="9" s="1"/>
  <c r="N1313" i="9" s="1"/>
  <c r="N1314" i="9" s="1"/>
  <c r="Q221" i="9"/>
  <c r="R220" i="9"/>
  <c r="M1353" i="9" l="1"/>
  <c r="Q222" i="9"/>
  <c r="R221" i="9"/>
  <c r="N1353" i="9" l="1"/>
  <c r="N1354" i="9" s="1"/>
  <c r="N1355" i="9" s="1"/>
  <c r="N1356" i="9" s="1"/>
  <c r="M1377" i="9"/>
  <c r="Q223" i="9"/>
  <c r="R222" i="9"/>
  <c r="M1382" i="9" l="1"/>
  <c r="N1357" i="9"/>
  <c r="N1358" i="9" s="1"/>
  <c r="N1359" i="9" s="1"/>
  <c r="N1360" i="9" s="1"/>
  <c r="N1361" i="9" s="1"/>
  <c r="N1362" i="9" s="1"/>
  <c r="N1363" i="9" s="1"/>
  <c r="N1364" i="9" s="1"/>
  <c r="N1365" i="9" s="1"/>
  <c r="N1366" i="9" s="1"/>
  <c r="N1367" i="9" s="1"/>
  <c r="N1368" i="9" s="1"/>
  <c r="N1369" i="9" s="1"/>
  <c r="N1370" i="9" s="1"/>
  <c r="N1371" i="9" s="1"/>
  <c r="N1372" i="9" s="1"/>
  <c r="N1373" i="9" s="1"/>
  <c r="N1374" i="9" s="1"/>
  <c r="N1375" i="9" s="1"/>
  <c r="N1376" i="9" s="1"/>
  <c r="R223" i="9"/>
  <c r="Q224" i="9"/>
  <c r="N1382" i="9" l="1"/>
  <c r="N1383" i="9" s="1"/>
  <c r="N1384" i="9" s="1"/>
  <c r="N1385" i="9" s="1"/>
  <c r="N1386" i="9" s="1"/>
  <c r="N1387" i="9" s="1"/>
  <c r="N1388" i="9" s="1"/>
  <c r="N1389" i="9" s="1"/>
  <c r="N1390" i="9" s="1"/>
  <c r="N1391" i="9" s="1"/>
  <c r="N1392" i="9" s="1"/>
  <c r="N1393" i="9" s="1"/>
  <c r="N1394" i="9" s="1"/>
  <c r="N1395" i="9" s="1"/>
  <c r="N1396" i="9" s="1"/>
  <c r="N1397" i="9" s="1"/>
  <c r="N1398" i="9" s="1"/>
  <c r="N1399" i="9" s="1"/>
  <c r="N1400" i="9" s="1"/>
  <c r="N1401" i="9" s="1"/>
  <c r="N1402" i="9" s="1"/>
  <c r="N1403" i="9" s="1"/>
  <c r="M1426" i="9"/>
  <c r="R224" i="9"/>
  <c r="P233" i="9"/>
  <c r="M1431" i="9" l="1"/>
  <c r="N1404" i="9"/>
  <c r="N1405" i="9" s="1"/>
  <c r="N1406" i="9" s="1"/>
  <c r="N1407" i="9" s="1"/>
  <c r="N1408" i="9" s="1"/>
  <c r="N1409" i="9" s="1"/>
  <c r="N1410" i="9" s="1"/>
  <c r="N1411" i="9" s="1"/>
  <c r="N1412" i="9" s="1"/>
  <c r="N1413" i="9" s="1"/>
  <c r="N1414" i="9" s="1"/>
  <c r="N1415" i="9" s="1"/>
  <c r="N1416" i="9" s="1"/>
  <c r="N1417" i="9" s="1"/>
  <c r="N1418" i="9" s="1"/>
  <c r="N1419" i="9" s="1"/>
  <c r="N1420" i="9" s="1"/>
  <c r="Q233" i="9"/>
  <c r="P250" i="9"/>
  <c r="M1470" i="9" l="1"/>
  <c r="N1431" i="9"/>
  <c r="N1432" i="9" s="1"/>
  <c r="N1433" i="9" s="1"/>
  <c r="N1434" i="9" s="1"/>
  <c r="N1435" i="9" s="1"/>
  <c r="N1436" i="9" s="1"/>
  <c r="N1437" i="9" s="1"/>
  <c r="N1438" i="9" s="1"/>
  <c r="N1439" i="9" s="1"/>
  <c r="N1440" i="9" s="1"/>
  <c r="N1441" i="9" s="1"/>
  <c r="N1442" i="9" s="1"/>
  <c r="N1443" i="9" s="1"/>
  <c r="N1444" i="9" s="1"/>
  <c r="N1445" i="9" s="1"/>
  <c r="N1446" i="9" s="1"/>
  <c r="N1421" i="9"/>
  <c r="N1422" i="9" s="1"/>
  <c r="N1423" i="9" s="1"/>
  <c r="N1424" i="9" s="1"/>
  <c r="N1425" i="9" s="1"/>
  <c r="R233" i="9"/>
  <c r="Q234" i="9"/>
  <c r="M1475" i="9" l="1"/>
  <c r="N1447" i="9"/>
  <c r="N1448" i="9" s="1"/>
  <c r="N1449" i="9" s="1"/>
  <c r="N1450" i="9" s="1"/>
  <c r="N1451" i="9" s="1"/>
  <c r="N1452" i="9" s="1"/>
  <c r="N1453" i="9" s="1"/>
  <c r="N1454" i="9" s="1"/>
  <c r="N1455" i="9" s="1"/>
  <c r="N1456" i="9" s="1"/>
  <c r="N1457" i="9" s="1"/>
  <c r="N1458" i="9" s="1"/>
  <c r="N1459" i="9" s="1"/>
  <c r="N1460" i="9" s="1"/>
  <c r="N1461" i="9" s="1"/>
  <c r="N1462" i="9" s="1"/>
  <c r="N1463" i="9" s="1"/>
  <c r="N1464" i="9" s="1"/>
  <c r="N1465" i="9" s="1"/>
  <c r="N1466" i="9" s="1"/>
  <c r="N1467" i="9" s="1"/>
  <c r="N1468" i="9" s="1"/>
  <c r="Q235" i="9"/>
  <c r="R234" i="9"/>
  <c r="M1517" i="9" l="1"/>
  <c r="N1475" i="9"/>
  <c r="N1476" i="9" s="1"/>
  <c r="N1477" i="9" s="1"/>
  <c r="N1478" i="9" s="1"/>
  <c r="N1479" i="9" s="1"/>
  <c r="N1480" i="9" s="1"/>
  <c r="N1481" i="9" s="1"/>
  <c r="N1482" i="9" s="1"/>
  <c r="N1483" i="9" s="1"/>
  <c r="N1484" i="9" s="1"/>
  <c r="N1485" i="9" s="1"/>
  <c r="N1486" i="9" s="1"/>
  <c r="N1487" i="9" s="1"/>
  <c r="N1488" i="9" s="1"/>
  <c r="N1489" i="9" s="1"/>
  <c r="N1490" i="9" s="1"/>
  <c r="N1469" i="9"/>
  <c r="Q236" i="9"/>
  <c r="R235" i="9"/>
  <c r="M1522" i="9" l="1"/>
  <c r="N1491" i="9"/>
  <c r="N1492" i="9" s="1"/>
  <c r="N1493" i="9" s="1"/>
  <c r="N1494" i="9" s="1"/>
  <c r="N1495" i="9" s="1"/>
  <c r="N1496" i="9" s="1"/>
  <c r="N1497" i="9" s="1"/>
  <c r="N1498" i="9" s="1"/>
  <c r="N1499" i="9" s="1"/>
  <c r="N1500" i="9" s="1"/>
  <c r="N1501" i="9" s="1"/>
  <c r="N1502" i="9" s="1"/>
  <c r="Q237" i="9"/>
  <c r="R236" i="9"/>
  <c r="M1545" i="9" l="1"/>
  <c r="N1522" i="9"/>
  <c r="N1523" i="9" s="1"/>
  <c r="N1524" i="9" s="1"/>
  <c r="N1525" i="9" s="1"/>
  <c r="N1526" i="9" s="1"/>
  <c r="N1527" i="9" s="1"/>
  <c r="N1503" i="9"/>
  <c r="N1504" i="9" s="1"/>
  <c r="N1505" i="9" s="1"/>
  <c r="N1506" i="9" s="1"/>
  <c r="N1507" i="9" s="1"/>
  <c r="N1508" i="9" s="1"/>
  <c r="N1509" i="9" s="1"/>
  <c r="N1510" i="9" s="1"/>
  <c r="N1511" i="9" s="1"/>
  <c r="N1512" i="9" s="1"/>
  <c r="N1513" i="9" s="1"/>
  <c r="N1514" i="9" s="1"/>
  <c r="N1515" i="9" s="1"/>
  <c r="N1516" i="9" s="1"/>
  <c r="Q238" i="9"/>
  <c r="R237" i="9"/>
  <c r="M1553" i="9" l="1"/>
  <c r="N1528" i="9"/>
  <c r="Q239" i="9"/>
  <c r="R238" i="9"/>
  <c r="M1582" i="9" l="1"/>
  <c r="M6" i="9" s="1"/>
  <c r="N6" i="9" s="1"/>
  <c r="N7" i="9" s="1"/>
  <c r="N8" i="9" s="1"/>
  <c r="N9" i="9" s="1"/>
  <c r="N10" i="9" s="1"/>
  <c r="N11" i="9" s="1"/>
  <c r="N12" i="9" s="1"/>
  <c r="N13" i="9" s="1"/>
  <c r="N14" i="9" s="1"/>
  <c r="N15" i="9" s="1"/>
  <c r="N16" i="9" s="1"/>
  <c r="N17" i="9" s="1"/>
  <c r="N18" i="9" s="1"/>
  <c r="N19" i="9" s="1"/>
  <c r="N20" i="9" s="1"/>
  <c r="N21" i="9" s="1"/>
  <c r="N1553" i="9"/>
  <c r="N1554" i="9" s="1"/>
  <c r="N1555" i="9" s="1"/>
  <c r="N1556" i="9" s="1"/>
  <c r="N1557" i="9" s="1"/>
  <c r="N1558" i="9" s="1"/>
  <c r="N1559" i="9" s="1"/>
  <c r="N1560" i="9" s="1"/>
  <c r="N1561" i="9" s="1"/>
  <c r="N1562" i="9" s="1"/>
  <c r="N1563" i="9" s="1"/>
  <c r="N1564" i="9" s="1"/>
  <c r="N1565" i="9" s="1"/>
  <c r="N1566" i="9" s="1"/>
  <c r="N1567" i="9" s="1"/>
  <c r="N1568" i="9" s="1"/>
  <c r="N1569" i="9" s="1"/>
  <c r="N1580" i="9" s="1"/>
  <c r="N1581" i="9" s="1"/>
  <c r="N1582" i="9" s="1"/>
  <c r="N1529" i="9"/>
  <c r="N1530" i="9" s="1"/>
  <c r="N1531" i="9" s="1"/>
  <c r="N1532" i="9" s="1"/>
  <c r="N1533" i="9" s="1"/>
  <c r="N1534" i="9" s="1"/>
  <c r="N1535" i="9" s="1"/>
  <c r="N1536" i="9" s="1"/>
  <c r="N1537" i="9" s="1"/>
  <c r="N1538" i="9" s="1"/>
  <c r="N1539" i="9" s="1"/>
  <c r="N1540" i="9" s="1"/>
  <c r="N1541" i="9" s="1"/>
  <c r="Q240" i="9"/>
  <c r="R239" i="9"/>
  <c r="M26" i="9" l="1"/>
  <c r="N22" i="9"/>
  <c r="N23" i="9" s="1"/>
  <c r="N24" i="9" s="1"/>
  <c r="N25" i="9" s="1"/>
  <c r="N28" i="9" s="1"/>
  <c r="N29" i="9" s="1"/>
  <c r="N1542" i="9"/>
  <c r="N1543" i="9" s="1"/>
  <c r="N1544" i="9" s="1"/>
  <c r="Q241" i="9"/>
  <c r="R240" i="9"/>
  <c r="Q242" i="9" l="1"/>
  <c r="R241" i="9"/>
  <c r="Q243" i="9" l="1"/>
  <c r="R242" i="9"/>
  <c r="Q244" i="9" l="1"/>
  <c r="R243" i="9"/>
  <c r="Q245" i="9" l="1"/>
  <c r="R244" i="9"/>
  <c r="Q246" i="9" l="1"/>
  <c r="R245" i="9"/>
  <c r="Q247" i="9" l="1"/>
  <c r="R246" i="9"/>
  <c r="Q248" i="9" l="1"/>
  <c r="R247" i="9"/>
  <c r="R248" i="9" l="1"/>
  <c r="Q249" i="9"/>
  <c r="R249" i="9" l="1"/>
  <c r="P255" i="9"/>
  <c r="P269" i="9" l="1"/>
  <c r="Q255" i="9"/>
  <c r="R255" i="9" l="1"/>
  <c r="Q256" i="9"/>
  <c r="R256" i="9" l="1"/>
  <c r="Q257" i="9"/>
  <c r="R257" i="9" l="1"/>
  <c r="Q258" i="9"/>
  <c r="R258" i="9" l="1"/>
  <c r="Q259" i="9"/>
  <c r="R259" i="9" l="1"/>
  <c r="Q260" i="9"/>
  <c r="R260" i="9" l="1"/>
  <c r="Q261" i="9"/>
  <c r="R261" i="9" l="1"/>
  <c r="Q262" i="9"/>
  <c r="R262" i="9" l="1"/>
  <c r="Q263" i="9"/>
  <c r="R263" i="9" l="1"/>
  <c r="Q264" i="9"/>
  <c r="R264" i="9" l="1"/>
  <c r="Q265" i="9"/>
  <c r="R265" i="9" l="1"/>
  <c r="Q266" i="9"/>
  <c r="R266" i="9" l="1"/>
  <c r="Q267" i="9"/>
  <c r="R267" i="9" l="1"/>
  <c r="Q268" i="9"/>
  <c r="R268" i="9" l="1"/>
  <c r="P276" i="9"/>
  <c r="Q276" i="9" l="1"/>
  <c r="P293" i="9"/>
  <c r="R276" i="9" l="1"/>
  <c r="Q277" i="9"/>
  <c r="R277" i="9" l="1"/>
  <c r="Q278" i="9"/>
  <c r="R278" i="9" l="1"/>
  <c r="Q279" i="9"/>
  <c r="R279" i="9" l="1"/>
  <c r="Q280" i="9"/>
  <c r="Q281" i="9" l="1"/>
  <c r="R280" i="9"/>
  <c r="Q282" i="9" l="1"/>
  <c r="R281" i="9"/>
  <c r="Q283" i="9" l="1"/>
  <c r="R282" i="9"/>
  <c r="Q284" i="9" l="1"/>
  <c r="R283" i="9"/>
  <c r="Q285" i="9" l="1"/>
  <c r="R284" i="9"/>
  <c r="Q286" i="9" l="1"/>
  <c r="R285" i="9"/>
  <c r="Q287" i="9" l="1"/>
  <c r="R286" i="9"/>
  <c r="Q288" i="9" l="1"/>
  <c r="R287" i="9"/>
  <c r="R288" i="9" l="1"/>
  <c r="Q289" i="9"/>
  <c r="R289" i="9" l="1"/>
  <c r="Q290" i="9"/>
  <c r="R290" i="9" l="1"/>
  <c r="Q291" i="9"/>
  <c r="R291" i="9" l="1"/>
  <c r="Q292" i="9"/>
  <c r="R292" i="9" l="1"/>
  <c r="P298" i="9"/>
  <c r="Q298" i="9" l="1"/>
  <c r="P331" i="9"/>
  <c r="Q299" i="9" l="1"/>
  <c r="R298" i="9"/>
  <c r="Q300" i="9" l="1"/>
  <c r="R299" i="9"/>
  <c r="R300" i="9" l="1"/>
  <c r="Q301" i="9"/>
  <c r="R301" i="9" l="1"/>
  <c r="Q302" i="9"/>
  <c r="Q303" i="9" l="1"/>
  <c r="R302" i="9"/>
  <c r="Q304" i="9" l="1"/>
  <c r="R303" i="9"/>
  <c r="Q305" i="9" l="1"/>
  <c r="R304" i="9"/>
  <c r="Q306" i="9" l="1"/>
  <c r="R305" i="9"/>
  <c r="Q307" i="9" l="1"/>
  <c r="R306" i="9"/>
  <c r="R307" i="9" l="1"/>
  <c r="Q308" i="9"/>
  <c r="R308" i="9" l="1"/>
  <c r="Q309" i="9"/>
  <c r="R309" i="9" l="1"/>
  <c r="Q310" i="9"/>
  <c r="R310" i="9" l="1"/>
  <c r="Q311" i="9"/>
  <c r="R311" i="9" l="1"/>
  <c r="Q312" i="9"/>
  <c r="R312" i="9" l="1"/>
  <c r="Q313" i="9"/>
  <c r="R313" i="9" l="1"/>
  <c r="Q314" i="9"/>
  <c r="R314" i="9" l="1"/>
  <c r="Q315" i="9"/>
  <c r="R315" i="9" l="1"/>
  <c r="Q316" i="9"/>
  <c r="R316" i="9" l="1"/>
  <c r="Q317" i="9"/>
  <c r="R317" i="9" l="1"/>
  <c r="Q318" i="9"/>
  <c r="R318" i="9" l="1"/>
  <c r="Q319" i="9"/>
  <c r="R319" i="9" l="1"/>
  <c r="Q320" i="9"/>
  <c r="R320" i="9" l="1"/>
  <c r="Q321" i="9"/>
  <c r="R321" i="9" l="1"/>
  <c r="Q322" i="9"/>
  <c r="R322" i="9" l="1"/>
  <c r="Q323" i="9"/>
  <c r="R323" i="9" l="1"/>
  <c r="Q324" i="9"/>
  <c r="R324" i="9" l="1"/>
  <c r="Q325" i="9"/>
  <c r="R325" i="9" l="1"/>
  <c r="Q326" i="9"/>
  <c r="R326" i="9" l="1"/>
  <c r="Q327" i="9"/>
  <c r="R327" i="9" l="1"/>
  <c r="Q328" i="9"/>
  <c r="R328" i="9" l="1"/>
  <c r="Q329" i="9"/>
  <c r="R329" i="9" l="1"/>
  <c r="Q330" i="9"/>
  <c r="R330" i="9" l="1"/>
  <c r="P336" i="9"/>
  <c r="Q336" i="9" l="1"/>
  <c r="P361" i="9"/>
  <c r="Q337" i="9" l="1"/>
  <c r="R336" i="9"/>
  <c r="Q338" i="9" l="1"/>
  <c r="R337" i="9"/>
  <c r="Q339" i="9" l="1"/>
  <c r="R338" i="9"/>
  <c r="Q340" i="9" l="1"/>
  <c r="R339" i="9"/>
  <c r="Q341" i="9" l="1"/>
  <c r="R340" i="9"/>
  <c r="Q342" i="9" l="1"/>
  <c r="R341" i="9"/>
  <c r="Q343" i="9" l="1"/>
  <c r="R342" i="9"/>
  <c r="Q344" i="9" l="1"/>
  <c r="R343" i="9"/>
  <c r="Q345" i="9" l="1"/>
  <c r="R344" i="9"/>
  <c r="Q346" i="9" l="1"/>
  <c r="R345" i="9"/>
  <c r="Q347" i="9" l="1"/>
  <c r="R346" i="9"/>
  <c r="Q348" i="9" l="1"/>
  <c r="R347" i="9"/>
  <c r="Q349" i="9" l="1"/>
  <c r="R348" i="9"/>
  <c r="Q350" i="9" l="1"/>
  <c r="R349" i="9"/>
  <c r="Q351" i="9" l="1"/>
  <c r="R350" i="9"/>
  <c r="Q352" i="9" l="1"/>
  <c r="R351" i="9"/>
  <c r="Q353" i="9" l="1"/>
  <c r="R352" i="9"/>
  <c r="Q354" i="9" l="1"/>
  <c r="R353" i="9"/>
  <c r="Q355" i="9" l="1"/>
  <c r="R354" i="9"/>
  <c r="Q356" i="9" l="1"/>
  <c r="R355" i="9"/>
  <c r="Q357" i="9" l="1"/>
  <c r="R356" i="9"/>
  <c r="Q358" i="9" l="1"/>
  <c r="R357" i="9"/>
  <c r="Q359" i="9" l="1"/>
  <c r="R358" i="9"/>
  <c r="R359" i="9" l="1"/>
  <c r="Q360" i="9"/>
  <c r="R360" i="9" l="1"/>
  <c r="P366" i="9"/>
  <c r="P379" i="9" l="1"/>
  <c r="Q366" i="9"/>
  <c r="R366" i="9" l="1"/>
  <c r="Q367" i="9"/>
  <c r="R367" i="9" l="1"/>
  <c r="Q368" i="9"/>
  <c r="R368" i="9" l="1"/>
  <c r="Q369" i="9"/>
  <c r="R369" i="9" l="1"/>
  <c r="Q370" i="9"/>
  <c r="R370" i="9" l="1"/>
  <c r="Q371" i="9"/>
  <c r="R371" i="9" l="1"/>
  <c r="Q372" i="9"/>
  <c r="R372" i="9" l="1"/>
  <c r="Q373" i="9"/>
  <c r="R373" i="9" l="1"/>
  <c r="Q374" i="9"/>
  <c r="R374" i="9" l="1"/>
  <c r="Q375" i="9"/>
  <c r="R375" i="9" l="1"/>
  <c r="Q376" i="9"/>
  <c r="R376" i="9" l="1"/>
  <c r="Q377" i="9"/>
  <c r="R377" i="9" l="1"/>
  <c r="Q378" i="9"/>
  <c r="R378" i="9" l="1"/>
  <c r="P386" i="9"/>
  <c r="Q386" i="9" l="1"/>
  <c r="P407" i="9"/>
  <c r="Q387" i="9" l="1"/>
  <c r="R386" i="9"/>
  <c r="R387" i="9" l="1"/>
  <c r="Q388" i="9"/>
  <c r="R388" i="9" l="1"/>
  <c r="Q389" i="9"/>
  <c r="R389" i="9" l="1"/>
  <c r="Q390" i="9"/>
  <c r="Q391" i="9" l="1"/>
  <c r="R390" i="9"/>
  <c r="Q392" i="9" l="1"/>
  <c r="R391" i="9"/>
  <c r="Q393" i="9" l="1"/>
  <c r="R392" i="9"/>
  <c r="Q394" i="9" l="1"/>
  <c r="R393" i="9"/>
  <c r="Q395" i="9" l="1"/>
  <c r="R394" i="9"/>
  <c r="Q396" i="9" l="1"/>
  <c r="R395" i="9"/>
  <c r="Q397" i="9" l="1"/>
  <c r="R396" i="9"/>
  <c r="Q398" i="9" l="1"/>
  <c r="R397" i="9"/>
  <c r="Q399" i="9" l="1"/>
  <c r="R398" i="9"/>
  <c r="R399" i="9" l="1"/>
  <c r="Q400" i="9"/>
  <c r="R400" i="9" l="1"/>
  <c r="Q401" i="9"/>
  <c r="R401" i="9" l="1"/>
  <c r="Q402" i="9"/>
  <c r="R402" i="9" l="1"/>
  <c r="Q403" i="9"/>
  <c r="R403" i="9" l="1"/>
  <c r="Q404" i="9"/>
  <c r="R404" i="9" l="1"/>
  <c r="Q405" i="9"/>
  <c r="R405" i="9" l="1"/>
  <c r="Q406" i="9"/>
  <c r="P412" i="9" l="1"/>
  <c r="R406" i="9"/>
  <c r="Q412" i="9" l="1"/>
  <c r="P429" i="9"/>
  <c r="R412" i="9" l="1"/>
  <c r="Q413" i="9"/>
  <c r="R413" i="9" l="1"/>
  <c r="Q414" i="9"/>
  <c r="R414" i="9" l="1"/>
  <c r="Q415" i="9"/>
  <c r="Q416" i="9" l="1"/>
  <c r="R415" i="9"/>
  <c r="Q417" i="9" l="1"/>
  <c r="R416" i="9"/>
  <c r="Q418" i="9" l="1"/>
  <c r="R417" i="9"/>
  <c r="Q419" i="9" l="1"/>
  <c r="R418" i="9"/>
  <c r="Q420" i="9" l="1"/>
  <c r="R419" i="9"/>
  <c r="Q421" i="9" l="1"/>
  <c r="R420" i="9"/>
  <c r="Q422" i="9" l="1"/>
  <c r="R421" i="9"/>
  <c r="Q423" i="9" l="1"/>
  <c r="R422" i="9"/>
  <c r="Q424" i="9" l="1"/>
  <c r="R423" i="9"/>
  <c r="Q425" i="9" l="1"/>
  <c r="R424" i="9"/>
  <c r="Q426" i="9" l="1"/>
  <c r="R425" i="9"/>
  <c r="Q427" i="9" l="1"/>
  <c r="R426" i="9"/>
  <c r="R427" i="9" l="1"/>
  <c r="Q428" i="9"/>
  <c r="R428" i="9" l="1"/>
  <c r="P439" i="9"/>
  <c r="P460" i="9" l="1"/>
  <c r="Q439" i="9"/>
  <c r="R439" i="9" l="1"/>
  <c r="Q440" i="9"/>
  <c r="R440" i="9" l="1"/>
  <c r="Q441" i="9"/>
  <c r="R441" i="9" l="1"/>
  <c r="Q442" i="9"/>
  <c r="R442" i="9" l="1"/>
  <c r="Q443" i="9"/>
  <c r="R443" i="9" l="1"/>
  <c r="Q444" i="9"/>
  <c r="R444" i="9" l="1"/>
  <c r="Q445" i="9"/>
  <c r="R445" i="9" l="1"/>
  <c r="Q446" i="9"/>
  <c r="R446" i="9" l="1"/>
  <c r="Q447" i="9"/>
  <c r="R447" i="9" l="1"/>
  <c r="Q448" i="9"/>
  <c r="R448" i="9" l="1"/>
  <c r="Q449" i="9"/>
  <c r="R449" i="9" l="1"/>
  <c r="Q450" i="9"/>
  <c r="R450" i="9" l="1"/>
  <c r="Q451" i="9"/>
  <c r="R451" i="9" l="1"/>
  <c r="Q452" i="9"/>
  <c r="R452" i="9" l="1"/>
  <c r="Q453" i="9"/>
  <c r="R453" i="9" l="1"/>
  <c r="Q454" i="9"/>
  <c r="R454" i="9" l="1"/>
  <c r="Q455" i="9"/>
  <c r="R455" i="9" l="1"/>
  <c r="Q456" i="9"/>
  <c r="R456" i="9" l="1"/>
  <c r="Q457" i="9"/>
  <c r="R457" i="9" l="1"/>
  <c r="Q458" i="9"/>
  <c r="R458" i="9" l="1"/>
  <c r="Q459" i="9"/>
  <c r="R459" i="9" l="1"/>
  <c r="P475" i="9"/>
  <c r="Q475" i="9" l="1"/>
  <c r="P484" i="9"/>
  <c r="Q476" i="9" l="1"/>
  <c r="R475" i="9"/>
  <c r="Q477" i="9" l="1"/>
  <c r="R476" i="9"/>
  <c r="Q478" i="9" l="1"/>
  <c r="R477" i="9"/>
  <c r="Q479" i="9" l="1"/>
  <c r="R478" i="9"/>
  <c r="Q480" i="9" l="1"/>
  <c r="R479" i="9"/>
  <c r="Q481" i="9" l="1"/>
  <c r="R480" i="9"/>
  <c r="Q482" i="9" l="1"/>
  <c r="R481" i="9"/>
  <c r="Q483" i="9" l="1"/>
  <c r="R482" i="9"/>
  <c r="R483" i="9" l="1"/>
  <c r="P509" i="9"/>
  <c r="P516" i="9" l="1"/>
  <c r="Q509" i="9"/>
  <c r="R509" i="9" l="1"/>
  <c r="Q510" i="9"/>
  <c r="R510" i="9" l="1"/>
  <c r="Q511" i="9"/>
  <c r="R511" i="9" l="1"/>
  <c r="Q512" i="9"/>
  <c r="R512" i="9" l="1"/>
  <c r="Q513" i="9"/>
  <c r="R513" i="9" l="1"/>
  <c r="Q514" i="9"/>
  <c r="R514" i="9" l="1"/>
  <c r="Q515" i="9"/>
  <c r="P541" i="9" l="1"/>
  <c r="R515" i="9"/>
  <c r="Q541" i="9" l="1"/>
  <c r="P545" i="9"/>
  <c r="Q542" i="9" l="1"/>
  <c r="R541" i="9"/>
  <c r="Q543" i="9" l="1"/>
  <c r="R542" i="9"/>
  <c r="Q544" i="9" l="1"/>
  <c r="R543" i="9"/>
  <c r="R544" i="9" l="1"/>
  <c r="P585" i="9"/>
  <c r="P588" i="9" l="1"/>
  <c r="Q585" i="9"/>
  <c r="R585" i="9" l="1"/>
  <c r="Q586" i="9"/>
  <c r="R586" i="9" l="1"/>
  <c r="Q587" i="9"/>
  <c r="P617" i="9" l="1"/>
  <c r="R587" i="9"/>
  <c r="Q617" i="9" l="1"/>
  <c r="P637" i="9"/>
  <c r="Q618" i="9" l="1"/>
  <c r="R617" i="9"/>
  <c r="Q619" i="9" l="1"/>
  <c r="R618" i="9"/>
  <c r="Q620" i="9" l="1"/>
  <c r="R619" i="9"/>
  <c r="Q621" i="9" l="1"/>
  <c r="R620" i="9"/>
  <c r="Q622" i="9" l="1"/>
  <c r="R621" i="9"/>
  <c r="Q623" i="9" l="1"/>
  <c r="R622" i="9"/>
  <c r="R623" i="9" l="1"/>
  <c r="Q624" i="9"/>
  <c r="R624" i="9" l="1"/>
  <c r="Q625" i="9"/>
  <c r="R625" i="9" l="1"/>
  <c r="Q626" i="9"/>
  <c r="R626" i="9" l="1"/>
  <c r="Q627" i="9"/>
  <c r="R627" i="9" l="1"/>
  <c r="Q628" i="9"/>
  <c r="R628" i="9" l="1"/>
  <c r="Q629" i="9"/>
  <c r="R629" i="9" l="1"/>
  <c r="Q630" i="9"/>
  <c r="R630" i="9" l="1"/>
  <c r="Q631" i="9"/>
  <c r="R631" i="9" l="1"/>
  <c r="Q632" i="9"/>
  <c r="R632" i="9" l="1"/>
  <c r="Q633" i="9"/>
  <c r="R633" i="9" l="1"/>
  <c r="Q634" i="9"/>
  <c r="Q635" i="9" l="1"/>
  <c r="R634" i="9"/>
  <c r="Q636" i="9" l="1"/>
  <c r="R635" i="9"/>
  <c r="R636" i="9" l="1"/>
  <c r="P642" i="9"/>
  <c r="P662" i="9" l="1"/>
  <c r="Q642" i="9"/>
  <c r="R642" i="9" l="1"/>
  <c r="Q643" i="9"/>
  <c r="R643" i="9" l="1"/>
  <c r="Q644" i="9"/>
  <c r="R644" i="9" l="1"/>
  <c r="Q645" i="9"/>
  <c r="R645" i="9" l="1"/>
  <c r="Q646" i="9"/>
  <c r="R646" i="9" l="1"/>
  <c r="Q647" i="9"/>
  <c r="R647" i="9" l="1"/>
  <c r="Q648" i="9"/>
  <c r="R648" i="9" l="1"/>
  <c r="Q649" i="9"/>
  <c r="R649" i="9" l="1"/>
  <c r="Q650" i="9"/>
  <c r="R650" i="9" l="1"/>
  <c r="Q651" i="9"/>
  <c r="R651" i="9" l="1"/>
  <c r="Q652" i="9"/>
  <c r="R652" i="9" l="1"/>
  <c r="Q653" i="9"/>
  <c r="R653" i="9" l="1"/>
  <c r="Q654" i="9"/>
  <c r="R654" i="9" l="1"/>
  <c r="Q655" i="9"/>
  <c r="R655" i="9" l="1"/>
  <c r="Q656" i="9"/>
  <c r="R656" i="9" l="1"/>
  <c r="Q657" i="9"/>
  <c r="R657" i="9" l="1"/>
  <c r="Q658" i="9"/>
  <c r="R658" i="9" l="1"/>
  <c r="Q659" i="9"/>
  <c r="R659" i="9" l="1"/>
  <c r="Q660" i="9"/>
  <c r="R660" i="9" l="1"/>
  <c r="Q661" i="9"/>
  <c r="R661" i="9" l="1"/>
  <c r="P667" i="9"/>
  <c r="Q667" i="9" l="1"/>
  <c r="P687" i="9"/>
  <c r="R667" i="9" l="1"/>
  <c r="Q668" i="9"/>
  <c r="R668" i="9" l="1"/>
  <c r="Q669" i="9"/>
  <c r="R669" i="9" l="1"/>
  <c r="Q670" i="9"/>
  <c r="R670" i="9" l="1"/>
  <c r="Q671" i="9"/>
  <c r="R671" i="9" l="1"/>
  <c r="Q672" i="9"/>
  <c r="R672" i="9" l="1"/>
  <c r="Q673" i="9"/>
  <c r="R673" i="9" l="1"/>
  <c r="Q674" i="9"/>
  <c r="R674" i="9" l="1"/>
  <c r="Q675" i="9"/>
  <c r="R675" i="9" l="1"/>
  <c r="Q676" i="9"/>
  <c r="Q677" i="9" l="1"/>
  <c r="R676" i="9"/>
  <c r="Q678" i="9" l="1"/>
  <c r="R677" i="9"/>
  <c r="Q679" i="9" l="1"/>
  <c r="R678" i="9"/>
  <c r="Q680" i="9" l="1"/>
  <c r="R679" i="9"/>
  <c r="Q681" i="9" l="1"/>
  <c r="R680" i="9"/>
  <c r="Q682" i="9" l="1"/>
  <c r="R681" i="9"/>
  <c r="Q683" i="9" l="1"/>
  <c r="R682" i="9"/>
  <c r="Q684" i="9" l="1"/>
  <c r="R683" i="9"/>
  <c r="Q685" i="9" l="1"/>
  <c r="R684" i="9"/>
  <c r="R685" i="9" l="1"/>
  <c r="Q686" i="9"/>
  <c r="R686" i="9" l="1"/>
  <c r="P695" i="9"/>
  <c r="P715" i="9" l="1"/>
  <c r="Q695" i="9"/>
  <c r="R695" i="9" l="1"/>
  <c r="Q696" i="9"/>
  <c r="Q697" i="9" l="1"/>
  <c r="R696" i="9"/>
  <c r="Q698" i="9" l="1"/>
  <c r="R697" i="9"/>
  <c r="Q699" i="9" l="1"/>
  <c r="R698" i="9"/>
  <c r="Q700" i="9" l="1"/>
  <c r="R699" i="9"/>
  <c r="Q701" i="9" l="1"/>
  <c r="R700" i="9"/>
  <c r="Q702" i="9" l="1"/>
  <c r="R701" i="9"/>
  <c r="R702" i="9" l="1"/>
  <c r="Q703" i="9"/>
  <c r="R703" i="9" l="1"/>
  <c r="Q704" i="9"/>
  <c r="R704" i="9" l="1"/>
  <c r="Q705" i="9"/>
  <c r="R705" i="9" l="1"/>
  <c r="Q706" i="9"/>
  <c r="R706" i="9" l="1"/>
  <c r="Q707" i="9"/>
  <c r="R707" i="9" l="1"/>
  <c r="Q708" i="9"/>
  <c r="R708" i="9" l="1"/>
  <c r="Q709" i="9"/>
  <c r="R709" i="9" l="1"/>
  <c r="Q710" i="9"/>
  <c r="R710" i="9" l="1"/>
  <c r="Q711" i="9"/>
  <c r="R711" i="9" l="1"/>
  <c r="Q712" i="9"/>
  <c r="R712" i="9" l="1"/>
  <c r="Q713" i="9"/>
  <c r="R713" i="9" l="1"/>
  <c r="Q714" i="9"/>
  <c r="P720" i="9" l="1"/>
  <c r="R714" i="9"/>
  <c r="Q720" i="9" l="1"/>
  <c r="P731" i="9"/>
  <c r="Q721" i="9" l="1"/>
  <c r="R720" i="9"/>
  <c r="Q722" i="9" l="1"/>
  <c r="R721" i="9"/>
  <c r="Q723" i="9" l="1"/>
  <c r="R722" i="9"/>
  <c r="Q724" i="9" l="1"/>
  <c r="R723" i="9"/>
  <c r="Q725" i="9" l="1"/>
  <c r="R724" i="9"/>
  <c r="Q726" i="9" l="1"/>
  <c r="R725" i="9"/>
  <c r="R726" i="9" l="1"/>
  <c r="Q727" i="9"/>
  <c r="R727" i="9" l="1"/>
  <c r="Q728" i="9"/>
  <c r="R728" i="9" l="1"/>
  <c r="Q729" i="9"/>
  <c r="R729" i="9" l="1"/>
  <c r="Q730" i="9"/>
  <c r="R730" i="9" l="1"/>
  <c r="P748" i="9"/>
  <c r="Q748" i="9" l="1"/>
  <c r="P759" i="9"/>
  <c r="Q749" i="9" l="1"/>
  <c r="R748" i="9"/>
  <c r="R749" i="9" l="1"/>
  <c r="Q750" i="9"/>
  <c r="R750" i="9" l="1"/>
  <c r="Q751" i="9"/>
  <c r="Q752" i="9" l="1"/>
  <c r="R751" i="9"/>
  <c r="Q753" i="9" l="1"/>
  <c r="R752" i="9"/>
  <c r="R753" i="9" l="1"/>
  <c r="Q754" i="9"/>
  <c r="R754" i="9" l="1"/>
  <c r="Q755" i="9"/>
  <c r="Q756" i="9" l="1"/>
  <c r="R755" i="9"/>
  <c r="Q757" i="9" l="1"/>
  <c r="R756" i="9"/>
  <c r="R757" i="9" l="1"/>
  <c r="Q758" i="9"/>
  <c r="R758" i="9" l="1"/>
  <c r="P792" i="9"/>
  <c r="Q792" i="9" l="1"/>
  <c r="P806" i="9"/>
  <c r="Q793" i="9" l="1"/>
  <c r="R792" i="9"/>
  <c r="R793" i="9" l="1"/>
  <c r="Q794" i="9"/>
  <c r="R794" i="9" l="1"/>
  <c r="Q795" i="9"/>
  <c r="Q796" i="9" l="1"/>
  <c r="R795" i="9"/>
  <c r="R796" i="9" l="1"/>
  <c r="Q797" i="9"/>
  <c r="Q798" i="9" l="1"/>
  <c r="R797" i="9"/>
  <c r="Q799" i="9" l="1"/>
  <c r="R798" i="9"/>
  <c r="R799" i="9" l="1"/>
  <c r="Q800" i="9"/>
  <c r="Q801" i="9" l="1"/>
  <c r="R800" i="9"/>
  <c r="R801" i="9" l="1"/>
  <c r="Q802" i="9"/>
  <c r="R802" i="9" l="1"/>
  <c r="Q803" i="9"/>
  <c r="Q804" i="9" l="1"/>
  <c r="R803" i="9"/>
  <c r="R804" i="9" l="1"/>
  <c r="Q805" i="9"/>
  <c r="R805" i="9" l="1"/>
  <c r="P833" i="9"/>
  <c r="P849" i="9" l="1"/>
  <c r="Q833" i="9"/>
  <c r="Q834" i="9" l="1"/>
  <c r="R833" i="9"/>
  <c r="Q835" i="9" l="1"/>
  <c r="R834" i="9"/>
  <c r="Q836" i="9" l="1"/>
  <c r="R835" i="9"/>
  <c r="Q837" i="9" l="1"/>
  <c r="R836" i="9"/>
  <c r="Q838" i="9" l="1"/>
  <c r="R837" i="9"/>
  <c r="R838" i="9" l="1"/>
  <c r="Q839" i="9"/>
  <c r="R839" i="9" l="1"/>
  <c r="Q840" i="9"/>
  <c r="Q841" i="9" l="1"/>
  <c r="R840" i="9"/>
  <c r="Q842" i="9" l="1"/>
  <c r="R841" i="9"/>
  <c r="R842" i="9" l="1"/>
  <c r="Q843" i="9"/>
  <c r="Q844" i="9" l="1"/>
  <c r="R843" i="9"/>
  <c r="Q845" i="9" l="1"/>
  <c r="R844" i="9"/>
  <c r="Q846" i="9" l="1"/>
  <c r="R845" i="9"/>
  <c r="R846" i="9" l="1"/>
  <c r="Q847" i="9"/>
  <c r="R847" i="9" l="1"/>
  <c r="Q848" i="9"/>
  <c r="P862" i="9" l="1"/>
  <c r="R848" i="9"/>
  <c r="P880" i="9" l="1"/>
  <c r="Q862" i="9"/>
  <c r="Q863" i="9" l="1"/>
  <c r="R862" i="9"/>
  <c r="Q864" i="9" l="1"/>
  <c r="R863" i="9"/>
  <c r="Q865" i="9" l="1"/>
  <c r="R864" i="9"/>
  <c r="Q866" i="9" l="1"/>
  <c r="R865" i="9"/>
  <c r="Q867" i="9" l="1"/>
  <c r="R866" i="9"/>
  <c r="Q868" i="9" l="1"/>
  <c r="R867" i="9"/>
  <c r="Q869" i="9" l="1"/>
  <c r="R868" i="9"/>
  <c r="Q870" i="9" l="1"/>
  <c r="R869" i="9"/>
  <c r="Q871" i="9" l="1"/>
  <c r="R870" i="9"/>
  <c r="Q872" i="9" l="1"/>
  <c r="R871" i="9"/>
  <c r="Q873" i="9" l="1"/>
  <c r="R872" i="9"/>
  <c r="Q874" i="9" l="1"/>
  <c r="R873" i="9"/>
  <c r="R874" i="9" l="1"/>
  <c r="Q875" i="9"/>
  <c r="Q876" i="9" l="1"/>
  <c r="R875" i="9"/>
  <c r="Q877" i="9" l="1"/>
  <c r="R876" i="9"/>
  <c r="Q878" i="9" l="1"/>
  <c r="R877" i="9"/>
  <c r="Q879" i="9" l="1"/>
  <c r="R878" i="9"/>
  <c r="R879" i="9" l="1"/>
  <c r="P894" i="9"/>
  <c r="Q894" i="9" l="1"/>
  <c r="P913" i="9"/>
  <c r="Q895" i="9" l="1"/>
  <c r="R894" i="9"/>
  <c r="R895" i="9" l="1"/>
  <c r="Q896" i="9"/>
  <c r="Q897" i="9" l="1"/>
  <c r="R896" i="9"/>
  <c r="Q898" i="9" l="1"/>
  <c r="R897" i="9"/>
  <c r="Q899" i="9" l="1"/>
  <c r="R898" i="9"/>
  <c r="R899" i="9" l="1"/>
  <c r="Q900" i="9"/>
  <c r="Q901" i="9" l="1"/>
  <c r="R900" i="9"/>
  <c r="Q902" i="9" l="1"/>
  <c r="R901" i="9"/>
  <c r="Q903" i="9" l="1"/>
  <c r="R902" i="9"/>
  <c r="Q904" i="9" l="1"/>
  <c r="R903" i="9"/>
  <c r="Q905" i="9" l="1"/>
  <c r="R904" i="9"/>
  <c r="R905" i="9" l="1"/>
  <c r="Q906" i="9"/>
  <c r="Q907" i="9" l="1"/>
  <c r="R906" i="9"/>
  <c r="Q908" i="9" l="1"/>
  <c r="R907" i="9"/>
  <c r="R908" i="9" l="1"/>
  <c r="Q909" i="9"/>
  <c r="Q910" i="9" l="1"/>
  <c r="R909" i="9"/>
  <c r="R910" i="9" l="1"/>
  <c r="Q911" i="9"/>
  <c r="R911" i="9" l="1"/>
  <c r="Q912" i="9"/>
  <c r="R912" i="9" l="1"/>
  <c r="P925" i="9"/>
  <c r="Q925" i="9" l="1"/>
  <c r="P938" i="9"/>
  <c r="R925" i="9" l="1"/>
  <c r="Q926" i="9"/>
  <c r="R926" i="9" l="1"/>
  <c r="Q927" i="9"/>
  <c r="R927" i="9" l="1"/>
  <c r="Q928" i="9"/>
  <c r="Q929" i="9" l="1"/>
  <c r="R928" i="9"/>
  <c r="Q930" i="9" l="1"/>
  <c r="R929" i="9"/>
  <c r="R930" i="9" l="1"/>
  <c r="Q931" i="9"/>
  <c r="Q932" i="9" l="1"/>
  <c r="R931" i="9"/>
  <c r="Q933" i="9" l="1"/>
  <c r="R932" i="9"/>
  <c r="Q934" i="9" l="1"/>
  <c r="R933" i="9"/>
  <c r="R934" i="9" l="1"/>
  <c r="Q935" i="9"/>
  <c r="Q936" i="9" l="1"/>
  <c r="R935" i="9"/>
  <c r="Q937" i="9" l="1"/>
  <c r="R936" i="9"/>
  <c r="P958" i="9" l="1"/>
  <c r="R937" i="9"/>
  <c r="P974" i="9" l="1"/>
  <c r="Q958" i="9"/>
  <c r="R958" i="9" l="1"/>
  <c r="Q959" i="9"/>
  <c r="R959" i="9" l="1"/>
  <c r="Q960" i="9"/>
  <c r="Q961" i="9" l="1"/>
  <c r="R960" i="9"/>
  <c r="Q962" i="9" l="1"/>
  <c r="R961" i="9"/>
  <c r="Q963" i="9" l="1"/>
  <c r="R962" i="9"/>
  <c r="Q964" i="9" l="1"/>
  <c r="R963" i="9"/>
  <c r="Q965" i="9" l="1"/>
  <c r="R964" i="9"/>
  <c r="Q966" i="9" l="1"/>
  <c r="R965" i="9"/>
  <c r="Q967" i="9" l="1"/>
  <c r="R966" i="9"/>
  <c r="Q968" i="9" l="1"/>
  <c r="R967" i="9"/>
  <c r="Q969" i="9" l="1"/>
  <c r="R968" i="9"/>
  <c r="Q970" i="9" l="1"/>
  <c r="R969" i="9"/>
  <c r="Q971" i="9" l="1"/>
  <c r="R970" i="9"/>
  <c r="R971" i="9" l="1"/>
  <c r="Q972" i="9"/>
  <c r="R972" i="9" l="1"/>
  <c r="Q973" i="9"/>
  <c r="R973" i="9" l="1"/>
  <c r="P989" i="9"/>
  <c r="P1003" i="9" l="1"/>
  <c r="Q989" i="9"/>
  <c r="Q990" i="9" l="1"/>
  <c r="R989" i="9"/>
  <c r="Q991" i="9" l="1"/>
  <c r="R990" i="9"/>
  <c r="Q992" i="9" l="1"/>
  <c r="R991" i="9"/>
  <c r="Q993" i="9" l="1"/>
  <c r="R992" i="9"/>
  <c r="Q994" i="9" l="1"/>
  <c r="R993" i="9"/>
  <c r="R994" i="9" l="1"/>
  <c r="Q995" i="9"/>
  <c r="R995" i="9" l="1"/>
  <c r="Q996" i="9"/>
  <c r="Q997" i="9" l="1"/>
  <c r="R996" i="9"/>
  <c r="Q998" i="9" l="1"/>
  <c r="R997" i="9"/>
  <c r="Q999" i="9" l="1"/>
  <c r="R998" i="9"/>
  <c r="Q1000" i="9" l="1"/>
  <c r="R999" i="9"/>
  <c r="R1000" i="9" l="1"/>
  <c r="Q1001" i="9"/>
  <c r="R1001" i="9" l="1"/>
  <c r="Q1002" i="9"/>
  <c r="P1020" i="9" l="1"/>
  <c r="R1002" i="9"/>
  <c r="P1044" i="9" l="1"/>
  <c r="Q1020" i="9"/>
  <c r="R1020" i="9" l="1"/>
  <c r="Q1021" i="9"/>
  <c r="R1021" i="9" l="1"/>
  <c r="Q1022" i="9"/>
  <c r="Q1023" i="9" l="1"/>
  <c r="R1022" i="9"/>
  <c r="Q1024" i="9" l="1"/>
  <c r="R1023" i="9"/>
  <c r="Q1025" i="9" l="1"/>
  <c r="R1024" i="9"/>
  <c r="Q1026" i="9" l="1"/>
  <c r="R1025" i="9"/>
  <c r="Q1027" i="9" l="1"/>
  <c r="R1026" i="9"/>
  <c r="Q1028" i="9" l="1"/>
  <c r="R1027" i="9"/>
  <c r="Q1029" i="9" l="1"/>
  <c r="R1028" i="9"/>
  <c r="R1029" i="9" l="1"/>
  <c r="Q1030" i="9"/>
  <c r="Q1031" i="9" l="1"/>
  <c r="R1030" i="9"/>
  <c r="Q1032" i="9" l="1"/>
  <c r="R1031" i="9"/>
  <c r="Q1033" i="9" l="1"/>
  <c r="R1032" i="9"/>
  <c r="Q1034" i="9" l="1"/>
  <c r="R1033" i="9"/>
  <c r="Q1035" i="9" l="1"/>
  <c r="R1034" i="9"/>
  <c r="Q1036" i="9" l="1"/>
  <c r="R1035" i="9"/>
  <c r="Q1037" i="9" l="1"/>
  <c r="R1036" i="9"/>
  <c r="Q1038" i="9" l="1"/>
  <c r="R1037" i="9"/>
  <c r="R1038" i="9" l="1"/>
  <c r="Q1039" i="9"/>
  <c r="Q1040" i="9" l="1"/>
  <c r="R1039" i="9"/>
  <c r="Q1041" i="9" l="1"/>
  <c r="R1040" i="9"/>
  <c r="Q1042" i="9" l="1"/>
  <c r="R1041" i="9"/>
  <c r="Q1043" i="9" l="1"/>
  <c r="P1063" i="9" s="1"/>
  <c r="P1088" i="9" s="1"/>
  <c r="R1042" i="9"/>
  <c r="Q1063" i="9" l="1"/>
  <c r="R1043" i="9"/>
  <c r="Q1064" i="9" l="1"/>
  <c r="R1063" i="9"/>
  <c r="R1064" i="9" l="1"/>
  <c r="Q1065" i="9"/>
  <c r="R1065" i="9" l="1"/>
  <c r="Q1066" i="9"/>
  <c r="Q1067" i="9" l="1"/>
  <c r="R1066" i="9"/>
  <c r="Q1068" i="9" l="1"/>
  <c r="R1067" i="9"/>
  <c r="R1068" i="9" l="1"/>
  <c r="Q1069" i="9"/>
  <c r="Q1070" i="9" l="1"/>
  <c r="R1069" i="9"/>
  <c r="Q1071" i="9" l="1"/>
  <c r="Q1072" i="9" s="1"/>
  <c r="R1070" i="9"/>
  <c r="R1072" i="9" l="1"/>
  <c r="Q1073" i="9"/>
  <c r="R1071" i="9"/>
  <c r="R1073" i="9" l="1"/>
  <c r="Q1074" i="9"/>
  <c r="Q1075" i="9" l="1"/>
  <c r="R1074" i="9"/>
  <c r="R1075" i="9" l="1"/>
  <c r="Q1076" i="9"/>
  <c r="Q1077" i="9" s="1"/>
  <c r="R1077" i="9" l="1"/>
  <c r="Q1078" i="9"/>
  <c r="R1076" i="9"/>
  <c r="Q1079" i="9" l="1"/>
  <c r="R1078" i="9"/>
  <c r="Q1080" i="9" l="1"/>
  <c r="R1079" i="9"/>
  <c r="Q1081" i="9" l="1"/>
  <c r="Q1082" i="9" s="1"/>
  <c r="R1080" i="9"/>
  <c r="R1082" i="9" l="1"/>
  <c r="Q1083" i="9"/>
  <c r="R1081" i="9"/>
  <c r="Q1084" i="9" l="1"/>
  <c r="R1083" i="9"/>
  <c r="R1084" i="9" l="1"/>
  <c r="Q1085" i="9"/>
  <c r="Q1086" i="9" l="1"/>
  <c r="R1085" i="9"/>
  <c r="R1086" i="9" l="1"/>
  <c r="Q1087" i="9"/>
  <c r="P1096" i="9" s="1"/>
  <c r="P1118" i="9" l="1"/>
  <c r="Q1096" i="9"/>
  <c r="R1087" i="9"/>
  <c r="Q1097" i="9" l="1"/>
  <c r="R1096" i="9"/>
  <c r="Q1098" i="9" l="1"/>
  <c r="R1097" i="9"/>
  <c r="Q1099" i="9" l="1"/>
  <c r="R1098" i="9"/>
  <c r="Q1100" i="9" l="1"/>
  <c r="R1099" i="9"/>
  <c r="R1100" i="9" l="1"/>
  <c r="Q1101" i="9"/>
  <c r="R1101" i="9" l="1"/>
  <c r="Q1102" i="9"/>
  <c r="R1102" i="9" l="1"/>
  <c r="Q1103" i="9"/>
  <c r="Q1104" i="9" l="1"/>
  <c r="R1103" i="9"/>
  <c r="Q1105" i="9" l="1"/>
  <c r="R1104" i="9"/>
  <c r="Q1106" i="9" l="1"/>
  <c r="R1105" i="9"/>
  <c r="Q1107" i="9" l="1"/>
  <c r="R1106" i="9"/>
  <c r="Q1108" i="9" l="1"/>
  <c r="R1107" i="9"/>
  <c r="Q1109" i="9" l="1"/>
  <c r="R1108" i="9"/>
  <c r="Q1110" i="9" l="1"/>
  <c r="R1109" i="9"/>
  <c r="Q1111" i="9" l="1"/>
  <c r="R1110" i="9"/>
  <c r="Q1112" i="9" l="1"/>
  <c r="Q1113" i="9" s="1"/>
  <c r="R1111" i="9"/>
  <c r="R1113" i="9" l="1"/>
  <c r="Q1114" i="9"/>
  <c r="R1112" i="9"/>
  <c r="Q1115" i="9" l="1"/>
  <c r="R1114" i="9"/>
  <c r="Q1116" i="9" l="1"/>
  <c r="R1115" i="9"/>
  <c r="Q1117" i="9" l="1"/>
  <c r="P1123" i="9" s="1"/>
  <c r="R1116" i="9"/>
  <c r="P1134" i="9" l="1"/>
  <c r="Q1123" i="9"/>
  <c r="R1117" i="9"/>
  <c r="Q1124" i="9" l="1"/>
  <c r="R1123" i="9"/>
  <c r="Q1125" i="9" l="1"/>
  <c r="R1124" i="9"/>
  <c r="Q1126" i="9" l="1"/>
  <c r="R1125" i="9"/>
  <c r="Q1127" i="9" l="1"/>
  <c r="R1126" i="9"/>
  <c r="Q1128" i="9" l="1"/>
  <c r="R1127" i="9"/>
  <c r="Q1129" i="9" l="1"/>
  <c r="R1128" i="9"/>
  <c r="Q1130" i="9" l="1"/>
  <c r="R1129" i="9"/>
  <c r="Q1131" i="9" l="1"/>
  <c r="Q1132" i="9" s="1"/>
  <c r="R1130" i="9"/>
  <c r="R1132" i="9" l="1"/>
  <c r="Q1133" i="9"/>
  <c r="P1155" i="9" s="1"/>
  <c r="R1131" i="9"/>
  <c r="P1175" i="9" l="1"/>
  <c r="Q1155" i="9"/>
  <c r="R1133" i="9"/>
  <c r="R1155" i="9" l="1"/>
  <c r="Q1156" i="9"/>
  <c r="R1156" i="9" l="1"/>
  <c r="Q1157" i="9"/>
  <c r="Q1158" i="9" l="1"/>
  <c r="R1157" i="9"/>
  <c r="Q1159" i="9" l="1"/>
  <c r="R1158" i="9"/>
  <c r="Q1160" i="9" l="1"/>
  <c r="R1159" i="9"/>
  <c r="R1160" i="9" l="1"/>
  <c r="Q1161" i="9"/>
  <c r="R1161" i="9" l="1"/>
  <c r="Q1162" i="9"/>
  <c r="Q1163" i="9" l="1"/>
  <c r="R1162" i="9"/>
  <c r="Q1164" i="9" l="1"/>
  <c r="R1163" i="9"/>
  <c r="Q1165" i="9" l="1"/>
  <c r="R1164" i="9"/>
  <c r="Q1166" i="9" l="1"/>
  <c r="R1165" i="9"/>
  <c r="H514" i="9"/>
  <c r="Q1167" i="9" l="1"/>
  <c r="R1166" i="9"/>
  <c r="Q1168" i="9" l="1"/>
  <c r="R1167" i="9"/>
  <c r="Q1169" i="9" l="1"/>
  <c r="R1168" i="9"/>
  <c r="Q1170" i="9" l="1"/>
  <c r="Q1171" i="9" s="1"/>
  <c r="Q1172" i="9" s="1"/>
  <c r="R1169" i="9"/>
  <c r="R1172" i="9" l="1"/>
  <c r="Q1173" i="9"/>
  <c r="R1171" i="9"/>
  <c r="R1170" i="9"/>
  <c r="Q1174" i="9" l="1"/>
  <c r="R1173" i="9"/>
  <c r="R1174" i="9" l="1"/>
  <c r="P1198" i="9"/>
  <c r="P1212" i="9" l="1"/>
  <c r="Q1198" i="9"/>
  <c r="Q1199" i="9" l="1"/>
  <c r="R1198" i="9"/>
  <c r="R1199" i="9" l="1"/>
  <c r="Q1200" i="9"/>
  <c r="Q1201" i="9" l="1"/>
  <c r="R1200" i="9"/>
  <c r="Q1202" i="9" l="1"/>
  <c r="R1201" i="9"/>
  <c r="Q1203" i="9" l="1"/>
  <c r="R1202" i="9"/>
  <c r="R1203" i="9" l="1"/>
  <c r="Q1204" i="9"/>
  <c r="R1204" i="9" l="1"/>
  <c r="Q1205" i="9"/>
  <c r="Q1206" i="9" l="1"/>
  <c r="Q1207" i="9" s="1"/>
  <c r="R1205" i="9"/>
  <c r="R1207" i="9" l="1"/>
  <c r="Q1208" i="9"/>
  <c r="R1206" i="9"/>
  <c r="Q1209" i="9" l="1"/>
  <c r="Q1210" i="9" s="1"/>
  <c r="R1208" i="9"/>
  <c r="R1210" i="9" l="1"/>
  <c r="Q1211" i="9"/>
  <c r="R1209" i="9"/>
  <c r="R1211" i="9" l="1"/>
  <c r="P1229" i="9"/>
  <c r="Q1229" i="9" l="1"/>
  <c r="P1242" i="9"/>
  <c r="R1229" i="9" l="1"/>
  <c r="Q1230" i="9"/>
  <c r="Q1231" i="9" l="1"/>
  <c r="R1230" i="9"/>
  <c r="Q1232" i="9" l="1"/>
  <c r="R1231" i="9"/>
  <c r="Q1233" i="9" l="1"/>
  <c r="R1232" i="9"/>
  <c r="R1233" i="9" l="1"/>
  <c r="Q1234" i="9"/>
  <c r="Q1235" i="9" l="1"/>
  <c r="R1234" i="9"/>
  <c r="Q1236" i="9" l="1"/>
  <c r="R1235" i="9"/>
  <c r="Q1237" i="9" l="1"/>
  <c r="R1236" i="9"/>
  <c r="R1237" i="9" l="1"/>
  <c r="Q1238" i="9"/>
  <c r="Q1239" i="9" l="1"/>
  <c r="R1238" i="9"/>
  <c r="Q1240" i="9" l="1"/>
  <c r="Q1241" i="9" s="1"/>
  <c r="R1239" i="9"/>
  <c r="R1241" i="9" l="1"/>
  <c r="P1258" i="9"/>
  <c r="R1240" i="9"/>
  <c r="P1288" i="9" l="1"/>
  <c r="Q1258" i="9"/>
  <c r="Q1259" i="9" l="1"/>
  <c r="R1258" i="9"/>
  <c r="R1259" i="9" l="1"/>
  <c r="Q1260" i="9"/>
  <c r="Q1261" i="9" l="1"/>
  <c r="R1260" i="9"/>
  <c r="Q1262" i="9" l="1"/>
  <c r="R1261" i="9"/>
  <c r="R1262" i="9" l="1"/>
  <c r="Q1263" i="9"/>
  <c r="R1263" i="9" l="1"/>
  <c r="Q1264" i="9"/>
  <c r="R1264" i="9" l="1"/>
  <c r="Q1265" i="9"/>
  <c r="Q1266" i="9" l="1"/>
  <c r="R1265" i="9"/>
  <c r="Q1267" i="9" l="1"/>
  <c r="R1266" i="9"/>
  <c r="Q1268" i="9" l="1"/>
  <c r="R1267" i="9"/>
  <c r="Q1269" i="9" l="1"/>
  <c r="R1268" i="9"/>
  <c r="Q1270" i="9" l="1"/>
  <c r="R1269" i="9"/>
  <c r="Q1271" i="9" l="1"/>
  <c r="R1270" i="9"/>
  <c r="Q1272" i="9" l="1"/>
  <c r="R1271" i="9"/>
  <c r="Q1273" i="9" l="1"/>
  <c r="R1272" i="9"/>
  <c r="Q1274" i="9" l="1"/>
  <c r="R1273" i="9"/>
  <c r="Q1275" i="9" l="1"/>
  <c r="R1274" i="9"/>
  <c r="Q1276" i="9" l="1"/>
  <c r="R1275" i="9"/>
  <c r="Q1277" i="9" l="1"/>
  <c r="R1276" i="9"/>
  <c r="Q1278" i="9" l="1"/>
  <c r="Q1279" i="9" s="1"/>
  <c r="R1277" i="9"/>
  <c r="Q1280" i="9" l="1"/>
  <c r="R1279" i="9"/>
  <c r="R1278" i="9"/>
  <c r="Q1281" i="9" l="1"/>
  <c r="R1280" i="9"/>
  <c r="Q1282" i="9" l="1"/>
  <c r="Q1283" i="9" s="1"/>
  <c r="Q1284" i="9" s="1"/>
  <c r="R1281" i="9"/>
  <c r="Q1285" i="9" l="1"/>
  <c r="R1284" i="9"/>
  <c r="R1283" i="9"/>
  <c r="R1282" i="9"/>
  <c r="Q1286" i="9" l="1"/>
  <c r="R1285" i="9"/>
  <c r="Q1287" i="9" l="1"/>
  <c r="R1286" i="9"/>
  <c r="R1287" i="9" l="1"/>
  <c r="P1293" i="9"/>
  <c r="P1308" i="9" l="1"/>
  <c r="Q1293" i="9"/>
  <c r="Q1294" i="9" l="1"/>
  <c r="R1293" i="9"/>
  <c r="Q1295" i="9" l="1"/>
  <c r="R1294" i="9"/>
  <c r="R1295" i="9" l="1"/>
  <c r="Q1296" i="9"/>
  <c r="Q1297" i="9" l="1"/>
  <c r="R1296" i="9"/>
  <c r="Q1298" i="9" l="1"/>
  <c r="R1297" i="9"/>
  <c r="R1298" i="9" l="1"/>
  <c r="Q1299" i="9"/>
  <c r="Q1300" i="9" l="1"/>
  <c r="R1299" i="9"/>
  <c r="Q1301" i="9" l="1"/>
  <c r="R1300" i="9"/>
  <c r="Q1302" i="9" l="1"/>
  <c r="R1301" i="9"/>
  <c r="Q1303" i="9" l="1"/>
  <c r="Q1304" i="9" s="1"/>
  <c r="R1302" i="9"/>
  <c r="Q1305" i="9" l="1"/>
  <c r="R1304" i="9"/>
  <c r="R1303" i="9"/>
  <c r="R1305" i="9" l="1"/>
  <c r="Q1306" i="9"/>
  <c r="Q1307" i="9" l="1"/>
  <c r="P1320" i="9" s="1"/>
  <c r="R1306" i="9"/>
  <c r="Q1320" i="9" l="1"/>
  <c r="P1344" i="9"/>
  <c r="R1307" i="9"/>
  <c r="Q1321" i="9" l="1"/>
  <c r="R1320" i="9"/>
  <c r="Q1322" i="9" l="1"/>
  <c r="R1321" i="9"/>
  <c r="R1322" i="9" l="1"/>
  <c r="Q1323" i="9"/>
  <c r="Q1324" i="9" l="1"/>
  <c r="R1323" i="9"/>
  <c r="Q1325" i="9" l="1"/>
  <c r="R1324" i="9"/>
  <c r="Q1326" i="9" l="1"/>
  <c r="R1325" i="9"/>
  <c r="Q1327" i="9" l="1"/>
  <c r="R1326" i="9"/>
  <c r="R1327" i="9" l="1"/>
  <c r="Q1328" i="9"/>
  <c r="Q1329" i="9" l="1"/>
  <c r="R1328" i="9"/>
  <c r="Q1330" i="9" l="1"/>
  <c r="R1329" i="9"/>
  <c r="Q1331" i="9" l="1"/>
  <c r="R1330" i="9"/>
  <c r="Q1332" i="9" l="1"/>
  <c r="R1331" i="9"/>
  <c r="Q1333" i="9" l="1"/>
  <c r="R1332" i="9"/>
  <c r="R1333" i="9" l="1"/>
  <c r="Q1334" i="9"/>
  <c r="Q1335" i="9" l="1"/>
  <c r="R1334" i="9"/>
  <c r="R1335" i="9" l="1"/>
  <c r="Q1336" i="9"/>
  <c r="R1336" i="9" l="1"/>
  <c r="Q1337" i="9"/>
  <c r="R1337" i="9" l="1"/>
  <c r="Q1338" i="9"/>
  <c r="R1338" i="9" l="1"/>
  <c r="Q1339" i="9"/>
  <c r="Q1340" i="9" s="1"/>
  <c r="R1340" i="9" l="1"/>
  <c r="Q1341" i="9"/>
  <c r="R1339" i="9"/>
  <c r="R1341" i="9" l="1"/>
  <c r="Q1342" i="9"/>
  <c r="Q1343" i="9" l="1"/>
  <c r="P1353" i="9" s="1"/>
  <c r="R1342" i="9"/>
  <c r="P1375" i="9" l="1"/>
  <c r="Q1353" i="9"/>
  <c r="R1343" i="9"/>
  <c r="Q1354" i="9" l="1"/>
  <c r="R1353" i="9"/>
  <c r="R1354" i="9" l="1"/>
  <c r="Q1355" i="9"/>
  <c r="Q1356" i="9" l="1"/>
  <c r="R1355" i="9"/>
  <c r="Q1357" i="9" l="1"/>
  <c r="R1356" i="9"/>
  <c r="Q1358" i="9" l="1"/>
  <c r="R1357" i="9"/>
  <c r="Q1359" i="9" l="1"/>
  <c r="R1358" i="9"/>
  <c r="Q1360" i="9" l="1"/>
  <c r="R1359" i="9"/>
  <c r="Q1361" i="9" l="1"/>
  <c r="R1360" i="9"/>
  <c r="Q1362" i="9" l="1"/>
  <c r="R1361" i="9"/>
  <c r="Q1363" i="9" l="1"/>
  <c r="R1362" i="9"/>
  <c r="Q1364" i="9" l="1"/>
  <c r="R1363" i="9"/>
  <c r="Q1365" i="9" l="1"/>
  <c r="R1364" i="9"/>
  <c r="Q1366" i="9" l="1"/>
  <c r="R1365" i="9"/>
  <c r="Q1367" i="9" l="1"/>
  <c r="R1366" i="9"/>
  <c r="Q1368" i="9" l="1"/>
  <c r="Q1369" i="9" s="1"/>
  <c r="R1367" i="9"/>
  <c r="R1369" i="9" l="1"/>
  <c r="Q1370" i="9"/>
  <c r="Q1371" i="9" s="1"/>
  <c r="R1368" i="9"/>
  <c r="R1371" i="9" l="1"/>
  <c r="Q1372" i="9"/>
  <c r="R1370" i="9"/>
  <c r="R1372" i="9" l="1"/>
  <c r="Q1373" i="9"/>
  <c r="R1373" i="9" l="1"/>
  <c r="Q1374" i="9"/>
  <c r="P1382" i="9" s="1"/>
  <c r="P1411" i="9" l="1"/>
  <c r="Q1382" i="9"/>
  <c r="R1374" i="9"/>
  <c r="Q1383" i="9" l="1"/>
  <c r="R1382" i="9"/>
  <c r="R1383" i="9" l="1"/>
  <c r="Q1384" i="9"/>
  <c r="Q1385" i="9" l="1"/>
  <c r="R1384" i="9"/>
  <c r="Q1386" i="9" l="1"/>
  <c r="R1385" i="9"/>
  <c r="R1386" i="9" l="1"/>
  <c r="Q1387" i="9"/>
  <c r="R1387" i="9" l="1"/>
  <c r="Q1388" i="9"/>
  <c r="Q1389" i="9" l="1"/>
  <c r="R1388" i="9"/>
  <c r="R1389" i="9" l="1"/>
  <c r="Q1390" i="9"/>
  <c r="Q1391" i="9" l="1"/>
  <c r="R1390" i="9"/>
  <c r="Q1392" i="9" l="1"/>
  <c r="R1391" i="9"/>
  <c r="Q1393" i="9" l="1"/>
  <c r="R1392" i="9"/>
  <c r="R1393" i="9" l="1"/>
  <c r="Q1394" i="9"/>
  <c r="Q1395" i="9" l="1"/>
  <c r="R1394" i="9"/>
  <c r="Q1396" i="9" l="1"/>
  <c r="R1395" i="9"/>
  <c r="Q1397" i="9" l="1"/>
  <c r="R1396" i="9"/>
  <c r="R1397" i="9" l="1"/>
  <c r="Q1398" i="9"/>
  <c r="Q1399" i="9" l="1"/>
  <c r="R1398" i="9"/>
  <c r="Q1400" i="9" l="1"/>
  <c r="R1399" i="9"/>
  <c r="R1400" i="9" l="1"/>
  <c r="Q1401" i="9"/>
  <c r="Q1402" i="9" l="1"/>
  <c r="R1401" i="9"/>
  <c r="R1402" i="9" l="1"/>
  <c r="Q1403" i="9"/>
  <c r="Q1404" i="9" s="1"/>
  <c r="R1404" i="9" l="1"/>
  <c r="Q1405" i="9"/>
  <c r="R1403" i="9"/>
  <c r="R1405" i="9" l="1"/>
  <c r="Q1406" i="9"/>
  <c r="R1406" i="9" l="1"/>
  <c r="Q1407" i="9"/>
  <c r="R1407" i="9" l="1"/>
  <c r="Q1408" i="9"/>
  <c r="R1408" i="9" l="1"/>
  <c r="Q1409" i="9"/>
  <c r="R1409" i="9" l="1"/>
  <c r="Q1410" i="9"/>
  <c r="P1431" i="9" s="1"/>
  <c r="P1444" i="9" l="1"/>
  <c r="Q1431" i="9"/>
  <c r="R1410" i="9"/>
  <c r="R1431" i="9" l="1"/>
  <c r="Q1432" i="9"/>
  <c r="R1432" i="9" l="1"/>
  <c r="Q1433" i="9"/>
  <c r="R1433" i="9" l="1"/>
  <c r="Q1434" i="9"/>
  <c r="Q1435" i="9" l="1"/>
  <c r="R1434" i="9"/>
  <c r="R1435" i="9" l="1"/>
  <c r="Q1436" i="9"/>
  <c r="Q1437" i="9" l="1"/>
  <c r="Q1438" i="9" s="1"/>
  <c r="R1436" i="9"/>
  <c r="R1438" i="9" l="1"/>
  <c r="Q1439" i="9"/>
  <c r="R1437" i="9"/>
  <c r="Q1440" i="9" l="1"/>
  <c r="R1439" i="9"/>
  <c r="Q1441" i="9" l="1"/>
  <c r="R1440" i="9"/>
  <c r="R1441" i="9" l="1"/>
  <c r="Q1442" i="9"/>
  <c r="Q1443" i="9" l="1"/>
  <c r="R1442" i="9"/>
  <c r="R1443" i="9" l="1"/>
  <c r="P1475" i="9"/>
  <c r="Q1475" i="9" l="1"/>
  <c r="P1492" i="9"/>
  <c r="R1475" i="9" l="1"/>
  <c r="Q1476" i="9"/>
  <c r="Q1477" i="9" l="1"/>
  <c r="R1476" i="9"/>
  <c r="R1477" i="9" l="1"/>
  <c r="Q1478" i="9"/>
  <c r="Q1479" i="9" l="1"/>
  <c r="R1478" i="9"/>
  <c r="R1479" i="9" l="1"/>
  <c r="Q1480" i="9"/>
  <c r="Q1481" i="9" l="1"/>
  <c r="R1480" i="9"/>
  <c r="Q1482" i="9" l="1"/>
  <c r="R1481" i="9"/>
  <c r="R1482" i="9" l="1"/>
  <c r="Q1483" i="9"/>
  <c r="R1483" i="9" l="1"/>
  <c r="Q1484" i="9"/>
  <c r="Q1485" i="9" l="1"/>
  <c r="R1484" i="9"/>
  <c r="R1485" i="9" l="1"/>
  <c r="Q1486" i="9"/>
  <c r="Q1487" i="9" l="1"/>
  <c r="R1486" i="9"/>
  <c r="R1487" i="9" l="1"/>
  <c r="Q1488" i="9"/>
  <c r="Q1489" i="9" l="1"/>
  <c r="R1488" i="9"/>
  <c r="R1489" i="9" l="1"/>
  <c r="Q1490" i="9"/>
  <c r="Q1491" i="9" l="1"/>
  <c r="P1522" i="9" s="1"/>
  <c r="R1490" i="9"/>
  <c r="Q1522" i="9" l="1"/>
  <c r="P1548" i="9"/>
  <c r="R1491" i="9"/>
  <c r="R1522" i="9" l="1"/>
  <c r="Q1523" i="9"/>
  <c r="Q1524" i="9" l="1"/>
  <c r="R1523" i="9"/>
  <c r="Q1525" i="9" l="1"/>
  <c r="R1524" i="9"/>
  <c r="R1525" i="9" l="1"/>
  <c r="Q1526" i="9"/>
  <c r="Q1527" i="9" l="1"/>
  <c r="R1526" i="9"/>
  <c r="R1527" i="9" l="1"/>
  <c r="Q1528" i="9"/>
  <c r="R1528" i="9" l="1"/>
  <c r="Q1529" i="9"/>
  <c r="R1529" i="9" l="1"/>
  <c r="Q1530" i="9"/>
  <c r="R1530" i="9" l="1"/>
  <c r="Q1531" i="9"/>
  <c r="R1531" i="9" l="1"/>
  <c r="Q1532" i="9"/>
  <c r="Q1533" i="9" l="1"/>
  <c r="R1532" i="9"/>
  <c r="R1533" i="9" l="1"/>
  <c r="Q1534" i="9"/>
  <c r="R1534" i="9" l="1"/>
  <c r="Q1535" i="9"/>
  <c r="Q1536" i="9" l="1"/>
  <c r="R1535" i="9"/>
  <c r="R1536" i="9" l="1"/>
  <c r="Q1537" i="9"/>
  <c r="R1537" i="9" l="1"/>
  <c r="Q1538" i="9"/>
  <c r="R1538" i="9" l="1"/>
  <c r="Q1539" i="9"/>
  <c r="Q1540" i="9" l="1"/>
  <c r="R1539" i="9"/>
  <c r="Q1541" i="9" l="1"/>
  <c r="R1540" i="9"/>
  <c r="R1541" i="9" l="1"/>
  <c r="Q1542" i="9"/>
  <c r="Q1543" i="9" l="1"/>
  <c r="Q1544" i="9" s="1"/>
  <c r="Q1545" i="9" s="1"/>
  <c r="R1542" i="9"/>
  <c r="R1545" i="9" l="1"/>
  <c r="Q1546" i="9"/>
  <c r="R1544" i="9"/>
  <c r="R1543" i="9"/>
  <c r="R1546" i="9" l="1"/>
  <c r="Q1547" i="9"/>
  <c r="R1547" i="9" l="1"/>
  <c r="P1553" i="9"/>
  <c r="Q1553" i="9" l="1"/>
  <c r="P1565" i="9"/>
  <c r="Q1554" i="9" l="1"/>
  <c r="R1553" i="9"/>
  <c r="Q1555" i="9" l="1"/>
  <c r="Q1556" i="9" s="1"/>
  <c r="R1554" i="9"/>
  <c r="R1556" i="9" l="1"/>
  <c r="Q1557" i="9"/>
  <c r="R1555" i="9"/>
  <c r="R1557" i="9" l="1"/>
  <c r="Q1558" i="9"/>
  <c r="R1558" i="9" l="1"/>
  <c r="Q1559" i="9"/>
  <c r="R1559" i="9" l="1"/>
  <c r="Q1560" i="9"/>
  <c r="R1560" i="9" l="1"/>
  <c r="Q1561" i="9"/>
  <c r="R1561" i="9" l="1"/>
  <c r="Q1562" i="9"/>
  <c r="R1562" i="9" l="1"/>
  <c r="Q1563" i="9"/>
  <c r="R1563" i="9" l="1"/>
  <c r="Q1564" i="9"/>
  <c r="R1564" i="9" l="1"/>
  <c r="R1565" i="9" s="1"/>
  <c r="P6" i="9"/>
  <c r="Q6" i="9" l="1"/>
  <c r="R6" i="9" l="1"/>
  <c r="Q7" i="9"/>
  <c r="Q8" i="9" l="1"/>
  <c r="R7" i="9"/>
  <c r="R8" i="9" l="1"/>
  <c r="Q9" i="9"/>
  <c r="R9" i="9" l="1"/>
  <c r="Q10" i="9"/>
  <c r="R10" i="9" l="1"/>
  <c r="Q11" i="9"/>
  <c r="Q12" i="9" l="1"/>
  <c r="R11" i="9"/>
  <c r="R12" i="9" l="1"/>
  <c r="Q13" i="9"/>
  <c r="R13" i="9" l="1"/>
  <c r="Q14" i="9"/>
  <c r="R14" i="9" l="1"/>
  <c r="Q15" i="9"/>
  <c r="Q16" i="9" l="1"/>
  <c r="R15" i="9"/>
  <c r="R16" i="9" l="1"/>
  <c r="Q17" i="9"/>
  <c r="R17" i="9" l="1"/>
  <c r="Q18" i="9"/>
  <c r="Q19" i="9" l="1"/>
  <c r="R18" i="9"/>
  <c r="Q20" i="9" l="1"/>
  <c r="R19" i="9"/>
  <c r="R20" i="9" l="1"/>
  <c r="Q21" i="9"/>
  <c r="Q22" i="9" l="1"/>
  <c r="R21" i="9"/>
  <c r="Q23" i="9" l="1"/>
  <c r="R22" i="9"/>
  <c r="R23" i="9" l="1"/>
  <c r="E6" i="9" l="1"/>
  <c r="P24" i="9" l="1"/>
  <c r="E11" i="9"/>
  <c r="E7" i="9"/>
  <c r="P26" i="9" l="1"/>
  <c r="Q24" i="9"/>
  <c r="Q25" i="9" l="1"/>
  <c r="R25" i="9" s="1"/>
  <c r="R24" i="9"/>
</calcChain>
</file>

<file path=xl/sharedStrings.xml><?xml version="1.0" encoding="utf-8"?>
<sst xmlns="http://schemas.openxmlformats.org/spreadsheetml/2006/main" count="5845" uniqueCount="896">
  <si>
    <t>TOTAL</t>
  </si>
  <si>
    <t>NAME</t>
  </si>
  <si>
    <t>PAYOUT</t>
  </si>
  <si>
    <t>P004</t>
  </si>
  <si>
    <t>P007</t>
  </si>
  <si>
    <t>Total:</t>
  </si>
  <si>
    <t>NICOLE GELDENHUYS</t>
  </si>
  <si>
    <t>Deductions:</t>
  </si>
  <si>
    <t>Medical Aid:</t>
  </si>
  <si>
    <t>Car &amp; Insurance:</t>
  </si>
  <si>
    <t>Cellphone:</t>
  </si>
  <si>
    <t>P012</t>
  </si>
  <si>
    <t>Basic Salary:</t>
  </si>
  <si>
    <t>Virgin Money:</t>
  </si>
  <si>
    <t>Std Bank:</t>
  </si>
  <si>
    <t>-</t>
  </si>
  <si>
    <t>Truworths:</t>
  </si>
  <si>
    <t>Payments:</t>
  </si>
  <si>
    <t>Itemised Billing:</t>
  </si>
  <si>
    <t>SMS Bundle:</t>
  </si>
  <si>
    <t>CLIP:</t>
  </si>
  <si>
    <t>Autosim:</t>
  </si>
  <si>
    <t>Other:</t>
  </si>
  <si>
    <t>Woolworths:</t>
  </si>
  <si>
    <t>Petty Cash:</t>
  </si>
  <si>
    <t>HENRY RENT</t>
  </si>
  <si>
    <t>Usage:</t>
  </si>
  <si>
    <t>Less Company:</t>
  </si>
  <si>
    <t>Dad STD Bank:</t>
  </si>
  <si>
    <t>P019</t>
  </si>
  <si>
    <t>D500</t>
  </si>
  <si>
    <t>Nikki (STD Bank):</t>
  </si>
  <si>
    <t>D501</t>
  </si>
  <si>
    <t>D200</t>
  </si>
  <si>
    <t>Danny (Corolla Insurance):</t>
  </si>
  <si>
    <t>D400</t>
  </si>
  <si>
    <t>D401</t>
  </si>
  <si>
    <t>Petro G. (Derick Salary):</t>
  </si>
  <si>
    <t>A001</t>
  </si>
  <si>
    <t>D.D. Geldenhuys</t>
  </si>
  <si>
    <t>MADALA MNISI</t>
  </si>
  <si>
    <t>ANDREW BALLARD</t>
  </si>
  <si>
    <t>JOSEPH MALALE</t>
  </si>
  <si>
    <t>BALANCE</t>
  </si>
  <si>
    <t>HENRY STEYNBERG</t>
  </si>
  <si>
    <t>A002</t>
  </si>
  <si>
    <t>Dan Salary</t>
  </si>
  <si>
    <t>Leon Salary</t>
  </si>
  <si>
    <t>Virgin Money</t>
  </si>
  <si>
    <t>(Finance Charge)</t>
  </si>
  <si>
    <t>(Clicks)</t>
  </si>
  <si>
    <t>PREMAC:</t>
  </si>
  <si>
    <t>BALANCE:</t>
  </si>
  <si>
    <t>AVAILABLE</t>
  </si>
  <si>
    <t>Standard Bank</t>
  </si>
  <si>
    <t>B/D:</t>
  </si>
  <si>
    <t>Foschini:</t>
  </si>
  <si>
    <t>(Pick 'n Pay)</t>
  </si>
  <si>
    <t>CDEWTAR01</t>
  </si>
  <si>
    <t>ANDREW RENT</t>
  </si>
  <si>
    <t>Top Up, Cellphone:</t>
  </si>
  <si>
    <t>Vodacom:</t>
  </si>
  <si>
    <t>(Vodacom):</t>
  </si>
  <si>
    <t>Debit Order Fee:</t>
  </si>
  <si>
    <t>(PREMAC)</t>
  </si>
  <si>
    <t>D300, D0LB, D302</t>
  </si>
  <si>
    <t>(Transfer)</t>
  </si>
  <si>
    <t>NETT PAY:</t>
  </si>
  <si>
    <t>(Transfer):</t>
  </si>
  <si>
    <t>Petty Cash (carried):</t>
  </si>
  <si>
    <t>(Petty Cash):</t>
  </si>
  <si>
    <t>(Delmas Spar)</t>
  </si>
  <si>
    <t>(Tinus):</t>
  </si>
  <si>
    <t>CELLPHONE - 17Jan11</t>
  </si>
  <si>
    <t>FEBRUARY 2011</t>
  </si>
  <si>
    <t>(Tinus Klaserie):</t>
  </si>
  <si>
    <t>(Fee):</t>
  </si>
  <si>
    <t>(Norman's Hardware - B2C)</t>
  </si>
  <si>
    <t>(Solly's Textiles - B2C)</t>
  </si>
  <si>
    <t>(Panarotti's Pizza)</t>
  </si>
  <si>
    <t>(Pick 'n Pay):</t>
  </si>
  <si>
    <t>(Liquor Valu):</t>
  </si>
  <si>
    <t>(Imaging B2C):</t>
  </si>
  <si>
    <t>(Ackermans):</t>
  </si>
  <si>
    <t>(Cum):</t>
  </si>
  <si>
    <t>(Ludwig's ):</t>
  </si>
  <si>
    <t>(Delmas Apteek):</t>
  </si>
  <si>
    <t>(B2C):</t>
  </si>
  <si>
    <t>(Bundle Fee):</t>
  </si>
  <si>
    <t>(CJ Williams):</t>
  </si>
  <si>
    <t>(PrinterTECH - B2C)</t>
  </si>
  <si>
    <t>(ATM Cash Withdrawal)</t>
  </si>
  <si>
    <t>(pick 'n Pay - PETTY CASH)</t>
  </si>
  <si>
    <t>MARCH 2011</t>
  </si>
  <si>
    <t>(Ster Kinekor)</t>
  </si>
  <si>
    <t>(Steers):</t>
  </si>
  <si>
    <t>(Born 2 Care):</t>
  </si>
  <si>
    <t>(Mom Cash):</t>
  </si>
  <si>
    <t>(Clicks):</t>
  </si>
  <si>
    <t>(Darren - HOLIDAY):</t>
  </si>
  <si>
    <t>(Cash withdrawal)</t>
  </si>
  <si>
    <t>(Liquor Valu)</t>
  </si>
  <si>
    <t>Transfer:</t>
  </si>
  <si>
    <t>(Super CD)</t>
  </si>
  <si>
    <t>(Bronwyn - Holiday):</t>
  </si>
  <si>
    <t>Balance:</t>
  </si>
  <si>
    <t>Derick Interest:</t>
  </si>
  <si>
    <t>D.D. Geldenhuys (Interest)</t>
  </si>
  <si>
    <t>Ouma Monies (Nikki to draw)</t>
  </si>
  <si>
    <t>APRIL 2011</t>
  </si>
  <si>
    <t>Petty Cash - Carried</t>
  </si>
  <si>
    <t>Tinus:</t>
  </si>
  <si>
    <t>Cash Withdrawal:</t>
  </si>
  <si>
    <t>(Ocean Basket)</t>
  </si>
  <si>
    <t>Withdrawal Fee:</t>
  </si>
  <si>
    <t>(Outdoor Warehouse)</t>
  </si>
  <si>
    <t>(Pick 'n Pay - PETTY CASH)</t>
  </si>
  <si>
    <t>(PETTY CASH)</t>
  </si>
  <si>
    <t>Deducted:</t>
  </si>
  <si>
    <t>Difference c/f:</t>
  </si>
  <si>
    <t>MAY 2011</t>
  </si>
  <si>
    <t>CELLPHONE - 17May11</t>
  </si>
  <si>
    <t>Cash + Clicks:</t>
  </si>
  <si>
    <t>(Delmas Apteek)</t>
  </si>
  <si>
    <t>(Cash Withdrawal)</t>
  </si>
  <si>
    <t>CELLPHONE - 17April11</t>
  </si>
  <si>
    <t>Pay Rent:</t>
  </si>
  <si>
    <t>Dandy Dogs:</t>
  </si>
  <si>
    <t>(Perkals Gifts)</t>
  </si>
  <si>
    <t>Dad:</t>
  </si>
  <si>
    <t>Afriforum:</t>
  </si>
  <si>
    <t>Nikki (Virgin Money CC):</t>
  </si>
  <si>
    <t>JUNE 2011</t>
  </si>
  <si>
    <t>Cash:</t>
  </si>
  <si>
    <t>Fee:</t>
  </si>
  <si>
    <t>Clicks:</t>
  </si>
  <si>
    <t>Bronwyn:</t>
  </si>
  <si>
    <t>(PEP Stores)</t>
  </si>
  <si>
    <t>(Kalahari.net)</t>
  </si>
  <si>
    <t>(Pick n Pay)</t>
  </si>
  <si>
    <t>Mom (ouma gift):</t>
  </si>
  <si>
    <t>(Norman's Hardware)</t>
  </si>
  <si>
    <t>Delmas Spar:</t>
  </si>
  <si>
    <t>(Afgri Delmas)</t>
  </si>
  <si>
    <t>SSW:</t>
  </si>
  <si>
    <t>Cash withdrawal:</t>
  </si>
  <si>
    <t>JULY 2011</t>
  </si>
  <si>
    <t>Garage Card:</t>
  </si>
  <si>
    <t>MR Cremer:</t>
  </si>
  <si>
    <t>(Spur)</t>
  </si>
  <si>
    <t>(Petty Cash)</t>
  </si>
  <si>
    <t>(Cash + Fee)</t>
  </si>
  <si>
    <t>(Van Schaiks)</t>
  </si>
  <si>
    <t>(Mom groceries)</t>
  </si>
  <si>
    <t>AUGUST 2011</t>
  </si>
  <si>
    <t>(transfer)</t>
  </si>
  <si>
    <t>(finance charge)</t>
  </si>
  <si>
    <t>(Crazy Store)</t>
  </si>
  <si>
    <t>(KFC)</t>
  </si>
  <si>
    <t>Born 2 Care:</t>
  </si>
  <si>
    <t>SEPTEMBER 2011</t>
  </si>
  <si>
    <t>CELLPHONE - 17August11</t>
  </si>
  <si>
    <t>CELLPHONE - 17Sept11</t>
  </si>
  <si>
    <t>(computicket)</t>
  </si>
  <si>
    <t>Chantil:</t>
  </si>
  <si>
    <t>(UNISA)</t>
  </si>
  <si>
    <t>P021</t>
  </si>
  <si>
    <t>OCTOBER 2011</t>
  </si>
  <si>
    <t>CELLPHONE - 17Oct11</t>
  </si>
  <si>
    <t>(Sundra)</t>
  </si>
  <si>
    <t>(Eyes)</t>
  </si>
  <si>
    <t>(Pick n Pay - PETTY CASH)</t>
  </si>
  <si>
    <t>(Cash - PETTY)</t>
  </si>
  <si>
    <t>BAREND FULTON</t>
  </si>
  <si>
    <t>(Spar)</t>
  </si>
  <si>
    <t>(Nativa)</t>
  </si>
  <si>
    <t>(Clicks - Mom gift)</t>
  </si>
  <si>
    <t>NOVEMBER 2011</t>
  </si>
  <si>
    <t>(Mr Price)</t>
  </si>
  <si>
    <t>(Melrose Arch)</t>
  </si>
  <si>
    <t>Bank Fee:</t>
  </si>
  <si>
    <t>Dream body:</t>
  </si>
  <si>
    <t>(Delmas Veearts)</t>
  </si>
  <si>
    <t>(Born 2 Care)</t>
  </si>
  <si>
    <t>(Woolworths)</t>
  </si>
  <si>
    <t>(Delmas Post office)</t>
  </si>
  <si>
    <t>Derick Salary</t>
  </si>
  <si>
    <t>DECEMBER 2011</t>
  </si>
  <si>
    <t>JANUARY 2012</t>
  </si>
  <si>
    <t>01</t>
  </si>
  <si>
    <t>03</t>
  </si>
  <si>
    <t>SPCA:</t>
  </si>
  <si>
    <t>(Sounds Extreme)</t>
  </si>
  <si>
    <t>(Kalahari.com)</t>
  </si>
  <si>
    <t>(Bonus)</t>
  </si>
  <si>
    <t>Nedbank:</t>
  </si>
  <si>
    <t>Admin Fee:</t>
  </si>
  <si>
    <t>State. Fee:</t>
  </si>
  <si>
    <t>(Delmas Spar - PETTY CASH)</t>
  </si>
  <si>
    <t>Transfer Fee:</t>
  </si>
  <si>
    <t>(Tekkie Town)</t>
  </si>
  <si>
    <t>(CUM Books)</t>
  </si>
  <si>
    <t>(Game - DVDs)</t>
  </si>
  <si>
    <t>(Pick n Pay PTA)</t>
  </si>
  <si>
    <t>(Qphoto - PTA)</t>
  </si>
  <si>
    <t>(Oldfarm Tops)</t>
  </si>
  <si>
    <t>(Musica - PTA)</t>
  </si>
  <si>
    <t>Petrol:</t>
  </si>
  <si>
    <t>Cellphone Reimburse.</t>
  </si>
  <si>
    <t>(Dion Wired - Dad CASH -R500)</t>
  </si>
  <si>
    <t>(Edgars)</t>
  </si>
  <si>
    <t>(CTM - PREMAC)</t>
  </si>
  <si>
    <t>(Triumph)</t>
  </si>
  <si>
    <t>(Eds Cocktails)</t>
  </si>
  <si>
    <t>(Makro)</t>
  </si>
  <si>
    <t>(Old Farm Tops)</t>
  </si>
  <si>
    <t>(CTM - Reimbursement)</t>
  </si>
  <si>
    <t>Darren:</t>
  </si>
  <si>
    <t>(Withdrawal Fee)</t>
  </si>
  <si>
    <t>-129.99</t>
  </si>
  <si>
    <t>Prorata Dial-Direct</t>
  </si>
  <si>
    <t>DAY</t>
  </si>
  <si>
    <t>30</t>
  </si>
  <si>
    <t>07</t>
  </si>
  <si>
    <t>Dial-Direct:</t>
  </si>
  <si>
    <t>Petty Cash - c/o</t>
  </si>
  <si>
    <t>Balance b/d:</t>
  </si>
  <si>
    <t>MTN:</t>
  </si>
  <si>
    <t>(Peter James Motors)</t>
  </si>
  <si>
    <t>(Dad cash)</t>
  </si>
  <si>
    <t>F001</t>
  </si>
  <si>
    <t>F002</t>
  </si>
  <si>
    <t>Trudie Geldenhuys</t>
  </si>
  <si>
    <t>Patricia De Kok</t>
  </si>
  <si>
    <t>IELTS Test:</t>
  </si>
  <si>
    <t>Kalahari.com:</t>
  </si>
  <si>
    <t>(CTFM Eastgate)</t>
  </si>
  <si>
    <t>FEBRUARY 2012</t>
  </si>
  <si>
    <t>(Dino Direct)</t>
  </si>
  <si>
    <t>(Cash withdrawal + Fee)</t>
  </si>
  <si>
    <t>Peter James Motors:</t>
  </si>
  <si>
    <t>C Olivier:</t>
  </si>
  <si>
    <t>Credit = R15,550.00</t>
  </si>
  <si>
    <t>(Owed)</t>
  </si>
  <si>
    <t>(Biltong Boulevard)</t>
  </si>
  <si>
    <t>(Unisa)</t>
  </si>
  <si>
    <t>MARCH 2012</t>
  </si>
  <si>
    <t>Transfer</t>
  </si>
  <si>
    <t>28</t>
  </si>
  <si>
    <t>29</t>
  </si>
  <si>
    <t>(Premac)</t>
  </si>
  <si>
    <t>Delmas Batteries</t>
  </si>
  <si>
    <t>02</t>
  </si>
  <si>
    <t>Finance Charge</t>
  </si>
  <si>
    <t>Crafters Market</t>
  </si>
  <si>
    <t>Van Schaiks</t>
  </si>
  <si>
    <t>Plasticland:</t>
  </si>
  <si>
    <t>09</t>
  </si>
  <si>
    <t>Clicks</t>
  </si>
  <si>
    <t>Liquor Valu</t>
  </si>
  <si>
    <t>12</t>
  </si>
  <si>
    <t>SARS:</t>
  </si>
  <si>
    <t>Premac:</t>
  </si>
  <si>
    <t>13</t>
  </si>
  <si>
    <t>Melrose Place Arcadia</t>
  </si>
  <si>
    <t>Post Office</t>
  </si>
  <si>
    <t>AGRIGEL Sars</t>
  </si>
  <si>
    <t>Shoprite Delmas</t>
  </si>
  <si>
    <t>Cash withdrawal</t>
  </si>
  <si>
    <t>Agrigel/InfantMed:</t>
  </si>
  <si>
    <t>Pick n Pay</t>
  </si>
  <si>
    <t>APRIL 2012</t>
  </si>
  <si>
    <t>AGRIGEL</t>
  </si>
  <si>
    <t>Cash withdrawal + fee</t>
  </si>
  <si>
    <t>One Stop Stationery - INFANTMED</t>
  </si>
  <si>
    <t>Sasol Delmas - INFANTMED</t>
  </si>
  <si>
    <t>Fee - Unpaid Item:</t>
  </si>
  <si>
    <t>16</t>
  </si>
  <si>
    <t>Kana 106:</t>
  </si>
  <si>
    <t>Dippenaar &amp; Reinecke</t>
  </si>
  <si>
    <t>Petty Cash</t>
  </si>
  <si>
    <t>CTFM</t>
  </si>
  <si>
    <t>Delmas Spar</t>
  </si>
  <si>
    <t>Gordon Harris Photo</t>
  </si>
  <si>
    <t>11</t>
  </si>
  <si>
    <t>ERIC NTULO</t>
  </si>
  <si>
    <t>24</t>
  </si>
  <si>
    <t>Dino Direct</t>
  </si>
  <si>
    <t>MAY 2012</t>
  </si>
  <si>
    <t>26</t>
  </si>
  <si>
    <t>Van Schaiks:</t>
  </si>
  <si>
    <t>Scooters Pizza</t>
  </si>
  <si>
    <t>Cash Withdrawal + Fee</t>
  </si>
  <si>
    <t>PREMAC</t>
  </si>
  <si>
    <t>Delglas</t>
  </si>
  <si>
    <t>Sybaritic:</t>
  </si>
  <si>
    <t>Cash withdrawal + Fee</t>
  </si>
  <si>
    <t>ATM</t>
  </si>
  <si>
    <t>PLACE</t>
  </si>
  <si>
    <t>DETAILS</t>
  </si>
  <si>
    <t>FM Wireless Transmitters</t>
  </si>
  <si>
    <t>Curtain Runner and mousetrap</t>
  </si>
  <si>
    <t>Mirror for bedroom</t>
  </si>
  <si>
    <t>Game:</t>
  </si>
  <si>
    <t>Sheet Street</t>
  </si>
  <si>
    <t>Reimbursement</t>
  </si>
  <si>
    <t>Blinds</t>
  </si>
  <si>
    <t>Crazy Store</t>
  </si>
  <si>
    <t>Curtain hooks and ironing board cover</t>
  </si>
  <si>
    <t>Wine</t>
  </si>
  <si>
    <t>Norman's:</t>
  </si>
  <si>
    <t>TV Tronics</t>
  </si>
  <si>
    <t>TV Antenna Cables</t>
  </si>
  <si>
    <t>Pick n Pay:</t>
  </si>
  <si>
    <t>Discount Liquors Sundra</t>
  </si>
  <si>
    <t>BP Delwes</t>
  </si>
  <si>
    <t>Ackermans</t>
  </si>
  <si>
    <t>Boots</t>
  </si>
  <si>
    <t>Conjoh</t>
  </si>
  <si>
    <t>Rice, Rusks and snacks</t>
  </si>
  <si>
    <t>Kodak:</t>
  </si>
  <si>
    <t>21</t>
  </si>
  <si>
    <t>SAPO:</t>
  </si>
  <si>
    <t>CS Olivier:</t>
  </si>
  <si>
    <t>Liquor Valu:</t>
  </si>
  <si>
    <t>JUNE 2012</t>
  </si>
  <si>
    <t>Deposit</t>
  </si>
  <si>
    <t>May + admin</t>
  </si>
  <si>
    <t>June + key dep</t>
  </si>
  <si>
    <r>
      <t xml:space="preserve">Kana 106 </t>
    </r>
    <r>
      <rPr>
        <sz val="10"/>
        <color rgb="FFFF0000"/>
        <rFont val="Arial"/>
        <family val="2"/>
      </rPr>
      <t>July</t>
    </r>
    <r>
      <rPr>
        <sz val="10"/>
        <rFont val="Arial"/>
        <family val="2"/>
      </rPr>
      <t>:</t>
    </r>
  </si>
  <si>
    <t>Crazy Store:</t>
  </si>
  <si>
    <t>Balance Enquiry Fee</t>
  </si>
  <si>
    <t>Jolandi:</t>
  </si>
  <si>
    <t>Sheet Street:</t>
  </si>
  <si>
    <t>Groceries</t>
  </si>
  <si>
    <t>Cream</t>
  </si>
  <si>
    <t>CUM Books</t>
  </si>
  <si>
    <t>Cash Received</t>
  </si>
  <si>
    <t>Colddrinks</t>
  </si>
  <si>
    <t>Filing station</t>
  </si>
  <si>
    <t>Ouma party balance:</t>
  </si>
  <si>
    <t>Western Acc.:</t>
  </si>
  <si>
    <t>Spar:</t>
  </si>
  <si>
    <t>Sasol Delmas:</t>
  </si>
  <si>
    <t>Dr Pienaar:</t>
  </si>
  <si>
    <t>Cartridge Hyper:</t>
  </si>
  <si>
    <t>04</t>
  </si>
  <si>
    <t>05</t>
  </si>
  <si>
    <t>PAY WEEK</t>
  </si>
  <si>
    <t>BANK CODE</t>
  </si>
  <si>
    <t>PAY DATE</t>
  </si>
  <si>
    <t>DORA NTULO</t>
  </si>
  <si>
    <t>Add Medical Tax Credit Difference:</t>
  </si>
  <si>
    <t>March</t>
  </si>
  <si>
    <t>April</t>
  </si>
  <si>
    <t>May</t>
  </si>
  <si>
    <t>JULY 2012</t>
  </si>
  <si>
    <t>Nett Pay from Payroll:</t>
  </si>
  <si>
    <r>
      <t xml:space="preserve">Kana 106 </t>
    </r>
    <r>
      <rPr>
        <sz val="10"/>
        <color rgb="FFFF0000"/>
        <rFont val="Arial"/>
        <family val="2"/>
      </rPr>
      <t>Aug</t>
    </r>
    <r>
      <rPr>
        <sz val="10"/>
        <rFont val="Arial"/>
        <family val="2"/>
      </rPr>
      <t>:</t>
    </r>
  </si>
  <si>
    <t>Tax Difference:</t>
  </si>
  <si>
    <t>Pick 'n Pay:</t>
  </si>
  <si>
    <t>Pizza's, cooldrink fro JM Visit</t>
  </si>
  <si>
    <t>Delmas Onderdele:</t>
  </si>
  <si>
    <t>Mr Video:</t>
  </si>
  <si>
    <t>è</t>
  </si>
  <si>
    <t>P014</t>
  </si>
  <si>
    <t>FRANCOIS VD BANK</t>
  </si>
  <si>
    <t>Cooldrinks</t>
  </si>
  <si>
    <t>20</t>
  </si>
  <si>
    <t>Dora:</t>
  </si>
  <si>
    <t>Fine:</t>
  </si>
  <si>
    <t>31</t>
  </si>
  <si>
    <t>Beer</t>
  </si>
  <si>
    <t>AUGUST 2012</t>
  </si>
  <si>
    <r>
      <t xml:space="preserve">Kana 106 </t>
    </r>
    <r>
      <rPr>
        <sz val="10"/>
        <color rgb="FFFF0000"/>
        <rFont val="Arial"/>
        <family val="2"/>
      </rPr>
      <t>Sep</t>
    </r>
    <r>
      <rPr>
        <sz val="10"/>
        <rFont val="Arial"/>
        <family val="2"/>
      </rPr>
      <t>:</t>
    </r>
  </si>
  <si>
    <t>D-D Life:</t>
  </si>
  <si>
    <t>Vodacom ERM:</t>
  </si>
  <si>
    <t>CNA Woodlands:</t>
  </si>
  <si>
    <t>Finance charge</t>
  </si>
  <si>
    <t>Crazy store:</t>
  </si>
  <si>
    <t>Pep:</t>
  </si>
  <si>
    <t>One Stop:</t>
  </si>
  <si>
    <t>Bronberg Apteek:</t>
  </si>
  <si>
    <t>Coffee Café:</t>
  </si>
  <si>
    <t>15</t>
  </si>
  <si>
    <t>Delmas Sasol:</t>
  </si>
  <si>
    <t>KFC:</t>
  </si>
  <si>
    <t>Melrose Place:</t>
  </si>
  <si>
    <t>McDonalds:</t>
  </si>
  <si>
    <t>PC Difference:</t>
  </si>
  <si>
    <t>SEPTEMBER 2012</t>
  </si>
  <si>
    <t>P001</t>
  </si>
  <si>
    <t>JAMES SMITH</t>
  </si>
  <si>
    <t>P009</t>
  </si>
  <si>
    <t>Owed</t>
  </si>
  <si>
    <t>Spur:</t>
  </si>
  <si>
    <t>P.C. Difference:</t>
  </si>
  <si>
    <t>OCTOBER 2012</t>
  </si>
  <si>
    <t>Mr Price:</t>
  </si>
  <si>
    <t>John Dory's:</t>
  </si>
  <si>
    <t>Delmas Apteek</t>
  </si>
  <si>
    <r>
      <t xml:space="preserve">Kana 106 </t>
    </r>
    <r>
      <rPr>
        <sz val="10"/>
        <color rgb="FFFF0000"/>
        <rFont val="Arial"/>
        <family val="2"/>
      </rPr>
      <t>Nov</t>
    </r>
    <r>
      <rPr>
        <sz val="10"/>
        <rFont val="Arial"/>
        <family val="2"/>
      </rPr>
      <t>:</t>
    </r>
  </si>
  <si>
    <r>
      <t xml:space="preserve">Kana 106 </t>
    </r>
    <r>
      <rPr>
        <sz val="10"/>
        <color rgb="FFFF0000"/>
        <rFont val="Arial"/>
        <family val="2"/>
      </rPr>
      <t>Oct</t>
    </r>
    <r>
      <rPr>
        <sz val="10"/>
        <rFont val="Arial"/>
        <family val="2"/>
      </rPr>
      <t>:</t>
    </r>
  </si>
  <si>
    <t>Bid or Buy</t>
  </si>
  <si>
    <t>UNISA Refund</t>
  </si>
  <si>
    <t>Modern Talking:</t>
  </si>
  <si>
    <t>Hair dye, lense solution</t>
  </si>
  <si>
    <t>Cash</t>
  </si>
  <si>
    <t>Bid or Buy:</t>
  </si>
  <si>
    <t>Cash transfer</t>
  </si>
  <si>
    <t>Celina</t>
  </si>
  <si>
    <t>Tinus and Mom birthday prezzies</t>
  </si>
  <si>
    <t>Medicine</t>
  </si>
  <si>
    <t>Snacks for fishing + bday</t>
  </si>
  <si>
    <t>Steers</t>
  </si>
  <si>
    <t>NOVEMBER 2012</t>
  </si>
  <si>
    <r>
      <t xml:space="preserve">Kana 109 </t>
    </r>
    <r>
      <rPr>
        <sz val="10"/>
        <color rgb="FFFF0000"/>
        <rFont val="Arial"/>
        <family val="2"/>
      </rPr>
      <t>Dec</t>
    </r>
    <r>
      <rPr>
        <sz val="10"/>
        <rFont val="Arial"/>
        <family val="2"/>
      </rPr>
      <t>:</t>
    </r>
  </si>
  <si>
    <r>
      <t xml:space="preserve">Kana 109 </t>
    </r>
    <r>
      <rPr>
        <sz val="10"/>
        <color rgb="FFFF0000"/>
        <rFont val="Arial"/>
        <family val="2"/>
      </rPr>
      <t>Jan</t>
    </r>
    <r>
      <rPr>
        <sz val="10"/>
        <rFont val="Arial"/>
        <family val="2"/>
      </rPr>
      <t>:</t>
    </r>
  </si>
  <si>
    <t>Mags and toiletries</t>
  </si>
  <si>
    <t>Refund</t>
  </si>
  <si>
    <t>Petty Cash Withdrawal</t>
  </si>
  <si>
    <t>ey</t>
  </si>
  <si>
    <t>Die Delmas Kersmark</t>
  </si>
  <si>
    <t>Designer Beds</t>
  </si>
  <si>
    <t>Matrix WH</t>
  </si>
  <si>
    <t>UPS - PETTY CASH</t>
  </si>
  <si>
    <t>PayPal</t>
  </si>
  <si>
    <t>Verification</t>
  </si>
  <si>
    <t>Hairdye, body lotion, mouthwash</t>
  </si>
  <si>
    <t>Petrol</t>
  </si>
  <si>
    <t>DECEMBER 2012</t>
  </si>
  <si>
    <t>CPA Skills Assessment</t>
  </si>
  <si>
    <t>JANUARY 2013</t>
  </si>
  <si>
    <t>SAPO</t>
  </si>
  <si>
    <t>Petty cash</t>
  </si>
  <si>
    <t>Minute Man Press</t>
  </si>
  <si>
    <t>Bonus</t>
  </si>
  <si>
    <t>Mr Price Home</t>
  </si>
  <si>
    <t>Bonus:</t>
  </si>
  <si>
    <t>Darren + Mom Present:</t>
  </si>
  <si>
    <t xml:space="preserve">PETTY CASH </t>
  </si>
  <si>
    <t>Cash Withdrawal</t>
  </si>
  <si>
    <t>Incredible Connection</t>
  </si>
  <si>
    <t>Pick n Pay Hyper</t>
  </si>
  <si>
    <t>Dam Day - chicken etc</t>
  </si>
  <si>
    <t>Roma</t>
  </si>
  <si>
    <t>Ring</t>
  </si>
  <si>
    <t>Oldfarm Spar</t>
  </si>
  <si>
    <t>Braai in pta</t>
  </si>
  <si>
    <t>Legit Delmas</t>
  </si>
  <si>
    <t>Top</t>
  </si>
  <si>
    <r>
      <t xml:space="preserve">Kana 109 </t>
    </r>
    <r>
      <rPr>
        <sz val="10"/>
        <color rgb="FFFF0000"/>
        <rFont val="Arial"/>
        <family val="2"/>
      </rPr>
      <t>Feb</t>
    </r>
    <r>
      <rPr>
        <sz val="10"/>
        <rFont val="Arial"/>
        <family val="2"/>
      </rPr>
      <t>:</t>
    </r>
  </si>
  <si>
    <t>OldFarm Tops</t>
  </si>
  <si>
    <t>Dop for Braai</t>
  </si>
  <si>
    <t>pick n Pay</t>
  </si>
  <si>
    <t>Snacks</t>
  </si>
  <si>
    <t>Simply Fish:</t>
  </si>
  <si>
    <t>Engen:</t>
  </si>
  <si>
    <t>Pick n Pay Woodlands</t>
  </si>
  <si>
    <t>Dog food and sweeper</t>
  </si>
  <si>
    <t>Shoprite - Paper</t>
  </si>
  <si>
    <t>Cash Deposit:</t>
  </si>
  <si>
    <t>LiquorValu</t>
  </si>
  <si>
    <t>Darren Beer</t>
  </si>
  <si>
    <t>Fish and Chips</t>
  </si>
  <si>
    <t>Shoprite</t>
  </si>
  <si>
    <t>Kangmei:</t>
  </si>
  <si>
    <t>FEBRUARY 2013</t>
  </si>
  <si>
    <t>HomeMark - Ouma ointment</t>
  </si>
  <si>
    <t>BUKS GARNISHING ORDER</t>
  </si>
  <si>
    <t>less</t>
  </si>
  <si>
    <t>Gossip Hair studio</t>
  </si>
  <si>
    <t>Magmos Motors</t>
  </si>
  <si>
    <t>Meat Mecca</t>
  </si>
  <si>
    <t>Meat</t>
  </si>
  <si>
    <t>Matrix Warehouse</t>
  </si>
  <si>
    <t>Pick n pay hyper</t>
  </si>
  <si>
    <t>P003</t>
  </si>
  <si>
    <t>Shoprite:</t>
  </si>
  <si>
    <t>MARCH 2013</t>
  </si>
  <si>
    <r>
      <t xml:space="preserve">Kana 109 </t>
    </r>
    <r>
      <rPr>
        <sz val="10"/>
        <color rgb="FFFF0000"/>
        <rFont val="Arial"/>
        <family val="2"/>
      </rPr>
      <t>Mar</t>
    </r>
    <r>
      <rPr>
        <sz val="10"/>
        <rFont val="Arial"/>
        <family val="2"/>
      </rPr>
      <t>:</t>
    </r>
  </si>
  <si>
    <t>STANDARD WEEKS WAGES</t>
  </si>
  <si>
    <t>PREVIOUS INCREASE</t>
  </si>
  <si>
    <t>EXTRAS</t>
  </si>
  <si>
    <t>CURRENT</t>
  </si>
  <si>
    <t>% INCREASE</t>
  </si>
  <si>
    <t>PROPOSED INCREASES</t>
  </si>
  <si>
    <t>TOTAL WEEKLY PAYOUT</t>
  </si>
  <si>
    <t>Started July 2012</t>
  </si>
  <si>
    <t>NOTABLE INFO</t>
  </si>
  <si>
    <t>Med + R37.37</t>
  </si>
  <si>
    <t>CURRENT RATE</t>
  </si>
  <si>
    <t>PROPOSED RATE</t>
  </si>
  <si>
    <t>RELATIVE INCREASES</t>
  </si>
  <si>
    <t>weekly</t>
  </si>
  <si>
    <t>monthly</t>
  </si>
  <si>
    <t>AHK Motor Spares:</t>
  </si>
  <si>
    <r>
      <t xml:space="preserve">Kana 109 </t>
    </r>
    <r>
      <rPr>
        <sz val="10"/>
        <color rgb="FFFF0000"/>
        <rFont val="Arial"/>
        <family val="2"/>
      </rPr>
      <t>Apr</t>
    </r>
    <r>
      <rPr>
        <sz val="10"/>
        <rFont val="Arial"/>
        <family val="2"/>
      </rPr>
      <t>:</t>
    </r>
  </si>
  <si>
    <t>Kalahari.com</t>
  </si>
  <si>
    <t>Ext HDD for B2C and mouse for Dad</t>
  </si>
  <si>
    <t>Sasol:</t>
  </si>
  <si>
    <t>Rebel:</t>
  </si>
  <si>
    <t>KFC</t>
  </si>
  <si>
    <t>Petrol :</t>
  </si>
  <si>
    <t>Gossip Hair Studios</t>
  </si>
  <si>
    <t>Nu Metro:</t>
  </si>
  <si>
    <t xml:space="preserve">Born2Care : </t>
  </si>
  <si>
    <t>Credit = R15550</t>
  </si>
  <si>
    <t>APRIL 2013</t>
  </si>
  <si>
    <r>
      <t xml:space="preserve">Kana 109 </t>
    </r>
    <r>
      <rPr>
        <sz val="10"/>
        <color rgb="FFFF0000"/>
        <rFont val="Arial"/>
        <family val="2"/>
      </rPr>
      <t>May</t>
    </r>
    <r>
      <rPr>
        <sz val="10"/>
        <rFont val="Arial"/>
        <family val="2"/>
      </rPr>
      <t>:</t>
    </r>
  </si>
  <si>
    <t>Credit = R20000</t>
  </si>
  <si>
    <t>Sasol :</t>
  </si>
  <si>
    <t>Matrix Warehouse:</t>
  </si>
  <si>
    <t>Lago Puccini :</t>
  </si>
  <si>
    <t>Waltons:</t>
  </si>
  <si>
    <t>1-Life Direct:</t>
  </si>
  <si>
    <t>Dad BB (CHEVELLE)</t>
  </si>
  <si>
    <t>Ouma monies</t>
  </si>
  <si>
    <t>Cash With.</t>
  </si>
  <si>
    <t>iWarehouse</t>
  </si>
  <si>
    <t>FM Transmitter</t>
  </si>
  <si>
    <t>bidorbuy :</t>
  </si>
  <si>
    <t>Mango</t>
  </si>
  <si>
    <t>Plane tickets to Durban</t>
  </si>
  <si>
    <t>Statement Fee:</t>
  </si>
  <si>
    <t>Africa Cares for Life:</t>
  </si>
  <si>
    <t>Chiqwawa:</t>
  </si>
  <si>
    <t>MAY 2013</t>
  </si>
  <si>
    <r>
      <t xml:space="preserve">Kana 109 </t>
    </r>
    <r>
      <rPr>
        <sz val="10"/>
        <color rgb="FFFF0000"/>
        <rFont val="Arial"/>
        <family val="2"/>
      </rPr>
      <t>June</t>
    </r>
    <r>
      <rPr>
        <sz val="10"/>
        <rFont val="Arial"/>
        <family val="2"/>
      </rPr>
      <t>:</t>
    </r>
  </si>
  <si>
    <t>Delmas Apteek:</t>
  </si>
  <si>
    <t>Delmas Midas:</t>
  </si>
  <si>
    <t>Wiesenhoff</t>
  </si>
  <si>
    <t>RTD:</t>
  </si>
  <si>
    <t>McGinty's</t>
  </si>
  <si>
    <t>Game</t>
  </si>
  <si>
    <t>Mday chocolates</t>
  </si>
  <si>
    <t>Something Peculiar</t>
  </si>
  <si>
    <t>Dischem</t>
  </si>
  <si>
    <t>Delmas Country Lodge</t>
  </si>
  <si>
    <t>House of Ribs</t>
  </si>
  <si>
    <t>BP Tom Jones:</t>
  </si>
  <si>
    <t>Bidorbuy</t>
  </si>
  <si>
    <r>
      <t xml:space="preserve">Kana 109 </t>
    </r>
    <r>
      <rPr>
        <sz val="10"/>
        <color rgb="FFFF0000"/>
        <rFont val="Arial"/>
        <family val="2"/>
      </rPr>
      <t>July</t>
    </r>
    <r>
      <rPr>
        <sz val="10"/>
        <rFont val="Arial"/>
        <family val="2"/>
      </rPr>
      <t>:</t>
    </r>
  </si>
  <si>
    <t>JUNE 2013</t>
  </si>
  <si>
    <t>Uncle Derick</t>
  </si>
  <si>
    <t>Laptop for Liza</t>
  </si>
  <si>
    <t>Premac</t>
  </si>
  <si>
    <t>Carnival City</t>
  </si>
  <si>
    <t>1ife Direct:</t>
  </si>
  <si>
    <t>PETTY CASH</t>
  </si>
  <si>
    <t>ACFL:</t>
  </si>
  <si>
    <t>Bidorbuy.co.za</t>
  </si>
  <si>
    <t>Edgars:</t>
  </si>
  <si>
    <t>Homemark East Rand Mall</t>
  </si>
  <si>
    <t xml:space="preserve">Dad Fathers Day </t>
  </si>
  <si>
    <r>
      <t xml:space="preserve">Chiqwawa </t>
    </r>
    <r>
      <rPr>
        <b/>
        <sz val="10"/>
        <rFont val="Arial"/>
        <family val="2"/>
      </rPr>
      <t>Antionette</t>
    </r>
    <r>
      <rPr>
        <sz val="10"/>
        <rFont val="Arial"/>
        <family val="2"/>
      </rPr>
      <t>:</t>
    </r>
  </si>
  <si>
    <t>InfantMed:</t>
  </si>
  <si>
    <t>Malelane Toyota:</t>
  </si>
  <si>
    <t>JULY 2013</t>
  </si>
  <si>
    <t>1Life Direct:</t>
  </si>
  <si>
    <t>Dinner wih JM</t>
  </si>
  <si>
    <t>Col'Cacchios</t>
  </si>
  <si>
    <t>Bern ACFL:</t>
  </si>
  <si>
    <t>FlyMango.co.za</t>
  </si>
  <si>
    <t>Born 2 Care</t>
  </si>
  <si>
    <t>Dad shaver present</t>
  </si>
  <si>
    <t>Amazons</t>
  </si>
  <si>
    <t>R400 cash received</t>
  </si>
  <si>
    <t>Dad Card</t>
  </si>
  <si>
    <t>Batchelorette party stuff</t>
  </si>
  <si>
    <t>Parrots</t>
  </si>
  <si>
    <t>Colddrink @ East Rand Mall</t>
  </si>
  <si>
    <t>Middelburg Plaza</t>
  </si>
  <si>
    <t>Cash deposit:</t>
  </si>
  <si>
    <t>Ocean Basket</t>
  </si>
  <si>
    <t>Derick Chemo lunch</t>
  </si>
  <si>
    <t>Dog food</t>
  </si>
  <si>
    <t>AUGUST 2013</t>
  </si>
  <si>
    <r>
      <t xml:space="preserve">Kana 109 </t>
    </r>
    <r>
      <rPr>
        <sz val="10"/>
        <color rgb="FFFF0000"/>
        <rFont val="Arial"/>
        <family val="2"/>
      </rPr>
      <t>Aug</t>
    </r>
    <r>
      <rPr>
        <sz val="10"/>
        <rFont val="Arial"/>
        <family val="2"/>
      </rPr>
      <t>:</t>
    </r>
  </si>
  <si>
    <t>Unpaid item fee:</t>
  </si>
  <si>
    <t>Plane Ticket</t>
  </si>
  <si>
    <t>Credit = R20,000</t>
  </si>
  <si>
    <r>
      <t xml:space="preserve">Kana 109 </t>
    </r>
    <r>
      <rPr>
        <sz val="10"/>
        <color rgb="FFFF0000"/>
        <rFont val="Arial"/>
        <family val="2"/>
      </rPr>
      <t>Sept</t>
    </r>
    <r>
      <rPr>
        <sz val="10"/>
        <rFont val="Arial"/>
        <family val="2"/>
      </rPr>
      <t>:</t>
    </r>
  </si>
  <si>
    <t>Friday trip with Bronwyn</t>
  </si>
  <si>
    <t>Jean-Marie's bday present</t>
  </si>
  <si>
    <t>1Life:</t>
  </si>
  <si>
    <t>Antionette:</t>
  </si>
  <si>
    <t>Middelburg Country Club</t>
  </si>
  <si>
    <t>SEPTEMBER 2013</t>
  </si>
  <si>
    <r>
      <t xml:space="preserve">Kana 109 </t>
    </r>
    <r>
      <rPr>
        <sz val="10"/>
        <color rgb="FFFF0000"/>
        <rFont val="Arial"/>
        <family val="2"/>
      </rPr>
      <t>Oct</t>
    </r>
    <r>
      <rPr>
        <sz val="10"/>
        <rFont val="Arial"/>
        <family val="2"/>
      </rPr>
      <t>:</t>
    </r>
  </si>
  <si>
    <t>sms fee:</t>
  </si>
  <si>
    <t>Unpaid Fee:</t>
  </si>
  <si>
    <t>Visa Fee:</t>
  </si>
  <si>
    <t>Kranskop 1 Stop:</t>
  </si>
  <si>
    <t>Doorndraai:</t>
  </si>
  <si>
    <t>Carousel Main</t>
  </si>
  <si>
    <t>Tollgate</t>
  </si>
  <si>
    <t>Pumulani Main</t>
  </si>
  <si>
    <t>Nyl Plaza</t>
  </si>
  <si>
    <t>Kranskop Main</t>
  </si>
  <si>
    <t>Plant Paradise</t>
  </si>
  <si>
    <t>OCTOBER 2013</t>
  </si>
  <si>
    <r>
      <t xml:space="preserve">Kana 109 </t>
    </r>
    <r>
      <rPr>
        <sz val="10"/>
        <color rgb="FFFF0000"/>
        <rFont val="Arial"/>
        <family val="2"/>
      </rPr>
      <t>Nov</t>
    </r>
    <r>
      <rPr>
        <sz val="10"/>
        <rFont val="Arial"/>
        <family val="2"/>
      </rPr>
      <t>:</t>
    </r>
  </si>
  <si>
    <t>Dr HF Pienaar</t>
  </si>
  <si>
    <t>Sasol delmas:</t>
  </si>
  <si>
    <t>Dad Christmas</t>
  </si>
  <si>
    <t>Gossip Hair Studio</t>
  </si>
  <si>
    <t>Pick n Pay - Middelburg</t>
  </si>
  <si>
    <t>NOVEMBER 2013</t>
  </si>
  <si>
    <t>Toiletries</t>
  </si>
  <si>
    <t>Flight in Aus</t>
  </si>
  <si>
    <t>1st portion</t>
  </si>
  <si>
    <t>Have2Have:</t>
  </si>
  <si>
    <t>Visbees fishland</t>
  </si>
  <si>
    <t>Kwaliteit Slaghuis</t>
  </si>
  <si>
    <t>Old Fashioned Fish and Chips</t>
  </si>
  <si>
    <t>Jetstar</t>
  </si>
  <si>
    <t>Loan</t>
  </si>
  <si>
    <t>Change flight in Aus</t>
  </si>
  <si>
    <t>Maria ironing:</t>
  </si>
  <si>
    <t>1Stop Stationery</t>
  </si>
  <si>
    <t>Data Bundle:</t>
  </si>
  <si>
    <t xml:space="preserve">Petty Cash: </t>
  </si>
  <si>
    <t>Afgri Delmas:</t>
  </si>
  <si>
    <t>Safari Motors:</t>
  </si>
  <si>
    <t>Wiesenhoff:</t>
  </si>
  <si>
    <t>Cash withdrawal fee:</t>
  </si>
  <si>
    <t>DECEMBER 2013</t>
  </si>
  <si>
    <t>Jean-Marie Present</t>
  </si>
  <si>
    <t>Joshie's Present</t>
  </si>
  <si>
    <t>Vodacom Data Bundle:</t>
  </si>
  <si>
    <t>Galitos</t>
  </si>
  <si>
    <t>Silver Peak Spur</t>
  </si>
  <si>
    <t>Josh's Bible</t>
  </si>
  <si>
    <t>Chicken</t>
  </si>
  <si>
    <t>Springsgate:</t>
  </si>
  <si>
    <t>LiquorValu:</t>
  </si>
  <si>
    <t>Riley B (Chan pez):</t>
  </si>
  <si>
    <t>Norman's Hardware</t>
  </si>
  <si>
    <t>The Sharks:</t>
  </si>
  <si>
    <t>Nel prezzie</t>
  </si>
  <si>
    <t>Garstkloof Filling:</t>
  </si>
  <si>
    <t>CNA</t>
  </si>
  <si>
    <t>Olive gift</t>
  </si>
  <si>
    <t>Baby Bunting</t>
  </si>
  <si>
    <t>Chemist Warehouse</t>
  </si>
  <si>
    <t>K-Mart</t>
  </si>
  <si>
    <t>Top Juice</t>
  </si>
  <si>
    <t>Big W</t>
  </si>
  <si>
    <t>NYE Dress</t>
  </si>
  <si>
    <t>Juice in Mall</t>
  </si>
  <si>
    <t>Gifts for Josh, Chanel and sleep shorts</t>
  </si>
  <si>
    <t>Gift for Chanel</t>
  </si>
  <si>
    <t>Target</t>
  </si>
  <si>
    <t>Gift for Josh and Olive</t>
  </si>
  <si>
    <t>Bag for present</t>
  </si>
  <si>
    <t>Madame Tussades</t>
  </si>
  <si>
    <t>Attractions x3</t>
  </si>
  <si>
    <t>Central Rail</t>
  </si>
  <si>
    <t>Train to airport</t>
  </si>
  <si>
    <t>Velose Esspresso</t>
  </si>
  <si>
    <t>Dinner at Airport</t>
  </si>
  <si>
    <t>Kuranda Fudge Bar</t>
  </si>
  <si>
    <t>Kuranda Hotel</t>
  </si>
  <si>
    <t>Indian food at Darling harbour</t>
  </si>
  <si>
    <t>ATM Cash withdrawal in Cairns</t>
  </si>
  <si>
    <t>Cash Withdrawal Fee</t>
  </si>
  <si>
    <t>Health and Beauty Cairns</t>
  </si>
  <si>
    <t>Reimagine Cairns</t>
  </si>
  <si>
    <t>Railway</t>
  </si>
  <si>
    <t>To penrith</t>
  </si>
  <si>
    <t>To Central</t>
  </si>
  <si>
    <t>Chinese Gardens</t>
  </si>
  <si>
    <t>Koalas</t>
  </si>
  <si>
    <t>Woolworths</t>
  </si>
  <si>
    <t>TimTams</t>
  </si>
  <si>
    <t>Vodka</t>
  </si>
  <si>
    <t>Hot Dollar</t>
  </si>
  <si>
    <t>Airport</t>
  </si>
  <si>
    <t>McDonalds</t>
  </si>
  <si>
    <t>Cuppacino</t>
  </si>
  <si>
    <t>Breakfast</t>
  </si>
  <si>
    <t>Train to Airport</t>
  </si>
  <si>
    <t>Penrith</t>
  </si>
  <si>
    <t>Petty cash:</t>
  </si>
  <si>
    <r>
      <t xml:space="preserve">till end May </t>
    </r>
    <r>
      <rPr>
        <b/>
        <i/>
        <sz val="10"/>
        <rFont val="Wingdings"/>
        <charset val="2"/>
      </rPr>
      <t>à</t>
    </r>
  </si>
  <si>
    <t>Cash withdrawal Fee</t>
  </si>
  <si>
    <t>Netcafe</t>
  </si>
  <si>
    <t>Vodacom Data:1</t>
  </si>
  <si>
    <t>Wonderpark Spur</t>
  </si>
  <si>
    <t>Fine</t>
  </si>
  <si>
    <t>Food Lovers Mark</t>
  </si>
  <si>
    <t>Smulhoekie</t>
  </si>
  <si>
    <t>Bronwyn Born 2 Care:</t>
  </si>
  <si>
    <t>MARCH 2014</t>
  </si>
  <si>
    <t>CPA Registration</t>
  </si>
  <si>
    <t>LiquorShop:</t>
  </si>
  <si>
    <t>SSW PREMAC:</t>
  </si>
  <si>
    <t>SA Post Office:</t>
  </si>
  <si>
    <t>Delmas Midas</t>
  </si>
  <si>
    <t xml:space="preserve">Hinterland Delmas </t>
  </si>
  <si>
    <t>Groupon</t>
  </si>
  <si>
    <t>Hair</t>
  </si>
  <si>
    <t>Dischem Boksburg</t>
  </si>
  <si>
    <t>CPA Modules</t>
  </si>
  <si>
    <t>Vodacom Data:</t>
  </si>
  <si>
    <t>gHD @ Salon 500:</t>
  </si>
  <si>
    <t>APRIL 2014</t>
  </si>
  <si>
    <t>06</t>
  </si>
  <si>
    <t>08</t>
  </si>
  <si>
    <t>Cuppacinos:</t>
  </si>
  <si>
    <t>Ster Kinekor</t>
  </si>
  <si>
    <t>Sticker and Sign World</t>
  </si>
  <si>
    <t>OutSurance:</t>
  </si>
  <si>
    <t>Outsurance:</t>
  </si>
  <si>
    <t>Dial-direct Refund:</t>
  </si>
  <si>
    <t>Computicket</t>
  </si>
  <si>
    <t>Takealot</t>
  </si>
  <si>
    <t>Mom's Mouse</t>
  </si>
  <si>
    <t>Outsurance Refund:</t>
  </si>
  <si>
    <t>Crazy Detailer:</t>
  </si>
  <si>
    <t>ü</t>
  </si>
  <si>
    <t>Waterfront Service Station:</t>
  </si>
  <si>
    <t>Clicks Delmas</t>
  </si>
  <si>
    <t>Clicks Middelburg</t>
  </si>
  <si>
    <t>MAY 2014</t>
  </si>
  <si>
    <t>10</t>
  </si>
  <si>
    <t>Glamour Inc:</t>
  </si>
  <si>
    <t>Glamour Inc</t>
  </si>
  <si>
    <t>The Quarterdeck</t>
  </si>
  <si>
    <t>John Dory's</t>
  </si>
  <si>
    <t>Cuppacinos</t>
  </si>
  <si>
    <t>Aunty Lyn:</t>
  </si>
  <si>
    <t>Sms Notification:</t>
  </si>
  <si>
    <t>RS Components</t>
  </si>
  <si>
    <t>JUNE 2014</t>
  </si>
  <si>
    <t>D300</t>
  </si>
  <si>
    <t>Leon (Toyota Raider Insurance):</t>
  </si>
  <si>
    <t>Leon (Tata Insurance):</t>
  </si>
  <si>
    <t>Leon (Toyota Corolla Insurance):</t>
  </si>
  <si>
    <t>14</t>
  </si>
  <si>
    <t>17</t>
  </si>
  <si>
    <t>Captain Doregos:</t>
  </si>
  <si>
    <t>Dora Loan</t>
  </si>
  <si>
    <t>Dad present</t>
  </si>
  <si>
    <t>K90 Service Station:</t>
  </si>
  <si>
    <t>D202</t>
  </si>
  <si>
    <t>Dan (Francois Medical)</t>
  </si>
  <si>
    <t>P002</t>
  </si>
  <si>
    <t>Credit = R28,000</t>
  </si>
  <si>
    <t>CREDIT INCREASE</t>
  </si>
  <si>
    <t>Nickas Biltong</t>
  </si>
  <si>
    <t>Vodacom Airtime:</t>
  </si>
  <si>
    <t>Pick n Pay Towers</t>
  </si>
  <si>
    <t>Bidorbuy - Takealot</t>
  </si>
  <si>
    <t>bidorbuy - AVSupply</t>
  </si>
  <si>
    <t>JULY 2014</t>
  </si>
  <si>
    <t>18</t>
  </si>
  <si>
    <t>19</t>
  </si>
  <si>
    <t>22</t>
  </si>
  <si>
    <t>CC Transfer</t>
  </si>
  <si>
    <t>Rietkol Vet</t>
  </si>
  <si>
    <t>Dora Airtime:</t>
  </si>
  <si>
    <t>Pink n Pay</t>
  </si>
  <si>
    <t>Clicks Pharmacy</t>
  </si>
  <si>
    <t>Spur</t>
  </si>
  <si>
    <t>MTN Data Bundle:</t>
  </si>
  <si>
    <t>Mom Shampoo:</t>
  </si>
  <si>
    <t>Electricity - EasyPay</t>
  </si>
  <si>
    <t>AUGUST 2014</t>
  </si>
  <si>
    <r>
      <t xml:space="preserve">Kana 109 </t>
    </r>
    <r>
      <rPr>
        <sz val="10"/>
        <color rgb="FFFF0000"/>
        <rFont val="Arial"/>
        <family val="2"/>
      </rPr>
      <t>Sep</t>
    </r>
    <r>
      <rPr>
        <sz val="10"/>
        <rFont val="Arial"/>
        <family val="2"/>
      </rPr>
      <t>:</t>
    </r>
  </si>
  <si>
    <t>23</t>
  </si>
  <si>
    <t>25</t>
  </si>
  <si>
    <t>BP Delmaswes:</t>
  </si>
  <si>
    <t>Liquor city Towers</t>
  </si>
  <si>
    <t>Bidorbuy:</t>
  </si>
  <si>
    <t>Electricity</t>
  </si>
  <si>
    <t>Joseph loan</t>
  </si>
  <si>
    <t>Dora loan</t>
  </si>
  <si>
    <t>HENDRIK BOTHA</t>
  </si>
  <si>
    <t>Rietkol Veterinere Spreekkamer</t>
  </si>
  <si>
    <t>Captain Doregos</t>
  </si>
  <si>
    <t>TUAI:</t>
  </si>
  <si>
    <t>Inksaver.co.za</t>
  </si>
  <si>
    <t>P010</t>
  </si>
  <si>
    <t>P011</t>
  </si>
  <si>
    <t>RUAAN STEVENS</t>
  </si>
  <si>
    <t>Sasol Delams:</t>
  </si>
  <si>
    <t>Mom cheesecake:</t>
  </si>
  <si>
    <t>Email fee:</t>
  </si>
  <si>
    <t>Kalahari - Jean-marie present</t>
  </si>
  <si>
    <t>SEPTEMBER 2014</t>
  </si>
  <si>
    <t>27</t>
  </si>
  <si>
    <t>P008</t>
  </si>
  <si>
    <t>DERRICK VENTER</t>
  </si>
  <si>
    <t>Airtime:</t>
  </si>
  <si>
    <t>EasyPay Electricity</t>
  </si>
  <si>
    <t>Sasol Delmas</t>
  </si>
  <si>
    <t>Hecker Nursery</t>
  </si>
  <si>
    <t>Dion Wired</t>
  </si>
  <si>
    <t>Handy Joe's Hardware</t>
  </si>
  <si>
    <t>OCTOBER 2014</t>
  </si>
  <si>
    <t xml:space="preserve">  + medical and rent</t>
  </si>
  <si>
    <t xml:space="preserve">  + rent</t>
  </si>
  <si>
    <t>32</t>
  </si>
  <si>
    <t>33</t>
  </si>
  <si>
    <t>34</t>
  </si>
  <si>
    <t>35</t>
  </si>
  <si>
    <t>Charlie's Tees:</t>
  </si>
  <si>
    <t>Ouma monies:</t>
  </si>
  <si>
    <t>Rebel Mini Market</t>
  </si>
  <si>
    <t>Delmas Autozone</t>
  </si>
  <si>
    <t>BMG Delmas</t>
  </si>
  <si>
    <t>MacDonalds</t>
  </si>
  <si>
    <t>SSW</t>
  </si>
  <si>
    <t>Diamond Hill Mainline</t>
  </si>
  <si>
    <t>Tops Kanonkop</t>
  </si>
  <si>
    <t>Farm Inn</t>
  </si>
  <si>
    <t>Hennie Airtime</t>
  </si>
  <si>
    <t>Nikki (Derrick monies)</t>
  </si>
  <si>
    <t>Derrick Monies:</t>
  </si>
  <si>
    <t>Fishaways</t>
  </si>
  <si>
    <t>Foto First</t>
  </si>
  <si>
    <t>The Crazy Store (B2C):</t>
  </si>
  <si>
    <t>Newscafe:</t>
  </si>
  <si>
    <t>PEP Vouchers (B2C):</t>
  </si>
  <si>
    <t>Dora phone</t>
  </si>
  <si>
    <t xml:space="preserve"> - 250</t>
  </si>
  <si>
    <t>B2C</t>
  </si>
  <si>
    <t>NOVEMBER 2014</t>
  </si>
  <si>
    <t>Derrick Airtime:</t>
  </si>
  <si>
    <t>36</t>
  </si>
  <si>
    <t>37</t>
  </si>
  <si>
    <t>38</t>
  </si>
  <si>
    <t>39</t>
  </si>
  <si>
    <t>Clicks Pharmacy:</t>
  </si>
  <si>
    <t>Nikki (Derrick Monies)</t>
  </si>
  <si>
    <t>Aunty Lyn Kalahari</t>
  </si>
  <si>
    <t>Dischem:</t>
  </si>
  <si>
    <t>Reggies</t>
  </si>
  <si>
    <t>MTN Data:</t>
  </si>
  <si>
    <t>174.03</t>
  </si>
  <si>
    <t>60.00</t>
  </si>
  <si>
    <t>Reebok - Mom to reimburse</t>
  </si>
  <si>
    <t>Derrick:</t>
  </si>
  <si>
    <t>The Crazy Store</t>
  </si>
  <si>
    <t>One stop Stationary:</t>
  </si>
  <si>
    <t>DECEMBER 2014</t>
  </si>
  <si>
    <t>40</t>
  </si>
  <si>
    <t>41</t>
  </si>
  <si>
    <t>42</t>
  </si>
  <si>
    <t>ANNUAL SHUTDOWN</t>
  </si>
  <si>
    <t>Scooters Pizza:</t>
  </si>
  <si>
    <t>Takealot.com</t>
  </si>
  <si>
    <t>JM Christmas Present</t>
  </si>
  <si>
    <t>Mom:</t>
  </si>
  <si>
    <t>Cappucinos</t>
  </si>
  <si>
    <t>Big Blue:</t>
  </si>
  <si>
    <t>Derrick Monies</t>
  </si>
  <si>
    <t>MTN Reversed:</t>
  </si>
  <si>
    <t>Unpaid Item Fee:</t>
  </si>
  <si>
    <t>233.24</t>
  </si>
  <si>
    <t>55.00</t>
  </si>
  <si>
    <t>WEEKS WAGES, BONUS AND LEAVE PAY</t>
  </si>
  <si>
    <t>JANUARY 2015</t>
  </si>
  <si>
    <t>MONTH END PAYMENTS</t>
  </si>
  <si>
    <t>Computicket - Liefling</t>
  </si>
  <si>
    <t>JANUARY 2014</t>
  </si>
  <si>
    <t>Jack's Paint</t>
  </si>
  <si>
    <t>Dissiplek</t>
  </si>
  <si>
    <t>Gosforth Plaza</t>
  </si>
  <si>
    <t>MTN Airtime:</t>
  </si>
  <si>
    <t>Delmas Steers</t>
  </si>
  <si>
    <t>Wimpy:</t>
  </si>
  <si>
    <t>46</t>
  </si>
  <si>
    <t>47</t>
  </si>
  <si>
    <t>48</t>
  </si>
  <si>
    <t>214.46</t>
  </si>
  <si>
    <t>«</t>
  </si>
  <si>
    <t>Benns Pharmacy</t>
  </si>
  <si>
    <t>Diamond Hill Mainline Plaza</t>
  </si>
  <si>
    <t>FEBRUARY 2015</t>
  </si>
  <si>
    <t>49</t>
  </si>
  <si>
    <t>50</t>
  </si>
  <si>
    <t>51</t>
  </si>
  <si>
    <t>52</t>
  </si>
  <si>
    <t>FEBRUARY 2014</t>
  </si>
  <si>
    <t>Amazons:</t>
  </si>
  <si>
    <t>New banking details!</t>
  </si>
  <si>
    <t>ABSA 8546, 9303817222</t>
  </si>
  <si>
    <t>Chanel Gift</t>
  </si>
  <si>
    <t>Kalahari.com - Bronwyn</t>
  </si>
  <si>
    <t>Kalahari.com - Angela</t>
  </si>
  <si>
    <t>MARCH 2015</t>
  </si>
  <si>
    <t>Bounce fee</t>
  </si>
  <si>
    <r>
      <t xml:space="preserve">Kana 109 </t>
    </r>
    <r>
      <rPr>
        <sz val="10"/>
        <color rgb="FFFF0000"/>
        <rFont val="Arial"/>
        <family val="2"/>
      </rPr>
      <t>April</t>
    </r>
    <r>
      <rPr>
        <sz val="10"/>
        <rFont val="Arial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</si>
</sst>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&quot;R&quot;\ #,##0.00"/>
    <numFmt numFmtId="167" formatCode="0.0"/>
    <numFmt numFmtId="168" formatCode="0_ ;\-0\ "/>
    <numFmt numFmtId="169" formatCode="hh:mm:ss;@"/>
    <numFmt numFmtId="170" formatCode="[$$-C09]#,##0"/>
    <numFmt numFmtId="171" formatCode="_ [$R-1C09]\ * #,##0.00_ ;_ [$R-1C09]\ * \-#,##0.00_ ;_ [$R-1C09]\ * &quot;-&quot;??_ ;_ @_ "/>
  </numFmts>
  <fonts count="7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28"/>
      <color indexed="2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sz val="14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color indexed="42"/>
      <name val="Arial"/>
      <family val="2"/>
    </font>
    <font>
      <b/>
      <sz val="10"/>
      <color indexed="42"/>
      <name val="Arial"/>
      <family val="2"/>
    </font>
    <font>
      <b/>
      <i/>
      <sz val="10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sz val="10"/>
      <color indexed="57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10"/>
      <color indexed="48"/>
      <name val="Arial"/>
      <family val="2"/>
    </font>
    <font>
      <b/>
      <i/>
      <u/>
      <sz val="10"/>
      <name val="Arial"/>
      <family val="2"/>
    </font>
    <font>
      <sz val="10"/>
      <color indexed="10"/>
      <name val="Arial"/>
      <family val="2"/>
    </font>
    <font>
      <sz val="10"/>
      <color indexed="57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name val="Arial"/>
      <family val="2"/>
    </font>
    <font>
      <sz val="10"/>
      <color rgb="FF0070C0"/>
      <name val="Arial"/>
      <family val="2"/>
    </font>
    <font>
      <sz val="10"/>
      <color theme="5" tint="0.39997558519241921"/>
      <name val="Arial"/>
      <family val="2"/>
    </font>
    <font>
      <sz val="10"/>
      <color theme="1"/>
      <name val="Arial"/>
      <family val="2"/>
    </font>
    <font>
      <i/>
      <u val="singleAccounting"/>
      <sz val="1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0"/>
      <color rgb="FFFF33CC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b/>
      <u val="singleAccounting"/>
      <sz val="10"/>
      <name val="Arial"/>
      <family val="2"/>
    </font>
    <font>
      <i/>
      <sz val="9"/>
      <name val="Arial"/>
      <family val="2"/>
    </font>
    <font>
      <i/>
      <sz val="10"/>
      <color indexed="10"/>
      <name val="Arial"/>
      <family val="2"/>
    </font>
    <font>
      <i/>
      <sz val="10"/>
      <color rgb="FFFF33CC"/>
      <name val="Arial"/>
      <family val="2"/>
    </font>
    <font>
      <sz val="9"/>
      <color rgb="FFFF0000"/>
      <name val="Arial"/>
      <family val="2"/>
    </font>
    <font>
      <b/>
      <i/>
      <sz val="10"/>
      <color rgb="FFFF33CC"/>
      <name val="Arial"/>
      <family val="2"/>
    </font>
    <font>
      <b/>
      <sz val="7.5"/>
      <name val="Arial"/>
      <family val="2"/>
    </font>
    <font>
      <b/>
      <i/>
      <sz val="14"/>
      <color theme="0"/>
      <name val="Incised901 Nd BT"/>
      <family val="2"/>
    </font>
    <font>
      <b/>
      <i/>
      <sz val="16"/>
      <color theme="1" tint="0.499984740745262"/>
      <name val="Arial"/>
      <family val="2"/>
    </font>
    <font>
      <b/>
      <i/>
      <sz val="8"/>
      <color theme="1" tint="0.34998626667073579"/>
      <name val="Arial"/>
      <family val="2"/>
    </font>
    <font>
      <b/>
      <sz val="10"/>
      <color rgb="FF00B050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i/>
      <sz val="36"/>
      <color theme="4" tint="0.59999389629810485"/>
      <name val="Arial"/>
      <family val="2"/>
    </font>
    <font>
      <b/>
      <sz val="16"/>
      <color theme="0" tint="-0.499984740745262"/>
      <name val="Arial"/>
      <family val="2"/>
    </font>
    <font>
      <sz val="10"/>
      <color rgb="FF7030A0"/>
      <name val="Wingdings"/>
      <charset val="2"/>
    </font>
    <font>
      <sz val="10"/>
      <color rgb="FF7030A0"/>
      <name val="Arial"/>
      <family val="2"/>
    </font>
    <font>
      <i/>
      <sz val="22"/>
      <color indexed="8"/>
      <name val="Arial Black"/>
      <family val="2"/>
    </font>
    <font>
      <i/>
      <sz val="10"/>
      <color theme="0" tint="-0.34998626667073579"/>
      <name val="Arial"/>
      <family val="2"/>
    </font>
    <font>
      <b/>
      <i/>
      <u/>
      <sz val="9"/>
      <color theme="0" tint="-0.3499862666707357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i/>
      <u/>
      <sz val="10"/>
      <color theme="0"/>
      <name val="Arial"/>
      <family val="2"/>
    </font>
    <font>
      <b/>
      <i/>
      <sz val="14"/>
      <name val="Arial"/>
      <family val="2"/>
    </font>
    <font>
      <i/>
      <sz val="10"/>
      <color theme="1"/>
      <name val="Arial"/>
      <family val="2"/>
    </font>
    <font>
      <i/>
      <sz val="10"/>
      <color rgb="FFFF00FF"/>
      <name val="Arial"/>
      <family val="2"/>
    </font>
    <font>
      <sz val="11"/>
      <name val="Calibri"/>
      <family val="2"/>
      <scheme val="minor"/>
    </font>
    <font>
      <b/>
      <sz val="10"/>
      <color theme="7"/>
      <name val="Arial"/>
      <family val="2"/>
    </font>
    <font>
      <i/>
      <sz val="10"/>
      <color theme="4"/>
      <name val="Arial"/>
      <family val="2"/>
    </font>
    <font>
      <b/>
      <sz val="10"/>
      <color rgb="FF7030A0"/>
      <name val="Arial"/>
      <family val="2"/>
    </font>
    <font>
      <sz val="10"/>
      <color rgb="FF000000"/>
      <name val="Arial"/>
      <family val="2"/>
    </font>
    <font>
      <b/>
      <i/>
      <u val="singleAccounting"/>
      <sz val="10"/>
      <name val="Arial"/>
      <family val="2"/>
    </font>
    <font>
      <i/>
      <sz val="10"/>
      <color rgb="FF0070C0"/>
      <name val="Arial"/>
      <family val="2"/>
    </font>
    <font>
      <i/>
      <sz val="10"/>
      <color rgb="FF00B050"/>
      <name val="Arial"/>
      <family val="2"/>
    </font>
    <font>
      <b/>
      <i/>
      <sz val="10"/>
      <name val="Wingdings"/>
      <charset val="2"/>
    </font>
    <font>
      <sz val="10"/>
      <name val="Wingdings"/>
      <charset val="2"/>
    </font>
    <font>
      <b/>
      <i/>
      <sz val="16"/>
      <name val="Arial"/>
      <family val="2"/>
    </font>
    <font>
      <i/>
      <sz val="10"/>
      <color indexed="48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gray0625">
        <fgColor theme="4"/>
        <bgColor auto="1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170" fontId="0" fillId="0" borderId="0"/>
    <xf numFmtId="44" fontId="1" fillId="0" borderId="0" applyFont="0" applyFill="0" applyBorder="0" applyAlignment="0" applyProtection="0"/>
    <xf numFmtId="170" fontId="1" fillId="0" borderId="0"/>
    <xf numFmtId="170" fontId="2" fillId="0" borderId="0"/>
    <xf numFmtId="170" fontId="2" fillId="0" borderId="0"/>
    <xf numFmtId="43" fontId="51" fillId="0" borderId="0" applyFont="0" applyFill="0" applyBorder="0" applyAlignment="0" applyProtection="0"/>
  </cellStyleXfs>
  <cellXfs count="1051">
    <xf numFmtId="170" fontId="0" fillId="0" borderId="0" xfId="0"/>
    <xf numFmtId="170" fontId="2" fillId="0" borderId="0" xfId="3"/>
    <xf numFmtId="170" fontId="3" fillId="0" borderId="0" xfId="3" applyFont="1" applyFill="1" applyBorder="1" applyAlignment="1">
      <alignment horizontal="center"/>
    </xf>
    <xf numFmtId="15" fontId="6" fillId="0" borderId="0" xfId="2" applyNumberFormat="1" applyFont="1" applyBorder="1"/>
    <xf numFmtId="170" fontId="1" fillId="0" borderId="0" xfId="2" applyBorder="1"/>
    <xf numFmtId="170" fontId="1" fillId="0" borderId="0" xfId="2"/>
    <xf numFmtId="170" fontId="4" fillId="0" borderId="0" xfId="2" applyFont="1" applyAlignment="1">
      <alignment horizontal="center"/>
    </xf>
    <xf numFmtId="170" fontId="1" fillId="0" borderId="0" xfId="2" applyAlignment="1">
      <alignment vertical="center"/>
    </xf>
    <xf numFmtId="170" fontId="9" fillId="0" borderId="0" xfId="2" applyFont="1" applyAlignment="1">
      <alignment horizontal="center"/>
    </xf>
    <xf numFmtId="170" fontId="6" fillId="0" borderId="0" xfId="2" applyFont="1"/>
    <xf numFmtId="170" fontId="6" fillId="0" borderId="0" xfId="2" applyFont="1" applyAlignment="1">
      <alignment horizontal="center"/>
    </xf>
    <xf numFmtId="170" fontId="7" fillId="0" borderId="0" xfId="2" applyFont="1" applyBorder="1" applyAlignment="1">
      <alignment horizontal="center"/>
    </xf>
    <xf numFmtId="170" fontId="1" fillId="0" borderId="0" xfId="2" applyAlignment="1">
      <alignment horizontal="center"/>
    </xf>
    <xf numFmtId="170" fontId="6" fillId="0" borderId="0" xfId="2" applyFont="1" applyBorder="1" applyAlignment="1">
      <alignment horizontal="center"/>
    </xf>
    <xf numFmtId="44" fontId="0" fillId="0" borderId="0" xfId="1" applyFont="1"/>
    <xf numFmtId="44" fontId="0" fillId="0" borderId="8" xfId="1" applyFont="1" applyBorder="1"/>
    <xf numFmtId="170" fontId="7" fillId="0" borderId="0" xfId="0" applyFont="1" applyAlignment="1">
      <alignment horizontal="center"/>
    </xf>
    <xf numFmtId="170" fontId="8" fillId="0" borderId="0" xfId="0" applyFont="1"/>
    <xf numFmtId="170" fontId="7" fillId="0" borderId="0" xfId="0" applyFont="1"/>
    <xf numFmtId="44" fontId="4" fillId="0" borderId="0" xfId="1" applyFont="1"/>
    <xf numFmtId="170" fontId="0" fillId="0" borderId="0" xfId="0" applyBorder="1"/>
    <xf numFmtId="170" fontId="0" fillId="0" borderId="0" xfId="0" applyAlignment="1">
      <alignment vertical="center"/>
    </xf>
    <xf numFmtId="170" fontId="0" fillId="0" borderId="0" xfId="0" applyBorder="1" applyAlignment="1">
      <alignment vertical="center"/>
    </xf>
    <xf numFmtId="170" fontId="0" fillId="0" borderId="0" xfId="0" applyAlignment="1">
      <alignment horizontal="right"/>
    </xf>
    <xf numFmtId="170" fontId="0" fillId="0" borderId="0" xfId="0" quotePrefix="1" applyBorder="1" applyAlignment="1">
      <alignment horizontal="right"/>
    </xf>
    <xf numFmtId="170" fontId="7" fillId="0" borderId="0" xfId="0" applyFont="1" applyBorder="1" applyAlignment="1">
      <alignment horizontal="center"/>
    </xf>
    <xf numFmtId="44" fontId="0" fillId="0" borderId="0" xfId="1" applyFont="1" applyBorder="1"/>
    <xf numFmtId="44" fontId="7" fillId="0" borderId="2" xfId="1" applyFont="1" applyBorder="1"/>
    <xf numFmtId="170" fontId="7" fillId="0" borderId="0" xfId="2" applyFont="1" applyBorder="1"/>
    <xf numFmtId="44" fontId="0" fillId="0" borderId="0" xfId="0" applyNumberFormat="1"/>
    <xf numFmtId="44" fontId="0" fillId="0" borderId="0" xfId="0" applyNumberFormat="1" applyAlignment="1"/>
    <xf numFmtId="170" fontId="0" fillId="0" borderId="0" xfId="0" applyAlignment="1"/>
    <xf numFmtId="4" fontId="9" fillId="0" borderId="0" xfId="2" applyNumberFormat="1" applyFont="1" applyBorder="1"/>
    <xf numFmtId="44" fontId="7" fillId="0" borderId="0" xfId="0" applyNumberFormat="1" applyFont="1" applyFill="1" applyBorder="1" applyAlignment="1">
      <alignment horizontal="right"/>
    </xf>
    <xf numFmtId="44" fontId="7" fillId="0" borderId="0" xfId="1" applyFont="1" applyFill="1" applyBorder="1"/>
    <xf numFmtId="170" fontId="8" fillId="0" borderId="0" xfId="0" applyFont="1" applyBorder="1"/>
    <xf numFmtId="170" fontId="10" fillId="0" borderId="0" xfId="0" applyFont="1"/>
    <xf numFmtId="170" fontId="4" fillId="0" borderId="0" xfId="0" applyFont="1" applyAlignment="1">
      <alignment horizontal="center"/>
    </xf>
    <xf numFmtId="170" fontId="4" fillId="0" borderId="0" xfId="0" applyFont="1"/>
    <xf numFmtId="44" fontId="0" fillId="0" borderId="0" xfId="0" applyNumberFormat="1" applyBorder="1"/>
    <xf numFmtId="44" fontId="7" fillId="0" borderId="0" xfId="1" applyFont="1" applyBorder="1"/>
    <xf numFmtId="170" fontId="7" fillId="0" borderId="0" xfId="0" applyFont="1" applyBorder="1"/>
    <xf numFmtId="44" fontId="4" fillId="0" borderId="0" xfId="1" applyFont="1" applyBorder="1"/>
    <xf numFmtId="44" fontId="0" fillId="0" borderId="0" xfId="1" applyFont="1" applyBorder="1" applyAlignment="1">
      <alignment horizontal="center"/>
    </xf>
    <xf numFmtId="44" fontId="1" fillId="0" borderId="0" xfId="1" applyFont="1"/>
    <xf numFmtId="44" fontId="1" fillId="0" borderId="0" xfId="1" applyFont="1" applyBorder="1"/>
    <xf numFmtId="170" fontId="0" fillId="0" borderId="0" xfId="0" applyBorder="1" applyAlignment="1">
      <alignment horizontal="right"/>
    </xf>
    <xf numFmtId="170" fontId="1" fillId="0" borderId="22" xfId="2" applyFont="1" applyBorder="1" applyAlignment="1">
      <alignment horizontal="center"/>
    </xf>
    <xf numFmtId="44" fontId="0" fillId="0" borderId="0" xfId="1" applyFont="1" applyFill="1" applyBorder="1"/>
    <xf numFmtId="44" fontId="1" fillId="0" borderId="0" xfId="0" applyNumberFormat="1" applyFont="1" applyBorder="1"/>
    <xf numFmtId="44" fontId="0" fillId="0" borderId="0" xfId="0" applyNumberFormat="1" applyFill="1" applyBorder="1" applyAlignment="1">
      <alignment horizontal="center"/>
    </xf>
    <xf numFmtId="44" fontId="0" fillId="0" borderId="1" xfId="1" applyFont="1" applyBorder="1"/>
    <xf numFmtId="44" fontId="1" fillId="0" borderId="8" xfId="1" applyFont="1" applyBorder="1"/>
    <xf numFmtId="44" fontId="1" fillId="0" borderId="26" xfId="1" applyFont="1" applyBorder="1"/>
    <xf numFmtId="167" fontId="0" fillId="0" borderId="0" xfId="0" applyNumberFormat="1" applyBorder="1"/>
    <xf numFmtId="44" fontId="1" fillId="0" borderId="0" xfId="1" applyFont="1" applyBorder="1" applyAlignment="1">
      <alignment horizontal="center"/>
    </xf>
    <xf numFmtId="170" fontId="7" fillId="0" borderId="0" xfId="2" applyFont="1" applyBorder="1" applyAlignment="1">
      <alignment horizontal="center" vertical="center"/>
    </xf>
    <xf numFmtId="2" fontId="6" fillId="0" borderId="0" xfId="2" applyNumberFormat="1" applyFont="1" applyBorder="1" applyAlignment="1">
      <alignment horizontal="left" vertical="center"/>
    </xf>
    <xf numFmtId="2" fontId="9" fillId="0" borderId="0" xfId="2" applyNumberFormat="1" applyFont="1" applyBorder="1" applyAlignment="1">
      <alignment vertical="center"/>
    </xf>
    <xf numFmtId="44" fontId="0" fillId="0" borderId="0" xfId="1" applyFont="1" applyBorder="1" applyAlignment="1">
      <alignment horizontal="right"/>
    </xf>
    <xf numFmtId="44" fontId="4" fillId="0" borderId="0" xfId="1" applyFont="1" applyBorder="1" applyAlignment="1">
      <alignment horizontal="right"/>
    </xf>
    <xf numFmtId="2" fontId="19" fillId="0" borderId="0" xfId="2" applyNumberFormat="1" applyFont="1" applyBorder="1" applyAlignment="1">
      <alignment vertical="center"/>
    </xf>
    <xf numFmtId="44" fontId="0" fillId="0" borderId="0" xfId="1" applyFont="1" applyAlignment="1">
      <alignment horizontal="left"/>
    </xf>
    <xf numFmtId="44" fontId="13" fillId="0" borderId="0" xfId="1" applyFont="1" applyBorder="1" applyAlignment="1">
      <alignment horizontal="left"/>
    </xf>
    <xf numFmtId="44" fontId="0" fillId="0" borderId="1" xfId="0" applyNumberFormat="1" applyBorder="1" applyAlignment="1">
      <alignment vertical="center"/>
    </xf>
    <xf numFmtId="44" fontId="13" fillId="0" borderId="0" xfId="1" applyFont="1" applyFill="1" applyBorder="1"/>
    <xf numFmtId="14" fontId="0" fillId="0" borderId="0" xfId="0" applyNumberFormat="1" applyBorder="1" applyAlignment="1">
      <alignment horizontal="right"/>
    </xf>
    <xf numFmtId="44" fontId="8" fillId="0" borderId="0" xfId="0" applyNumberFormat="1" applyFont="1" applyBorder="1" applyAlignment="1">
      <alignment horizontal="center" vertical="center" wrapText="1"/>
    </xf>
    <xf numFmtId="44" fontId="0" fillId="0" borderId="0" xfId="0" applyNumberFormat="1" applyBorder="1" applyAlignment="1">
      <alignment vertical="center"/>
    </xf>
    <xf numFmtId="44" fontId="1" fillId="0" borderId="16" xfId="1" applyFont="1" applyFill="1" applyBorder="1"/>
    <xf numFmtId="44" fontId="1" fillId="0" borderId="11" xfId="1" applyFont="1" applyFill="1" applyBorder="1"/>
    <xf numFmtId="44" fontId="1" fillId="0" borderId="14" xfId="1" applyFont="1" applyBorder="1"/>
    <xf numFmtId="44" fontId="1" fillId="0" borderId="16" xfId="1" applyFont="1" applyBorder="1" applyAlignment="1">
      <alignment horizontal="left"/>
    </xf>
    <xf numFmtId="44" fontId="1" fillId="0" borderId="11" xfId="1" applyFont="1" applyBorder="1" applyAlignment="1">
      <alignment horizontal="left"/>
    </xf>
    <xf numFmtId="44" fontId="20" fillId="0" borderId="0" xfId="1" applyFont="1" applyFill="1" applyBorder="1"/>
    <xf numFmtId="170" fontId="1" fillId="0" borderId="22" xfId="2" applyFont="1" applyBorder="1"/>
    <xf numFmtId="170" fontId="3" fillId="0" borderId="0" xfId="3" quotePrefix="1" applyFont="1" applyFill="1" applyBorder="1" applyAlignment="1">
      <alignment horizontal="center"/>
    </xf>
    <xf numFmtId="44" fontId="23" fillId="0" borderId="0" xfId="0" applyNumberFormat="1" applyFont="1" applyBorder="1"/>
    <xf numFmtId="170" fontId="0" fillId="0" borderId="8" xfId="0" applyBorder="1"/>
    <xf numFmtId="49" fontId="1" fillId="0" borderId="0" xfId="0" applyNumberFormat="1" applyFont="1" applyBorder="1" applyAlignment="1">
      <alignment horizontal="right"/>
    </xf>
    <xf numFmtId="44" fontId="0" fillId="0" borderId="0" xfId="0" applyNumberFormat="1" applyFill="1" applyBorder="1" applyAlignment="1">
      <alignment horizontal="right"/>
    </xf>
    <xf numFmtId="170" fontId="24" fillId="0" borderId="0" xfId="0" applyFont="1"/>
    <xf numFmtId="170" fontId="1" fillId="0" borderId="5" xfId="2" applyFont="1" applyBorder="1" applyAlignment="1">
      <alignment horizontal="center"/>
    </xf>
    <xf numFmtId="44" fontId="25" fillId="0" borderId="0" xfId="0" applyNumberFormat="1" applyFont="1" applyFill="1" applyBorder="1" applyAlignment="1">
      <alignment horizontal="right"/>
    </xf>
    <xf numFmtId="44" fontId="26" fillId="0" borderId="0" xfId="0" applyNumberFormat="1" applyFont="1" applyFill="1" applyBorder="1" applyAlignment="1">
      <alignment horizontal="right"/>
    </xf>
    <xf numFmtId="49" fontId="1" fillId="0" borderId="27" xfId="0" applyNumberFormat="1" applyFont="1" applyBorder="1" applyAlignment="1">
      <alignment horizontal="center"/>
    </xf>
    <xf numFmtId="14" fontId="0" fillId="0" borderId="8" xfId="0" applyNumberFormat="1" applyBorder="1" applyAlignment="1">
      <alignment horizontal="right"/>
    </xf>
    <xf numFmtId="44" fontId="0" fillId="0" borderId="27" xfId="0" applyNumberFormat="1" applyFill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170" fontId="9" fillId="0" borderId="0" xfId="0" applyFont="1" applyBorder="1" applyAlignment="1">
      <alignment horizontal="center"/>
    </xf>
    <xf numFmtId="44" fontId="9" fillId="0" borderId="0" xfId="1" applyFont="1" applyBorder="1" applyAlignment="1">
      <alignment horizontal="center"/>
    </xf>
    <xf numFmtId="170" fontId="24" fillId="0" borderId="0" xfId="0" applyFont="1" applyBorder="1"/>
    <xf numFmtId="170" fontId="0" fillId="0" borderId="0" xfId="0" applyBorder="1" applyAlignment="1">
      <alignment horizontal="left" indent="1"/>
    </xf>
    <xf numFmtId="4" fontId="0" fillId="0" borderId="0" xfId="0" applyNumberFormat="1" applyBorder="1"/>
    <xf numFmtId="166" fontId="0" fillId="0" borderId="0" xfId="0" applyNumberFormat="1" applyBorder="1" applyAlignment="1">
      <alignment horizontal="center"/>
    </xf>
    <xf numFmtId="166" fontId="0" fillId="0" borderId="0" xfId="1" applyNumberFormat="1" applyFont="1" applyBorder="1"/>
    <xf numFmtId="170" fontId="7" fillId="0" borderId="0" xfId="0" applyFont="1" applyBorder="1" applyAlignment="1">
      <alignment horizontal="left" indent="1"/>
    </xf>
    <xf numFmtId="4" fontId="0" fillId="0" borderId="0" xfId="0" applyNumberFormat="1" applyFill="1" applyBorder="1"/>
    <xf numFmtId="170" fontId="0" fillId="0" borderId="0" xfId="0" applyBorder="1" applyAlignment="1">
      <alignment horizontal="left"/>
    </xf>
    <xf numFmtId="4" fontId="0" fillId="0" borderId="0" xfId="0" applyNumberFormat="1" applyBorder="1" applyAlignment="1">
      <alignment horizontal="center"/>
    </xf>
    <xf numFmtId="44" fontId="1" fillId="0" borderId="0" xfId="1" applyFont="1" applyBorder="1" applyAlignment="1">
      <alignment horizontal="right"/>
    </xf>
    <xf numFmtId="14" fontId="1" fillId="0" borderId="0" xfId="0" applyNumberFormat="1" applyFont="1" applyBorder="1" applyAlignment="1">
      <alignment horizontal="right"/>
    </xf>
    <xf numFmtId="44" fontId="27" fillId="0" borderId="0" xfId="1" applyFont="1" applyBorder="1" applyAlignment="1">
      <alignment horizontal="left"/>
    </xf>
    <xf numFmtId="44" fontId="27" fillId="0" borderId="0" xfId="0" applyNumberFormat="1" applyFont="1" applyBorder="1"/>
    <xf numFmtId="44" fontId="14" fillId="0" borderId="0" xfId="0" applyNumberFormat="1" applyFont="1" applyBorder="1" applyAlignment="1">
      <alignment horizontal="center" vertical="center"/>
    </xf>
    <xf numFmtId="44" fontId="1" fillId="0" borderId="32" xfId="1" applyFont="1" applyBorder="1"/>
    <xf numFmtId="44" fontId="27" fillId="0" borderId="0" xfId="1" applyFont="1" applyBorder="1" applyAlignment="1">
      <alignment vertical="center"/>
    </xf>
    <xf numFmtId="44" fontId="28" fillId="0" borderId="0" xfId="1" applyFont="1" applyBorder="1" applyAlignment="1">
      <alignment horizontal="left"/>
    </xf>
    <xf numFmtId="44" fontId="27" fillId="0" borderId="0" xfId="1" applyFont="1" applyBorder="1"/>
    <xf numFmtId="49" fontId="1" fillId="0" borderId="8" xfId="0" applyNumberFormat="1" applyFont="1" applyBorder="1"/>
    <xf numFmtId="170" fontId="0" fillId="0" borderId="0" xfId="0" applyAlignment="1">
      <alignment horizontal="center"/>
    </xf>
    <xf numFmtId="170" fontId="1" fillId="0" borderId="0" xfId="0" applyFont="1" applyBorder="1"/>
    <xf numFmtId="170" fontId="1" fillId="0" borderId="0" xfId="0" applyFont="1" applyFill="1" applyBorder="1"/>
    <xf numFmtId="170" fontId="0" fillId="0" borderId="8" xfId="0" applyBorder="1" applyAlignment="1">
      <alignment vertical="center"/>
    </xf>
    <xf numFmtId="170" fontId="17" fillId="0" borderId="0" xfId="0" applyFont="1" applyBorder="1" applyAlignment="1">
      <alignment vertical="center"/>
    </xf>
    <xf numFmtId="170" fontId="1" fillId="0" borderId="0" xfId="0" applyFont="1"/>
    <xf numFmtId="170" fontId="1" fillId="0" borderId="0" xfId="0" applyFont="1" applyAlignment="1">
      <alignment horizontal="right"/>
    </xf>
    <xf numFmtId="44" fontId="6" fillId="0" borderId="0" xfId="1" applyFont="1" applyBorder="1" applyAlignment="1">
      <alignment horizontal="center"/>
    </xf>
    <xf numFmtId="17" fontId="1" fillId="0" borderId="0" xfId="0" quotePrefix="1" applyNumberFormat="1" applyFont="1" applyBorder="1" applyAlignment="1">
      <alignment horizontal="right"/>
    </xf>
    <xf numFmtId="170" fontId="0" fillId="0" borderId="0" xfId="0" applyBorder="1" applyAlignment="1">
      <alignment horizontal="center" vertical="center"/>
    </xf>
    <xf numFmtId="170" fontId="0" fillId="0" borderId="0" xfId="0" applyBorder="1" applyAlignment="1">
      <alignment horizontal="center"/>
    </xf>
    <xf numFmtId="170" fontId="8" fillId="0" borderId="0" xfId="0" applyFont="1" applyBorder="1" applyAlignment="1">
      <alignment horizontal="center" vertical="center" wrapText="1"/>
    </xf>
    <xf numFmtId="44" fontId="0" fillId="0" borderId="0" xfId="0" applyNumberForma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170" fontId="1" fillId="0" borderId="21" xfId="2" applyFont="1" applyBorder="1" applyAlignment="1">
      <alignment horizontal="center"/>
    </xf>
    <xf numFmtId="170" fontId="1" fillId="0" borderId="6" xfId="2" applyFont="1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170" fontId="0" fillId="0" borderId="8" xfId="0" applyBorder="1" applyAlignment="1">
      <alignment horizontal="right"/>
    </xf>
    <xf numFmtId="170" fontId="0" fillId="0" borderId="8" xfId="0" applyBorder="1" applyAlignment="1">
      <alignment horizontal="center"/>
    </xf>
    <xf numFmtId="44" fontId="1" fillId="0" borderId="0" xfId="1" applyFont="1" applyBorder="1" applyAlignment="1">
      <alignment horizontal="left"/>
    </xf>
    <xf numFmtId="44" fontId="1" fillId="0" borderId="0" xfId="1" applyFont="1" applyBorder="1" applyAlignment="1">
      <alignment vertical="center"/>
    </xf>
    <xf numFmtId="44" fontId="1" fillId="0" borderId="0" xfId="1" applyFont="1" applyFill="1" applyBorder="1"/>
    <xf numFmtId="44" fontId="1" fillId="0" borderId="29" xfId="1" applyFont="1" applyBorder="1"/>
    <xf numFmtId="44" fontId="1" fillId="0" borderId="29" xfId="1" applyFont="1" applyFill="1" applyBorder="1" applyAlignment="1">
      <alignment horizontal="right"/>
    </xf>
    <xf numFmtId="44" fontId="1" fillId="0" borderId="30" xfId="1" applyFont="1" applyBorder="1"/>
    <xf numFmtId="44" fontId="1" fillId="0" borderId="30" xfId="1" applyFont="1" applyFill="1" applyBorder="1"/>
    <xf numFmtId="170" fontId="1" fillId="0" borderId="22" xfId="2" applyFont="1" applyBorder="1" applyAlignment="1"/>
    <xf numFmtId="170" fontId="7" fillId="0" borderId="0" xfId="2" applyFont="1" applyBorder="1" applyAlignment="1">
      <alignment horizontal="right" vertical="center"/>
    </xf>
    <xf numFmtId="170" fontId="0" fillId="0" borderId="0" xfId="0" applyBorder="1" applyAlignment="1">
      <alignment horizontal="center" vertical="center"/>
    </xf>
    <xf numFmtId="170" fontId="8" fillId="0" borderId="0" xfId="0" applyFont="1" applyBorder="1" applyAlignment="1">
      <alignment horizontal="center"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44" fontId="1" fillId="0" borderId="0" xfId="1" applyFont="1" applyAlignment="1">
      <alignment horizontal="left"/>
    </xf>
    <xf numFmtId="49" fontId="1" fillId="0" borderId="8" xfId="0" applyNumberFormat="1" applyFont="1" applyBorder="1" applyAlignment="1">
      <alignment horizontal="right"/>
    </xf>
    <xf numFmtId="49" fontId="1" fillId="0" borderId="0" xfId="0" applyNumberFormat="1" applyFont="1" applyBorder="1"/>
    <xf numFmtId="44" fontId="1" fillId="0" borderId="15" xfId="1" applyFont="1" applyBorder="1"/>
    <xf numFmtId="44" fontId="1" fillId="0" borderId="29" xfId="1" applyFont="1" applyFill="1" applyBorder="1"/>
    <xf numFmtId="170" fontId="0" fillId="0" borderId="0" xfId="0" applyBorder="1" applyAlignment="1">
      <alignment horizontal="center" vertical="center"/>
    </xf>
    <xf numFmtId="170" fontId="0" fillId="0" borderId="8" xfId="0" applyBorder="1" applyAlignment="1">
      <alignment horizontal="center" vertical="center"/>
    </xf>
    <xf numFmtId="44" fontId="7" fillId="0" borderId="8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8" fillId="0" borderId="0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170" fontId="8" fillId="0" borderId="8" xfId="0" applyFont="1" applyBorder="1"/>
    <xf numFmtId="44" fontId="0" fillId="0" borderId="8" xfId="0" applyNumberFormat="1" applyBorder="1" applyAlignment="1">
      <alignment vertical="center"/>
    </xf>
    <xf numFmtId="44" fontId="1" fillId="0" borderId="8" xfId="1" applyFont="1" applyBorder="1" applyAlignment="1">
      <alignment horizontal="right"/>
    </xf>
    <xf numFmtId="44" fontId="27" fillId="0" borderId="8" xfId="1" applyFont="1" applyBorder="1" applyAlignment="1">
      <alignment horizontal="left"/>
    </xf>
    <xf numFmtId="170" fontId="24" fillId="0" borderId="8" xfId="0" applyFont="1" applyBorder="1"/>
    <xf numFmtId="44" fontId="0" fillId="0" borderId="8" xfId="1" applyFon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44" fontId="1" fillId="0" borderId="27" xfId="1" applyFont="1" applyBorder="1"/>
    <xf numFmtId="170" fontId="0" fillId="0" borderId="0" xfId="0" applyBorder="1" applyAlignment="1">
      <alignment horizontal="center" vertical="center"/>
    </xf>
    <xf numFmtId="44" fontId="7" fillId="0" borderId="8" xfId="0" applyNumberFormat="1" applyFont="1" applyBorder="1" applyAlignment="1">
      <alignment horizontal="center"/>
    </xf>
    <xf numFmtId="44" fontId="7" fillId="0" borderId="0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8" fillId="0" borderId="0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44" fontId="0" fillId="0" borderId="11" xfId="1" applyFont="1" applyBorder="1"/>
    <xf numFmtId="49" fontId="1" fillId="0" borderId="27" xfId="0" applyNumberFormat="1" applyFont="1" applyBorder="1" applyAlignment="1">
      <alignment horizontal="right"/>
    </xf>
    <xf numFmtId="44" fontId="0" fillId="0" borderId="27" xfId="0" applyNumberFormat="1" applyFill="1" applyBorder="1" applyAlignment="1">
      <alignment horizontal="right"/>
    </xf>
    <xf numFmtId="44" fontId="1" fillId="0" borderId="27" xfId="0" applyNumberFormat="1" applyFont="1" applyFill="1" applyBorder="1" applyAlignment="1">
      <alignment horizontal="right"/>
    </xf>
    <xf numFmtId="44" fontId="7" fillId="0" borderId="0" xfId="0" applyNumberFormat="1" applyFont="1" applyBorder="1" applyAlignment="1">
      <alignment horizontal="center"/>
    </xf>
    <xf numFmtId="170" fontId="0" fillId="0" borderId="27" xfId="0" applyBorder="1"/>
    <xf numFmtId="44" fontId="0" fillId="0" borderId="27" xfId="1" applyFont="1" applyBorder="1"/>
    <xf numFmtId="44" fontId="1" fillId="0" borderId="15" xfId="1" applyFont="1" applyFill="1" applyBorder="1"/>
    <xf numFmtId="170" fontId="0" fillId="0" borderId="0" xfId="0" applyBorder="1" applyAlignment="1">
      <alignment horizontal="center" vertical="center"/>
    </xf>
    <xf numFmtId="170" fontId="8" fillId="0" borderId="0" xfId="0" applyFont="1" applyBorder="1" applyAlignment="1">
      <alignment horizontal="center"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1" fillId="0" borderId="1" xfId="0" applyNumberFormat="1" applyFont="1" applyBorder="1" applyAlignment="1">
      <alignment vertical="center"/>
    </xf>
    <xf numFmtId="44" fontId="1" fillId="0" borderId="0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14" fontId="0" fillId="0" borderId="8" xfId="0" applyNumberFormat="1" applyBorder="1" applyAlignment="1">
      <alignment horizontal="right" vertical="center"/>
    </xf>
    <xf numFmtId="49" fontId="1" fillId="0" borderId="27" xfId="0" applyNumberFormat="1" applyFont="1" applyBorder="1" applyAlignment="1">
      <alignment horizontal="right" vertical="center"/>
    </xf>
    <xf numFmtId="44" fontId="0" fillId="0" borderId="0" xfId="0" applyNumberFormat="1" applyFill="1" applyBorder="1" applyAlignment="1">
      <alignment horizontal="right" vertical="center"/>
    </xf>
    <xf numFmtId="14" fontId="0" fillId="0" borderId="0" xfId="0" applyNumberFormat="1" applyBorder="1" applyAlignment="1">
      <alignment horizontal="right" vertical="center"/>
    </xf>
    <xf numFmtId="44" fontId="0" fillId="0" borderId="27" xfId="0" applyNumberFormat="1" applyFill="1" applyBorder="1" applyAlignment="1">
      <alignment horizontal="right" vertical="center"/>
    </xf>
    <xf numFmtId="44" fontId="1" fillId="0" borderId="27" xfId="0" applyNumberFormat="1" applyFont="1" applyFill="1" applyBorder="1" applyAlignment="1">
      <alignment horizontal="right" vertical="center"/>
    </xf>
    <xf numFmtId="170" fontId="0" fillId="0" borderId="0" xfId="0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 wrapText="1"/>
    </xf>
    <xf numFmtId="170" fontId="8" fillId="0" borderId="0" xfId="0" applyFont="1" applyBorder="1" applyAlignment="1">
      <alignment horizontal="center" vertical="center" wrapText="1"/>
    </xf>
    <xf numFmtId="44" fontId="31" fillId="0" borderId="0" xfId="0" applyNumberFormat="1" applyFont="1"/>
    <xf numFmtId="170" fontId="1" fillId="0" borderId="21" xfId="2" applyFont="1" applyBorder="1"/>
    <xf numFmtId="44" fontId="32" fillId="0" borderId="0" xfId="1" applyFont="1" applyBorder="1"/>
    <xf numFmtId="170" fontId="0" fillId="0" borderId="0" xfId="0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 wrapText="1"/>
    </xf>
    <xf numFmtId="170" fontId="8" fillId="0" borderId="0" xfId="0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 vertical="center"/>
    </xf>
    <xf numFmtId="14" fontId="1" fillId="0" borderId="8" xfId="0" applyNumberFormat="1" applyFont="1" applyBorder="1" applyAlignment="1">
      <alignment horizontal="right" vertical="center"/>
    </xf>
    <xf numFmtId="14" fontId="1" fillId="0" borderId="0" xfId="0" applyNumberFormat="1" applyFont="1" applyBorder="1" applyAlignment="1">
      <alignment horizontal="right" vertical="center"/>
    </xf>
    <xf numFmtId="44" fontId="1" fillId="0" borderId="9" xfId="1" applyFont="1" applyBorder="1"/>
    <xf numFmtId="44" fontId="1" fillId="0" borderId="15" xfId="1" applyFont="1" applyFill="1" applyBorder="1" applyAlignment="1">
      <alignment horizontal="right"/>
    </xf>
    <xf numFmtId="44" fontId="1" fillId="0" borderId="9" xfId="1" applyFont="1" applyFill="1" applyBorder="1"/>
    <xf numFmtId="44" fontId="17" fillId="0" borderId="0" xfId="1" applyFont="1" applyBorder="1"/>
    <xf numFmtId="44" fontId="1" fillId="0" borderId="0" xfId="1" applyFont="1" applyBorder="1" applyAlignment="1">
      <alignment horizontal="left" indent="2"/>
    </xf>
    <xf numFmtId="44" fontId="1" fillId="0" borderId="0" xfId="0" applyNumberFormat="1" applyFont="1" applyBorder="1" applyAlignment="1">
      <alignment horizontal="left"/>
    </xf>
    <xf numFmtId="44" fontId="33" fillId="0" borderId="0" xfId="0" applyNumberFormat="1" applyFont="1" applyBorder="1" applyAlignment="1">
      <alignment horizontal="center"/>
    </xf>
    <xf numFmtId="44" fontId="28" fillId="0" borderId="29" xfId="1" applyFont="1" applyFill="1" applyBorder="1" applyAlignment="1">
      <alignment horizontal="right"/>
    </xf>
    <xf numFmtId="170" fontId="0" fillId="0" borderId="8" xfId="0" applyBorder="1" applyAlignment="1">
      <alignment horizontal="center" vertical="center"/>
    </xf>
    <xf numFmtId="170" fontId="0" fillId="0" borderId="0" xfId="0" applyBorder="1" applyAlignment="1">
      <alignment horizontal="center" vertical="center"/>
    </xf>
    <xf numFmtId="44" fontId="7" fillId="0" borderId="8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8" fillId="0" borderId="0" xfId="0" applyFont="1" applyBorder="1" applyAlignment="1">
      <alignment horizontal="center" vertical="center" wrapText="1"/>
    </xf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44" fontId="0" fillId="0" borderId="8" xfId="0" applyNumberFormat="1" applyFill="1" applyBorder="1" applyAlignment="1">
      <alignment horizontal="right" vertical="center"/>
    </xf>
    <xf numFmtId="44" fontId="0" fillId="0" borderId="0" xfId="0" applyNumberFormat="1" applyBorder="1" applyAlignment="1">
      <alignment horizontal="center" vertical="center"/>
    </xf>
    <xf numFmtId="170" fontId="0" fillId="0" borderId="8" xfId="0" applyBorder="1" applyAlignment="1">
      <alignment horizontal="center" vertical="center"/>
    </xf>
    <xf numFmtId="170" fontId="0" fillId="0" borderId="0" xfId="0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 wrapText="1"/>
    </xf>
    <xf numFmtId="170" fontId="8" fillId="0" borderId="0" xfId="0" applyFont="1" applyBorder="1" applyAlignment="1">
      <alignment horizontal="center" vertical="center" wrapText="1"/>
    </xf>
    <xf numFmtId="44" fontId="0" fillId="0" borderId="8" xfId="0" applyNumberFormat="1" applyBorder="1"/>
    <xf numFmtId="44" fontId="26" fillId="0" borderId="8" xfId="0" applyNumberFormat="1" applyFont="1" applyFill="1" applyBorder="1" applyAlignment="1">
      <alignment horizontal="right"/>
    </xf>
    <xf numFmtId="44" fontId="28" fillId="0" borderId="0" xfId="1" applyFont="1" applyBorder="1"/>
    <xf numFmtId="170" fontId="0" fillId="0" borderId="0" xfId="0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 wrapText="1"/>
    </xf>
    <xf numFmtId="170" fontId="8" fillId="0" borderId="0" xfId="0" applyFont="1" applyBorder="1" applyAlignment="1">
      <alignment horizontal="center" vertical="center" wrapText="1"/>
    </xf>
    <xf numFmtId="44" fontId="0" fillId="0" borderId="0" xfId="1" applyFont="1" applyBorder="1" applyAlignment="1">
      <alignment horizontal="center"/>
    </xf>
    <xf numFmtId="168" fontId="1" fillId="0" borderId="0" xfId="1" applyNumberFormat="1" applyBorder="1" applyAlignment="1">
      <alignment horizontal="center" vertical="center"/>
    </xf>
    <xf numFmtId="170" fontId="21" fillId="0" borderId="0" xfId="0" applyFont="1" applyBorder="1" applyAlignment="1">
      <alignment vertical="center"/>
    </xf>
    <xf numFmtId="44" fontId="35" fillId="0" borderId="0" xfId="1" applyFont="1" applyBorder="1"/>
    <xf numFmtId="170" fontId="34" fillId="0" borderId="0" xfId="0" applyFont="1" applyBorder="1"/>
    <xf numFmtId="170" fontId="1" fillId="0" borderId="0" xfId="0" applyFont="1" applyBorder="1" applyAlignment="1">
      <alignment horizontal="right"/>
    </xf>
    <xf numFmtId="170" fontId="34" fillId="0" borderId="0" xfId="0" applyFont="1" applyBorder="1" applyAlignment="1">
      <alignment horizontal="right"/>
    </xf>
    <xf numFmtId="44" fontId="30" fillId="0" borderId="0" xfId="1" applyFont="1" applyBorder="1" applyAlignment="1">
      <alignment vertical="center"/>
    </xf>
    <xf numFmtId="170" fontId="0" fillId="0" borderId="0" xfId="0" applyAlignment="1">
      <alignment horizontal="center"/>
    </xf>
    <xf numFmtId="44" fontId="0" fillId="0" borderId="0" xfId="1" applyFont="1" applyBorder="1" applyAlignment="1">
      <alignment horizontal="center"/>
    </xf>
    <xf numFmtId="44" fontId="7" fillId="0" borderId="0" xfId="1" applyFont="1" applyBorder="1" applyAlignment="1">
      <alignment horizontal="center"/>
    </xf>
    <xf numFmtId="170" fontId="10" fillId="0" borderId="0" xfId="0" applyFont="1" applyBorder="1"/>
    <xf numFmtId="170" fontId="10" fillId="0" borderId="0" xfId="0" applyFont="1" applyBorder="1" applyAlignment="1"/>
    <xf numFmtId="170" fontId="0" fillId="0" borderId="0" xfId="0" applyBorder="1" applyAlignment="1">
      <alignment horizontal="center" vertical="center"/>
    </xf>
    <xf numFmtId="170" fontId="0" fillId="0" borderId="8" xfId="0" applyBorder="1" applyAlignment="1">
      <alignment horizontal="center" vertical="center"/>
    </xf>
    <xf numFmtId="44" fontId="1" fillId="0" borderId="0" xfId="1" applyBorder="1" applyAlignment="1">
      <alignment horizontal="center" vertical="center"/>
    </xf>
    <xf numFmtId="170" fontId="8" fillId="0" borderId="0" xfId="0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horizontal="center"/>
    </xf>
    <xf numFmtId="44" fontId="7" fillId="0" borderId="0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44" fontId="13" fillId="0" borderId="8" xfId="1" applyFont="1" applyBorder="1" applyAlignment="1">
      <alignment horizontal="left"/>
    </xf>
    <xf numFmtId="170" fontId="37" fillId="0" borderId="0" xfId="0" quotePrefix="1" applyFont="1" applyBorder="1" applyAlignment="1">
      <alignment horizontal="right" vertical="center"/>
    </xf>
    <xf numFmtId="170" fontId="35" fillId="0" borderId="0" xfId="0" quotePrefix="1" applyFont="1" applyBorder="1" applyAlignment="1">
      <alignment horizontal="right"/>
    </xf>
    <xf numFmtId="44" fontId="34" fillId="0" borderId="0" xfId="1" applyFont="1" applyBorder="1"/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4" fontId="7" fillId="0" borderId="0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/>
    </xf>
    <xf numFmtId="170" fontId="0" fillId="0" borderId="0" xfId="0" applyBorder="1" applyAlignment="1"/>
    <xf numFmtId="44" fontId="7" fillId="0" borderId="0" xfId="0" applyNumberFormat="1" applyFont="1" applyBorder="1" applyAlignment="1">
      <alignment horizontal="center"/>
    </xf>
    <xf numFmtId="44" fontId="38" fillId="0" borderId="0" xfId="1" applyFont="1" applyBorder="1" applyAlignment="1">
      <alignment vertical="center"/>
    </xf>
    <xf numFmtId="49" fontId="1" fillId="0" borderId="8" xfId="0" applyNumberFormat="1" applyFont="1" applyBorder="1" applyAlignment="1">
      <alignment horizontal="center"/>
    </xf>
    <xf numFmtId="169" fontId="1" fillId="0" borderId="0" xfId="0" applyNumberFormat="1" applyFont="1" applyBorder="1" applyAlignment="1">
      <alignment horizontal="right"/>
    </xf>
    <xf numFmtId="169" fontId="1" fillId="0" borderId="0" xfId="0" applyNumberFormat="1" applyFont="1" applyBorder="1" applyAlignment="1">
      <alignment horizontal="right" vertical="center"/>
    </xf>
    <xf numFmtId="169" fontId="0" fillId="0" borderId="0" xfId="0" applyNumberFormat="1" applyFill="1" applyBorder="1" applyAlignment="1">
      <alignment horizontal="right" vertical="center"/>
    </xf>
    <xf numFmtId="169" fontId="1" fillId="0" borderId="0" xfId="0" applyNumberFormat="1" applyFont="1" applyFill="1" applyBorder="1" applyAlignment="1">
      <alignment horizontal="right" vertical="center"/>
    </xf>
    <xf numFmtId="169" fontId="1" fillId="0" borderId="8" xfId="0" applyNumberFormat="1" applyFont="1" applyFill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/>
    </xf>
    <xf numFmtId="170" fontId="34" fillId="0" borderId="0" xfId="0" applyFont="1" applyBorder="1" applyAlignment="1">
      <alignment vertical="center"/>
    </xf>
    <xf numFmtId="170" fontId="0" fillId="0" borderId="0" xfId="0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8" fillId="0" borderId="0" xfId="0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44" fontId="37" fillId="0" borderId="0" xfId="1" quotePrefix="1" applyFont="1" applyBorder="1" applyAlignment="1">
      <alignment horizontal="right" vertical="center"/>
    </xf>
    <xf numFmtId="44" fontId="35" fillId="0" borderId="0" xfId="0" applyNumberFormat="1" applyFont="1"/>
    <xf numFmtId="44" fontId="32" fillId="0" borderId="14" xfId="1" applyFont="1" applyBorder="1"/>
    <xf numFmtId="44" fontId="41" fillId="0" borderId="0" xfId="1" applyFont="1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 vertical="center" wrapText="1"/>
    </xf>
    <xf numFmtId="49" fontId="1" fillId="0" borderId="8" xfId="0" quotePrefix="1" applyNumberFormat="1" applyFont="1" applyBorder="1" applyAlignment="1">
      <alignment horizontal="center"/>
    </xf>
    <xf numFmtId="44" fontId="42" fillId="0" borderId="0" xfId="0" applyNumberFormat="1" applyFont="1"/>
    <xf numFmtId="49" fontId="1" fillId="0" borderId="0" xfId="0" quotePrefix="1" applyNumberFormat="1" applyFont="1" applyAlignment="1">
      <alignment horizontal="center"/>
    </xf>
    <xf numFmtId="2" fontId="1" fillId="0" borderId="0" xfId="0" applyNumberFormat="1" applyFont="1" applyBorder="1" applyAlignment="1">
      <alignment horizontal="left" vertical="center"/>
    </xf>
    <xf numFmtId="49" fontId="1" fillId="0" borderId="0" xfId="0" quotePrefix="1" applyNumberFormat="1" applyFont="1" applyBorder="1" applyAlignment="1">
      <alignment horizontal="center"/>
    </xf>
    <xf numFmtId="44" fontId="28" fillId="0" borderId="0" xfId="1" applyFont="1" applyFill="1" applyBorder="1"/>
    <xf numFmtId="170" fontId="43" fillId="0" borderId="0" xfId="2" quotePrefix="1" applyFont="1"/>
    <xf numFmtId="170" fontId="1" fillId="0" borderId="0" xfId="2" applyFont="1" applyBorder="1" applyAlignment="1">
      <alignment horizontal="center"/>
    </xf>
    <xf numFmtId="170" fontId="0" fillId="0" borderId="0" xfId="0" applyBorder="1" applyAlignment="1">
      <alignment horizontal="center" vertical="center"/>
    </xf>
    <xf numFmtId="170" fontId="0" fillId="0" borderId="8" xfId="0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44" fontId="1" fillId="0" borderId="8" xfId="1" applyFont="1" applyBorder="1" applyAlignment="1">
      <alignment horizontal="left" indent="2"/>
    </xf>
    <xf numFmtId="44" fontId="1" fillId="0" borderId="8" xfId="0" applyNumberFormat="1" applyFont="1" applyBorder="1" applyAlignment="1">
      <alignment horizontal="left"/>
    </xf>
    <xf numFmtId="166" fontId="40" fillId="0" borderId="0" xfId="1" applyNumberFormat="1" applyFont="1" applyBorder="1" applyAlignment="1">
      <alignment vertical="center"/>
    </xf>
    <xf numFmtId="44" fontId="34" fillId="0" borderId="0" xfId="1" applyFont="1" applyBorder="1" applyAlignment="1">
      <alignment horizontal="left"/>
    </xf>
    <xf numFmtId="44" fontId="44" fillId="0" borderId="0" xfId="1" applyFont="1" applyBorder="1" applyAlignment="1">
      <alignment horizontal="left"/>
    </xf>
    <xf numFmtId="170" fontId="4" fillId="0" borderId="0" xfId="2" applyFont="1" applyBorder="1" applyAlignment="1">
      <alignment horizontal="center"/>
    </xf>
    <xf numFmtId="170" fontId="27" fillId="0" borderId="0" xfId="0" applyFont="1" applyFill="1"/>
    <xf numFmtId="44" fontId="7" fillId="0" borderId="0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4" fontId="1" fillId="0" borderId="11" xfId="1" applyFont="1" applyFill="1" applyBorder="1" applyAlignment="1">
      <alignment vertical="center"/>
    </xf>
    <xf numFmtId="44" fontId="0" fillId="0" borderId="0" xfId="1" applyFont="1" applyBorder="1" applyAlignment="1">
      <alignment vertical="center"/>
    </xf>
    <xf numFmtId="166" fontId="0" fillId="0" borderId="0" xfId="0" applyNumberFormat="1" applyBorder="1" applyAlignment="1">
      <alignment horizontal="center" vertical="center"/>
    </xf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166" fontId="17" fillId="0" borderId="0" xfId="0" applyNumberFormat="1" applyFont="1" applyBorder="1" applyAlignment="1">
      <alignment vertical="center"/>
    </xf>
    <xf numFmtId="170" fontId="0" fillId="0" borderId="0" xfId="0" applyFill="1"/>
    <xf numFmtId="44" fontId="0" fillId="0" borderId="0" xfId="1" applyFont="1" applyFill="1"/>
    <xf numFmtId="170" fontId="0" fillId="0" borderId="0" xfId="0" applyFill="1" applyBorder="1" applyAlignment="1">
      <alignment horizontal="right"/>
    </xf>
    <xf numFmtId="170" fontId="0" fillId="0" borderId="0" xfId="0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170" fontId="0" fillId="0" borderId="0" xfId="0" applyFill="1" applyBorder="1"/>
    <xf numFmtId="170" fontId="7" fillId="0" borderId="0" xfId="0" applyFont="1" applyFill="1" applyBorder="1"/>
    <xf numFmtId="170" fontId="0" fillId="2" borderId="0" xfId="0" applyFill="1"/>
    <xf numFmtId="44" fontId="0" fillId="2" borderId="0" xfId="1" applyFont="1" applyFill="1"/>
    <xf numFmtId="170" fontId="0" fillId="2" borderId="0" xfId="0" applyFill="1" applyBorder="1" applyAlignment="1">
      <alignment horizontal="right"/>
    </xf>
    <xf numFmtId="170" fontId="0" fillId="2" borderId="0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170" fontId="0" fillId="2" borderId="0" xfId="0" applyFill="1" applyBorder="1"/>
    <xf numFmtId="170" fontId="7" fillId="2" borderId="0" xfId="0" applyFont="1" applyFill="1" applyBorder="1"/>
    <xf numFmtId="44" fontId="0" fillId="2" borderId="0" xfId="1" applyFont="1" applyFill="1" applyBorder="1"/>
    <xf numFmtId="166" fontId="7" fillId="0" borderId="0" xfId="0" applyNumberFormat="1" applyFont="1" applyBorder="1" applyAlignment="1">
      <alignment vertical="center"/>
    </xf>
    <xf numFmtId="166" fontId="7" fillId="2" borderId="0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170" fontId="7" fillId="0" borderId="0" xfId="0" applyFont="1" applyAlignment="1">
      <alignment vertical="top"/>
    </xf>
    <xf numFmtId="170" fontId="47" fillId="0" borderId="0" xfId="0" applyFont="1" applyAlignment="1">
      <alignment vertical="center"/>
    </xf>
    <xf numFmtId="170" fontId="15" fillId="2" borderId="0" xfId="0" applyFont="1" applyFill="1"/>
    <xf numFmtId="44" fontId="15" fillId="2" borderId="0" xfId="1" applyFont="1" applyFill="1"/>
    <xf numFmtId="170" fontId="15" fillId="2" borderId="0" xfId="0" quotePrefix="1" applyFont="1" applyFill="1" applyBorder="1" applyAlignment="1">
      <alignment horizontal="right"/>
    </xf>
    <xf numFmtId="170" fontId="16" fillId="2" borderId="0" xfId="0" applyFont="1" applyFill="1" applyBorder="1" applyAlignment="1">
      <alignment horizontal="center"/>
    </xf>
    <xf numFmtId="49" fontId="16" fillId="2" borderId="0" xfId="0" applyNumberFormat="1" applyFont="1" applyFill="1" applyBorder="1" applyAlignment="1">
      <alignment horizontal="center"/>
    </xf>
    <xf numFmtId="170" fontId="15" fillId="2" borderId="0" xfId="0" applyFont="1" applyFill="1" applyBorder="1"/>
    <xf numFmtId="170" fontId="15" fillId="2" borderId="0" xfId="0" applyFont="1" applyFill="1" applyAlignment="1">
      <alignment horizontal="center"/>
    </xf>
    <xf numFmtId="170" fontId="0" fillId="0" borderId="0" xfId="0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44" fontId="28" fillId="0" borderId="8" xfId="1" applyFont="1" applyFill="1" applyBorder="1"/>
    <xf numFmtId="49" fontId="1" fillId="0" borderId="8" xfId="0" applyNumberFormat="1" applyFont="1" applyBorder="1" applyAlignment="1">
      <alignment horizontal="left" vertical="center"/>
    </xf>
    <xf numFmtId="44" fontId="1" fillId="0" borderId="29" xfId="1" applyFont="1" applyFill="1" applyBorder="1" applyAlignment="1">
      <alignment vertical="center"/>
    </xf>
    <xf numFmtId="44" fontId="48" fillId="0" borderId="8" xfId="0" applyNumberFormat="1" applyFont="1" applyBorder="1" applyAlignment="1">
      <alignment horizontal="left" indent="1"/>
    </xf>
    <xf numFmtId="170" fontId="0" fillId="0" borderId="0" xfId="0" applyFont="1" applyFill="1" applyBorder="1" applyAlignment="1">
      <alignment horizontal="left"/>
    </xf>
    <xf numFmtId="44" fontId="0" fillId="0" borderId="0" xfId="0" applyNumberFormat="1" applyFill="1" applyBorder="1" applyAlignment="1">
      <alignment horizontal="left"/>
    </xf>
    <xf numFmtId="44" fontId="1" fillId="0" borderId="0" xfId="0" applyNumberFormat="1" applyFont="1" applyFill="1" applyBorder="1" applyAlignment="1">
      <alignment horizontal="left"/>
    </xf>
    <xf numFmtId="44" fontId="0" fillId="0" borderId="0" xfId="0" applyNumberFormat="1" applyBorder="1" applyAlignment="1">
      <alignment horizontal="left" vertical="center"/>
    </xf>
    <xf numFmtId="170" fontId="0" fillId="0" borderId="0" xfId="0" applyBorder="1" applyAlignment="1">
      <alignment horizontal="left" vertical="center"/>
    </xf>
    <xf numFmtId="170" fontId="1" fillId="0" borderId="0" xfId="0" applyNumberFormat="1" applyFont="1" applyBorder="1" applyAlignment="1">
      <alignment horizontal="left" vertical="center"/>
    </xf>
    <xf numFmtId="170" fontId="0" fillId="0" borderId="0" xfId="1" applyNumberFormat="1" applyFont="1" applyAlignment="1">
      <alignment horizontal="left" vertical="center"/>
    </xf>
    <xf numFmtId="170" fontId="0" fillId="2" borderId="0" xfId="0" applyNumberFormat="1" applyFill="1" applyAlignment="1">
      <alignment horizontal="left" vertical="center"/>
    </xf>
    <xf numFmtId="170" fontId="0" fillId="0" borderId="0" xfId="0" applyNumberFormat="1" applyFill="1" applyAlignment="1">
      <alignment horizontal="left" vertical="center"/>
    </xf>
    <xf numFmtId="170" fontId="0" fillId="0" borderId="0" xfId="0" applyNumberFormat="1" applyBorder="1" applyAlignment="1">
      <alignment horizontal="left" vertical="center"/>
    </xf>
    <xf numFmtId="170" fontId="48" fillId="0" borderId="8" xfId="0" applyNumberFormat="1" applyFont="1" applyBorder="1" applyAlignment="1">
      <alignment horizontal="left" vertical="center" indent="1"/>
    </xf>
    <xf numFmtId="170" fontId="1" fillId="0" borderId="0" xfId="1" applyNumberFormat="1" applyFont="1" applyBorder="1" applyAlignment="1">
      <alignment horizontal="left" vertical="center"/>
    </xf>
    <xf numFmtId="170" fontId="36" fillId="0" borderId="0" xfId="1" applyNumberFormat="1" applyFont="1" applyBorder="1" applyAlignment="1">
      <alignment horizontal="left" vertical="center"/>
    </xf>
    <xf numFmtId="170" fontId="15" fillId="2" borderId="0" xfId="1" applyNumberFormat="1" applyFont="1" applyFill="1" applyAlignment="1">
      <alignment horizontal="left" vertical="center"/>
    </xf>
    <xf numFmtId="170" fontId="12" fillId="0" borderId="0" xfId="0" applyNumberFormat="1" applyFont="1" applyBorder="1" applyAlignment="1">
      <alignment horizontal="left" vertical="center"/>
    </xf>
    <xf numFmtId="170" fontId="4" fillId="0" borderId="0" xfId="1" applyNumberFormat="1" applyFont="1" applyBorder="1" applyAlignment="1">
      <alignment horizontal="left" vertical="center"/>
    </xf>
    <xf numFmtId="170" fontId="0" fillId="0" borderId="0" xfId="1" applyNumberFormat="1" applyFont="1" applyBorder="1" applyAlignment="1">
      <alignment horizontal="left" vertical="center"/>
    </xf>
    <xf numFmtId="170" fontId="0" fillId="0" borderId="8" xfId="1" applyNumberFormat="1" applyFont="1" applyBorder="1" applyAlignment="1">
      <alignment horizontal="left" vertical="center"/>
    </xf>
    <xf numFmtId="170" fontId="0" fillId="0" borderId="8" xfId="0" applyNumberFormat="1" applyBorder="1" applyAlignment="1">
      <alignment horizontal="left" vertical="center"/>
    </xf>
    <xf numFmtId="170" fontId="36" fillId="0" borderId="8" xfId="1" applyNumberFormat="1" applyFont="1" applyBorder="1" applyAlignment="1">
      <alignment horizontal="left" vertical="center"/>
    </xf>
    <xf numFmtId="170" fontId="1" fillId="0" borderId="8" xfId="0" applyNumberFormat="1" applyFont="1" applyBorder="1" applyAlignment="1">
      <alignment horizontal="left" vertical="center"/>
    </xf>
    <xf numFmtId="44" fontId="1" fillId="0" borderId="0" xfId="0" applyNumberFormat="1" applyFont="1" applyBorder="1" applyAlignment="1">
      <alignment horizontal="left" vertical="center"/>
    </xf>
    <xf numFmtId="170" fontId="1" fillId="0" borderId="0" xfId="0" applyFont="1" applyBorder="1" applyAlignment="1">
      <alignment horizontal="left" vertical="center"/>
    </xf>
    <xf numFmtId="170" fontId="1" fillId="0" borderId="0" xfId="0" applyFont="1" applyAlignment="1">
      <alignment horizontal="left"/>
    </xf>
    <xf numFmtId="170" fontId="1" fillId="0" borderId="0" xfId="0" applyFont="1" applyBorder="1" applyAlignment="1">
      <alignment horizontal="left"/>
    </xf>
    <xf numFmtId="170" fontId="0" fillId="0" borderId="0" xfId="0" applyBorder="1" applyAlignment="1">
      <alignment horizontal="center" vertical="center"/>
    </xf>
    <xf numFmtId="44" fontId="1" fillId="0" borderId="0" xfId="1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170" fontId="34" fillId="0" borderId="0" xfId="0" applyFont="1" applyAlignment="1">
      <alignment horizontal="right"/>
    </xf>
    <xf numFmtId="170" fontId="0" fillId="0" borderId="0" xfId="0" applyFill="1" applyBorder="1" applyAlignment="1">
      <alignment vertical="center"/>
    </xf>
    <xf numFmtId="44" fontId="17" fillId="0" borderId="0" xfId="1" applyFont="1" applyFill="1" applyBorder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44" fontId="39" fillId="0" borderId="0" xfId="1" applyFont="1" applyFill="1" applyBorder="1" applyAlignment="1">
      <alignment horizontal="center" vertical="center"/>
    </xf>
    <xf numFmtId="44" fontId="33" fillId="0" borderId="0" xfId="0" applyNumberFormat="1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center" vertical="center"/>
    </xf>
    <xf numFmtId="44" fontId="1" fillId="0" borderId="0" xfId="1" applyFont="1" applyFill="1" applyBorder="1" applyAlignment="1">
      <alignment horizontal="left" indent="2"/>
    </xf>
    <xf numFmtId="44" fontId="7" fillId="0" borderId="0" xfId="0" applyNumberFormat="1" applyFont="1" applyFill="1" applyBorder="1" applyAlignment="1">
      <alignment horizontal="center"/>
    </xf>
    <xf numFmtId="44" fontId="17" fillId="0" borderId="0" xfId="1" applyFont="1" applyFill="1" applyBorder="1" applyAlignment="1">
      <alignment horizontal="left" vertical="center" indent="1"/>
    </xf>
    <xf numFmtId="44" fontId="0" fillId="0" borderId="0" xfId="1" applyFont="1" applyFill="1" applyBorder="1" applyAlignment="1">
      <alignment horizontal="left" indent="2"/>
    </xf>
    <xf numFmtId="44" fontId="35" fillId="0" borderId="0" xfId="1" applyFont="1" applyFill="1" applyBorder="1"/>
    <xf numFmtId="44" fontId="45" fillId="0" borderId="0" xfId="1" applyFont="1" applyFill="1" applyBorder="1" applyAlignment="1">
      <alignment horizontal="right"/>
    </xf>
    <xf numFmtId="44" fontId="7" fillId="0" borderId="0" xfId="0" applyNumberFormat="1" applyFont="1" applyFill="1" applyBorder="1" applyAlignment="1">
      <alignment horizontal="left"/>
    </xf>
    <xf numFmtId="170" fontId="27" fillId="0" borderId="0" xfId="0" applyFont="1" applyBorder="1" applyAlignment="1">
      <alignment horizontal="right"/>
    </xf>
    <xf numFmtId="170" fontId="35" fillId="0" borderId="0" xfId="0" applyFont="1" applyBorder="1" applyAlignment="1">
      <alignment horizontal="right"/>
    </xf>
    <xf numFmtId="44" fontId="34" fillId="0" borderId="0" xfId="0" applyNumberFormat="1" applyFont="1"/>
    <xf numFmtId="166" fontId="49" fillId="0" borderId="0" xfId="1" applyNumberFormat="1" applyFont="1" applyFill="1" applyBorder="1"/>
    <xf numFmtId="170" fontId="0" fillId="0" borderId="0" xfId="0" applyBorder="1" applyAlignment="1">
      <alignment horizontal="center" vertical="center"/>
    </xf>
    <xf numFmtId="170" fontId="0" fillId="0" borderId="8" xfId="0" applyBorder="1" applyAlignment="1">
      <alignment horizontal="center" vertical="center"/>
    </xf>
    <xf numFmtId="44" fontId="7" fillId="0" borderId="8" xfId="0" applyNumberFormat="1" applyFont="1" applyBorder="1" applyAlignment="1">
      <alignment horizontal="center"/>
    </xf>
    <xf numFmtId="44" fontId="7" fillId="0" borderId="0" xfId="0" applyNumberFormat="1" applyFont="1" applyBorder="1" applyAlignment="1">
      <alignment horizontal="center"/>
    </xf>
    <xf numFmtId="166" fontId="34" fillId="0" borderId="0" xfId="0" applyNumberFormat="1" applyFont="1" applyAlignment="1"/>
    <xf numFmtId="170" fontId="0" fillId="0" borderId="8" xfId="0" applyFill="1" applyBorder="1"/>
    <xf numFmtId="44" fontId="1" fillId="0" borderId="8" xfId="1" applyFont="1" applyFill="1" applyBorder="1"/>
    <xf numFmtId="44" fontId="0" fillId="0" borderId="8" xfId="0" applyNumberFormat="1" applyFill="1" applyBorder="1" applyAlignment="1">
      <alignment horizontal="center"/>
    </xf>
    <xf numFmtId="44" fontId="7" fillId="0" borderId="8" xfId="0" applyNumberFormat="1" applyFont="1" applyFill="1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49" fontId="34" fillId="0" borderId="0" xfId="0" applyNumberFormat="1" applyFont="1" applyBorder="1" applyAlignment="1">
      <alignment horizontal="right" vertical="center"/>
    </xf>
    <xf numFmtId="170" fontId="9" fillId="0" borderId="0" xfId="0" applyFont="1" applyAlignment="1">
      <alignment horizontal="center"/>
    </xf>
    <xf numFmtId="170" fontId="52" fillId="0" borderId="0" xfId="2" applyFont="1" applyBorder="1" applyAlignment="1">
      <alignment horizontal="right" vertical="center"/>
    </xf>
    <xf numFmtId="170" fontId="9" fillId="0" borderId="0" xfId="2" applyFont="1" applyBorder="1" applyAlignment="1">
      <alignment horizontal="center"/>
    </xf>
    <xf numFmtId="170" fontId="1" fillId="0" borderId="23" xfId="2" applyFont="1" applyBorder="1"/>
    <xf numFmtId="170" fontId="7" fillId="0" borderId="20" xfId="2" applyFont="1" applyBorder="1" applyAlignment="1">
      <alignment horizontal="center"/>
    </xf>
    <xf numFmtId="170" fontId="9" fillId="0" borderId="20" xfId="2" applyFont="1" applyBorder="1" applyAlignment="1">
      <alignment horizontal="center"/>
    </xf>
    <xf numFmtId="170" fontId="1" fillId="3" borderId="0" xfId="2" applyFill="1"/>
    <xf numFmtId="170" fontId="7" fillId="3" borderId="0" xfId="2" applyFont="1" applyFill="1" applyBorder="1" applyAlignment="1">
      <alignment horizontal="center"/>
    </xf>
    <xf numFmtId="170" fontId="7" fillId="3" borderId="0" xfId="2" applyFont="1" applyFill="1" applyBorder="1"/>
    <xf numFmtId="4" fontId="9" fillId="3" borderId="0" xfId="2" applyNumberFormat="1" applyFont="1" applyFill="1" applyBorder="1"/>
    <xf numFmtId="170" fontId="1" fillId="0" borderId="0" xfId="2" applyFont="1" applyBorder="1" applyAlignment="1">
      <alignment horizontal="left"/>
    </xf>
    <xf numFmtId="170" fontId="43" fillId="0" borderId="0" xfId="2" quotePrefix="1" applyFont="1" applyBorder="1"/>
    <xf numFmtId="170" fontId="1" fillId="0" borderId="24" xfId="2" applyFont="1" applyBorder="1" applyAlignment="1">
      <alignment horizontal="center"/>
    </xf>
    <xf numFmtId="170" fontId="1" fillId="0" borderId="6" xfId="2" applyFont="1" applyBorder="1" applyAlignment="1"/>
    <xf numFmtId="170" fontId="17" fillId="0" borderId="0" xfId="2" applyFont="1" applyBorder="1" applyAlignment="1">
      <alignment horizontal="right" indent="1"/>
    </xf>
    <xf numFmtId="43" fontId="2" fillId="0" borderId="25" xfId="5" applyFont="1" applyFill="1" applyBorder="1" applyAlignment="1">
      <alignment horizontal="right"/>
    </xf>
    <xf numFmtId="43" fontId="2" fillId="0" borderId="13" xfId="5" applyFont="1" applyFill="1" applyBorder="1" applyAlignment="1">
      <alignment horizontal="right"/>
    </xf>
    <xf numFmtId="43" fontId="2" fillId="0" borderId="36" xfId="5" applyFont="1" applyFill="1" applyBorder="1" applyAlignment="1">
      <alignment horizontal="right"/>
    </xf>
    <xf numFmtId="43" fontId="2" fillId="0" borderId="17" xfId="5" applyFont="1" applyFill="1" applyBorder="1" applyAlignment="1">
      <alignment horizontal="right"/>
    </xf>
    <xf numFmtId="43" fontId="2" fillId="0" borderId="4" xfId="5" applyFont="1" applyFill="1" applyBorder="1" applyAlignment="1">
      <alignment horizontal="right"/>
    </xf>
    <xf numFmtId="43" fontId="2" fillId="0" borderId="7" xfId="5" applyFont="1" applyFill="1" applyBorder="1" applyAlignment="1">
      <alignment horizontal="right"/>
    </xf>
    <xf numFmtId="43" fontId="2" fillId="0" borderId="33" xfId="5" applyFont="1" applyFill="1" applyBorder="1" applyAlignment="1">
      <alignment horizontal="right"/>
    </xf>
    <xf numFmtId="43" fontId="7" fillId="0" borderId="18" xfId="5" applyFont="1" applyBorder="1"/>
    <xf numFmtId="43" fontId="2" fillId="0" borderId="5" xfId="5" applyFont="1" applyFill="1" applyBorder="1" applyAlignment="1">
      <alignment horizontal="right"/>
    </xf>
    <xf numFmtId="43" fontId="1" fillId="0" borderId="0" xfId="1" applyNumberFormat="1" applyFont="1" applyBorder="1" applyAlignment="1">
      <alignment vertical="center"/>
    </xf>
    <xf numFmtId="43" fontId="1" fillId="0" borderId="34" xfId="1" applyNumberFormat="1" applyFont="1" applyBorder="1" applyAlignment="1">
      <alignment vertical="center"/>
    </xf>
    <xf numFmtId="170" fontId="54" fillId="0" borderId="0" xfId="2" applyFont="1" applyBorder="1" applyAlignment="1">
      <alignment horizontal="left" vertical="center" indent="1"/>
    </xf>
    <xf numFmtId="4" fontId="9" fillId="0" borderId="0" xfId="2" applyNumberFormat="1" applyFont="1" applyBorder="1" applyAlignment="1">
      <alignment vertical="center"/>
    </xf>
    <xf numFmtId="2" fontId="18" fillId="0" borderId="0" xfId="2" applyNumberFormat="1" applyFont="1" applyAlignment="1">
      <alignment horizontal="left" vertical="center"/>
    </xf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170" fontId="24" fillId="0" borderId="0" xfId="0" applyFont="1" applyAlignment="1">
      <alignment horizontal="left"/>
    </xf>
    <xf numFmtId="44" fontId="0" fillId="0" borderId="26" xfId="1" applyFont="1" applyBorder="1" applyAlignment="1">
      <alignment horizontal="center"/>
    </xf>
    <xf numFmtId="49" fontId="50" fillId="0" borderId="8" xfId="0" applyNumberFormat="1" applyFont="1" applyBorder="1" applyAlignment="1">
      <alignment horizontal="left"/>
    </xf>
    <xf numFmtId="170" fontId="1" fillId="0" borderId="8" xfId="2" applyFont="1" applyBorder="1"/>
    <xf numFmtId="170" fontId="1" fillId="0" borderId="19" xfId="2" applyFont="1" applyBorder="1"/>
    <xf numFmtId="170" fontId="1" fillId="0" borderId="19" xfId="2" applyFont="1" applyBorder="1" applyAlignment="1">
      <alignment horizontal="left"/>
    </xf>
    <xf numFmtId="170" fontId="1" fillId="0" borderId="28" xfId="2" applyFont="1" applyBorder="1" applyAlignment="1">
      <alignment horizontal="left"/>
    </xf>
    <xf numFmtId="2" fontId="17" fillId="0" borderId="0" xfId="2" applyNumberFormat="1" applyFont="1" applyBorder="1" applyAlignment="1">
      <alignment horizontal="right" vertical="center" indent="1"/>
    </xf>
    <xf numFmtId="44" fontId="7" fillId="0" borderId="2" xfId="1" applyFont="1" applyBorder="1" applyAlignment="1">
      <alignment horizontal="center" vertical="center"/>
    </xf>
    <xf numFmtId="170" fontId="0" fillId="0" borderId="0" xfId="0" applyBorder="1" applyAlignment="1">
      <alignment horizontal="center"/>
    </xf>
    <xf numFmtId="170" fontId="0" fillId="0" borderId="0" xfId="0" applyBorder="1" applyAlignment="1">
      <alignment horizontal="center" vertical="center"/>
    </xf>
    <xf numFmtId="170" fontId="0" fillId="0" borderId="0" xfId="0" applyBorder="1" applyAlignment="1">
      <alignment horizontal="center"/>
    </xf>
    <xf numFmtId="170" fontId="0" fillId="0" borderId="0" xfId="0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167" fontId="55" fillId="0" borderId="0" xfId="0" applyNumberFormat="1" applyFont="1" applyBorder="1" applyAlignment="1">
      <alignment horizontal="center"/>
    </xf>
    <xf numFmtId="44" fontId="56" fillId="0" borderId="8" xfId="1" applyFont="1" applyBorder="1"/>
    <xf numFmtId="44" fontId="17" fillId="0" borderId="0" xfId="0" applyNumberFormat="1" applyFont="1" applyBorder="1" applyAlignment="1">
      <alignment horizontal="right" vertical="center"/>
    </xf>
    <xf numFmtId="44" fontId="17" fillId="0" borderId="0" xfId="0" applyNumberFormat="1" applyFont="1" applyBorder="1" applyAlignment="1">
      <alignment horizontal="right"/>
    </xf>
    <xf numFmtId="44" fontId="7" fillId="0" borderId="0" xfId="0" applyNumberFormat="1" applyFont="1" applyBorder="1" applyAlignment="1">
      <alignment horizontal="right"/>
    </xf>
    <xf numFmtId="49" fontId="11" fillId="0" borderId="0" xfId="3" applyNumberFormat="1" applyFont="1" applyAlignment="1"/>
    <xf numFmtId="170" fontId="1" fillId="0" borderId="0" xfId="0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2" fontId="58" fillId="0" borderId="0" xfId="0" applyNumberFormat="1" applyFont="1" applyBorder="1" applyAlignment="1">
      <alignment horizontal="right"/>
    </xf>
    <xf numFmtId="2" fontId="58" fillId="0" borderId="0" xfId="0" applyNumberFormat="1" applyFont="1" applyAlignment="1">
      <alignment horizontal="right"/>
    </xf>
    <xf numFmtId="2" fontId="59" fillId="0" borderId="0" xfId="0" applyNumberFormat="1" applyFont="1" applyBorder="1" applyAlignment="1">
      <alignment horizontal="right"/>
    </xf>
    <xf numFmtId="2" fontId="7" fillId="0" borderId="0" xfId="0" applyNumberFormat="1" applyFont="1" applyBorder="1" applyAlignment="1">
      <alignment horizontal="right" indent="1"/>
    </xf>
    <xf numFmtId="2" fontId="0" fillId="0" borderId="0" xfId="0" applyNumberFormat="1" applyBorder="1" applyAlignment="1">
      <alignment horizontal="right" vertical="center" indent="1"/>
    </xf>
    <xf numFmtId="2" fontId="0" fillId="0" borderId="0" xfId="0" applyNumberFormat="1" applyBorder="1" applyAlignment="1">
      <alignment horizontal="right" indent="1"/>
    </xf>
    <xf numFmtId="170" fontId="60" fillId="0" borderId="0" xfId="0" applyFont="1" applyFill="1"/>
    <xf numFmtId="44" fontId="60" fillId="0" borderId="0" xfId="1" applyFont="1" applyFill="1" applyBorder="1"/>
    <xf numFmtId="44" fontId="61" fillId="0" borderId="0" xfId="0" applyNumberFormat="1" applyFont="1" applyFill="1" applyBorder="1" applyAlignment="1">
      <alignment horizontal="center"/>
    </xf>
    <xf numFmtId="44" fontId="60" fillId="0" borderId="0" xfId="0" applyNumberFormat="1" applyFont="1" applyFill="1" applyBorder="1" applyAlignment="1">
      <alignment vertical="center"/>
    </xf>
    <xf numFmtId="44" fontId="60" fillId="0" borderId="0" xfId="1" applyFont="1" applyFill="1" applyBorder="1" applyAlignment="1">
      <alignment horizontal="right"/>
    </xf>
    <xf numFmtId="44" fontId="60" fillId="0" borderId="0" xfId="1" applyFont="1" applyFill="1" applyBorder="1" applyAlignment="1">
      <alignment horizontal="left"/>
    </xf>
    <xf numFmtId="170" fontId="60" fillId="0" borderId="0" xfId="0" applyNumberFormat="1" applyFont="1" applyFill="1" applyBorder="1" applyAlignment="1">
      <alignment horizontal="left" vertical="center"/>
    </xf>
    <xf numFmtId="170" fontId="60" fillId="0" borderId="0" xfId="0" applyFont="1" applyFill="1" applyBorder="1" applyAlignment="1">
      <alignment horizontal="center" vertical="center"/>
    </xf>
    <xf numFmtId="170" fontId="60" fillId="0" borderId="0" xfId="0" applyFont="1" applyFill="1" applyBorder="1"/>
    <xf numFmtId="170" fontId="62" fillId="0" borderId="0" xfId="0" applyFont="1" applyFill="1" applyBorder="1"/>
    <xf numFmtId="44" fontId="60" fillId="0" borderId="0" xfId="1" applyFont="1" applyFill="1" applyBorder="1" applyAlignment="1">
      <alignment horizontal="center"/>
    </xf>
    <xf numFmtId="166" fontId="60" fillId="0" borderId="0" xfId="0" applyNumberFormat="1" applyFont="1" applyFill="1" applyBorder="1" applyAlignment="1">
      <alignment horizontal="center"/>
    </xf>
    <xf numFmtId="44" fontId="17" fillId="0" borderId="0" xfId="0" applyNumberFormat="1" applyFont="1" applyBorder="1" applyAlignment="1">
      <alignment horizontal="left"/>
    </xf>
    <xf numFmtId="44" fontId="17" fillId="0" borderId="0" xfId="0" applyNumberFormat="1" applyFont="1" applyBorder="1" applyAlignment="1">
      <alignment horizontal="left" indent="1"/>
    </xf>
    <xf numFmtId="164" fontId="0" fillId="0" borderId="0" xfId="0" applyNumberFormat="1" applyBorder="1"/>
    <xf numFmtId="170" fontId="17" fillId="0" borderId="0" xfId="0" applyFont="1" applyAlignment="1">
      <alignment horizontal="right"/>
    </xf>
    <xf numFmtId="170" fontId="27" fillId="0" borderId="0" xfId="2" quotePrefix="1" applyFont="1"/>
    <xf numFmtId="44" fontId="7" fillId="0" borderId="0" xfId="1" applyFont="1" applyBorder="1" applyAlignment="1">
      <alignment horizontal="center" vertical="center"/>
    </xf>
    <xf numFmtId="44" fontId="0" fillId="0" borderId="0" xfId="0" applyNumberFormat="1" applyAlignment="1">
      <alignment horizontal="center"/>
    </xf>
    <xf numFmtId="44" fontId="7" fillId="0" borderId="0" xfId="0" applyNumberFormat="1" applyFont="1" applyBorder="1" applyAlignment="1">
      <alignment horizontal="center"/>
    </xf>
    <xf numFmtId="44" fontId="7" fillId="0" borderId="8" xfId="0" applyNumberFormat="1" applyFont="1" applyBorder="1" applyAlignment="1">
      <alignment horizontal="center"/>
    </xf>
    <xf numFmtId="2" fontId="34" fillId="0" borderId="0" xfId="0" applyNumberFormat="1" applyFont="1" applyAlignment="1">
      <alignment horizontal="right"/>
    </xf>
    <xf numFmtId="170" fontId="10" fillId="0" borderId="0" xfId="0" applyFont="1" applyAlignment="1">
      <alignment horizontal="center"/>
    </xf>
    <xf numFmtId="44" fontId="7" fillId="0" borderId="12" xfId="0" applyNumberFormat="1" applyFont="1" applyBorder="1" applyAlignment="1">
      <alignment horizontal="center"/>
    </xf>
    <xf numFmtId="44" fontId="7" fillId="0" borderId="31" xfId="0" applyNumberFormat="1" applyFont="1" applyBorder="1" applyAlignment="1">
      <alignment horizontal="center"/>
    </xf>
    <xf numFmtId="170" fontId="44" fillId="0" borderId="0" xfId="0" applyFont="1"/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2" fontId="58" fillId="0" borderId="0" xfId="0" applyNumberFormat="1" applyFont="1" applyAlignment="1">
      <alignment horizontal="right"/>
    </xf>
    <xf numFmtId="170" fontId="0" fillId="0" borderId="0" xfId="0" applyBorder="1" applyAlignment="1">
      <alignment horizontal="center"/>
    </xf>
    <xf numFmtId="170" fontId="0" fillId="0" borderId="0" xfId="0" applyBorder="1" applyAlignment="1">
      <alignment horizontal="center"/>
    </xf>
    <xf numFmtId="44" fontId="32" fillId="0" borderId="16" xfId="1" applyFont="1" applyBorder="1"/>
    <xf numFmtId="166" fontId="34" fillId="0" borderId="0" xfId="0" applyNumberFormat="1" applyFont="1" applyBorder="1" applyAlignment="1">
      <alignment horizontal="right"/>
    </xf>
    <xf numFmtId="2" fontId="40" fillId="0" borderId="0" xfId="0" applyNumberFormat="1" applyFont="1" applyBorder="1" applyAlignment="1"/>
    <xf numFmtId="164" fontId="17" fillId="0" borderId="0" xfId="0" applyNumberFormat="1" applyFont="1" applyBorder="1" applyAlignment="1"/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44" fontId="32" fillId="0" borderId="11" xfId="1" applyFont="1" applyBorder="1"/>
    <xf numFmtId="44" fontId="1" fillId="0" borderId="16" xfId="1" applyFont="1" applyBorder="1"/>
    <xf numFmtId="44" fontId="56" fillId="0" borderId="0" xfId="1" applyFont="1" applyBorder="1"/>
    <xf numFmtId="44" fontId="1" fillId="0" borderId="8" xfId="1" applyFont="1" applyFill="1" applyBorder="1" applyAlignment="1">
      <alignment vertical="center"/>
    </xf>
    <xf numFmtId="170" fontId="1" fillId="0" borderId="22" xfId="2" applyFont="1" applyBorder="1" applyAlignment="1">
      <alignment horizontal="left"/>
    </xf>
    <xf numFmtId="170" fontId="1" fillId="0" borderId="24" xfId="2" applyFont="1" applyBorder="1" applyAlignment="1">
      <alignment horizontal="left"/>
    </xf>
    <xf numFmtId="44" fontId="27" fillId="0" borderId="0" xfId="1" applyFont="1" applyFill="1" applyBorder="1"/>
    <xf numFmtId="49" fontId="34" fillId="0" borderId="0" xfId="0" applyNumberFormat="1" applyFont="1" applyBorder="1" applyAlignment="1">
      <alignment horizontal="center"/>
    </xf>
    <xf numFmtId="44" fontId="64" fillId="0" borderId="0" xfId="1" applyFont="1" applyBorder="1"/>
    <xf numFmtId="44" fontId="38" fillId="0" borderId="0" xfId="1" applyFont="1" applyBorder="1" applyAlignment="1">
      <alignment horizontal="left"/>
    </xf>
    <xf numFmtId="44" fontId="34" fillId="0" borderId="0" xfId="1" applyFont="1" applyFill="1" applyBorder="1" applyAlignment="1">
      <alignment horizontal="right"/>
    </xf>
    <xf numFmtId="170" fontId="46" fillId="0" borderId="0" xfId="0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70" fontId="0" fillId="0" borderId="0" xfId="0" applyBorder="1" applyAlignment="1">
      <alignment horizontal="center" vertical="center"/>
    </xf>
    <xf numFmtId="44" fontId="1" fillId="0" borderId="0" xfId="1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 vertical="center"/>
    </xf>
    <xf numFmtId="170" fontId="0" fillId="0" borderId="0" xfId="0" applyBorder="1" applyAlignment="1">
      <alignment horizontal="center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 vertical="center" wrapText="1"/>
    </xf>
    <xf numFmtId="2" fontId="58" fillId="0" borderId="0" xfId="0" applyNumberFormat="1" applyFont="1" applyAlignment="1">
      <alignment horizontal="right"/>
    </xf>
    <xf numFmtId="44" fontId="7" fillId="0" borderId="0" xfId="0" applyNumberFormat="1" applyFont="1" applyBorder="1" applyAlignment="1">
      <alignment horizontal="center"/>
    </xf>
    <xf numFmtId="44" fontId="17" fillId="0" borderId="0" xfId="0" applyNumberFormat="1" applyFont="1" applyFill="1" applyBorder="1" applyAlignment="1">
      <alignment horizontal="right"/>
    </xf>
    <xf numFmtId="44" fontId="17" fillId="0" borderId="0" xfId="1" applyFont="1" applyFill="1" applyBorder="1" applyAlignment="1">
      <alignment horizontal="left" vertical="center" indent="2"/>
    </xf>
    <xf numFmtId="44" fontId="17" fillId="0" borderId="0" xfId="0" applyNumberFormat="1" applyFont="1" applyFill="1" applyBorder="1" applyAlignment="1">
      <alignment horizontal="left" indent="1"/>
    </xf>
    <xf numFmtId="170" fontId="1" fillId="0" borderId="23" xfId="2" applyFont="1" applyBorder="1" applyAlignment="1">
      <alignment horizontal="center"/>
    </xf>
    <xf numFmtId="44" fontId="65" fillId="0" borderId="0" xfId="1" applyFont="1" applyBorder="1" applyAlignment="1">
      <alignment horizontal="left"/>
    </xf>
    <xf numFmtId="170" fontId="66" fillId="0" borderId="0" xfId="0" applyFont="1" applyFill="1" applyBorder="1" applyAlignment="1">
      <alignment horizontal="center" vertical="center"/>
    </xf>
    <xf numFmtId="44" fontId="1" fillId="0" borderId="11" xfId="1" applyFont="1" applyBorder="1"/>
    <xf numFmtId="170" fontId="1" fillId="0" borderId="3" xfId="2" applyFont="1" applyBorder="1" applyAlignment="1">
      <alignment horizontal="center"/>
    </xf>
    <xf numFmtId="44" fontId="67" fillId="0" borderId="0" xfId="1" applyFont="1" applyBorder="1"/>
    <xf numFmtId="2" fontId="58" fillId="0" borderId="0" xfId="0" applyNumberFormat="1" applyFont="1" applyAlignment="1">
      <alignment horizontal="right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170" fontId="0" fillId="0" borderId="0" xfId="0" applyBorder="1" applyAlignment="1">
      <alignment horizontal="center" vertical="center"/>
    </xf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44" fontId="7" fillId="0" borderId="0" xfId="0" applyNumberFormat="1" applyFont="1" applyBorder="1" applyAlignment="1">
      <alignment horizontal="center"/>
    </xf>
    <xf numFmtId="44" fontId="65" fillId="0" borderId="0" xfId="0" applyNumberFormat="1" applyFont="1" applyFill="1" applyBorder="1" applyAlignment="1">
      <alignment vertical="center"/>
    </xf>
    <xf numFmtId="44" fontId="42" fillId="0" borderId="0" xfId="0" applyNumberFormat="1" applyFont="1" applyFill="1" applyBorder="1" applyAlignment="1">
      <alignment vertical="center"/>
    </xf>
    <xf numFmtId="49" fontId="34" fillId="0" borderId="0" xfId="0" quotePrefix="1" applyNumberFormat="1" applyFont="1" applyBorder="1" applyAlignment="1">
      <alignment horizontal="center"/>
    </xf>
    <xf numFmtId="170" fontId="60" fillId="0" borderId="8" xfId="0" applyFont="1" applyFill="1" applyBorder="1"/>
    <xf numFmtId="44" fontId="42" fillId="0" borderId="8" xfId="0" applyNumberFormat="1" applyFont="1" applyBorder="1"/>
    <xf numFmtId="44" fontId="68" fillId="0" borderId="0" xfId="1" applyFont="1" applyBorder="1" applyAlignment="1">
      <alignment horizontal="left"/>
    </xf>
    <xf numFmtId="44" fontId="34" fillId="0" borderId="0" xfId="0" applyNumberFormat="1" applyFont="1" applyFill="1" applyBorder="1" applyAlignment="1">
      <alignment vertical="center"/>
    </xf>
    <xf numFmtId="44" fontId="69" fillId="0" borderId="0" xfId="1" applyFont="1" applyBorder="1"/>
    <xf numFmtId="44" fontId="1" fillId="0" borderId="0" xfId="0" applyNumberFormat="1" applyFont="1" applyFill="1" applyBorder="1" applyAlignment="1">
      <alignment vertical="center"/>
    </xf>
    <xf numFmtId="44" fontId="1" fillId="0" borderId="0" xfId="1" quotePrefix="1" applyFont="1" applyBorder="1" applyAlignment="1">
      <alignment horizontal="right"/>
    </xf>
    <xf numFmtId="44" fontId="1" fillId="0" borderId="0" xfId="1" applyFont="1" applyFill="1" applyBorder="1" applyAlignment="1">
      <alignment horizontal="right"/>
    </xf>
    <xf numFmtId="44" fontId="1" fillId="0" borderId="0" xfId="1" applyFont="1" applyFill="1" applyBorder="1" applyAlignment="1">
      <alignment horizontal="left"/>
    </xf>
    <xf numFmtId="170" fontId="1" fillId="0" borderId="0" xfId="0" applyNumberFormat="1" applyFont="1" applyFill="1" applyBorder="1" applyAlignment="1">
      <alignment horizontal="left" vertical="center"/>
    </xf>
    <xf numFmtId="170" fontId="1" fillId="0" borderId="0" xfId="0" applyFont="1" applyFill="1" applyBorder="1" applyAlignment="1">
      <alignment horizontal="center" vertical="center"/>
    </xf>
    <xf numFmtId="164" fontId="42" fillId="0" borderId="0" xfId="0" applyNumberFormat="1" applyFont="1" applyBorder="1" applyAlignment="1">
      <alignment horizontal="center" vertical="center"/>
    </xf>
    <xf numFmtId="44" fontId="1" fillId="0" borderId="0" xfId="1" quotePrefix="1" applyFont="1" applyFill="1" applyBorder="1" applyAlignment="1">
      <alignment horizontal="right"/>
    </xf>
    <xf numFmtId="44" fontId="7" fillId="0" borderId="0" xfId="0" applyNumberFormat="1" applyFont="1" applyBorder="1" applyAlignment="1">
      <alignment horizontal="center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170" fontId="0" fillId="0" borderId="0" xfId="0" applyBorder="1" applyAlignment="1">
      <alignment horizontal="center" vertical="center"/>
    </xf>
    <xf numFmtId="2" fontId="58" fillId="0" borderId="0" xfId="0" applyNumberFormat="1" applyFont="1" applyAlignment="1">
      <alignment horizontal="right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49" fontId="34" fillId="0" borderId="8" xfId="0" applyNumberFormat="1" applyFont="1" applyBorder="1" applyAlignment="1">
      <alignment horizontal="center"/>
    </xf>
    <xf numFmtId="170" fontId="34" fillId="0" borderId="8" xfId="0" applyFont="1" applyBorder="1" applyAlignment="1">
      <alignment horizontal="right"/>
    </xf>
    <xf numFmtId="44" fontId="35" fillId="0" borderId="8" xfId="1" applyFont="1" applyBorder="1"/>
    <xf numFmtId="44" fontId="64" fillId="0" borderId="8" xfId="1" applyFont="1" applyBorder="1"/>
    <xf numFmtId="44" fontId="7" fillId="0" borderId="8" xfId="1" applyFont="1" applyBorder="1" applyAlignment="1">
      <alignment horizontal="center"/>
    </xf>
    <xf numFmtId="44" fontId="69" fillId="0" borderId="0" xfId="1" applyFont="1" applyFill="1" applyBorder="1"/>
    <xf numFmtId="170" fontId="1" fillId="0" borderId="0" xfId="0" applyFont="1" applyBorder="1" applyAlignment="1">
      <alignment horizontal="center" vertical="center"/>
    </xf>
    <xf numFmtId="44" fontId="65" fillId="0" borderId="0" xfId="0" applyNumberFormat="1" applyFont="1" applyBorder="1" applyAlignment="1">
      <alignment horizontal="left" vertical="center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2" fontId="58" fillId="0" borderId="0" xfId="0" applyNumberFormat="1" applyFont="1" applyAlignment="1">
      <alignment horizontal="right"/>
    </xf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170" fontId="46" fillId="0" borderId="0" xfId="0" applyFont="1" applyFill="1" applyBorder="1" applyAlignment="1">
      <alignment horizontal="center" vertical="center"/>
    </xf>
    <xf numFmtId="49" fontId="50" fillId="0" borderId="0" xfId="0" applyNumberFormat="1" applyFont="1" applyBorder="1" applyAlignment="1">
      <alignment horizontal="left"/>
    </xf>
    <xf numFmtId="170" fontId="0" fillId="0" borderId="0" xfId="0" applyBorder="1" applyAlignment="1">
      <alignment horizontal="center"/>
    </xf>
    <xf numFmtId="43" fontId="7" fillId="0" borderId="0" xfId="5" applyFont="1" applyBorder="1"/>
    <xf numFmtId="2" fontId="58" fillId="0" borderId="0" xfId="0" applyNumberFormat="1" applyFont="1" applyAlignment="1"/>
    <xf numFmtId="44" fontId="8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170" fontId="46" fillId="0" borderId="0" xfId="0" applyFont="1" applyFill="1" applyBorder="1" applyAlignment="1">
      <alignment horizontal="center" vertical="center"/>
    </xf>
    <xf numFmtId="44" fontId="7" fillId="0" borderId="0" xfId="0" applyNumberFormat="1" applyFont="1" applyBorder="1" applyAlignment="1">
      <alignment horizontal="center" vertical="center" wrapText="1"/>
    </xf>
    <xf numFmtId="2" fontId="58" fillId="0" borderId="0" xfId="0" applyNumberFormat="1" applyFont="1" applyAlignment="1">
      <alignment horizontal="right"/>
    </xf>
    <xf numFmtId="44" fontId="7" fillId="0" borderId="0" xfId="0" applyNumberFormat="1" applyFont="1" applyBorder="1" applyAlignment="1">
      <alignment horizontal="center"/>
    </xf>
    <xf numFmtId="169" fontId="1" fillId="0" borderId="8" xfId="0" applyNumberFormat="1" applyFont="1" applyBorder="1" applyAlignment="1">
      <alignment horizontal="right" vertical="center"/>
    </xf>
    <xf numFmtId="44" fontId="7" fillId="0" borderId="0" xfId="0" applyNumberFormat="1" applyFont="1" applyBorder="1" applyAlignment="1">
      <alignment horizontal="center"/>
    </xf>
    <xf numFmtId="170" fontId="46" fillId="0" borderId="0" xfId="0" applyFont="1" applyFill="1" applyBorder="1" applyAlignment="1">
      <alignment horizontal="center" vertical="center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2" fontId="58" fillId="0" borderId="0" xfId="0" applyNumberFormat="1" applyFont="1" applyAlignment="1">
      <alignment horizontal="right"/>
    </xf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44" fontId="1" fillId="0" borderId="8" xfId="1" applyFont="1" applyFill="1" applyBorder="1" applyAlignment="1">
      <alignment horizontal="left" indent="2"/>
    </xf>
    <xf numFmtId="44" fontId="34" fillId="0" borderId="8" xfId="1" applyFont="1" applyBorder="1"/>
    <xf numFmtId="44" fontId="68" fillId="0" borderId="8" xfId="1" applyFont="1" applyBorder="1" applyAlignment="1">
      <alignment horizontal="left"/>
    </xf>
    <xf numFmtId="44" fontId="1" fillId="0" borderId="8" xfId="1" applyFont="1" applyBorder="1" applyAlignment="1">
      <alignment horizontal="left"/>
    </xf>
    <xf numFmtId="170" fontId="0" fillId="0" borderId="8" xfId="0" applyBorder="1" applyAlignment="1">
      <alignment horizontal="left" vertical="center"/>
    </xf>
    <xf numFmtId="170" fontId="44" fillId="0" borderId="0" xfId="0" applyFont="1" applyBorder="1"/>
    <xf numFmtId="44" fontId="42" fillId="0" borderId="0" xfId="0" applyNumberFormat="1" applyFont="1" applyBorder="1"/>
    <xf numFmtId="44" fontId="35" fillId="0" borderId="8" xfId="1" applyFont="1" applyFill="1" applyBorder="1"/>
    <xf numFmtId="49" fontId="34" fillId="0" borderId="8" xfId="0" quotePrefix="1" applyNumberFormat="1" applyFont="1" applyBorder="1" applyAlignment="1">
      <alignment horizontal="center"/>
    </xf>
    <xf numFmtId="49" fontId="34" fillId="0" borderId="8" xfId="0" applyNumberFormat="1" applyFont="1" applyBorder="1" applyAlignment="1">
      <alignment horizontal="right" vertical="center"/>
    </xf>
    <xf numFmtId="44" fontId="28" fillId="0" borderId="8" xfId="1" applyFont="1" applyBorder="1"/>
    <xf numFmtId="44" fontId="34" fillId="0" borderId="8" xfId="0" applyNumberFormat="1" applyFont="1" applyBorder="1"/>
    <xf numFmtId="44" fontId="65" fillId="0" borderId="0" xfId="0" applyNumberFormat="1" applyFont="1"/>
    <xf numFmtId="170" fontId="1" fillId="0" borderId="0" xfId="0" applyFont="1" applyBorder="1" applyAlignment="1"/>
    <xf numFmtId="44" fontId="1" fillId="0" borderId="0" xfId="1" applyFont="1" applyBorder="1" applyAlignment="1">
      <alignment horizontal="center" vertical="center"/>
    </xf>
    <xf numFmtId="170" fontId="53" fillId="0" borderId="0" xfId="2" quotePrefix="1" applyFont="1" applyAlignment="1">
      <alignment horizontal="center" vertical="center"/>
    </xf>
    <xf numFmtId="43" fontId="1" fillId="0" borderId="0" xfId="5" applyFont="1" applyBorder="1"/>
    <xf numFmtId="43" fontId="1" fillId="0" borderId="0" xfId="2" applyNumberFormat="1" applyBorder="1"/>
    <xf numFmtId="170" fontId="17" fillId="0" borderId="0" xfId="2" applyFont="1" applyBorder="1" applyAlignment="1">
      <alignment horizontal="left" indent="6"/>
    </xf>
    <xf numFmtId="44" fontId="70" fillId="0" borderId="14" xfId="1" applyFont="1" applyBorder="1"/>
    <xf numFmtId="44" fontId="70" fillId="0" borderId="0" xfId="1" applyFont="1" applyBorder="1"/>
    <xf numFmtId="44" fontId="35" fillId="0" borderId="0" xfId="0" applyNumberFormat="1" applyFont="1" applyFill="1" applyBorder="1" applyAlignment="1">
      <alignment vertical="center"/>
    </xf>
    <xf numFmtId="44" fontId="34" fillId="0" borderId="0" xfId="1" quotePrefix="1" applyFont="1" applyBorder="1" applyAlignment="1">
      <alignment horizontal="right"/>
    </xf>
    <xf numFmtId="44" fontId="70" fillId="0" borderId="0" xfId="1" applyFont="1" applyFill="1" applyBorder="1"/>
    <xf numFmtId="170" fontId="1" fillId="0" borderId="9" xfId="2" applyFont="1" applyBorder="1" applyAlignment="1">
      <alignment horizontal="left"/>
    </xf>
    <xf numFmtId="170" fontId="0" fillId="0" borderId="0" xfId="0" applyBorder="1" applyAlignment="1">
      <alignment horizontal="center" vertical="center"/>
    </xf>
    <xf numFmtId="170" fontId="46" fillId="0" borderId="0" xfId="0" applyFont="1" applyFill="1" applyBorder="1" applyAlignment="1">
      <alignment horizontal="center" vertical="center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2" fontId="58" fillId="0" borderId="0" xfId="0" applyNumberFormat="1" applyFont="1" applyAlignment="1">
      <alignment horizontal="right"/>
    </xf>
    <xf numFmtId="44" fontId="7" fillId="0" borderId="0" xfId="0" applyNumberFormat="1" applyFont="1" applyBorder="1" applyAlignment="1">
      <alignment horizontal="center"/>
    </xf>
    <xf numFmtId="44" fontId="34" fillId="0" borderId="0" xfId="0" applyNumberFormat="1" applyFont="1" applyBorder="1"/>
    <xf numFmtId="44" fontId="1" fillId="0" borderId="8" xfId="0" applyNumberFormat="1" applyFont="1" applyFill="1" applyBorder="1" applyAlignment="1">
      <alignment vertical="center"/>
    </xf>
    <xf numFmtId="44" fontId="1" fillId="0" borderId="8" xfId="1" quotePrefix="1" applyFont="1" applyFill="1" applyBorder="1" applyAlignment="1">
      <alignment horizontal="right"/>
    </xf>
    <xf numFmtId="44" fontId="1" fillId="0" borderId="8" xfId="1" applyFont="1" applyFill="1" applyBorder="1" applyAlignment="1">
      <alignment horizontal="left"/>
    </xf>
    <xf numFmtId="170" fontId="60" fillId="0" borderId="8" xfId="0" applyNumberFormat="1" applyFont="1" applyFill="1" applyBorder="1" applyAlignment="1">
      <alignment horizontal="left" vertical="center"/>
    </xf>
    <xf numFmtId="170" fontId="60" fillId="0" borderId="8" xfId="0" applyFont="1" applyFill="1" applyBorder="1" applyAlignment="1">
      <alignment horizontal="center" vertical="center"/>
    </xf>
    <xf numFmtId="170" fontId="34" fillId="0" borderId="0" xfId="0" applyFont="1"/>
    <xf numFmtId="170" fontId="63" fillId="0" borderId="0" xfId="0" applyFont="1"/>
    <xf numFmtId="43" fontId="2" fillId="0" borderId="0" xfId="5" applyFont="1" applyFill="1" applyBorder="1" applyAlignment="1">
      <alignment horizontal="right"/>
    </xf>
    <xf numFmtId="170" fontId="1" fillId="0" borderId="1" xfId="2" applyFont="1" applyBorder="1" applyAlignment="1">
      <alignment horizontal="center"/>
    </xf>
    <xf numFmtId="170" fontId="1" fillId="0" borderId="1" xfId="2" applyFont="1" applyBorder="1"/>
    <xf numFmtId="43" fontId="2" fillId="0" borderId="1" xfId="5" applyFont="1" applyFill="1" applyBorder="1" applyAlignment="1">
      <alignment horizontal="right"/>
    </xf>
    <xf numFmtId="170" fontId="1" fillId="0" borderId="1" xfId="2" applyFont="1" applyBorder="1" applyAlignment="1">
      <alignment horizontal="left"/>
    </xf>
    <xf numFmtId="43" fontId="7" fillId="0" borderId="2" xfId="5" applyFont="1" applyBorder="1"/>
    <xf numFmtId="2" fontId="9" fillId="0" borderId="0" xfId="0" applyNumberFormat="1" applyFont="1" applyAlignment="1">
      <alignment horizontal="center"/>
    </xf>
    <xf numFmtId="17" fontId="6" fillId="0" borderId="0" xfId="0" applyNumberFormat="1" applyFont="1" applyAlignment="1">
      <alignment horizontal="center" vertical="center"/>
    </xf>
    <xf numFmtId="17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right"/>
    </xf>
    <xf numFmtId="2" fontId="1" fillId="0" borderId="1" xfId="2" applyNumberFormat="1" applyFont="1" applyBorder="1" applyAlignment="1">
      <alignment horizontal="right"/>
    </xf>
    <xf numFmtId="9" fontId="0" fillId="0" borderId="0" xfId="0" applyNumberFormat="1" applyAlignment="1">
      <alignment horizontal="center"/>
    </xf>
    <xf numFmtId="170" fontId="1" fillId="0" borderId="0" xfId="0" applyFont="1" applyAlignment="1">
      <alignment horizontal="center"/>
    </xf>
    <xf numFmtId="170" fontId="17" fillId="0" borderId="0" xfId="2" applyFont="1" applyFill="1" applyBorder="1" applyAlignment="1">
      <alignment horizontal="left"/>
    </xf>
    <xf numFmtId="170" fontId="17" fillId="0" borderId="8" xfId="2" applyFont="1" applyFill="1" applyBorder="1" applyAlignment="1">
      <alignment horizontal="left"/>
    </xf>
    <xf numFmtId="170" fontId="34" fillId="0" borderId="0" xfId="0" applyFont="1" applyAlignment="1">
      <alignment horizontal="left"/>
    </xf>
    <xf numFmtId="1" fontId="1" fillId="0" borderId="0" xfId="2" applyNumberFormat="1" applyFont="1" applyBorder="1" applyAlignment="1">
      <alignment horizontal="center" vertical="center"/>
    </xf>
    <xf numFmtId="170" fontId="22" fillId="0" borderId="8" xfId="0" applyFont="1" applyBorder="1" applyAlignment="1">
      <alignment horizontal="center" wrapText="1"/>
    </xf>
    <xf numFmtId="170" fontId="9" fillId="0" borderId="8" xfId="0" quotePrefix="1" applyFont="1" applyBorder="1" applyAlignment="1">
      <alignment horizontal="center" wrapText="1"/>
    </xf>
    <xf numFmtId="170" fontId="9" fillId="0" borderId="8" xfId="0" applyFont="1" applyBorder="1" applyAlignment="1">
      <alignment horizontal="center" wrapText="1"/>
    </xf>
    <xf numFmtId="165" fontId="0" fillId="0" borderId="0" xfId="0" applyNumberFormat="1"/>
    <xf numFmtId="2" fontId="6" fillId="0" borderId="0" xfId="2" applyNumberFormat="1" applyFont="1" applyBorder="1" applyAlignment="1">
      <alignment horizontal="center"/>
    </xf>
    <xf numFmtId="170" fontId="35" fillId="0" borderId="0" xfId="0" quotePrefix="1" applyFont="1" applyAlignment="1">
      <alignment horizontal="right"/>
    </xf>
    <xf numFmtId="44" fontId="0" fillId="0" borderId="19" xfId="1" applyFont="1" applyBorder="1"/>
    <xf numFmtId="170" fontId="22" fillId="0" borderId="0" xfId="0" applyFont="1" applyBorder="1" applyAlignment="1">
      <alignment horizontal="center" vertical="center" wrapText="1"/>
    </xf>
    <xf numFmtId="1" fontId="17" fillId="0" borderId="0" xfId="2" applyNumberFormat="1" applyFont="1" applyBorder="1" applyAlignment="1">
      <alignment horizontal="center" vertical="center"/>
    </xf>
    <xf numFmtId="43" fontId="2" fillId="0" borderId="10" xfId="5" applyFont="1" applyFill="1" applyBorder="1" applyAlignment="1">
      <alignment horizontal="right"/>
    </xf>
    <xf numFmtId="165" fontId="0" fillId="0" borderId="19" xfId="0" applyNumberFormat="1" applyBorder="1"/>
    <xf numFmtId="43" fontId="0" fillId="0" borderId="0" xfId="0" applyNumberFormat="1" applyAlignment="1">
      <alignment horizontal="center"/>
    </xf>
    <xf numFmtId="170" fontId="0" fillId="0" borderId="0" xfId="0" applyBorder="1" applyAlignment="1">
      <alignment horizontal="center" vertical="center"/>
    </xf>
    <xf numFmtId="170" fontId="54" fillId="0" borderId="0" xfId="2" quotePrefix="1" applyFont="1" applyBorder="1" applyAlignment="1">
      <alignment horizontal="left" vertical="center" indent="1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170" fontId="0" fillId="0" borderId="0" xfId="0" applyBorder="1" applyAlignment="1">
      <alignment horizontal="center" vertical="center"/>
    </xf>
    <xf numFmtId="2" fontId="58" fillId="0" borderId="0" xfId="0" applyNumberFormat="1" applyFont="1" applyAlignment="1">
      <alignment horizontal="right"/>
    </xf>
    <xf numFmtId="164" fontId="0" fillId="0" borderId="8" xfId="0" applyNumberFormat="1" applyBorder="1"/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169" fontId="0" fillId="0" borderId="8" xfId="0" applyNumberFormat="1" applyFill="1" applyBorder="1" applyAlignment="1">
      <alignment horizontal="right" vertical="center"/>
    </xf>
    <xf numFmtId="44" fontId="1" fillId="0" borderId="15" xfId="1" applyFont="1" applyFill="1" applyBorder="1" applyAlignment="1">
      <alignment vertical="center"/>
    </xf>
    <xf numFmtId="44" fontId="7" fillId="0" borderId="0" xfId="0" applyNumberFormat="1" applyFont="1" applyBorder="1" applyAlignment="1">
      <alignment horizontal="center"/>
    </xf>
    <xf numFmtId="44" fontId="70" fillId="0" borderId="16" xfId="1" applyFont="1" applyBorder="1"/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170" fontId="0" fillId="0" borderId="0" xfId="0" applyBorder="1" applyAlignment="1">
      <alignment horizontal="center" vertical="center"/>
    </xf>
    <xf numFmtId="2" fontId="58" fillId="0" borderId="0" xfId="0" applyNumberFormat="1" applyFont="1" applyAlignment="1">
      <alignment horizontal="right"/>
    </xf>
    <xf numFmtId="170" fontId="0" fillId="0" borderId="0" xfId="0" applyBorder="1" applyAlignment="1">
      <alignment horizontal="center"/>
    </xf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170" fontId="0" fillId="0" borderId="0" xfId="0" applyBorder="1" applyAlignment="1">
      <alignment horizontal="center"/>
    </xf>
    <xf numFmtId="44" fontId="23" fillId="0" borderId="29" xfId="1" applyFont="1" applyBorder="1"/>
    <xf numFmtId="170" fontId="0" fillId="0" borderId="0" xfId="0" applyBorder="1" applyAlignment="1">
      <alignment horizontal="center"/>
    </xf>
    <xf numFmtId="49" fontId="34" fillId="0" borderId="0" xfId="0" applyNumberFormat="1" applyFont="1" applyBorder="1" applyAlignment="1">
      <alignment horizontal="right"/>
    </xf>
    <xf numFmtId="44" fontId="28" fillId="0" borderId="15" xfId="1" applyFont="1" applyFill="1" applyBorder="1"/>
    <xf numFmtId="44" fontId="35" fillId="0" borderId="0" xfId="0" quotePrefix="1" applyNumberFormat="1" applyFont="1" applyAlignment="1">
      <alignment horizontal="right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2" fontId="58" fillId="0" borderId="0" xfId="0" applyNumberFormat="1" applyFont="1" applyAlignment="1">
      <alignment horizontal="right"/>
    </xf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2" fontId="58" fillId="0" borderId="0" xfId="0" applyNumberFormat="1" applyFont="1" applyAlignment="1">
      <alignment horizontal="right"/>
    </xf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49" fontId="17" fillId="0" borderId="8" xfId="0" applyNumberFormat="1" applyFont="1" applyBorder="1" applyAlignment="1">
      <alignment horizontal="right"/>
    </xf>
    <xf numFmtId="44" fontId="7" fillId="0" borderId="0" xfId="0" applyNumberFormat="1" applyFont="1" applyBorder="1" applyAlignment="1">
      <alignment horizontal="center"/>
    </xf>
    <xf numFmtId="44" fontId="30" fillId="0" borderId="0" xfId="1" applyFont="1" applyBorder="1"/>
    <xf numFmtId="44" fontId="30" fillId="0" borderId="15" xfId="1" applyFont="1" applyBorder="1"/>
    <xf numFmtId="44" fontId="71" fillId="0" borderId="0" xfId="0" applyNumberFormat="1" applyFont="1" applyFill="1" applyBorder="1" applyAlignment="1">
      <alignment vertical="center"/>
    </xf>
    <xf numFmtId="44" fontId="1" fillId="0" borderId="0" xfId="0" applyNumberFormat="1" applyFont="1" applyFill="1" applyBorder="1" applyAlignment="1">
      <alignment horizontal="left" vertical="center" indent="2"/>
    </xf>
    <xf numFmtId="170" fontId="34" fillId="0" borderId="0" xfId="0" applyNumberFormat="1" applyFont="1" applyFill="1" applyBorder="1" applyAlignment="1">
      <alignment horizontal="right" vertical="center" indent="1"/>
    </xf>
    <xf numFmtId="170" fontId="7" fillId="0" borderId="0" xfId="0" applyFont="1" applyFill="1" applyBorder="1" applyAlignment="1">
      <alignment horizontal="center" vertical="center"/>
    </xf>
    <xf numFmtId="170" fontId="27" fillId="0" borderId="0" xfId="0" applyNumberFormat="1" applyFont="1" applyFill="1" applyBorder="1" applyAlignment="1">
      <alignment horizontal="left" vertical="center"/>
    </xf>
    <xf numFmtId="44" fontId="72" fillId="0" borderId="0" xfId="0" applyNumberFormat="1" applyFont="1" applyFill="1" applyBorder="1" applyAlignment="1">
      <alignment vertical="center"/>
    </xf>
    <xf numFmtId="44" fontId="37" fillId="0" borderId="0" xfId="1" applyFont="1" applyFill="1" applyBorder="1"/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2" fontId="58" fillId="0" borderId="0" xfId="0" applyNumberFormat="1" applyFont="1" applyAlignment="1">
      <alignment horizontal="right"/>
    </xf>
    <xf numFmtId="170" fontId="0" fillId="0" borderId="0" xfId="0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 vertical="center"/>
    </xf>
    <xf numFmtId="170" fontId="1" fillId="0" borderId="8" xfId="0" applyFont="1" applyBorder="1" applyAlignment="1">
      <alignment horizontal="right"/>
    </xf>
    <xf numFmtId="44" fontId="27" fillId="0" borderId="8" xfId="1" applyFont="1" applyBorder="1"/>
    <xf numFmtId="44" fontId="1" fillId="0" borderId="8" xfId="1" applyFont="1" applyFill="1" applyBorder="1" applyAlignment="1">
      <alignment horizontal="right"/>
    </xf>
    <xf numFmtId="170" fontId="1" fillId="0" borderId="8" xfId="0" applyNumberFormat="1" applyFont="1" applyFill="1" applyBorder="1" applyAlignment="1">
      <alignment horizontal="left" vertical="center"/>
    </xf>
    <xf numFmtId="170" fontId="1" fillId="0" borderId="8" xfId="0" applyFont="1" applyFill="1" applyBorder="1" applyAlignment="1">
      <alignment horizontal="center" vertical="center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2" fontId="58" fillId="0" borderId="0" xfId="0" applyNumberFormat="1" applyFont="1" applyAlignment="1">
      <alignment horizontal="right"/>
    </xf>
    <xf numFmtId="170" fontId="0" fillId="0" borderId="0" xfId="0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44" fontId="44" fillId="0" borderId="0" xfId="0" applyNumberFormat="1" applyFont="1"/>
    <xf numFmtId="44" fontId="28" fillId="0" borderId="29" xfId="1" applyFont="1" applyFill="1" applyBorder="1" applyAlignment="1">
      <alignment vertical="center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2" fontId="58" fillId="0" borderId="0" xfId="0" applyNumberFormat="1" applyFont="1" applyAlignment="1">
      <alignment horizontal="right"/>
    </xf>
    <xf numFmtId="44" fontId="7" fillId="0" borderId="0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44" fontId="17" fillId="0" borderId="8" xfId="0" applyNumberFormat="1" applyFont="1" applyBorder="1" applyAlignment="1">
      <alignment horizontal="left" indent="1"/>
    </xf>
    <xf numFmtId="44" fontId="17" fillId="0" borderId="8" xfId="0" applyNumberFormat="1" applyFont="1" applyBorder="1" applyAlignment="1">
      <alignment horizontal="left"/>
    </xf>
    <xf numFmtId="44" fontId="70" fillId="0" borderId="15" xfId="1" applyFont="1" applyFill="1" applyBorder="1"/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2" fontId="58" fillId="0" borderId="0" xfId="0" applyNumberFormat="1" applyFont="1" applyAlignment="1">
      <alignment horizontal="right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44" fontId="45" fillId="0" borderId="8" xfId="1" applyFont="1" applyFill="1" applyBorder="1" applyAlignment="1">
      <alignment horizontal="right"/>
    </xf>
    <xf numFmtId="44" fontId="7" fillId="0" borderId="8" xfId="1" applyFont="1" applyFill="1" applyBorder="1"/>
    <xf numFmtId="44" fontId="7" fillId="0" borderId="8" xfId="0" applyNumberFormat="1" applyFont="1" applyFill="1" applyBorder="1" applyAlignment="1">
      <alignment horizontal="left"/>
    </xf>
    <xf numFmtId="49" fontId="34" fillId="0" borderId="8" xfId="0" applyNumberFormat="1" applyFont="1" applyBorder="1" applyAlignment="1">
      <alignment horizontal="right"/>
    </xf>
    <xf numFmtId="167" fontId="7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Border="1" applyAlignment="1">
      <alignment horizontal="left" vertical="center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 vertical="center" wrapText="1"/>
    </xf>
    <xf numFmtId="2" fontId="58" fillId="0" borderId="0" xfId="0" applyNumberFormat="1" applyFont="1" applyAlignment="1">
      <alignment horizontal="right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2" fontId="58" fillId="0" borderId="0" xfId="0" applyNumberFormat="1" applyFont="1" applyAlignment="1">
      <alignment horizontal="right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44" fontId="70" fillId="0" borderId="16" xfId="1" applyFont="1" applyBorder="1" applyAlignment="1">
      <alignment horizontal="left"/>
    </xf>
    <xf numFmtId="170" fontId="1" fillId="0" borderId="0" xfId="0" quotePrefix="1" applyNumberFormat="1" applyFont="1" applyBorder="1" applyAlignment="1">
      <alignment horizontal="left" vertical="center"/>
    </xf>
    <xf numFmtId="44" fontId="1" fillId="0" borderId="8" xfId="0" applyNumberFormat="1" applyFont="1" applyFill="1" applyBorder="1" applyAlignment="1">
      <alignment horizontal="left" vertical="center" indent="2"/>
    </xf>
    <xf numFmtId="170" fontId="27" fillId="0" borderId="8" xfId="0" applyNumberFormat="1" applyFont="1" applyFill="1" applyBorder="1" applyAlignment="1">
      <alignment horizontal="left" vertical="center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2" fontId="58" fillId="0" borderId="0" xfId="0" applyNumberFormat="1" applyFont="1" applyAlignment="1">
      <alignment horizontal="right"/>
    </xf>
    <xf numFmtId="44" fontId="73" fillId="0" borderId="0" xfId="1" applyFont="1" applyBorder="1"/>
    <xf numFmtId="44" fontId="7" fillId="0" borderId="8" xfId="0" applyNumberFormat="1" applyFont="1" applyFill="1" applyBorder="1" applyAlignment="1">
      <alignment horizontal="right"/>
    </xf>
    <xf numFmtId="44" fontId="41" fillId="0" borderId="8" xfId="1" applyFont="1" applyBorder="1" applyAlignment="1">
      <alignment horizontal="center"/>
    </xf>
    <xf numFmtId="44" fontId="44" fillId="0" borderId="8" xfId="1" applyFont="1" applyBorder="1" applyAlignment="1">
      <alignment horizontal="left"/>
    </xf>
    <xf numFmtId="44" fontId="65" fillId="0" borderId="8" xfId="0" applyNumberFormat="1" applyFont="1" applyBorder="1" applyAlignment="1">
      <alignment horizontal="left" vertical="center"/>
    </xf>
    <xf numFmtId="44" fontId="17" fillId="0" borderId="0" xfId="0" applyNumberFormat="1" applyFont="1"/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2" fontId="58" fillId="0" borderId="0" xfId="0" applyNumberFormat="1" applyFont="1" applyAlignment="1">
      <alignment horizontal="right"/>
    </xf>
    <xf numFmtId="44" fontId="7" fillId="0" borderId="0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44" fontId="7" fillId="0" borderId="0" xfId="0" applyNumberFormat="1" applyFont="1" applyBorder="1" applyAlignment="1">
      <alignment horizontal="center"/>
    </xf>
    <xf numFmtId="44" fontId="72" fillId="0" borderId="0" xfId="1" applyFont="1" applyBorder="1"/>
    <xf numFmtId="2" fontId="0" fillId="0" borderId="0" xfId="0" applyNumberFormat="1"/>
    <xf numFmtId="170" fontId="1" fillId="0" borderId="9" xfId="2" applyFont="1" applyBorder="1"/>
    <xf numFmtId="44" fontId="32" fillId="0" borderId="0" xfId="1" applyFont="1"/>
    <xf numFmtId="44" fontId="41" fillId="0" borderId="0" xfId="1" applyFont="1" applyBorder="1" applyAlignment="1">
      <alignment horizontal="right"/>
    </xf>
    <xf numFmtId="44" fontId="17" fillId="0" borderId="0" xfId="1" applyFont="1" applyBorder="1" applyAlignment="1">
      <alignment horizontal="left"/>
    </xf>
    <xf numFmtId="170" fontId="34" fillId="0" borderId="0" xfId="0" applyNumberFormat="1" applyFont="1" applyBorder="1" applyAlignment="1">
      <alignment horizontal="left" vertical="center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2" fontId="58" fillId="0" borderId="0" xfId="0" applyNumberFormat="1" applyFont="1" applyAlignment="1">
      <alignment horizontal="right"/>
    </xf>
    <xf numFmtId="44" fontId="7" fillId="0" borderId="0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170" fontId="7" fillId="0" borderId="0" xfId="0" applyFont="1" applyAlignment="1">
      <alignment horizontal="center" vertical="center"/>
    </xf>
    <xf numFmtId="43" fontId="2" fillId="0" borderId="37" xfId="5" applyFont="1" applyFill="1" applyBorder="1" applyAlignment="1">
      <alignment horizontal="right"/>
    </xf>
    <xf numFmtId="43" fontId="2" fillId="0" borderId="38" xfId="5" applyFont="1" applyFill="1" applyBorder="1" applyAlignment="1">
      <alignment horizontal="right"/>
    </xf>
    <xf numFmtId="170" fontId="1" fillId="0" borderId="39" xfId="2" applyFont="1" applyBorder="1"/>
    <xf numFmtId="170" fontId="1" fillId="0" borderId="37" xfId="2" applyFont="1" applyBorder="1"/>
    <xf numFmtId="170" fontId="1" fillId="0" borderId="38" xfId="2" applyFont="1" applyBorder="1"/>
    <xf numFmtId="170" fontId="1" fillId="0" borderId="40" xfId="2" applyFont="1" applyBorder="1" applyAlignment="1">
      <alignment horizontal="left"/>
    </xf>
    <xf numFmtId="170" fontId="1" fillId="0" borderId="12" xfId="2" applyFont="1" applyBorder="1" applyAlignment="1">
      <alignment horizontal="center"/>
    </xf>
    <xf numFmtId="170" fontId="1" fillId="0" borderId="12" xfId="2" applyFont="1" applyBorder="1"/>
    <xf numFmtId="170" fontId="1" fillId="0" borderId="2" xfId="2" applyFont="1" applyBorder="1"/>
    <xf numFmtId="43" fontId="2" fillId="0" borderId="41" xfId="5" applyFont="1" applyFill="1" applyBorder="1" applyAlignment="1">
      <alignment horizontal="right"/>
    </xf>
    <xf numFmtId="170" fontId="7" fillId="0" borderId="0" xfId="0" applyFont="1" applyAlignment="1">
      <alignment vertical="center"/>
    </xf>
    <xf numFmtId="170" fontId="75" fillId="0" borderId="0" xfId="2" applyFont="1"/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2" fontId="58" fillId="0" borderId="0" xfId="0" applyNumberFormat="1" applyFont="1" applyAlignment="1">
      <alignment horizontal="right"/>
    </xf>
    <xf numFmtId="44" fontId="7" fillId="0" borderId="0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43" fontId="75" fillId="0" borderId="0" xfId="1" applyNumberFormat="1" applyFont="1" applyBorder="1" applyAlignment="1">
      <alignment horizontal="right" vertical="center" indent="3"/>
    </xf>
    <xf numFmtId="43" fontId="2" fillId="0" borderId="43" xfId="5" applyFont="1" applyFill="1" applyBorder="1" applyAlignment="1">
      <alignment horizontal="right"/>
    </xf>
    <xf numFmtId="43" fontId="2" fillId="0" borderId="42" xfId="5" applyFont="1" applyFill="1" applyBorder="1" applyAlignment="1">
      <alignment horizontal="right"/>
    </xf>
    <xf numFmtId="44" fontId="32" fillId="0" borderId="15" xfId="1" applyFont="1" applyBorder="1"/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2" fontId="58" fillId="0" borderId="0" xfId="0" applyNumberFormat="1" applyFont="1" applyAlignment="1">
      <alignment horizontal="right"/>
    </xf>
    <xf numFmtId="44" fontId="7" fillId="0" borderId="0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170" fontId="1" fillId="0" borderId="0" xfId="2" applyFont="1" applyBorder="1" applyAlignment="1">
      <alignment horizontal="left" indent="1"/>
    </xf>
    <xf numFmtId="170" fontId="1" fillId="0" borderId="24" xfId="2" applyFont="1" applyBorder="1"/>
    <xf numFmtId="170" fontId="1" fillId="0" borderId="40" xfId="2" applyFont="1" applyBorder="1"/>
    <xf numFmtId="170" fontId="17" fillId="0" borderId="0" xfId="0" applyNumberFormat="1" applyFont="1" applyBorder="1" applyAlignment="1">
      <alignment horizontal="left" vertical="center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2" fontId="58" fillId="0" borderId="0" xfId="0" applyNumberFormat="1" applyFont="1" applyAlignment="1">
      <alignment horizontal="right"/>
    </xf>
    <xf numFmtId="44" fontId="7" fillId="0" borderId="0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43" fontId="2" fillId="0" borderId="44" xfId="5" applyFont="1" applyFill="1" applyBorder="1" applyAlignment="1">
      <alignment horizontal="right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2" fontId="58" fillId="0" borderId="0" xfId="0" applyNumberFormat="1" applyFont="1" applyAlignment="1">
      <alignment horizontal="right"/>
    </xf>
    <xf numFmtId="43" fontId="75" fillId="0" borderId="0" xfId="1" applyNumberFormat="1" applyFont="1" applyBorder="1" applyAlignment="1">
      <alignment horizontal="center" vertical="center"/>
    </xf>
    <xf numFmtId="170" fontId="1" fillId="0" borderId="45" xfId="2" applyFont="1" applyBorder="1" applyAlignment="1">
      <alignment horizontal="center"/>
    </xf>
    <xf numFmtId="170" fontId="1" fillId="0" borderId="45" xfId="2" applyFont="1" applyBorder="1"/>
    <xf numFmtId="170" fontId="1" fillId="0" borderId="41" xfId="2" applyFont="1" applyBorder="1"/>
    <xf numFmtId="170" fontId="1" fillId="0" borderId="46" xfId="2" applyFont="1" applyBorder="1" applyAlignment="1">
      <alignment horizontal="center"/>
    </xf>
    <xf numFmtId="170" fontId="1" fillId="0" borderId="46" xfId="2" applyFont="1" applyBorder="1"/>
    <xf numFmtId="170" fontId="1" fillId="0" borderId="47" xfId="2" applyFont="1" applyBorder="1"/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2" fontId="58" fillId="0" borderId="0" xfId="0" applyNumberFormat="1" applyFont="1" applyAlignment="1">
      <alignment horizontal="right"/>
    </xf>
    <xf numFmtId="44" fontId="28" fillId="0" borderId="15" xfId="1" applyFont="1" applyBorder="1"/>
    <xf numFmtId="44" fontId="30" fillId="0" borderId="0" xfId="1" applyFont="1" applyFill="1" applyBorder="1"/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2" fontId="58" fillId="0" borderId="0" xfId="0" applyNumberFormat="1" applyFont="1" applyAlignment="1">
      <alignment horizontal="right"/>
    </xf>
    <xf numFmtId="44" fontId="7" fillId="0" borderId="0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2" fontId="17" fillId="0" borderId="0" xfId="0" applyNumberFormat="1" applyFont="1" applyBorder="1" applyAlignment="1">
      <alignment horizontal="right"/>
    </xf>
    <xf numFmtId="2" fontId="35" fillId="0" borderId="0" xfId="0" quotePrefix="1" applyNumberFormat="1" applyFont="1" applyAlignment="1">
      <alignment horizontal="right"/>
    </xf>
    <xf numFmtId="170" fontId="1" fillId="0" borderId="0" xfId="2" quotePrefix="1"/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2" fontId="58" fillId="0" borderId="0" xfId="0" applyNumberFormat="1" applyFont="1" applyAlignment="1">
      <alignment horizontal="right"/>
    </xf>
    <xf numFmtId="44" fontId="73" fillId="0" borderId="8" xfId="1" applyFont="1" applyBorder="1"/>
    <xf numFmtId="44" fontId="1" fillId="0" borderId="8" xfId="0" applyNumberFormat="1" applyFont="1" applyBorder="1"/>
    <xf numFmtId="170" fontId="1" fillId="0" borderId="0" xfId="2" applyFont="1" applyBorder="1" applyAlignment="1">
      <alignment horizontal="left" vertical="center"/>
    </xf>
    <xf numFmtId="170" fontId="17" fillId="0" borderId="0" xfId="0" quotePrefix="1" applyFont="1" applyAlignment="1">
      <alignment horizontal="right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2" fontId="58" fillId="0" borderId="0" xfId="0" applyNumberFormat="1" applyFont="1" applyAlignment="1">
      <alignment horizontal="right"/>
    </xf>
    <xf numFmtId="170" fontId="76" fillId="0" borderId="0" xfId="2" applyFont="1"/>
    <xf numFmtId="166" fontId="1" fillId="0" borderId="0" xfId="2" applyNumberFormat="1"/>
    <xf numFmtId="44" fontId="1" fillId="0" borderId="48" xfId="0" applyNumberFormat="1" applyFont="1" applyBorder="1"/>
    <xf numFmtId="44" fontId="77" fillId="0" borderId="0" xfId="0" applyNumberFormat="1" applyFont="1" applyBorder="1"/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2" fontId="58" fillId="0" borderId="0" xfId="0" applyNumberFormat="1" applyFont="1" applyAlignment="1">
      <alignment horizontal="right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44" fontId="7" fillId="0" borderId="0" xfId="0" applyNumberFormat="1" applyFont="1" applyBorder="1" applyAlignment="1">
      <alignment horizontal="center"/>
    </xf>
    <xf numFmtId="44" fontId="6" fillId="0" borderId="0" xfId="0" applyNumberFormat="1" applyFont="1" applyBorder="1" applyAlignment="1">
      <alignment vertical="center"/>
    </xf>
    <xf numFmtId="44" fontId="34" fillId="0" borderId="8" xfId="1" applyFont="1" applyFill="1" applyBorder="1" applyAlignment="1">
      <alignment horizontal="right"/>
    </xf>
    <xf numFmtId="44" fontId="44" fillId="0" borderId="8" xfId="0" applyNumberFormat="1" applyFont="1" applyBorder="1"/>
    <xf numFmtId="4" fontId="78" fillId="0" borderId="0" xfId="2" applyNumberFormat="1" applyFont="1" applyBorder="1" applyAlignment="1">
      <alignment vertical="center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2" fontId="58" fillId="0" borderId="0" xfId="0" applyNumberFormat="1" applyFont="1" applyAlignment="1">
      <alignment horizontal="right"/>
    </xf>
    <xf numFmtId="171" fontId="34" fillId="0" borderId="0" xfId="0" applyNumberFormat="1" applyFont="1" applyAlignment="1">
      <alignment horizontal="right"/>
    </xf>
    <xf numFmtId="44" fontId="1" fillId="0" borderId="0" xfId="0" applyNumberFormat="1" applyFont="1" applyBorder="1" applyAlignment="1">
      <alignment horizontal="center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1" fillId="0" borderId="0" xfId="0" applyNumberFormat="1" applyFont="1" applyBorder="1" applyAlignment="1">
      <alignment horizontal="center"/>
    </xf>
    <xf numFmtId="44" fontId="7" fillId="0" borderId="0" xfId="0" applyNumberFormat="1" applyFont="1" applyBorder="1" applyAlignment="1">
      <alignment horizontal="center"/>
    </xf>
    <xf numFmtId="2" fontId="58" fillId="0" borderId="0" xfId="0" applyNumberFormat="1" applyFont="1" applyAlignment="1">
      <alignment horizontal="right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44" fontId="27" fillId="0" borderId="15" xfId="1" applyFont="1" applyFill="1" applyBorder="1"/>
    <xf numFmtId="44" fontId="7" fillId="0" borderId="0" xfId="0" applyNumberFormat="1" applyFont="1" applyBorder="1" applyAlignment="1">
      <alignment horizontal="center"/>
    </xf>
    <xf numFmtId="44" fontId="7" fillId="0" borderId="0" xfId="0" applyNumberFormat="1" applyFont="1" applyBorder="1" applyAlignment="1">
      <alignment horizontal="center"/>
    </xf>
    <xf numFmtId="14" fontId="54" fillId="0" borderId="0" xfId="2" applyNumberFormat="1" applyFont="1" applyBorder="1" applyAlignment="1">
      <alignment horizontal="center" vertical="top"/>
    </xf>
    <xf numFmtId="170" fontId="1" fillId="0" borderId="0" xfId="2" applyFont="1" applyBorder="1" applyAlignment="1">
      <alignment horizontal="center" vertical="center" wrapText="1"/>
    </xf>
    <xf numFmtId="170" fontId="54" fillId="0" borderId="0" xfId="2" applyFont="1" applyBorder="1" applyAlignment="1">
      <alignment horizontal="center" vertical="top"/>
    </xf>
    <xf numFmtId="170" fontId="5" fillId="0" borderId="0" xfId="3" applyFont="1" applyBorder="1" applyAlignment="1">
      <alignment horizontal="center" vertical="center" wrapText="1"/>
    </xf>
    <xf numFmtId="49" fontId="57" fillId="0" borderId="0" xfId="3" applyNumberFormat="1" applyFont="1" applyAlignment="1">
      <alignment horizontal="center" vertical="center"/>
    </xf>
    <xf numFmtId="170" fontId="17" fillId="0" borderId="8" xfId="0" applyFont="1" applyBorder="1" applyAlignment="1">
      <alignment horizontal="left"/>
    </xf>
    <xf numFmtId="170" fontId="50" fillId="0" borderId="0" xfId="0" applyFont="1" applyAlignment="1">
      <alignment horizontal="center"/>
    </xf>
    <xf numFmtId="170" fontId="22" fillId="0" borderId="0" xfId="0" applyFont="1" applyBorder="1" applyAlignment="1">
      <alignment horizontal="center" wrapText="1"/>
    </xf>
    <xf numFmtId="170" fontId="22" fillId="0" borderId="8" xfId="0" applyFont="1" applyBorder="1" applyAlignment="1">
      <alignment horizontal="center" wrapText="1"/>
    </xf>
    <xf numFmtId="170" fontId="9" fillId="0" borderId="0" xfId="0" quotePrefix="1" applyFont="1" applyBorder="1" applyAlignment="1">
      <alignment horizontal="center" wrapText="1"/>
    </xf>
    <xf numFmtId="170" fontId="9" fillId="0" borderId="8" xfId="0" quotePrefix="1" applyFont="1" applyBorder="1" applyAlignment="1">
      <alignment horizontal="center" wrapText="1"/>
    </xf>
    <xf numFmtId="170" fontId="9" fillId="0" borderId="8" xfId="0" applyFont="1" applyBorder="1" applyAlignment="1">
      <alignment horizontal="left"/>
    </xf>
    <xf numFmtId="49" fontId="29" fillId="0" borderId="8" xfId="0" applyNumberFormat="1" applyFont="1" applyBorder="1" applyAlignment="1">
      <alignment horizontal="center" vertical="center"/>
    </xf>
    <xf numFmtId="44" fontId="7" fillId="0" borderId="0" xfId="0" applyNumberFormat="1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170" fontId="40" fillId="0" borderId="0" xfId="0" applyFont="1" applyBorder="1" applyAlignment="1">
      <alignment horizontal="center" vertical="center" wrapText="1"/>
    </xf>
    <xf numFmtId="44" fontId="27" fillId="0" borderId="0" xfId="0" applyNumberFormat="1" applyFont="1" applyAlignment="1">
      <alignment horizontal="center"/>
    </xf>
    <xf numFmtId="44" fontId="1" fillId="0" borderId="0" xfId="0" applyNumberFormat="1" applyFont="1" applyBorder="1" applyAlignment="1">
      <alignment horizontal="center"/>
    </xf>
    <xf numFmtId="44" fontId="7" fillId="0" borderId="35" xfId="0" applyNumberFormat="1" applyFont="1" applyBorder="1" applyAlignment="1">
      <alignment horizontal="center"/>
    </xf>
    <xf numFmtId="44" fontId="7" fillId="0" borderId="0" xfId="0" applyNumberFormat="1" applyFont="1" applyBorder="1" applyAlignment="1">
      <alignment horizontal="center"/>
    </xf>
    <xf numFmtId="44" fontId="0" fillId="0" borderId="0" xfId="0" applyNumberFormat="1" applyAlignment="1">
      <alignment horizontal="center"/>
    </xf>
    <xf numFmtId="2" fontId="58" fillId="0" borderId="0" xfId="0" applyNumberFormat="1" applyFont="1" applyAlignment="1">
      <alignment horizontal="right"/>
    </xf>
    <xf numFmtId="44" fontId="8" fillId="0" borderId="0" xfId="0" applyNumberFormat="1" applyFont="1" applyBorder="1" applyAlignment="1">
      <alignment horizontal="center" vertical="center" wrapText="1"/>
    </xf>
    <xf numFmtId="44" fontId="1" fillId="0" borderId="34" xfId="0" applyNumberFormat="1" applyFont="1" applyBorder="1" applyAlignment="1">
      <alignment horizontal="center"/>
    </xf>
    <xf numFmtId="170" fontId="8" fillId="0" borderId="0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170" fontId="0" fillId="0" borderId="0" xfId="0" applyBorder="1" applyAlignment="1">
      <alignment horizontal="center" vertical="center"/>
    </xf>
    <xf numFmtId="170" fontId="8" fillId="0" borderId="0" xfId="0" applyFont="1" applyBorder="1" applyAlignment="1">
      <alignment horizontal="right" vertical="center"/>
    </xf>
    <xf numFmtId="44" fontId="7" fillId="0" borderId="34" xfId="0" applyNumberFormat="1" applyFont="1" applyBorder="1" applyAlignment="1">
      <alignment horizontal="center"/>
    </xf>
    <xf numFmtId="170" fontId="0" fillId="0" borderId="0" xfId="0" applyBorder="1" applyAlignment="1">
      <alignment horizontal="center"/>
    </xf>
    <xf numFmtId="170" fontId="7" fillId="0" borderId="0" xfId="0" applyFont="1" applyAlignment="1">
      <alignment horizontal="center" vertical="center"/>
    </xf>
  </cellXfs>
  <cellStyles count="6">
    <cellStyle name="Comma" xfId="5" builtinId="3"/>
    <cellStyle name="Currency" xfId="1" builtinId="4"/>
    <cellStyle name="Normal" xfId="0" builtinId="0"/>
    <cellStyle name="Normal 2" xfId="4"/>
    <cellStyle name="Normal_PREMAC WAGES MARCH'05" xfId="2"/>
    <cellStyle name="Normal_Wages - 2005" xfId="3"/>
  </cellStyles>
  <dxfs count="0"/>
  <tableStyles count="0" defaultTableStyle="TableStyleMedium2" defaultPivotStyle="PivotStyleLight16"/>
  <colors>
    <mruColors>
      <color rgb="FFFF00FF"/>
      <color rgb="FFFF33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490822" y="896410"/>
          <a:ext cx="145122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20</xdr:row>
      <xdr:rowOff>83946</xdr:rowOff>
    </xdr:from>
    <xdr:to>
      <xdr:col>0</xdr:col>
      <xdr:colOff>463786</xdr:colOff>
      <xdr:row>31</xdr:row>
      <xdr:rowOff>70774</xdr:rowOff>
    </xdr:to>
    <xdr:sp macro="" textlink="">
      <xdr:nvSpPr>
        <xdr:cNvPr id="3" name="TextBox 2"/>
        <xdr:cNvSpPr txBox="1"/>
      </xdr:nvSpPr>
      <xdr:spPr>
        <a:xfrm rot="4938974">
          <a:off x="-557896" y="4087816"/>
          <a:ext cx="1606078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39</xdr:row>
      <xdr:rowOff>82654</xdr:rowOff>
    </xdr:from>
    <xdr:to>
      <xdr:col>0</xdr:col>
      <xdr:colOff>483022</xdr:colOff>
      <xdr:row>52</xdr:row>
      <xdr:rowOff>0</xdr:rowOff>
    </xdr:to>
    <xdr:sp macro="" textlink="">
      <xdr:nvSpPr>
        <xdr:cNvPr id="4" name="TextBox 3"/>
        <xdr:cNvSpPr txBox="1"/>
      </xdr:nvSpPr>
      <xdr:spPr>
        <a:xfrm rot="4938974">
          <a:off x="-682537" y="7992776"/>
          <a:ext cx="1893832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58</xdr:row>
      <xdr:rowOff>83990</xdr:rowOff>
    </xdr:from>
    <xdr:to>
      <xdr:col>0</xdr:col>
      <xdr:colOff>463120</xdr:colOff>
      <xdr:row>69</xdr:row>
      <xdr:rowOff>60855</xdr:rowOff>
    </xdr:to>
    <xdr:sp macro="" textlink="">
      <xdr:nvSpPr>
        <xdr:cNvPr id="5" name="TextBox 4"/>
        <xdr:cNvSpPr txBox="1"/>
      </xdr:nvSpPr>
      <xdr:spPr>
        <a:xfrm rot="4938974">
          <a:off x="-553581" y="10959929"/>
          <a:ext cx="159611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12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652747" y="1058335"/>
          <a:ext cx="177507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24</xdr:row>
      <xdr:rowOff>83946</xdr:rowOff>
    </xdr:from>
    <xdr:to>
      <xdr:col>0</xdr:col>
      <xdr:colOff>463786</xdr:colOff>
      <xdr:row>38</xdr:row>
      <xdr:rowOff>0</xdr:rowOff>
    </xdr:to>
    <xdr:sp macro="" textlink="">
      <xdr:nvSpPr>
        <xdr:cNvPr id="3" name="TextBox 2"/>
        <xdr:cNvSpPr txBox="1"/>
      </xdr:nvSpPr>
      <xdr:spPr>
        <a:xfrm rot="4938974">
          <a:off x="-851122" y="4866817"/>
          <a:ext cx="219252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83</xdr:row>
      <xdr:rowOff>0</xdr:rowOff>
    </xdr:from>
    <xdr:to>
      <xdr:col>0</xdr:col>
      <xdr:colOff>437287</xdr:colOff>
      <xdr:row>83</xdr:row>
      <xdr:rowOff>0</xdr:rowOff>
    </xdr:to>
    <xdr:sp macro="" textlink="">
      <xdr:nvSpPr>
        <xdr:cNvPr id="8" name="TextBox 7"/>
        <xdr:cNvSpPr txBox="1"/>
      </xdr:nvSpPr>
      <xdr:spPr>
        <a:xfrm rot="4938974">
          <a:off x="-792542" y="11336717"/>
          <a:ext cx="20223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83</xdr:row>
      <xdr:rowOff>0</xdr:rowOff>
    </xdr:from>
    <xdr:to>
      <xdr:col>0</xdr:col>
      <xdr:colOff>437287</xdr:colOff>
      <xdr:row>83</xdr:row>
      <xdr:rowOff>0</xdr:rowOff>
    </xdr:to>
    <xdr:sp macro="" textlink="">
      <xdr:nvSpPr>
        <xdr:cNvPr id="9" name="TextBox 8"/>
        <xdr:cNvSpPr txBox="1"/>
      </xdr:nvSpPr>
      <xdr:spPr>
        <a:xfrm rot="4938974">
          <a:off x="-792542" y="11012867"/>
          <a:ext cx="20223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437287</xdr:colOff>
      <xdr:row>61</xdr:row>
      <xdr:rowOff>3071</xdr:rowOff>
    </xdr:to>
    <xdr:sp macro="" textlink="">
      <xdr:nvSpPr>
        <xdr:cNvPr id="10" name="TextBox 9"/>
        <xdr:cNvSpPr txBox="1"/>
      </xdr:nvSpPr>
      <xdr:spPr>
        <a:xfrm rot="4938974">
          <a:off x="-963992" y="8736392"/>
          <a:ext cx="23652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72</xdr:row>
      <xdr:rowOff>0</xdr:rowOff>
    </xdr:from>
    <xdr:to>
      <xdr:col>0</xdr:col>
      <xdr:colOff>463120</xdr:colOff>
      <xdr:row>72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44477" y="19098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437287</xdr:colOff>
      <xdr:row>72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18644" y="19098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437287</xdr:colOff>
      <xdr:row>72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9098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0</xdr:rowOff>
    </xdr:from>
    <xdr:to>
      <xdr:col>0</xdr:col>
      <xdr:colOff>453434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-652747" y="1058335"/>
          <a:ext cx="177507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3" name="TextBox 2"/>
        <xdr:cNvSpPr txBox="1"/>
      </xdr:nvSpPr>
      <xdr:spPr>
        <a:xfrm rot="4938974">
          <a:off x="-851122" y="5028742"/>
          <a:ext cx="219252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61</xdr:row>
      <xdr:rowOff>0</xdr:rowOff>
    </xdr:from>
    <xdr:to>
      <xdr:col>0</xdr:col>
      <xdr:colOff>463120</xdr:colOff>
      <xdr:row>61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7316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7316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7316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437287</xdr:colOff>
      <xdr:row>54</xdr:row>
      <xdr:rowOff>3071</xdr:rowOff>
    </xdr:to>
    <xdr:sp macro="" textlink="">
      <xdr:nvSpPr>
        <xdr:cNvPr id="7" name="TextBox 6"/>
        <xdr:cNvSpPr txBox="1"/>
      </xdr:nvSpPr>
      <xdr:spPr>
        <a:xfrm rot="4938974">
          <a:off x="-792542" y="15461042"/>
          <a:ext cx="20223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437287</xdr:colOff>
      <xdr:row>35</xdr:row>
      <xdr:rowOff>3071</xdr:rowOff>
    </xdr:to>
    <xdr:sp macro="" textlink="">
      <xdr:nvSpPr>
        <xdr:cNvPr id="8" name="TextBox 7"/>
        <xdr:cNvSpPr txBox="1"/>
      </xdr:nvSpPr>
      <xdr:spPr>
        <a:xfrm rot="4938974">
          <a:off x="-792542" y="12184442"/>
          <a:ext cx="20223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437287</xdr:colOff>
      <xdr:row>18</xdr:row>
      <xdr:rowOff>3071</xdr:rowOff>
    </xdr:to>
    <xdr:sp macro="" textlink="">
      <xdr:nvSpPr>
        <xdr:cNvPr id="9" name="TextBox 8"/>
        <xdr:cNvSpPr txBox="1"/>
      </xdr:nvSpPr>
      <xdr:spPr>
        <a:xfrm rot="4938974">
          <a:off x="-963992" y="8736392"/>
          <a:ext cx="23652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652747" y="1058335"/>
          <a:ext cx="177507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20</xdr:row>
      <xdr:rowOff>0</xdr:rowOff>
    </xdr:from>
    <xdr:to>
      <xdr:col>0</xdr:col>
      <xdr:colOff>463786</xdr:colOff>
      <xdr:row>20</xdr:row>
      <xdr:rowOff>0</xdr:rowOff>
    </xdr:to>
    <xdr:sp macro="" textlink="">
      <xdr:nvSpPr>
        <xdr:cNvPr id="3" name="TextBox 2"/>
        <xdr:cNvSpPr txBox="1"/>
      </xdr:nvSpPr>
      <xdr:spPr>
        <a:xfrm rot="4938974">
          <a:off x="245143" y="3362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77</xdr:row>
      <xdr:rowOff>0</xdr:rowOff>
    </xdr:from>
    <xdr:to>
      <xdr:col>0</xdr:col>
      <xdr:colOff>463120</xdr:colOff>
      <xdr:row>77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3211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437287</xdr:colOff>
      <xdr:row>77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3211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437287</xdr:colOff>
      <xdr:row>77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3211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437287</xdr:colOff>
      <xdr:row>70</xdr:row>
      <xdr:rowOff>3071</xdr:rowOff>
    </xdr:to>
    <xdr:sp macro="" textlink="">
      <xdr:nvSpPr>
        <xdr:cNvPr id="7" name="TextBox 6"/>
        <xdr:cNvSpPr txBox="1"/>
      </xdr:nvSpPr>
      <xdr:spPr>
        <a:xfrm rot="4938974">
          <a:off x="-711579" y="11112879"/>
          <a:ext cx="186044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437287</xdr:colOff>
      <xdr:row>51</xdr:row>
      <xdr:rowOff>3071</xdr:rowOff>
    </xdr:to>
    <xdr:sp macro="" textlink="">
      <xdr:nvSpPr>
        <xdr:cNvPr id="8" name="TextBox 7"/>
        <xdr:cNvSpPr txBox="1"/>
      </xdr:nvSpPr>
      <xdr:spPr>
        <a:xfrm rot="4938974">
          <a:off x="-711579" y="7998204"/>
          <a:ext cx="186044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437287</xdr:colOff>
      <xdr:row>34</xdr:row>
      <xdr:rowOff>3071</xdr:rowOff>
    </xdr:to>
    <xdr:sp macro="" textlink="">
      <xdr:nvSpPr>
        <xdr:cNvPr id="9" name="TextBox 8"/>
        <xdr:cNvSpPr txBox="1"/>
      </xdr:nvSpPr>
      <xdr:spPr>
        <a:xfrm rot="4938974">
          <a:off x="-963992" y="4974017"/>
          <a:ext cx="23652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571785" y="977373"/>
          <a:ext cx="161315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20</xdr:row>
      <xdr:rowOff>83946</xdr:rowOff>
    </xdr:from>
    <xdr:to>
      <xdr:col>0</xdr:col>
      <xdr:colOff>463786</xdr:colOff>
      <xdr:row>31</xdr:row>
      <xdr:rowOff>70774</xdr:rowOff>
    </xdr:to>
    <xdr:sp macro="" textlink="">
      <xdr:nvSpPr>
        <xdr:cNvPr id="3" name="TextBox 2"/>
        <xdr:cNvSpPr txBox="1"/>
      </xdr:nvSpPr>
      <xdr:spPr>
        <a:xfrm rot="4938974">
          <a:off x="-638859" y="4168779"/>
          <a:ext cx="17680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38</xdr:row>
      <xdr:rowOff>82654</xdr:rowOff>
    </xdr:from>
    <xdr:to>
      <xdr:col>0</xdr:col>
      <xdr:colOff>483022</xdr:colOff>
      <xdr:row>50</xdr:row>
      <xdr:rowOff>0</xdr:rowOff>
    </xdr:to>
    <xdr:sp macro="" textlink="">
      <xdr:nvSpPr>
        <xdr:cNvPr id="4" name="TextBox 3"/>
        <xdr:cNvSpPr txBox="1"/>
      </xdr:nvSpPr>
      <xdr:spPr>
        <a:xfrm rot="4938974">
          <a:off x="-751569" y="7414108"/>
          <a:ext cx="203189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74</xdr:row>
      <xdr:rowOff>83990</xdr:rowOff>
    </xdr:from>
    <xdr:to>
      <xdr:col>0</xdr:col>
      <xdr:colOff>463120</xdr:colOff>
      <xdr:row>85</xdr:row>
      <xdr:rowOff>60855</xdr:rowOff>
    </xdr:to>
    <xdr:sp macro="" textlink="">
      <xdr:nvSpPr>
        <xdr:cNvPr id="5" name="TextBox 4"/>
        <xdr:cNvSpPr txBox="1"/>
      </xdr:nvSpPr>
      <xdr:spPr>
        <a:xfrm rot="4938974">
          <a:off x="-634543" y="10393191"/>
          <a:ext cx="175804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437287</xdr:colOff>
      <xdr:row>67</xdr:row>
      <xdr:rowOff>62590</xdr:rowOff>
    </xdr:to>
    <xdr:sp macro="" textlink="">
      <xdr:nvSpPr>
        <xdr:cNvPr id="6" name="TextBox 5"/>
        <xdr:cNvSpPr txBox="1"/>
      </xdr:nvSpPr>
      <xdr:spPr>
        <a:xfrm rot="4938974">
          <a:off x="-660376" y="10394926"/>
          <a:ext cx="175804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571785" y="977373"/>
          <a:ext cx="161315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19</xdr:row>
      <xdr:rowOff>83946</xdr:rowOff>
    </xdr:from>
    <xdr:to>
      <xdr:col>0</xdr:col>
      <xdr:colOff>463786</xdr:colOff>
      <xdr:row>30</xdr:row>
      <xdr:rowOff>70774</xdr:rowOff>
    </xdr:to>
    <xdr:sp macro="" textlink="">
      <xdr:nvSpPr>
        <xdr:cNvPr id="3" name="TextBox 2"/>
        <xdr:cNvSpPr txBox="1"/>
      </xdr:nvSpPr>
      <xdr:spPr>
        <a:xfrm rot="4938974">
          <a:off x="-638859" y="4168779"/>
          <a:ext cx="17680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37</xdr:row>
      <xdr:rowOff>82654</xdr:rowOff>
    </xdr:from>
    <xdr:to>
      <xdr:col>0</xdr:col>
      <xdr:colOff>483022</xdr:colOff>
      <xdr:row>49</xdr:row>
      <xdr:rowOff>0</xdr:rowOff>
    </xdr:to>
    <xdr:sp macro="" textlink="">
      <xdr:nvSpPr>
        <xdr:cNvPr id="4" name="TextBox 3"/>
        <xdr:cNvSpPr txBox="1"/>
      </xdr:nvSpPr>
      <xdr:spPr>
        <a:xfrm rot="4938974">
          <a:off x="-670607" y="7171221"/>
          <a:ext cx="18699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73</xdr:row>
      <xdr:rowOff>0</xdr:rowOff>
    </xdr:from>
    <xdr:to>
      <xdr:col>0</xdr:col>
      <xdr:colOff>463120</xdr:colOff>
      <xdr:row>73</xdr:row>
      <xdr:rowOff>0</xdr:rowOff>
    </xdr:to>
    <xdr:sp macro="" textlink="">
      <xdr:nvSpPr>
        <xdr:cNvPr id="5" name="TextBox 4"/>
        <xdr:cNvSpPr txBox="1"/>
      </xdr:nvSpPr>
      <xdr:spPr>
        <a:xfrm rot="4938974">
          <a:off x="-634543" y="13022091"/>
          <a:ext cx="175804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437287</xdr:colOff>
      <xdr:row>66</xdr:row>
      <xdr:rowOff>62590</xdr:rowOff>
    </xdr:to>
    <xdr:sp macro="" textlink="">
      <xdr:nvSpPr>
        <xdr:cNvPr id="6" name="TextBox 5"/>
        <xdr:cNvSpPr txBox="1"/>
      </xdr:nvSpPr>
      <xdr:spPr>
        <a:xfrm rot="4938974">
          <a:off x="-660376" y="10071076"/>
          <a:ext cx="175804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571785" y="977373"/>
          <a:ext cx="161315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21</xdr:row>
      <xdr:rowOff>83946</xdr:rowOff>
    </xdr:from>
    <xdr:to>
      <xdr:col>0</xdr:col>
      <xdr:colOff>463786</xdr:colOff>
      <xdr:row>33</xdr:row>
      <xdr:rowOff>0</xdr:rowOff>
    </xdr:to>
    <xdr:sp macro="" textlink="">
      <xdr:nvSpPr>
        <xdr:cNvPr id="3" name="TextBox 2"/>
        <xdr:cNvSpPr txBox="1"/>
      </xdr:nvSpPr>
      <xdr:spPr>
        <a:xfrm rot="4938974">
          <a:off x="-638859" y="4006854"/>
          <a:ext cx="17680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41</xdr:row>
      <xdr:rowOff>82654</xdr:rowOff>
    </xdr:from>
    <xdr:to>
      <xdr:col>0</xdr:col>
      <xdr:colOff>483022</xdr:colOff>
      <xdr:row>53</xdr:row>
      <xdr:rowOff>0</xdr:rowOff>
    </xdr:to>
    <xdr:sp macro="" textlink="">
      <xdr:nvSpPr>
        <xdr:cNvPr id="4" name="TextBox 3"/>
        <xdr:cNvSpPr txBox="1"/>
      </xdr:nvSpPr>
      <xdr:spPr>
        <a:xfrm rot="4938974">
          <a:off x="-670607" y="7009296"/>
          <a:ext cx="18699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77</xdr:row>
      <xdr:rowOff>0</xdr:rowOff>
    </xdr:from>
    <xdr:to>
      <xdr:col>0</xdr:col>
      <xdr:colOff>463120</xdr:colOff>
      <xdr:row>77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1897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0</xdr:col>
      <xdr:colOff>437287</xdr:colOff>
      <xdr:row>70</xdr:row>
      <xdr:rowOff>62590</xdr:rowOff>
    </xdr:to>
    <xdr:sp macro="" textlink="">
      <xdr:nvSpPr>
        <xdr:cNvPr id="6" name="TextBox 5"/>
        <xdr:cNvSpPr txBox="1"/>
      </xdr:nvSpPr>
      <xdr:spPr>
        <a:xfrm rot="4938974">
          <a:off x="-660376" y="9909151"/>
          <a:ext cx="175804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571785" y="977373"/>
          <a:ext cx="161315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19</xdr:row>
      <xdr:rowOff>83946</xdr:rowOff>
    </xdr:from>
    <xdr:to>
      <xdr:col>0</xdr:col>
      <xdr:colOff>463786</xdr:colOff>
      <xdr:row>31</xdr:row>
      <xdr:rowOff>0</xdr:rowOff>
    </xdr:to>
    <xdr:sp macro="" textlink="">
      <xdr:nvSpPr>
        <xdr:cNvPr id="3" name="TextBox 2"/>
        <xdr:cNvSpPr txBox="1"/>
      </xdr:nvSpPr>
      <xdr:spPr>
        <a:xfrm rot="4938974">
          <a:off x="-689197" y="4381042"/>
          <a:ext cx="186867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37</xdr:row>
      <xdr:rowOff>82654</xdr:rowOff>
    </xdr:from>
    <xdr:to>
      <xdr:col>0</xdr:col>
      <xdr:colOff>483022</xdr:colOff>
      <xdr:row>49</xdr:row>
      <xdr:rowOff>0</xdr:rowOff>
    </xdr:to>
    <xdr:sp macro="" textlink="">
      <xdr:nvSpPr>
        <xdr:cNvPr id="4" name="TextBox 3"/>
        <xdr:cNvSpPr txBox="1"/>
      </xdr:nvSpPr>
      <xdr:spPr>
        <a:xfrm rot="4938974">
          <a:off x="-670607" y="7656996"/>
          <a:ext cx="18699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89</xdr:row>
      <xdr:rowOff>0</xdr:rowOff>
    </xdr:from>
    <xdr:to>
      <xdr:col>0</xdr:col>
      <xdr:colOff>463120</xdr:colOff>
      <xdr:row>89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2544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437287</xdr:colOff>
      <xdr:row>84</xdr:row>
      <xdr:rowOff>62590</xdr:rowOff>
    </xdr:to>
    <xdr:sp macro="" textlink="">
      <xdr:nvSpPr>
        <xdr:cNvPr id="6" name="TextBox 5"/>
        <xdr:cNvSpPr txBox="1"/>
      </xdr:nvSpPr>
      <xdr:spPr>
        <a:xfrm rot="4938974">
          <a:off x="-660376" y="10556851"/>
          <a:ext cx="175804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437287</xdr:colOff>
      <xdr:row>67</xdr:row>
      <xdr:rowOff>3071</xdr:rowOff>
    </xdr:to>
    <xdr:sp macro="" textlink="">
      <xdr:nvSpPr>
        <xdr:cNvPr id="7" name="TextBox 6"/>
        <xdr:cNvSpPr txBox="1"/>
      </xdr:nvSpPr>
      <xdr:spPr>
        <a:xfrm rot="4938974">
          <a:off x="-716342" y="10612817"/>
          <a:ext cx="18699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571785" y="977373"/>
          <a:ext cx="161315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23</xdr:row>
      <xdr:rowOff>83946</xdr:rowOff>
    </xdr:from>
    <xdr:to>
      <xdr:col>0</xdr:col>
      <xdr:colOff>463786</xdr:colOff>
      <xdr:row>37</xdr:row>
      <xdr:rowOff>0</xdr:rowOff>
    </xdr:to>
    <xdr:sp macro="" textlink="">
      <xdr:nvSpPr>
        <xdr:cNvPr id="3" name="TextBox 2"/>
        <xdr:cNvSpPr txBox="1"/>
      </xdr:nvSpPr>
      <xdr:spPr>
        <a:xfrm rot="4938974">
          <a:off x="-689197" y="4057192"/>
          <a:ext cx="186867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43</xdr:row>
      <xdr:rowOff>82654</xdr:rowOff>
    </xdr:from>
    <xdr:to>
      <xdr:col>0</xdr:col>
      <xdr:colOff>483022</xdr:colOff>
      <xdr:row>56</xdr:row>
      <xdr:rowOff>0</xdr:rowOff>
    </xdr:to>
    <xdr:sp macro="" textlink="">
      <xdr:nvSpPr>
        <xdr:cNvPr id="4" name="TextBox 3"/>
        <xdr:cNvSpPr txBox="1"/>
      </xdr:nvSpPr>
      <xdr:spPr>
        <a:xfrm rot="4938974">
          <a:off x="-670607" y="7009296"/>
          <a:ext cx="18699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81</xdr:row>
      <xdr:rowOff>0</xdr:rowOff>
    </xdr:from>
    <xdr:to>
      <xdr:col>0</xdr:col>
      <xdr:colOff>463120</xdr:colOff>
      <xdr:row>81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4526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0</xdr:col>
      <xdr:colOff>437287</xdr:colOff>
      <xdr:row>81</xdr:row>
      <xdr:rowOff>0</xdr:rowOff>
    </xdr:to>
    <xdr:sp macro="" textlink="">
      <xdr:nvSpPr>
        <xdr:cNvPr id="6" name="TextBox 5"/>
        <xdr:cNvSpPr txBox="1"/>
      </xdr:nvSpPr>
      <xdr:spPr>
        <a:xfrm rot="4938974">
          <a:off x="-660376" y="12861901"/>
          <a:ext cx="175804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63</xdr:row>
      <xdr:rowOff>0</xdr:rowOff>
    </xdr:from>
    <xdr:to>
      <xdr:col>0</xdr:col>
      <xdr:colOff>437287</xdr:colOff>
      <xdr:row>74</xdr:row>
      <xdr:rowOff>3071</xdr:rowOff>
    </xdr:to>
    <xdr:sp macro="" textlink="">
      <xdr:nvSpPr>
        <xdr:cNvPr id="7" name="TextBox 6"/>
        <xdr:cNvSpPr txBox="1"/>
      </xdr:nvSpPr>
      <xdr:spPr>
        <a:xfrm rot="4938974">
          <a:off x="-716342" y="9965117"/>
          <a:ext cx="18699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12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571785" y="977373"/>
          <a:ext cx="161315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22</xdr:row>
      <xdr:rowOff>83946</xdr:rowOff>
    </xdr:from>
    <xdr:to>
      <xdr:col>0</xdr:col>
      <xdr:colOff>463786</xdr:colOff>
      <xdr:row>36</xdr:row>
      <xdr:rowOff>0</xdr:rowOff>
    </xdr:to>
    <xdr:sp macro="" textlink="">
      <xdr:nvSpPr>
        <xdr:cNvPr id="3" name="TextBox 2"/>
        <xdr:cNvSpPr txBox="1"/>
      </xdr:nvSpPr>
      <xdr:spPr>
        <a:xfrm rot="4938974">
          <a:off x="-851122" y="4866817"/>
          <a:ext cx="219252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42</xdr:row>
      <xdr:rowOff>82654</xdr:rowOff>
    </xdr:from>
    <xdr:to>
      <xdr:col>0</xdr:col>
      <xdr:colOff>483022</xdr:colOff>
      <xdr:row>55</xdr:row>
      <xdr:rowOff>0</xdr:rowOff>
    </xdr:to>
    <xdr:sp macro="" textlink="">
      <xdr:nvSpPr>
        <xdr:cNvPr id="4" name="TextBox 3"/>
        <xdr:cNvSpPr txBox="1"/>
      </xdr:nvSpPr>
      <xdr:spPr>
        <a:xfrm rot="4938974">
          <a:off x="-751569" y="8061808"/>
          <a:ext cx="203189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82</xdr:row>
      <xdr:rowOff>0</xdr:rowOff>
    </xdr:from>
    <xdr:to>
      <xdr:col>0</xdr:col>
      <xdr:colOff>463120</xdr:colOff>
      <xdr:row>82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31925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82</xdr:row>
      <xdr:rowOff>0</xdr:rowOff>
    </xdr:from>
    <xdr:to>
      <xdr:col>0</xdr:col>
      <xdr:colOff>437287</xdr:colOff>
      <xdr:row>82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31925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63</xdr:row>
      <xdr:rowOff>0</xdr:rowOff>
    </xdr:from>
    <xdr:to>
      <xdr:col>0</xdr:col>
      <xdr:colOff>437287</xdr:colOff>
      <xdr:row>75</xdr:row>
      <xdr:rowOff>0</xdr:rowOff>
    </xdr:to>
    <xdr:sp macro="" textlink="">
      <xdr:nvSpPr>
        <xdr:cNvPr id="7" name="TextBox 6"/>
        <xdr:cNvSpPr txBox="1"/>
      </xdr:nvSpPr>
      <xdr:spPr>
        <a:xfrm rot="4938974">
          <a:off x="-711579" y="11093829"/>
          <a:ext cx="186044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12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652747" y="1058335"/>
          <a:ext cx="177507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21</xdr:row>
      <xdr:rowOff>83946</xdr:rowOff>
    </xdr:from>
    <xdr:to>
      <xdr:col>0</xdr:col>
      <xdr:colOff>463786</xdr:colOff>
      <xdr:row>35</xdr:row>
      <xdr:rowOff>0</xdr:rowOff>
    </xdr:to>
    <xdr:sp macro="" textlink="">
      <xdr:nvSpPr>
        <xdr:cNvPr id="3" name="TextBox 2"/>
        <xdr:cNvSpPr txBox="1"/>
      </xdr:nvSpPr>
      <xdr:spPr>
        <a:xfrm rot="4938974">
          <a:off x="-851122" y="4704892"/>
          <a:ext cx="219252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41</xdr:row>
      <xdr:rowOff>82654</xdr:rowOff>
    </xdr:from>
    <xdr:to>
      <xdr:col>0</xdr:col>
      <xdr:colOff>483022</xdr:colOff>
      <xdr:row>54</xdr:row>
      <xdr:rowOff>0</xdr:rowOff>
    </xdr:to>
    <xdr:sp macro="" textlink="">
      <xdr:nvSpPr>
        <xdr:cNvPr id="4" name="TextBox 3"/>
        <xdr:cNvSpPr txBox="1"/>
      </xdr:nvSpPr>
      <xdr:spPr>
        <a:xfrm rot="4938974">
          <a:off x="-746807" y="7895121"/>
          <a:ext cx="20223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104</xdr:row>
      <xdr:rowOff>0</xdr:rowOff>
    </xdr:from>
    <xdr:to>
      <xdr:col>0</xdr:col>
      <xdr:colOff>463120</xdr:colOff>
      <xdr:row>104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3354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437287</xdr:colOff>
      <xdr:row>104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3354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87</xdr:row>
      <xdr:rowOff>0</xdr:rowOff>
    </xdr:from>
    <xdr:to>
      <xdr:col>0</xdr:col>
      <xdr:colOff>437287</xdr:colOff>
      <xdr:row>99</xdr:row>
      <xdr:rowOff>0</xdr:rowOff>
    </xdr:to>
    <xdr:sp macro="" textlink="">
      <xdr:nvSpPr>
        <xdr:cNvPr id="7" name="TextBox 6"/>
        <xdr:cNvSpPr txBox="1"/>
      </xdr:nvSpPr>
      <xdr:spPr>
        <a:xfrm rot="4938974">
          <a:off x="-791006" y="11173256"/>
          <a:ext cx="20193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77</xdr:row>
      <xdr:rowOff>3071</xdr:rowOff>
    </xdr:to>
    <xdr:sp macro="" textlink="">
      <xdr:nvSpPr>
        <xdr:cNvPr id="8" name="TextBox 7"/>
        <xdr:cNvSpPr txBox="1"/>
      </xdr:nvSpPr>
      <xdr:spPr>
        <a:xfrm rot="4938974">
          <a:off x="-792542" y="11012867"/>
          <a:ext cx="20223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12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652747" y="1058335"/>
          <a:ext cx="177507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23</xdr:row>
      <xdr:rowOff>83946</xdr:rowOff>
    </xdr:from>
    <xdr:to>
      <xdr:col>0</xdr:col>
      <xdr:colOff>463786</xdr:colOff>
      <xdr:row>37</xdr:row>
      <xdr:rowOff>0</xdr:rowOff>
    </xdr:to>
    <xdr:sp macro="" textlink="">
      <xdr:nvSpPr>
        <xdr:cNvPr id="3" name="TextBox 2"/>
        <xdr:cNvSpPr txBox="1"/>
      </xdr:nvSpPr>
      <xdr:spPr>
        <a:xfrm rot="4938974">
          <a:off x="-851122" y="4542967"/>
          <a:ext cx="219252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43</xdr:row>
      <xdr:rowOff>82654</xdr:rowOff>
    </xdr:from>
    <xdr:to>
      <xdr:col>0</xdr:col>
      <xdr:colOff>483022</xdr:colOff>
      <xdr:row>56</xdr:row>
      <xdr:rowOff>0</xdr:rowOff>
    </xdr:to>
    <xdr:sp macro="" textlink="">
      <xdr:nvSpPr>
        <xdr:cNvPr id="4" name="TextBox 3"/>
        <xdr:cNvSpPr txBox="1"/>
      </xdr:nvSpPr>
      <xdr:spPr>
        <a:xfrm rot="4938974">
          <a:off x="-746807" y="7733196"/>
          <a:ext cx="20223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83</xdr:row>
      <xdr:rowOff>0</xdr:rowOff>
    </xdr:from>
    <xdr:to>
      <xdr:col>0</xdr:col>
      <xdr:colOff>463120</xdr:colOff>
      <xdr:row>83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6954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83</xdr:row>
      <xdr:rowOff>0</xdr:rowOff>
    </xdr:from>
    <xdr:to>
      <xdr:col>0</xdr:col>
      <xdr:colOff>437287</xdr:colOff>
      <xdr:row>83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6954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83</xdr:row>
      <xdr:rowOff>0</xdr:rowOff>
    </xdr:from>
    <xdr:to>
      <xdr:col>0</xdr:col>
      <xdr:colOff>437287</xdr:colOff>
      <xdr:row>83</xdr:row>
      <xdr:rowOff>0</xdr:rowOff>
    </xdr:to>
    <xdr:sp macro="" textlink="">
      <xdr:nvSpPr>
        <xdr:cNvPr id="7" name="TextBox 6"/>
        <xdr:cNvSpPr txBox="1"/>
      </xdr:nvSpPr>
      <xdr:spPr>
        <a:xfrm rot="4938974">
          <a:off x="-791006" y="15097556"/>
          <a:ext cx="20193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64</xdr:row>
      <xdr:rowOff>0</xdr:rowOff>
    </xdr:from>
    <xdr:to>
      <xdr:col>0</xdr:col>
      <xdr:colOff>437287</xdr:colOff>
      <xdr:row>76</xdr:row>
      <xdr:rowOff>3071</xdr:rowOff>
    </xdr:to>
    <xdr:sp macro="" textlink="">
      <xdr:nvSpPr>
        <xdr:cNvPr id="8" name="TextBox 7"/>
        <xdr:cNvSpPr txBox="1"/>
      </xdr:nvSpPr>
      <xdr:spPr>
        <a:xfrm rot="4938974">
          <a:off x="-792542" y="11498642"/>
          <a:ext cx="20223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tty%20Cash%20Bo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ole/AppData/Local/Temp/Temp2_A%20-%20Accounting%20Documents.zip/Petty%20Cash%20Bo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ole/AppData/Local/Temp/Temp2_A%20-%20Accounting%20Documents.zip/Wages%20-%20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TY CASH"/>
      <sheetName val="Leon"/>
      <sheetName val="MAR '15"/>
      <sheetName val="FEB '15"/>
      <sheetName val="JAN '15"/>
      <sheetName val="DEC '14"/>
      <sheetName val="NOV '14"/>
      <sheetName val="OCT '14"/>
      <sheetName val="SEP '14"/>
      <sheetName val="AUG '14"/>
      <sheetName val="JULY '14"/>
      <sheetName val="JUNE '14"/>
      <sheetName val="MAY ' 14"/>
      <sheetName val="APRIL ' 14"/>
      <sheetName val="MARCH ' 14"/>
      <sheetName val="FEBRUARY '14"/>
      <sheetName val="JANUARY '14"/>
      <sheetName val="DECEMBER '13"/>
      <sheetName val="NOVEMBER '13"/>
      <sheetName val="OCTOBER '13"/>
      <sheetName val="SEPTEMBER '13"/>
      <sheetName val="AUGUST '13"/>
      <sheetName val="JULY '13"/>
      <sheetName val="JUNE '13"/>
      <sheetName val="MAY '13"/>
      <sheetName val="APRIL '13"/>
      <sheetName val="MARCH '13"/>
      <sheetName val="FEB '13"/>
      <sheetName val="JAN '13"/>
      <sheetName val="DEC '12"/>
      <sheetName val="NOV '12"/>
      <sheetName val="OCT '12"/>
      <sheetName val="SEP '12"/>
      <sheetName val="AUG '12"/>
      <sheetName val="JULY '12"/>
      <sheetName val="JUNE '12"/>
      <sheetName val="MAY '12"/>
      <sheetName val="APRIL '12"/>
      <sheetName val="MARCH '12"/>
      <sheetName val="FEBRUARY '12"/>
      <sheetName val="JANUARY '12"/>
      <sheetName val="DECEMBER '11"/>
      <sheetName val="NOVEMBER '11"/>
      <sheetName val="OCTOBER '11"/>
      <sheetName val="SEPTEMBER '11"/>
      <sheetName val="AUGUST '11"/>
      <sheetName val="JULY '11"/>
      <sheetName val="JUNE '11"/>
      <sheetName val="MAY '11"/>
      <sheetName val="APRIL '11"/>
      <sheetName val="MARCH '11"/>
      <sheetName val="FEBRUARY '11"/>
      <sheetName val="JANUARY '11"/>
      <sheetName val="DECEMBER '10"/>
      <sheetName val="NOVEMBER '10"/>
      <sheetName val="OCTOBER '10"/>
      <sheetName val="SEPTEMBER '10"/>
      <sheetName val="AUGUST '10"/>
      <sheetName val="JULY '10"/>
      <sheetName val="JUNE '10"/>
      <sheetName val="MAY '10"/>
      <sheetName val="APRIL '10"/>
      <sheetName val="MARCH '10"/>
      <sheetName val="FEBRUARY '10"/>
      <sheetName val="JANUARY '10"/>
      <sheetName val="DECEMBER '09"/>
      <sheetName val="NOVEMBER '09"/>
      <sheetName val="OCTOBER '09"/>
      <sheetName val="SEPTEMBER '09"/>
      <sheetName val="AUGUST '09"/>
      <sheetName val="JULY '09"/>
      <sheetName val="JUNE '09"/>
      <sheetName val="MAY '09"/>
      <sheetName val="APRIL '09"/>
      <sheetName val="MAR '09"/>
      <sheetName val="FEB '09"/>
      <sheetName val="JAN '09"/>
      <sheetName val="DECEMBER '08"/>
      <sheetName val="NOVEMBER '08"/>
      <sheetName val="OCTOBER '08"/>
      <sheetName val="SEPTEMBER '08"/>
      <sheetName val="AUGUST '08"/>
      <sheetName val="JULY '08"/>
      <sheetName val="JUNE '08"/>
      <sheetName val="MAY '08"/>
      <sheetName val="APRIL '08"/>
      <sheetName val="MAR '08"/>
      <sheetName val="FEB '08"/>
      <sheetName val="JAN '08"/>
      <sheetName val="DEC '07"/>
      <sheetName val="NOV '07"/>
      <sheetName val="OCT '07"/>
      <sheetName val="SEP '07"/>
      <sheetName val="AUG '07"/>
      <sheetName val="JULY '07"/>
      <sheetName val="JUNE '07"/>
      <sheetName val="MAY '07"/>
      <sheetName val="APR '07"/>
      <sheetName val="MAR '07"/>
      <sheetName val="FEB '07"/>
      <sheetName val="JAN '07"/>
      <sheetName val="DEC '06"/>
      <sheetName val="NOV '06"/>
      <sheetName val="OCT '06"/>
    </sheetNames>
    <sheetDataSet>
      <sheetData sheetId="0"/>
      <sheetData sheetId="1"/>
      <sheetData sheetId="2">
        <row r="17">
          <cell r="C17">
            <v>1442.99</v>
          </cell>
        </row>
      </sheetData>
      <sheetData sheetId="3">
        <row r="17">
          <cell r="C17">
            <v>973.13999999999987</v>
          </cell>
        </row>
      </sheetData>
      <sheetData sheetId="4">
        <row r="17">
          <cell r="C17">
            <v>1958.4900000000002</v>
          </cell>
        </row>
      </sheetData>
      <sheetData sheetId="5">
        <row r="17">
          <cell r="C17">
            <v>1260.0899999999999</v>
          </cell>
        </row>
      </sheetData>
      <sheetData sheetId="6">
        <row r="17">
          <cell r="C17">
            <v>235.52000000000041</v>
          </cell>
        </row>
      </sheetData>
      <sheetData sheetId="7">
        <row r="17">
          <cell r="C17">
            <v>1119.6899999999996</v>
          </cell>
        </row>
      </sheetData>
      <sheetData sheetId="8">
        <row r="19">
          <cell r="C19">
            <v>3792.2000000000003</v>
          </cell>
        </row>
      </sheetData>
      <sheetData sheetId="9">
        <row r="16">
          <cell r="C16">
            <v>1426.9799999999996</v>
          </cell>
        </row>
      </sheetData>
      <sheetData sheetId="10">
        <row r="16">
          <cell r="C16">
            <v>3278.5299999999993</v>
          </cell>
        </row>
      </sheetData>
      <sheetData sheetId="11">
        <row r="33">
          <cell r="C33">
            <v>2176.4999999999991</v>
          </cell>
        </row>
      </sheetData>
      <sheetData sheetId="12">
        <row r="27">
          <cell r="C27">
            <v>2029.48</v>
          </cell>
        </row>
      </sheetData>
      <sheetData sheetId="13">
        <row r="27">
          <cell r="C27">
            <v>934.47999999999956</v>
          </cell>
        </row>
      </sheetData>
      <sheetData sheetId="14">
        <row r="27">
          <cell r="C27">
            <v>4442.3099999999995</v>
          </cell>
        </row>
      </sheetData>
      <sheetData sheetId="15">
        <row r="27">
          <cell r="C27">
            <v>618.13</v>
          </cell>
        </row>
      </sheetData>
      <sheetData sheetId="16">
        <row r="33">
          <cell r="C33">
            <v>82.72999999999999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TY CASH"/>
      <sheetName val="Leon"/>
      <sheetName val="DECEMBER '13"/>
      <sheetName val="NOVEMBER '13"/>
      <sheetName val="OCTOBER '13"/>
      <sheetName val="SEPTEMBER '13"/>
      <sheetName val="AUGUST '13"/>
      <sheetName val="JULY '13"/>
      <sheetName val="JUNE '13"/>
      <sheetName val="MAY '13"/>
      <sheetName val="APRIL '13"/>
      <sheetName val="MARCH '13"/>
      <sheetName val="FEB '13"/>
      <sheetName val="JAN '13"/>
      <sheetName val="DEC '12"/>
      <sheetName val="NOV '12"/>
      <sheetName val="OCT '12"/>
      <sheetName val="SEP '12"/>
      <sheetName val="AUG '12"/>
      <sheetName val="JULY '12"/>
      <sheetName val="JUNE '12"/>
      <sheetName val="MAY '12"/>
      <sheetName val="APRIL '12"/>
      <sheetName val="MARCH '12"/>
      <sheetName val="FEBRUARY '12"/>
      <sheetName val="JANUARY '12"/>
      <sheetName val="DECEMBER '11"/>
      <sheetName val="NOVEMBER '11"/>
      <sheetName val="OCTOBER '11"/>
      <sheetName val="SEPTEMBER '11"/>
      <sheetName val="AUGUST '11"/>
      <sheetName val="JULY '11"/>
      <sheetName val="JUNE '11"/>
      <sheetName val="MAY '11"/>
      <sheetName val="APRIL '11"/>
      <sheetName val="MARCH '11"/>
      <sheetName val="FEBRUARY '11"/>
      <sheetName val="JANUARY '11"/>
      <sheetName val="DECEMBER '10"/>
      <sheetName val="NOVEMBER '10"/>
      <sheetName val="OCTOBER '10"/>
      <sheetName val="SEPTEMBER '10"/>
      <sheetName val="AUGUST '10"/>
      <sheetName val="JULY '10"/>
      <sheetName val="JUNE '10"/>
      <sheetName val="MAY '10"/>
      <sheetName val="APRIL '10"/>
      <sheetName val="MARCH '10"/>
      <sheetName val="FEBRUARY '10"/>
      <sheetName val="JANUARY '10"/>
      <sheetName val="DECEMBER '09"/>
      <sheetName val="NOVEMBER '09"/>
      <sheetName val="OCTOBER '09"/>
      <sheetName val="SEPTEMBER '09"/>
      <sheetName val="AUGUST '09"/>
      <sheetName val="JULY '09"/>
      <sheetName val="JUNE '09"/>
      <sheetName val="MAY '09"/>
      <sheetName val="APRIL '09"/>
      <sheetName val="MAR '09"/>
      <sheetName val="FEB '09"/>
      <sheetName val="JAN '09"/>
      <sheetName val="DECEMBER '08"/>
      <sheetName val="NOVEMBER '08"/>
      <sheetName val="OCTOBER '08"/>
      <sheetName val="SEPTEMBER '08"/>
      <sheetName val="AUGUST '08"/>
      <sheetName val="JULY '08"/>
      <sheetName val="JUNE '08"/>
      <sheetName val="MAY '08"/>
      <sheetName val="APRIL '08"/>
      <sheetName val="MAR '08"/>
      <sheetName val="FEB '08"/>
      <sheetName val="JAN '08"/>
      <sheetName val="DEC '07"/>
      <sheetName val="NOV '07"/>
      <sheetName val="OCT '07"/>
      <sheetName val="SEP '07"/>
      <sheetName val="AUG '07"/>
      <sheetName val="JULY '07"/>
      <sheetName val="JUNE '07"/>
      <sheetName val="MAY '07"/>
      <sheetName val="APR '07"/>
      <sheetName val="MAR '07"/>
      <sheetName val="FEB '07"/>
      <sheetName val="JAN '07"/>
      <sheetName val="DEC '06"/>
      <sheetName val="NOV '06"/>
      <sheetName val="OCT '06"/>
    </sheetNames>
    <sheetDataSet>
      <sheetData sheetId="0"/>
      <sheetData sheetId="1"/>
      <sheetData sheetId="2">
        <row r="27">
          <cell r="C27">
            <v>0</v>
          </cell>
        </row>
      </sheetData>
      <sheetData sheetId="3">
        <row r="27">
          <cell r="C27">
            <v>1086.1400000000003</v>
          </cell>
        </row>
      </sheetData>
      <sheetData sheetId="4">
        <row r="84">
          <cell r="C84">
            <v>981</v>
          </cell>
        </row>
      </sheetData>
      <sheetData sheetId="5">
        <row r="39">
          <cell r="C39">
            <v>741.92000000000007</v>
          </cell>
        </row>
      </sheetData>
      <sheetData sheetId="6">
        <row r="35">
          <cell r="C35">
            <v>222.3</v>
          </cell>
        </row>
        <row r="80">
          <cell r="C80">
            <v>900</v>
          </cell>
        </row>
      </sheetData>
      <sheetData sheetId="7">
        <row r="35">
          <cell r="C35">
            <v>974.9200000000003</v>
          </cell>
        </row>
      </sheetData>
      <sheetData sheetId="8">
        <row r="35">
          <cell r="C35">
            <v>2941.8999999999996</v>
          </cell>
        </row>
      </sheetData>
      <sheetData sheetId="9">
        <row r="40">
          <cell r="C40">
            <v>1406.46</v>
          </cell>
        </row>
      </sheetData>
      <sheetData sheetId="10">
        <row r="34">
          <cell r="C34">
            <v>1789.71</v>
          </cell>
        </row>
        <row r="37">
          <cell r="C37">
            <v>797.82999999999993</v>
          </cell>
        </row>
      </sheetData>
      <sheetData sheetId="11">
        <row r="29">
          <cell r="C29">
            <v>3237.2599999999998</v>
          </cell>
        </row>
      </sheetData>
      <sheetData sheetId="12">
        <row r="30">
          <cell r="C30">
            <v>1374.56</v>
          </cell>
        </row>
      </sheetData>
      <sheetData sheetId="13">
        <row r="36">
          <cell r="C36">
            <v>4054.54</v>
          </cell>
        </row>
      </sheetData>
      <sheetData sheetId="14">
        <row r="33">
          <cell r="C33">
            <v>2055.16</v>
          </cell>
        </row>
      </sheetData>
      <sheetData sheetId="15">
        <row r="42">
          <cell r="C42">
            <v>5181.3499999999995</v>
          </cell>
        </row>
      </sheetData>
      <sheetData sheetId="16">
        <row r="59">
          <cell r="C59">
            <v>3275.87</v>
          </cell>
        </row>
      </sheetData>
      <sheetData sheetId="17">
        <row r="103">
          <cell r="C103">
            <v>1467.3999999999999</v>
          </cell>
        </row>
      </sheetData>
      <sheetData sheetId="18">
        <row r="81">
          <cell r="C81">
            <v>1022.35</v>
          </cell>
        </row>
      </sheetData>
      <sheetData sheetId="19">
        <row r="80">
          <cell r="C80">
            <v>937.75</v>
          </cell>
        </row>
        <row r="83">
          <cell r="C83">
            <v>164.55</v>
          </cell>
        </row>
      </sheetData>
      <sheetData sheetId="20">
        <row r="80">
          <cell r="C80">
            <v>703.69</v>
          </cell>
        </row>
        <row r="83">
          <cell r="C83">
            <v>297.06</v>
          </cell>
        </row>
      </sheetData>
      <sheetData sheetId="21">
        <row r="83">
          <cell r="C83">
            <v>413.26</v>
          </cell>
        </row>
        <row r="86">
          <cell r="C86">
            <v>575.76</v>
          </cell>
        </row>
      </sheetData>
      <sheetData sheetId="22">
        <row r="56">
          <cell r="C56">
            <v>255</v>
          </cell>
        </row>
      </sheetData>
      <sheetData sheetId="23">
        <row r="79">
          <cell r="C79">
            <v>214.92000000000002</v>
          </cell>
        </row>
      </sheetData>
      <sheetData sheetId="24">
        <row r="75">
          <cell r="C75">
            <v>962.94</v>
          </cell>
        </row>
      </sheetData>
      <sheetData sheetId="25">
        <row r="64">
          <cell r="C64">
            <v>84.11999999999999</v>
          </cell>
        </row>
        <row r="72">
          <cell r="C72">
            <v>1905.0500000000002</v>
          </cell>
        </row>
      </sheetData>
      <sheetData sheetId="26">
        <row r="77">
          <cell r="C77">
            <v>272.31</v>
          </cell>
        </row>
      </sheetData>
      <sheetData sheetId="27">
        <row r="105">
          <cell r="I105">
            <v>456.15</v>
          </cell>
        </row>
        <row r="139">
          <cell r="C139">
            <v>1565.6200000000001</v>
          </cell>
        </row>
      </sheetData>
      <sheetData sheetId="28">
        <row r="94">
          <cell r="C94">
            <v>818</v>
          </cell>
        </row>
        <row r="97">
          <cell r="C97">
            <v>125.29000000000002</v>
          </cell>
        </row>
      </sheetData>
      <sheetData sheetId="29">
        <row r="70">
          <cell r="C70">
            <v>284.16000000000003</v>
          </cell>
        </row>
      </sheetData>
      <sheetData sheetId="30">
        <row r="51">
          <cell r="C51">
            <v>1180.78</v>
          </cell>
        </row>
      </sheetData>
      <sheetData sheetId="31">
        <row r="37">
          <cell r="C37">
            <v>676.23</v>
          </cell>
        </row>
      </sheetData>
      <sheetData sheetId="32">
        <row r="63">
          <cell r="C63">
            <v>48.170000000000073</v>
          </cell>
        </row>
      </sheetData>
      <sheetData sheetId="33">
        <row r="68">
          <cell r="C68">
            <v>406.67</v>
          </cell>
        </row>
      </sheetData>
      <sheetData sheetId="34">
        <row r="38">
          <cell r="C38">
            <v>-50.260000000000076</v>
          </cell>
        </row>
        <row r="41">
          <cell r="C41">
            <v>480.06</v>
          </cell>
        </row>
      </sheetData>
      <sheetData sheetId="35">
        <row r="38">
          <cell r="C38">
            <v>555.73</v>
          </cell>
        </row>
        <row r="41">
          <cell r="C41">
            <v>523.64</v>
          </cell>
        </row>
      </sheetData>
      <sheetData sheetId="36">
        <row r="37">
          <cell r="C37">
            <v>854.44</v>
          </cell>
        </row>
        <row r="39">
          <cell r="C39">
            <v>-82.35</v>
          </cell>
        </row>
      </sheetData>
      <sheetData sheetId="37">
        <row r="36">
          <cell r="C36">
            <v>976.9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h '10"/>
      <sheetName val="April '10"/>
      <sheetName val="May '10"/>
      <sheetName val="June '10"/>
      <sheetName val="July '10"/>
      <sheetName val="August '10"/>
      <sheetName val="September '10"/>
      <sheetName val="October '10"/>
      <sheetName val="November '10"/>
      <sheetName val="December '10"/>
      <sheetName val="January '11"/>
      <sheetName val="February '11"/>
      <sheetName val="Leave &amp; Bonus"/>
      <sheetName val="Increases '10"/>
      <sheetName val="IRP5"/>
      <sheetName val="SARS"/>
      <sheetName val="Leon"/>
      <sheetName val="Jean-Louis"/>
      <sheetName val="Joseph"/>
      <sheetName val="Madala"/>
      <sheetName val="Dora"/>
      <sheetName val="Henry"/>
      <sheetName val="Andrew"/>
      <sheetName val="Eric"/>
      <sheetName val="Nik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14">
          <cell r="O314">
            <v>-8946.957278481008</v>
          </cell>
        </row>
        <row r="316">
          <cell r="K316">
            <v>3653.3297920000032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topLeftCell="A34" workbookViewId="0">
      <selection activeCell="G73" sqref="G73"/>
    </sheetView>
  </sheetViews>
  <sheetFormatPr defaultColWidth="8.85546875" defaultRowHeight="12.75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>
      <c r="A1" s="1022" t="s">
        <v>694</v>
      </c>
      <c r="B1" s="1022"/>
      <c r="C1" s="1022"/>
      <c r="D1" s="1022"/>
      <c r="E1" s="1022"/>
      <c r="F1" s="1022"/>
      <c r="G1" s="1022"/>
      <c r="H1" s="1022"/>
      <c r="I1" s="487"/>
      <c r="J1" s="487"/>
      <c r="K1" s="487"/>
      <c r="L1" s="487"/>
      <c r="M1" s="487"/>
    </row>
    <row r="2" spans="1:13" s="437" customFormat="1" ht="6.75" customHeight="1">
      <c r="B2" s="438"/>
      <c r="C2" s="439"/>
      <c r="D2" s="439"/>
      <c r="E2" s="440"/>
      <c r="F2" s="440"/>
      <c r="G2" s="440"/>
      <c r="H2" s="440"/>
      <c r="I2" s="440"/>
      <c r="J2" s="440"/>
      <c r="K2" s="440"/>
      <c r="L2" s="440"/>
      <c r="M2" s="440"/>
    </row>
    <row r="3" spans="1:13" ht="19.5" customHeight="1">
      <c r="A3" s="660"/>
      <c r="B3" s="432" t="s">
        <v>348</v>
      </c>
      <c r="C3" s="717" t="s">
        <v>189</v>
      </c>
      <c r="D3" s="457"/>
      <c r="E3" s="32"/>
      <c r="F3" s="32"/>
      <c r="G3" s="32"/>
      <c r="H3" s="32"/>
      <c r="I3" s="32"/>
      <c r="J3" s="32"/>
      <c r="K3" s="32"/>
      <c r="L3" s="32"/>
      <c r="M3" s="5"/>
    </row>
    <row r="4" spans="1:13" ht="19.5" customHeight="1">
      <c r="B4" s="432" t="s">
        <v>350</v>
      </c>
      <c r="C4" s="1018">
        <v>41703</v>
      </c>
      <c r="D4" s="1020"/>
      <c r="E4" s="32"/>
      <c r="F4" s="32"/>
      <c r="G4" s="32"/>
      <c r="H4" s="32"/>
      <c r="I4" s="32"/>
      <c r="J4" s="32"/>
      <c r="K4" s="32"/>
      <c r="L4" s="32"/>
      <c r="M4" s="5"/>
    </row>
    <row r="5" spans="1:13" ht="4.5" customHeight="1">
      <c r="B5" s="2"/>
      <c r="C5" s="76"/>
      <c r="D5" s="76"/>
      <c r="E5" s="1019"/>
      <c r="F5" s="1021"/>
      <c r="G5" s="3"/>
      <c r="H5" s="4"/>
      <c r="I5" s="4"/>
      <c r="J5" s="4"/>
      <c r="K5" s="4"/>
      <c r="L5" s="13"/>
      <c r="M5" s="4"/>
    </row>
    <row r="6" spans="1:13" s="6" customFormat="1" ht="13.5" thickBot="1">
      <c r="B6" s="433" t="s">
        <v>349</v>
      </c>
      <c r="C6" s="435" t="s">
        <v>1</v>
      </c>
      <c r="D6" s="435"/>
      <c r="E6" s="436" t="s">
        <v>2</v>
      </c>
      <c r="G6" s="433"/>
      <c r="H6" s="433"/>
      <c r="I6" s="318"/>
      <c r="J6" s="318"/>
    </row>
    <row r="7" spans="1:13">
      <c r="B7" s="125" t="s">
        <v>391</v>
      </c>
      <c r="C7" s="75" t="s">
        <v>44</v>
      </c>
      <c r="D7" s="470"/>
      <c r="E7" s="446">
        <v>1341.72</v>
      </c>
      <c r="G7" s="661"/>
      <c r="H7" s="662"/>
      <c r="I7" s="4"/>
      <c r="J7" s="4"/>
      <c r="M7" s="5"/>
    </row>
    <row r="8" spans="1:13">
      <c r="B8" s="563" t="s">
        <v>477</v>
      </c>
      <c r="C8" s="434" t="s">
        <v>351</v>
      </c>
      <c r="D8" s="470"/>
      <c r="E8" s="446">
        <v>752.24</v>
      </c>
      <c r="G8" s="661"/>
      <c r="H8" s="662"/>
      <c r="I8" s="4"/>
      <c r="J8" s="4"/>
      <c r="M8" s="5"/>
    </row>
    <row r="9" spans="1:13">
      <c r="B9" s="563" t="s">
        <v>3</v>
      </c>
      <c r="C9" s="434" t="s">
        <v>42</v>
      </c>
      <c r="D9" s="470"/>
      <c r="E9" s="446">
        <v>837.6</v>
      </c>
      <c r="G9" s="661"/>
      <c r="H9" s="662"/>
      <c r="I9" s="4"/>
      <c r="J9" s="4"/>
      <c r="M9" s="5"/>
    </row>
    <row r="10" spans="1:13">
      <c r="B10" s="47" t="s">
        <v>4</v>
      </c>
      <c r="C10" s="75" t="s">
        <v>40</v>
      </c>
      <c r="D10" s="471"/>
      <c r="E10" s="447">
        <v>773.8</v>
      </c>
      <c r="G10" s="661"/>
      <c r="H10" s="662"/>
      <c r="I10" s="4"/>
      <c r="J10" s="4"/>
      <c r="M10" s="5"/>
    </row>
    <row r="11" spans="1:13">
      <c r="B11" s="47" t="s">
        <v>393</v>
      </c>
      <c r="C11" s="75" t="s">
        <v>392</v>
      </c>
      <c r="D11" s="471"/>
      <c r="E11" s="447">
        <v>792</v>
      </c>
      <c r="G11" s="661"/>
      <c r="H11" s="662"/>
      <c r="I11" s="4"/>
      <c r="J11" s="4"/>
      <c r="M11" s="5"/>
    </row>
    <row r="12" spans="1:13">
      <c r="B12" s="47" t="s">
        <v>365</v>
      </c>
      <c r="C12" s="75" t="s">
        <v>366</v>
      </c>
      <c r="D12" s="876"/>
      <c r="E12" s="447">
        <v>1188.5</v>
      </c>
      <c r="F12" s="301"/>
      <c r="G12" s="661"/>
      <c r="H12" s="662"/>
      <c r="I12" s="4"/>
      <c r="J12" s="4"/>
      <c r="M12" s="5"/>
    </row>
    <row r="13" spans="1:13">
      <c r="B13" s="47" t="s">
        <v>29</v>
      </c>
      <c r="C13" s="541" t="s">
        <v>41</v>
      </c>
      <c r="D13" s="669"/>
      <c r="E13" s="447">
        <v>1178.6300000000001</v>
      </c>
      <c r="F13" s="301"/>
      <c r="G13" s="661"/>
      <c r="H13" s="662"/>
      <c r="I13" s="4"/>
      <c r="J13" s="4"/>
      <c r="M13" s="5"/>
    </row>
    <row r="14" spans="1:13" ht="13.5" thickBot="1">
      <c r="B14" s="443" t="s">
        <v>166</v>
      </c>
      <c r="C14" s="542" t="s">
        <v>173</v>
      </c>
      <c r="D14" s="473"/>
      <c r="E14" s="448">
        <v>542</v>
      </c>
      <c r="F14" s="301"/>
      <c r="G14" s="4"/>
      <c r="H14" s="662"/>
      <c r="I14" s="4"/>
      <c r="J14" s="4"/>
      <c r="M14" s="5"/>
    </row>
    <row r="15" spans="1:13" s="4" customFormat="1" ht="13.5" thickBot="1">
      <c r="B15" s="302"/>
      <c r="C15" s="441"/>
      <c r="D15" s="441"/>
      <c r="E15" s="449">
        <f>SUM(E7:E14)</f>
        <v>7406.49</v>
      </c>
      <c r="F15" s="442"/>
      <c r="H15" s="662"/>
    </row>
    <row r="16" spans="1:13">
      <c r="B16" s="567" t="s">
        <v>477</v>
      </c>
      <c r="C16" s="195" t="s">
        <v>285</v>
      </c>
      <c r="D16" s="195"/>
      <c r="E16" s="450">
        <v>500</v>
      </c>
      <c r="G16" s="4"/>
      <c r="H16" s="662"/>
      <c r="I16" s="4"/>
      <c r="J16" s="4"/>
      <c r="M16" s="5"/>
    </row>
    <row r="17" spans="1:13">
      <c r="B17" s="82" t="s">
        <v>11</v>
      </c>
      <c r="C17" s="138" t="s">
        <v>25</v>
      </c>
      <c r="D17" s="138"/>
      <c r="E17" s="454">
        <v>950</v>
      </c>
      <c r="G17" s="4"/>
      <c r="H17" s="662"/>
      <c r="I17" s="4"/>
      <c r="J17" s="4"/>
      <c r="M17" s="5"/>
    </row>
    <row r="18" spans="1:13" ht="13.5" thickBot="1">
      <c r="B18" s="126" t="s">
        <v>58</v>
      </c>
      <c r="C18" s="444" t="s">
        <v>59</v>
      </c>
      <c r="D18" s="444"/>
      <c r="E18" s="452">
        <v>952.5</v>
      </c>
      <c r="G18" s="4"/>
      <c r="H18" s="662"/>
      <c r="I18" s="4"/>
      <c r="J18" s="4"/>
      <c r="M18" s="5"/>
    </row>
    <row r="19" spans="1:13" ht="13.5" thickBot="1">
      <c r="B19" s="11"/>
      <c r="C19" s="445" t="s">
        <v>0</v>
      </c>
      <c r="D19" s="445"/>
      <c r="E19" s="453">
        <f>SUM(E15:E18)</f>
        <v>9808.99</v>
      </c>
      <c r="G19" s="663"/>
      <c r="H19" s="662"/>
      <c r="I19" s="4"/>
      <c r="J19" s="4"/>
      <c r="M19" s="5"/>
    </row>
    <row r="20" spans="1:13" ht="12.75" customHeight="1">
      <c r="B20" s="11"/>
      <c r="C20" s="28"/>
      <c r="D20" s="28"/>
      <c r="E20" s="32"/>
      <c r="F20" s="32"/>
      <c r="G20" s="32"/>
      <c r="H20" s="32"/>
      <c r="I20" s="32"/>
      <c r="J20" s="32"/>
      <c r="K20" s="32"/>
      <c r="L20" s="32"/>
      <c r="M20" s="32"/>
    </row>
    <row r="21" spans="1:13" s="437" customFormat="1" ht="6.75" customHeight="1">
      <c r="B21" s="438"/>
      <c r="C21" s="439"/>
      <c r="D21" s="439"/>
      <c r="E21" s="440"/>
      <c r="F21" s="440"/>
      <c r="G21" s="440"/>
      <c r="H21" s="440"/>
      <c r="I21" s="440"/>
      <c r="J21" s="440"/>
      <c r="K21" s="440"/>
      <c r="L21" s="440"/>
      <c r="M21" s="440"/>
    </row>
    <row r="22" spans="1:13" ht="19.5" customHeight="1">
      <c r="A22" s="660"/>
      <c r="B22" s="432" t="s">
        <v>348</v>
      </c>
      <c r="C22" s="717" t="s">
        <v>252</v>
      </c>
      <c r="D22" s="717"/>
      <c r="E22" s="32"/>
      <c r="F22" s="32"/>
      <c r="G22" s="32"/>
      <c r="H22" s="32"/>
      <c r="I22" s="32"/>
      <c r="J22" s="32"/>
      <c r="K22" s="32"/>
      <c r="L22" s="32"/>
      <c r="M22" s="5"/>
    </row>
    <row r="23" spans="1:13" ht="19.5" customHeight="1">
      <c r="B23" s="432" t="s">
        <v>350</v>
      </c>
      <c r="C23" s="1018">
        <v>41710</v>
      </c>
      <c r="D23" s="1020"/>
      <c r="E23" s="32"/>
      <c r="F23" s="32"/>
      <c r="G23" s="32"/>
      <c r="H23" s="32"/>
      <c r="I23" s="32"/>
      <c r="J23" s="32"/>
      <c r="K23" s="32"/>
      <c r="L23" s="32"/>
      <c r="M23" s="5"/>
    </row>
    <row r="24" spans="1:13" ht="4.5" customHeight="1">
      <c r="B24" s="2"/>
      <c r="C24" s="76"/>
      <c r="D24" s="76"/>
      <c r="E24" s="1019"/>
      <c r="F24" s="1021"/>
      <c r="G24" s="3"/>
      <c r="H24" s="4"/>
      <c r="I24" s="4"/>
      <c r="J24" s="4"/>
      <c r="K24" s="4"/>
      <c r="L24" s="13"/>
      <c r="M24" s="4"/>
    </row>
    <row r="25" spans="1:13" s="6" customFormat="1" ht="13.5" thickBot="1">
      <c r="B25" s="433" t="s">
        <v>349</v>
      </c>
      <c r="C25" s="435" t="s">
        <v>1</v>
      </c>
      <c r="D25" s="435"/>
      <c r="E25" s="436" t="s">
        <v>2</v>
      </c>
      <c r="G25" s="318"/>
      <c r="H25" s="318"/>
      <c r="I25" s="318"/>
      <c r="J25" s="318"/>
    </row>
    <row r="26" spans="1:13">
      <c r="B26" s="125" t="s">
        <v>391</v>
      </c>
      <c r="C26" s="75" t="s">
        <v>44</v>
      </c>
      <c r="D26" s="470"/>
      <c r="E26" s="446">
        <v>1543.62</v>
      </c>
      <c r="M26" s="5"/>
    </row>
    <row r="27" spans="1:13">
      <c r="B27" s="563" t="s">
        <v>477</v>
      </c>
      <c r="C27" s="434" t="s">
        <v>351</v>
      </c>
      <c r="D27" s="470"/>
      <c r="E27" s="446">
        <v>752.24</v>
      </c>
      <c r="M27" s="5"/>
    </row>
    <row r="28" spans="1:13">
      <c r="B28" s="563" t="s">
        <v>3</v>
      </c>
      <c r="C28" s="434" t="s">
        <v>42</v>
      </c>
      <c r="D28" s="470"/>
      <c r="E28" s="446">
        <v>873.44</v>
      </c>
      <c r="M28" s="5"/>
    </row>
    <row r="29" spans="1:13">
      <c r="B29" s="47" t="s">
        <v>4</v>
      </c>
      <c r="C29" s="75" t="s">
        <v>40</v>
      </c>
      <c r="D29" s="471"/>
      <c r="E29" s="447">
        <v>781.26</v>
      </c>
      <c r="M29" s="5"/>
    </row>
    <row r="30" spans="1:13">
      <c r="B30" s="47" t="s">
        <v>393</v>
      </c>
      <c r="C30" s="75" t="s">
        <v>392</v>
      </c>
      <c r="D30" s="471"/>
      <c r="E30" s="447">
        <v>792</v>
      </c>
      <c r="M30" s="5"/>
    </row>
    <row r="31" spans="1:13">
      <c r="B31" s="47" t="s">
        <v>365</v>
      </c>
      <c r="C31" s="75" t="s">
        <v>366</v>
      </c>
      <c r="D31" s="471"/>
      <c r="E31" s="447">
        <v>1286.3900000000001</v>
      </c>
      <c r="F31" s="301"/>
      <c r="M31" s="5"/>
    </row>
    <row r="32" spans="1:13">
      <c r="B32" s="47" t="s">
        <v>29</v>
      </c>
      <c r="C32" s="541" t="s">
        <v>41</v>
      </c>
      <c r="D32" s="472"/>
      <c r="E32" s="447">
        <v>1276.51</v>
      </c>
      <c r="F32" s="301"/>
      <c r="M32" s="5"/>
    </row>
    <row r="33" spans="1:13" ht="13.5" thickBot="1">
      <c r="B33" s="443" t="s">
        <v>166</v>
      </c>
      <c r="C33" s="542" t="s">
        <v>173</v>
      </c>
      <c r="D33" s="473"/>
      <c r="E33" s="448">
        <v>542</v>
      </c>
      <c r="F33" s="301"/>
      <c r="M33" s="5"/>
    </row>
    <row r="34" spans="1:13" s="4" customFormat="1" ht="13.5" thickBot="1">
      <c r="B34" s="302"/>
      <c r="C34" s="441"/>
      <c r="D34" s="441"/>
      <c r="E34" s="449">
        <f>SUM(E26:E33)</f>
        <v>7847.46</v>
      </c>
      <c r="F34" s="442"/>
    </row>
    <row r="35" spans="1:13">
      <c r="B35" s="567" t="s">
        <v>477</v>
      </c>
      <c r="C35" s="195" t="s">
        <v>285</v>
      </c>
      <c r="D35" s="195"/>
      <c r="E35" s="450">
        <v>500</v>
      </c>
      <c r="M35" s="5"/>
    </row>
    <row r="36" spans="1:13">
      <c r="B36" s="82" t="s">
        <v>11</v>
      </c>
      <c r="C36" s="138" t="s">
        <v>25</v>
      </c>
      <c r="D36" s="138"/>
      <c r="E36" s="454">
        <v>950</v>
      </c>
      <c r="M36" s="5"/>
    </row>
    <row r="37" spans="1:13" ht="13.5" thickBot="1">
      <c r="B37" s="126" t="s">
        <v>58</v>
      </c>
      <c r="C37" s="444" t="s">
        <v>59</v>
      </c>
      <c r="D37" s="444"/>
      <c r="E37" s="452">
        <v>952.5</v>
      </c>
      <c r="M37" s="5"/>
    </row>
    <row r="38" spans="1:13" ht="13.5" thickBot="1">
      <c r="B38" s="11"/>
      <c r="C38" s="445" t="s">
        <v>0</v>
      </c>
      <c r="D38" s="445"/>
      <c r="E38" s="453">
        <f>SUM(E34:E37)</f>
        <v>10249.959999999999</v>
      </c>
      <c r="M38" s="5"/>
    </row>
    <row r="39" spans="1:13">
      <c r="B39" s="11"/>
      <c r="C39" s="445"/>
      <c r="D39" s="445"/>
      <c r="E39" s="623"/>
      <c r="M39" s="5"/>
    </row>
    <row r="40" spans="1:13" s="437" customFormat="1" ht="6.75" customHeight="1">
      <c r="B40" s="438"/>
      <c r="C40" s="439"/>
      <c r="D40" s="439"/>
      <c r="E40" s="440"/>
      <c r="F40" s="440"/>
      <c r="G40" s="440"/>
      <c r="H40" s="440"/>
      <c r="I40" s="440"/>
      <c r="J40" s="440"/>
      <c r="K40" s="440"/>
      <c r="L40" s="440"/>
      <c r="M40" s="440"/>
    </row>
    <row r="41" spans="1:13" ht="19.5" customHeight="1">
      <c r="A41" s="660"/>
      <c r="B41" s="432" t="s">
        <v>348</v>
      </c>
      <c r="C41" s="717" t="s">
        <v>190</v>
      </c>
      <c r="D41" s="457"/>
      <c r="E41" s="32"/>
      <c r="F41" s="32"/>
      <c r="G41" s="32"/>
      <c r="H41" s="32"/>
      <c r="I41" s="32"/>
      <c r="J41" s="32"/>
      <c r="K41" s="32"/>
      <c r="L41" s="32"/>
      <c r="M41" s="5"/>
    </row>
    <row r="42" spans="1:13" ht="19.5" customHeight="1">
      <c r="B42" s="432" t="s">
        <v>350</v>
      </c>
      <c r="C42" s="1018">
        <v>41717</v>
      </c>
      <c r="D42" s="1018"/>
      <c r="E42" s="32"/>
      <c r="F42" s="32"/>
      <c r="G42" s="32"/>
      <c r="H42" s="32"/>
      <c r="I42" s="32"/>
      <c r="J42" s="32"/>
      <c r="K42" s="32"/>
      <c r="L42" s="32"/>
      <c r="M42" s="5"/>
    </row>
    <row r="43" spans="1:13" ht="4.5" customHeight="1">
      <c r="B43" s="2"/>
      <c r="C43" s="76"/>
      <c r="D43" s="76"/>
      <c r="E43" s="1019"/>
      <c r="F43" s="1019"/>
      <c r="G43" s="3"/>
      <c r="H43" s="4"/>
      <c r="I43" s="4"/>
      <c r="J43" s="4"/>
      <c r="K43" s="4"/>
      <c r="L43" s="13"/>
      <c r="M43" s="4"/>
    </row>
    <row r="44" spans="1:13" s="6" customFormat="1" ht="13.5" thickBot="1">
      <c r="B44" s="433" t="s">
        <v>349</v>
      </c>
      <c r="C44" s="435" t="s">
        <v>1</v>
      </c>
      <c r="D44" s="435"/>
      <c r="E44" s="436" t="s">
        <v>2</v>
      </c>
    </row>
    <row r="45" spans="1:13">
      <c r="B45" s="125" t="s">
        <v>391</v>
      </c>
      <c r="C45" s="75" t="s">
        <v>44</v>
      </c>
      <c r="D45" s="470"/>
      <c r="E45" s="446">
        <v>1376.65</v>
      </c>
      <c r="M45" s="5"/>
    </row>
    <row r="46" spans="1:13">
      <c r="B46" s="563" t="s">
        <v>477</v>
      </c>
      <c r="C46" s="434" t="s">
        <v>351</v>
      </c>
      <c r="D46" s="470"/>
      <c r="E46" s="446">
        <v>752.24</v>
      </c>
      <c r="M46" s="5"/>
    </row>
    <row r="47" spans="1:13">
      <c r="B47" s="563" t="s">
        <v>3</v>
      </c>
      <c r="C47" s="434" t="s">
        <v>42</v>
      </c>
      <c r="D47" s="470"/>
      <c r="E47" s="446">
        <v>773.83</v>
      </c>
      <c r="M47" s="5"/>
    </row>
    <row r="48" spans="1:13">
      <c r="B48" s="47" t="s">
        <v>4</v>
      </c>
      <c r="C48" s="75" t="s">
        <v>40</v>
      </c>
      <c r="D48" s="471"/>
      <c r="E48" s="447">
        <v>777.53</v>
      </c>
      <c r="M48" s="5"/>
    </row>
    <row r="49" spans="1:13">
      <c r="B49" s="47" t="s">
        <v>393</v>
      </c>
      <c r="C49" s="75" t="s">
        <v>392</v>
      </c>
      <c r="D49" s="471"/>
      <c r="E49" s="447">
        <v>792</v>
      </c>
      <c r="M49" s="5"/>
    </row>
    <row r="50" spans="1:13">
      <c r="B50" s="47" t="s">
        <v>365</v>
      </c>
      <c r="C50" s="75" t="s">
        <v>366</v>
      </c>
      <c r="D50" s="471"/>
      <c r="E50" s="447">
        <v>1216.73</v>
      </c>
      <c r="F50" s="301"/>
      <c r="M50" s="5"/>
    </row>
    <row r="51" spans="1:13">
      <c r="B51" s="47" t="s">
        <v>29</v>
      </c>
      <c r="C51" s="541" t="s">
        <v>41</v>
      </c>
      <c r="D51" s="472"/>
      <c r="E51" s="447">
        <v>1191.6300000000001</v>
      </c>
      <c r="F51" s="301"/>
      <c r="M51" s="5"/>
    </row>
    <row r="52" spans="1:13" ht="13.5" thickBot="1">
      <c r="B52" s="443" t="s">
        <v>166</v>
      </c>
      <c r="C52" s="542" t="s">
        <v>173</v>
      </c>
      <c r="D52" s="473"/>
      <c r="E52" s="448">
        <v>542</v>
      </c>
      <c r="F52" s="301"/>
      <c r="M52" s="5"/>
    </row>
    <row r="53" spans="1:13" s="4" customFormat="1" ht="13.5" thickBot="1">
      <c r="B53" s="302"/>
      <c r="C53" s="441"/>
      <c r="D53" s="441"/>
      <c r="E53" s="449">
        <f>SUM(E45:E52)</f>
        <v>7422.61</v>
      </c>
      <c r="F53" s="442"/>
    </row>
    <row r="54" spans="1:13">
      <c r="B54" s="567" t="s">
        <v>477</v>
      </c>
      <c r="C54" s="195" t="s">
        <v>285</v>
      </c>
      <c r="D54" s="195"/>
      <c r="E54" s="450">
        <v>500</v>
      </c>
      <c r="M54" s="5"/>
    </row>
    <row r="55" spans="1:13">
      <c r="B55" s="82" t="s">
        <v>11</v>
      </c>
      <c r="C55" s="138" t="s">
        <v>25</v>
      </c>
      <c r="D55" s="138"/>
      <c r="E55" s="454">
        <v>950</v>
      </c>
      <c r="M55" s="5"/>
    </row>
    <row r="56" spans="1:13" ht="13.5" thickBot="1">
      <c r="B56" s="126" t="s">
        <v>58</v>
      </c>
      <c r="C56" s="444" t="s">
        <v>59</v>
      </c>
      <c r="D56" s="444"/>
      <c r="E56" s="452">
        <v>952.5</v>
      </c>
      <c r="M56" s="5"/>
    </row>
    <row r="57" spans="1:13" ht="13.5" thickBot="1">
      <c r="B57" s="11"/>
      <c r="C57" s="445" t="s">
        <v>0</v>
      </c>
      <c r="D57" s="445"/>
      <c r="E57" s="453">
        <f>SUM(E53:E56)</f>
        <v>9825.11</v>
      </c>
      <c r="M57" s="5"/>
    </row>
    <row r="58" spans="1:13" ht="12.75" customHeight="1">
      <c r="B58" s="11"/>
      <c r="C58" s="28"/>
      <c r="D58" s="28"/>
      <c r="E58" s="32"/>
      <c r="F58" s="32"/>
      <c r="G58" s="32"/>
      <c r="H58" s="32"/>
      <c r="I58" s="32"/>
      <c r="J58" s="32"/>
      <c r="K58" s="32"/>
      <c r="L58" s="32"/>
      <c r="M58" s="32"/>
    </row>
    <row r="59" spans="1:13" s="437" customFormat="1" ht="6.75" customHeight="1">
      <c r="B59" s="438"/>
      <c r="C59" s="439"/>
      <c r="D59" s="439"/>
      <c r="E59" s="440"/>
      <c r="F59" s="440"/>
      <c r="G59" s="440"/>
      <c r="H59" s="440"/>
      <c r="I59" s="440"/>
      <c r="J59" s="440"/>
      <c r="K59" s="440"/>
      <c r="L59" s="440"/>
      <c r="M59" s="440"/>
    </row>
    <row r="60" spans="1:13" ht="19.5" customHeight="1">
      <c r="A60" s="660"/>
      <c r="B60" s="432" t="s">
        <v>348</v>
      </c>
      <c r="C60" s="717" t="s">
        <v>346</v>
      </c>
      <c r="D60" s="457"/>
      <c r="E60" s="32"/>
      <c r="F60" s="32"/>
      <c r="G60" s="32"/>
      <c r="H60" s="32"/>
      <c r="I60" s="32"/>
      <c r="J60" s="32"/>
      <c r="K60" s="32"/>
      <c r="L60" s="32"/>
      <c r="M60" s="5"/>
    </row>
    <row r="61" spans="1:13" ht="19.5" customHeight="1">
      <c r="B61" s="432" t="s">
        <v>350</v>
      </c>
      <c r="C61" s="1018">
        <v>41724</v>
      </c>
      <c r="D61" s="1020"/>
      <c r="E61" s="32"/>
      <c r="F61" s="32"/>
      <c r="G61" s="32"/>
      <c r="H61" s="32"/>
      <c r="I61" s="32"/>
      <c r="J61" s="32"/>
      <c r="K61" s="32"/>
      <c r="L61" s="32"/>
      <c r="M61" s="5"/>
    </row>
    <row r="62" spans="1:13" ht="4.5" customHeight="1">
      <c r="B62" s="2"/>
      <c r="C62" s="76"/>
      <c r="D62" s="76"/>
      <c r="E62" s="1019"/>
      <c r="F62" s="1021"/>
      <c r="G62" s="3"/>
      <c r="H62" s="4"/>
      <c r="I62" s="4"/>
      <c r="J62" s="4"/>
      <c r="K62" s="4"/>
      <c r="L62" s="13"/>
      <c r="M62" s="4"/>
    </row>
    <row r="63" spans="1:13" s="6" customFormat="1" ht="13.5" thickBot="1">
      <c r="B63" s="433" t="s">
        <v>349</v>
      </c>
      <c r="C63" s="435" t="s">
        <v>1</v>
      </c>
      <c r="D63" s="435"/>
      <c r="E63" s="436" t="s">
        <v>2</v>
      </c>
    </row>
    <row r="64" spans="1:13">
      <c r="B64" s="125" t="s">
        <v>391</v>
      </c>
      <c r="C64" s="75" t="s">
        <v>44</v>
      </c>
      <c r="D64" s="470"/>
      <c r="E64" s="446">
        <v>1376.65</v>
      </c>
      <c r="F64" s="512"/>
      <c r="G64" s="512"/>
      <c r="M64" s="5"/>
    </row>
    <row r="65" spans="1:13">
      <c r="B65" s="563" t="s">
        <v>477</v>
      </c>
      <c r="C65" s="434" t="s">
        <v>351</v>
      </c>
      <c r="D65" s="470"/>
      <c r="E65" s="446">
        <v>752.24</v>
      </c>
      <c r="F65" s="512"/>
      <c r="G65" s="512"/>
      <c r="M65" s="5"/>
    </row>
    <row r="66" spans="1:13">
      <c r="B66" s="563" t="s">
        <v>3</v>
      </c>
      <c r="C66" s="434" t="s">
        <v>42</v>
      </c>
      <c r="D66" s="470"/>
      <c r="E66" s="446">
        <v>837.04</v>
      </c>
      <c r="M66" s="5"/>
    </row>
    <row r="67" spans="1:13">
      <c r="B67" s="47" t="s">
        <v>4</v>
      </c>
      <c r="C67" s="75" t="s">
        <v>40</v>
      </c>
      <c r="D67" s="471"/>
      <c r="E67" s="447">
        <v>877.53</v>
      </c>
      <c r="M67" s="5"/>
    </row>
    <row r="68" spans="1:13">
      <c r="B68" s="47" t="s">
        <v>393</v>
      </c>
      <c r="C68" s="75" t="s">
        <v>392</v>
      </c>
      <c r="D68" s="471"/>
      <c r="E68" s="447">
        <v>792</v>
      </c>
      <c r="M68" s="5"/>
    </row>
    <row r="69" spans="1:13">
      <c r="B69" s="47" t="s">
        <v>365</v>
      </c>
      <c r="C69" s="75" t="s">
        <v>366</v>
      </c>
      <c r="D69" s="471"/>
      <c r="E69" s="447">
        <v>1301.6600000000001</v>
      </c>
      <c r="F69" s="301"/>
      <c r="M69" s="5"/>
    </row>
    <row r="70" spans="1:13">
      <c r="B70" s="47" t="s">
        <v>29</v>
      </c>
      <c r="C70" s="541" t="s">
        <v>41</v>
      </c>
      <c r="D70" s="669"/>
      <c r="E70" s="447">
        <v>1314.79</v>
      </c>
      <c r="F70" s="301"/>
      <c r="G70" s="512"/>
      <c r="M70" s="5"/>
    </row>
    <row r="71" spans="1:13" ht="13.5" thickBot="1">
      <c r="B71" s="443" t="s">
        <v>166</v>
      </c>
      <c r="C71" s="542" t="s">
        <v>173</v>
      </c>
      <c r="D71" s="473"/>
      <c r="E71" s="448">
        <v>542</v>
      </c>
      <c r="F71" s="301"/>
      <c r="M71" s="5"/>
    </row>
    <row r="72" spans="1:13" s="4" customFormat="1" ht="13.5" thickBot="1">
      <c r="B72" s="302"/>
      <c r="C72" s="441"/>
      <c r="D72" s="441"/>
      <c r="E72" s="449">
        <f>SUM(E64:E71)</f>
        <v>7793.91</v>
      </c>
      <c r="F72" s="442"/>
    </row>
    <row r="73" spans="1:13">
      <c r="B73" s="567" t="s">
        <v>477</v>
      </c>
      <c r="C73" s="195" t="s">
        <v>285</v>
      </c>
      <c r="D73" s="195"/>
      <c r="E73" s="450">
        <v>500</v>
      </c>
      <c r="M73" s="5"/>
    </row>
    <row r="74" spans="1:13">
      <c r="B74" s="82"/>
      <c r="C74" s="434" t="s">
        <v>469</v>
      </c>
      <c r="D74" s="434"/>
      <c r="E74" s="451">
        <v>1000</v>
      </c>
      <c r="M74" s="5"/>
    </row>
    <row r="75" spans="1:13">
      <c r="B75" s="82" t="s">
        <v>11</v>
      </c>
      <c r="C75" s="138" t="s">
        <v>25</v>
      </c>
      <c r="D75" s="138"/>
      <c r="E75" s="454">
        <v>950</v>
      </c>
      <c r="M75" s="5"/>
    </row>
    <row r="76" spans="1:13" ht="13.5" thickBot="1">
      <c r="B76" s="126" t="s">
        <v>58</v>
      </c>
      <c r="C76" s="444" t="s">
        <v>59</v>
      </c>
      <c r="D76" s="444"/>
      <c r="E76" s="452">
        <v>952.5</v>
      </c>
      <c r="M76" s="5"/>
    </row>
    <row r="77" spans="1:13" ht="13.5" thickBot="1">
      <c r="B77" s="11"/>
      <c r="C77" s="445" t="s">
        <v>0</v>
      </c>
      <c r="D77" s="445"/>
      <c r="E77" s="453">
        <f>SUM(E72:E76)</f>
        <v>11196.41</v>
      </c>
      <c r="M77" s="5"/>
    </row>
    <row r="78" spans="1:13" ht="12.75" customHeight="1">
      <c r="B78" s="11"/>
      <c r="C78" s="28"/>
      <c r="D78" s="28"/>
      <c r="E78" s="32"/>
      <c r="F78" s="32"/>
      <c r="G78" s="32"/>
      <c r="H78" s="32"/>
      <c r="I78" s="32"/>
      <c r="J78" s="32"/>
      <c r="K78" s="32"/>
      <c r="L78" s="32"/>
      <c r="M78" s="32"/>
    </row>
    <row r="79" spans="1:13" s="7" customFormat="1" ht="13.15" customHeight="1">
      <c r="A79" s="56" t="s">
        <v>30</v>
      </c>
      <c r="B79" s="57" t="s">
        <v>31</v>
      </c>
      <c r="C79" s="57"/>
      <c r="D79" s="455">
        <f>Nikki!E1154</f>
        <v>8483.35</v>
      </c>
      <c r="E79" s="455"/>
      <c r="F79" s="56" t="s">
        <v>38</v>
      </c>
      <c r="G79" s="57" t="s">
        <v>39</v>
      </c>
      <c r="H79" s="455">
        <v>1200</v>
      </c>
      <c r="I79" s="455"/>
      <c r="J79" s="458"/>
      <c r="K79" s="458"/>
      <c r="L79" s="458"/>
      <c r="M79" s="458"/>
    </row>
    <row r="80" spans="1:13" s="7" customFormat="1" ht="13.15" customHeight="1">
      <c r="A80" s="56" t="s">
        <v>32</v>
      </c>
      <c r="B80" s="57" t="s">
        <v>131</v>
      </c>
      <c r="C80" s="57"/>
      <c r="D80" s="455">
        <f>Nikki!E1155</f>
        <v>4442.3099999999995</v>
      </c>
      <c r="E80" s="455"/>
      <c r="F80" s="56" t="s">
        <v>38</v>
      </c>
      <c r="G80" s="57" t="s">
        <v>107</v>
      </c>
      <c r="H80" s="455">
        <f>120000*15%/12</f>
        <v>1500</v>
      </c>
      <c r="I80" s="458"/>
      <c r="J80" s="458"/>
      <c r="K80" s="458"/>
      <c r="L80" s="458"/>
      <c r="M80" s="458"/>
    </row>
    <row r="81" spans="1:13" s="7" customFormat="1" ht="13.15" customHeight="1">
      <c r="A81" s="56" t="s">
        <v>33</v>
      </c>
      <c r="B81" s="57" t="s">
        <v>34</v>
      </c>
      <c r="C81" s="57"/>
      <c r="D81" s="455">
        <v>311.83999999999997</v>
      </c>
      <c r="E81" s="455"/>
      <c r="F81" s="56" t="s">
        <v>45</v>
      </c>
      <c r="G81" s="57" t="s">
        <v>39</v>
      </c>
      <c r="H81" s="455">
        <v>1800</v>
      </c>
      <c r="I81" s="458"/>
      <c r="J81" s="458"/>
      <c r="K81" s="458"/>
      <c r="L81" s="458"/>
      <c r="M81" s="458"/>
    </row>
    <row r="82" spans="1:13" s="7" customFormat="1" ht="13.15" customHeight="1">
      <c r="A82" s="56" t="s">
        <v>36</v>
      </c>
      <c r="B82" s="57" t="s">
        <v>37</v>
      </c>
      <c r="C82" s="455"/>
      <c r="D82" s="455">
        <v>8000</v>
      </c>
      <c r="E82" s="455"/>
      <c r="F82" s="56" t="s">
        <v>32</v>
      </c>
      <c r="G82" s="57" t="s">
        <v>108</v>
      </c>
      <c r="H82" s="455">
        <v>1014</v>
      </c>
      <c r="I82" s="659"/>
      <c r="J82" s="459"/>
    </row>
    <row r="83" spans="1:13" s="7" customFormat="1" ht="13.15" customHeight="1">
      <c r="A83" s="56" t="s">
        <v>35</v>
      </c>
      <c r="B83" s="57" t="s">
        <v>186</v>
      </c>
      <c r="C83" s="455"/>
      <c r="D83" s="455">
        <v>1000</v>
      </c>
      <c r="E83" s="455"/>
      <c r="F83" s="56" t="s">
        <v>230</v>
      </c>
      <c r="G83" s="57" t="s">
        <v>232</v>
      </c>
      <c r="H83" s="455">
        <v>500</v>
      </c>
      <c r="I83" s="659"/>
      <c r="J83" s="459"/>
    </row>
    <row r="84" spans="1:13" s="7" customFormat="1" ht="13.15" customHeight="1" thickBot="1">
      <c r="A84" s="56" t="s">
        <v>33</v>
      </c>
      <c r="B84" s="57" t="s">
        <v>46</v>
      </c>
      <c r="C84" s="455"/>
      <c r="D84" s="455">
        <v>11000</v>
      </c>
      <c r="E84" s="455"/>
      <c r="F84" s="56" t="s">
        <v>231</v>
      </c>
      <c r="G84" s="57" t="s">
        <v>233</v>
      </c>
      <c r="H84" s="456">
        <v>500</v>
      </c>
      <c r="I84" s="659"/>
      <c r="J84" s="459"/>
    </row>
    <row r="85" spans="1:13" s="7" customFormat="1" ht="13.15" customHeight="1" thickTop="1" thickBot="1">
      <c r="A85" s="139" t="s">
        <v>65</v>
      </c>
      <c r="B85" s="57" t="s">
        <v>47</v>
      </c>
      <c r="C85" s="455"/>
      <c r="D85" s="455">
        <v>11000</v>
      </c>
      <c r="E85" s="455"/>
      <c r="F85" s="61"/>
      <c r="G85" s="57"/>
      <c r="H85" s="659">
        <f>SUM(H79:H84)+SUM(D79:D86)</f>
        <v>53251.5</v>
      </c>
      <c r="I85" s="132"/>
      <c r="J85" s="459"/>
    </row>
    <row r="86" spans="1:13" s="7" customFormat="1" ht="13.15" customHeight="1" thickBot="1">
      <c r="A86" s="56"/>
      <c r="B86" s="57" t="s">
        <v>106</v>
      </c>
      <c r="C86" s="455"/>
      <c r="D86" s="455">
        <v>2500</v>
      </c>
      <c r="E86" s="455"/>
      <c r="F86" s="61"/>
      <c r="G86" s="474" t="s">
        <v>5</v>
      </c>
      <c r="H86" s="475">
        <f>H85+E77</f>
        <v>64447.91</v>
      </c>
      <c r="I86" s="659"/>
      <c r="J86" s="459"/>
    </row>
    <row r="87" spans="1:13" s="7" customFormat="1" ht="13.15" customHeight="1">
      <c r="B87" s="56"/>
      <c r="C87" s="57"/>
      <c r="D87" s="57"/>
      <c r="E87" s="455"/>
      <c r="F87" s="58"/>
      <c r="G87" s="57"/>
      <c r="H87" s="659"/>
      <c r="I87" s="659"/>
      <c r="J87" s="459"/>
    </row>
    <row r="88" spans="1:13" s="7" customFormat="1" ht="13.15" customHeight="1">
      <c r="B88" s="56"/>
      <c r="C88" s="57"/>
      <c r="D88" s="57"/>
      <c r="E88" s="455"/>
      <c r="F88" s="61"/>
      <c r="G88" s="57"/>
      <c r="H88" s="659"/>
      <c r="I88" s="659"/>
      <c r="J88" s="459"/>
    </row>
    <row r="89" spans="1:13" s="7" customFormat="1" ht="13.15" customHeight="1">
      <c r="B89" s="56"/>
      <c r="C89" s="57"/>
      <c r="D89" s="9"/>
      <c r="E89" s="455"/>
      <c r="F89" s="61"/>
      <c r="G89" s="474"/>
      <c r="H89" s="513"/>
      <c r="I89" s="659"/>
      <c r="J89" s="459"/>
    </row>
    <row r="90" spans="1:13" s="7" customFormat="1" ht="13.15" customHeight="1">
      <c r="B90" s="56"/>
      <c r="C90" s="57"/>
      <c r="D90" s="8"/>
      <c r="E90" s="455"/>
      <c r="F90" s="58"/>
      <c r="G90" s="57"/>
      <c r="H90" s="659"/>
      <c r="I90" s="659"/>
      <c r="J90" s="459"/>
    </row>
    <row r="91" spans="1:13" s="7" customFormat="1" ht="13.15" customHeight="1">
      <c r="B91" s="56"/>
      <c r="C91" s="57"/>
      <c r="D91" s="8"/>
      <c r="E91" s="9"/>
      <c r="F91" s="9"/>
      <c r="G91" s="9"/>
      <c r="H91" s="9"/>
      <c r="I91" s="659"/>
      <c r="J91" s="459"/>
    </row>
    <row r="92" spans="1:13" s="7" customFormat="1" ht="13.15" customHeight="1">
      <c r="A92" s="9"/>
      <c r="B92" s="10"/>
      <c r="C92" s="9"/>
      <c r="D92" s="8"/>
      <c r="E92" s="9"/>
      <c r="F92" s="9"/>
      <c r="G92" s="9"/>
      <c r="H92" s="9"/>
      <c r="I92" s="659"/>
      <c r="J92" s="459"/>
    </row>
    <row r="93" spans="1:13" s="7" customFormat="1" ht="13.15" customHeight="1">
      <c r="A93" s="9"/>
      <c r="B93" s="10"/>
      <c r="C93" s="8"/>
      <c r="D93" s="8"/>
      <c r="E93" s="9"/>
      <c r="F93" s="9"/>
      <c r="G93" s="9"/>
      <c r="H93" s="9"/>
      <c r="I93" s="659"/>
      <c r="J93" s="459"/>
    </row>
    <row r="94" spans="1:13" s="7" customFormat="1" ht="13.15" customHeight="1">
      <c r="A94" s="9"/>
      <c r="B94" s="10"/>
      <c r="C94" s="8"/>
      <c r="D94" s="8"/>
      <c r="E94" s="9"/>
      <c r="F94" s="9"/>
      <c r="G94" s="9"/>
      <c r="H94" s="9"/>
      <c r="I94" s="659"/>
      <c r="J94" s="459"/>
    </row>
    <row r="95" spans="1:13" s="7" customFormat="1" ht="13.15" customHeight="1">
      <c r="A95" s="9"/>
      <c r="B95" s="10"/>
      <c r="C95" s="8"/>
      <c r="D95" s="8"/>
      <c r="E95" s="9"/>
      <c r="F95" s="9"/>
      <c r="G95" s="9"/>
      <c r="H95" s="9"/>
      <c r="I95" s="659"/>
      <c r="J95" s="459"/>
    </row>
    <row r="96" spans="1:13" s="9" customFormat="1" ht="12">
      <c r="B96" s="10"/>
      <c r="C96" s="8"/>
      <c r="M96" s="10"/>
    </row>
    <row r="97" spans="1:13" s="9" customFormat="1" ht="12">
      <c r="B97" s="10"/>
      <c r="C97" s="8"/>
      <c r="M97" s="10"/>
    </row>
    <row r="98" spans="1:13" s="9" customFormat="1" ht="12">
      <c r="B98" s="10"/>
      <c r="C98" s="8"/>
      <c r="M98" s="10"/>
    </row>
    <row r="99" spans="1:13" s="9" customFormat="1" ht="12">
      <c r="B99" s="10"/>
      <c r="M99" s="10"/>
    </row>
    <row r="100" spans="1:13" s="9" customFormat="1" ht="12">
      <c r="B100" s="10"/>
      <c r="M100" s="10"/>
    </row>
    <row r="101" spans="1:13" s="9" customFormat="1" ht="12">
      <c r="B101" s="10"/>
      <c r="M101" s="10"/>
    </row>
    <row r="102" spans="1:13" s="9" customFormat="1">
      <c r="B102" s="10"/>
      <c r="D102" s="5"/>
      <c r="M102" s="10"/>
    </row>
    <row r="103" spans="1:13" s="9" customFormat="1">
      <c r="B103" s="10"/>
      <c r="D103" s="5"/>
      <c r="M103" s="10"/>
    </row>
    <row r="104" spans="1:13" s="9" customFormat="1">
      <c r="B104" s="10"/>
      <c r="D104" s="5"/>
      <c r="E104" s="5"/>
      <c r="F104" s="5"/>
      <c r="G104" s="5"/>
      <c r="H104" s="5"/>
      <c r="M104" s="10"/>
    </row>
    <row r="105" spans="1:13" s="9" customFormat="1">
      <c r="B105" s="12"/>
      <c r="C105" s="5"/>
      <c r="D105" s="5"/>
      <c r="E105" s="5"/>
      <c r="F105" s="5"/>
      <c r="G105" s="5"/>
      <c r="H105" s="5"/>
      <c r="M105" s="10"/>
    </row>
    <row r="106" spans="1:13" s="9" customFormat="1">
      <c r="B106" s="12"/>
      <c r="C106" s="5"/>
      <c r="D106" s="5"/>
      <c r="E106" s="5"/>
      <c r="F106" s="5"/>
      <c r="G106" s="5"/>
      <c r="H106" s="5"/>
      <c r="M106" s="10"/>
    </row>
    <row r="107" spans="1:13" s="9" customFormat="1">
      <c r="B107" s="12"/>
      <c r="C107" s="5"/>
      <c r="D107" s="5"/>
      <c r="E107" s="5"/>
      <c r="F107" s="5"/>
      <c r="G107" s="5"/>
      <c r="H107" s="5"/>
      <c r="M107" s="10"/>
    </row>
    <row r="108" spans="1:13" s="9" customFormat="1">
      <c r="B108" s="12"/>
      <c r="C108" s="5"/>
      <c r="D108" s="5"/>
      <c r="E108" s="5"/>
      <c r="F108" s="5"/>
      <c r="G108" s="5"/>
      <c r="H108" s="5"/>
      <c r="M108" s="10"/>
    </row>
    <row r="109" spans="1:13" s="9" customFormat="1">
      <c r="A109" s="5"/>
      <c r="B109" s="12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10"/>
    </row>
    <row r="110" spans="1:13" s="9" customFormat="1">
      <c r="A110" s="5"/>
      <c r="B110" s="12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10"/>
    </row>
    <row r="111" spans="1:13" s="9" customFormat="1">
      <c r="A111" s="5"/>
      <c r="B111" s="12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10"/>
    </row>
    <row r="112" spans="1:13" s="9" customFormat="1">
      <c r="A112" s="5"/>
      <c r="B112" s="12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10"/>
    </row>
  </sheetData>
  <mergeCells count="9">
    <mergeCell ref="C42:D42"/>
    <mergeCell ref="E43:F43"/>
    <mergeCell ref="C61:D61"/>
    <mergeCell ref="E62:F62"/>
    <mergeCell ref="A1:H1"/>
    <mergeCell ref="C4:D4"/>
    <mergeCell ref="E5:F5"/>
    <mergeCell ref="C23:D23"/>
    <mergeCell ref="E24:F24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workbookViewId="0">
      <selection activeCell="L76" sqref="L76"/>
    </sheetView>
  </sheetViews>
  <sheetFormatPr defaultColWidth="8.85546875" defaultRowHeight="12.75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2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>
      <c r="A1" s="1022" t="s">
        <v>847</v>
      </c>
      <c r="B1" s="1022"/>
      <c r="C1" s="1022"/>
      <c r="D1" s="1022"/>
      <c r="E1" s="1022"/>
      <c r="F1" s="1022"/>
      <c r="G1" s="1022"/>
      <c r="H1" s="1022"/>
      <c r="I1" s="487"/>
      <c r="J1" s="487"/>
      <c r="K1" s="487"/>
      <c r="L1" s="487"/>
      <c r="M1" s="487"/>
    </row>
    <row r="2" spans="1:13" s="437" customFormat="1" ht="6.75" customHeight="1">
      <c r="B2" s="438"/>
      <c r="C2" s="439"/>
      <c r="D2" s="439"/>
      <c r="E2" s="440"/>
      <c r="F2" s="440"/>
      <c r="G2" s="440"/>
      <c r="H2" s="440"/>
      <c r="I2" s="440"/>
      <c r="J2" s="440"/>
      <c r="K2" s="440"/>
      <c r="L2" s="440"/>
      <c r="M2" s="440"/>
    </row>
    <row r="3" spans="1:13" ht="19.5" customHeight="1">
      <c r="A3" s="660"/>
      <c r="B3" s="432" t="s">
        <v>348</v>
      </c>
      <c r="C3" s="717" t="s">
        <v>848</v>
      </c>
      <c r="D3" s="457"/>
      <c r="E3" s="32"/>
      <c r="F3" s="32"/>
      <c r="G3" s="32"/>
      <c r="H3" s="32"/>
      <c r="I3" s="32"/>
      <c r="J3" s="32"/>
      <c r="K3" s="32"/>
      <c r="L3" s="32"/>
      <c r="M3" s="5"/>
    </row>
    <row r="4" spans="1:13" ht="19.5" customHeight="1">
      <c r="B4" s="432" t="s">
        <v>350</v>
      </c>
      <c r="C4" s="1018">
        <v>41976</v>
      </c>
      <c r="D4" s="1020"/>
      <c r="E4" s="32"/>
      <c r="F4" s="32"/>
      <c r="G4" s="32"/>
      <c r="H4" s="32"/>
      <c r="I4" s="32"/>
      <c r="J4" s="32"/>
      <c r="K4" s="32"/>
      <c r="L4" s="32"/>
      <c r="M4" s="5"/>
    </row>
    <row r="5" spans="1:13" ht="4.5" customHeight="1">
      <c r="B5" s="2"/>
      <c r="C5" s="76"/>
      <c r="D5" s="76"/>
      <c r="E5" s="1019"/>
      <c r="F5" s="1021"/>
      <c r="G5" s="3"/>
      <c r="H5" s="4"/>
      <c r="I5" s="4"/>
      <c r="J5" s="4"/>
      <c r="K5" s="4"/>
      <c r="L5" s="13"/>
      <c r="M5" s="4"/>
    </row>
    <row r="6" spans="1:13" s="6" customFormat="1" ht="13.5" thickBot="1">
      <c r="B6" s="433" t="s">
        <v>349</v>
      </c>
      <c r="C6" s="435" t="s">
        <v>1</v>
      </c>
      <c r="D6" s="435"/>
      <c r="E6" s="436" t="s">
        <v>2</v>
      </c>
      <c r="G6" s="433"/>
      <c r="H6" s="433"/>
      <c r="I6" s="318"/>
      <c r="J6" s="318"/>
    </row>
    <row r="7" spans="1:13">
      <c r="B7" s="125" t="s">
        <v>391</v>
      </c>
      <c r="C7" s="195" t="s">
        <v>44</v>
      </c>
      <c r="D7" s="891"/>
      <c r="E7" s="889">
        <v>1669.89</v>
      </c>
      <c r="G7" s="661"/>
      <c r="H7" s="662"/>
      <c r="I7" s="4"/>
      <c r="J7" s="4"/>
      <c r="M7" s="5"/>
    </row>
    <row r="8" spans="1:13">
      <c r="B8" s="563" t="s">
        <v>748</v>
      </c>
      <c r="C8" s="434" t="s">
        <v>41</v>
      </c>
      <c r="D8" s="892"/>
      <c r="E8" s="889">
        <v>1561.57</v>
      </c>
      <c r="G8" s="661"/>
      <c r="H8" s="662"/>
      <c r="I8" s="4"/>
      <c r="J8" s="4"/>
      <c r="M8" s="5"/>
    </row>
    <row r="9" spans="1:13">
      <c r="B9" s="563" t="s">
        <v>477</v>
      </c>
      <c r="C9" s="434" t="s">
        <v>351</v>
      </c>
      <c r="D9" s="892"/>
      <c r="E9" s="889">
        <v>652.24</v>
      </c>
      <c r="G9" s="661"/>
      <c r="H9" s="662"/>
      <c r="I9" s="4"/>
      <c r="J9" s="4"/>
      <c r="M9" s="5"/>
    </row>
    <row r="10" spans="1:13">
      <c r="B10" s="563" t="s">
        <v>3</v>
      </c>
      <c r="C10" s="434" t="s">
        <v>42</v>
      </c>
      <c r="D10" s="892"/>
      <c r="E10" s="889">
        <v>837.04</v>
      </c>
      <c r="F10" s="900"/>
      <c r="G10" s="661"/>
      <c r="H10" s="662"/>
      <c r="I10" s="4"/>
      <c r="J10" s="4"/>
      <c r="M10" s="5"/>
    </row>
    <row r="11" spans="1:13">
      <c r="B11" s="47" t="s">
        <v>4</v>
      </c>
      <c r="C11" s="75" t="s">
        <v>40</v>
      </c>
      <c r="D11" s="893"/>
      <c r="E11" s="890">
        <v>927.03</v>
      </c>
      <c r="G11" s="661"/>
      <c r="H11" s="662"/>
      <c r="I11" s="4"/>
      <c r="J11" s="4"/>
      <c r="M11" s="5"/>
    </row>
    <row r="12" spans="1:13">
      <c r="B12" s="47" t="s">
        <v>793</v>
      </c>
      <c r="C12" s="75" t="s">
        <v>794</v>
      </c>
      <c r="D12" s="893"/>
      <c r="E12" s="890">
        <f>792-60</f>
        <v>732</v>
      </c>
      <c r="G12" s="661"/>
      <c r="H12" s="662"/>
      <c r="I12" s="4"/>
      <c r="J12" s="4"/>
      <c r="M12" s="5"/>
    </row>
    <row r="13" spans="1:13">
      <c r="B13" s="47" t="s">
        <v>393</v>
      </c>
      <c r="C13" s="75" t="s">
        <v>392</v>
      </c>
      <c r="D13" s="893"/>
      <c r="E13" s="890">
        <v>642</v>
      </c>
      <c r="F13" s="301"/>
      <c r="G13" s="661"/>
      <c r="H13" s="662"/>
      <c r="I13" s="4"/>
      <c r="J13" s="4"/>
      <c r="M13" s="5"/>
    </row>
    <row r="14" spans="1:13">
      <c r="B14" s="939" t="s">
        <v>784</v>
      </c>
      <c r="C14" s="940" t="s">
        <v>779</v>
      </c>
      <c r="D14" s="941"/>
      <c r="E14" s="898">
        <v>792</v>
      </c>
      <c r="F14" s="301"/>
      <c r="G14" s="661"/>
      <c r="H14" s="662"/>
      <c r="I14" s="4"/>
      <c r="J14" s="4"/>
      <c r="M14" s="5"/>
    </row>
    <row r="15" spans="1:13" ht="13.5" thickBot="1">
      <c r="B15" s="443" t="s">
        <v>365</v>
      </c>
      <c r="C15" s="920" t="s">
        <v>366</v>
      </c>
      <c r="D15" s="921"/>
      <c r="E15" s="452">
        <v>1249.8699999999999</v>
      </c>
      <c r="F15" s="301"/>
      <c r="G15" s="661"/>
      <c r="H15" s="662"/>
      <c r="I15" s="4"/>
      <c r="J15" s="4"/>
      <c r="M15" s="5"/>
    </row>
    <row r="16" spans="1:13" s="4" customFormat="1" ht="13.5" thickBot="1">
      <c r="B16" s="302"/>
      <c r="C16" s="441"/>
      <c r="D16" s="441"/>
      <c r="E16" s="449">
        <f>SUM(E7:E15)</f>
        <v>9063.64</v>
      </c>
      <c r="F16" s="442"/>
      <c r="H16" s="662"/>
    </row>
    <row r="17" spans="1:13">
      <c r="B17" s="567" t="s">
        <v>477</v>
      </c>
      <c r="C17" s="195" t="s">
        <v>285</v>
      </c>
      <c r="D17" s="195"/>
      <c r="E17" s="450">
        <v>500</v>
      </c>
      <c r="G17" s="4"/>
      <c r="H17" s="662"/>
      <c r="I17" s="4"/>
      <c r="J17" s="4"/>
      <c r="M17" s="5"/>
    </row>
    <row r="18" spans="1:13">
      <c r="B18" s="82" t="s">
        <v>11</v>
      </c>
      <c r="C18" s="138" t="s">
        <v>25</v>
      </c>
      <c r="D18" s="138"/>
      <c r="E18" s="454">
        <v>950</v>
      </c>
      <c r="G18" s="4"/>
      <c r="H18" s="662"/>
      <c r="I18" s="4"/>
      <c r="J18" s="4"/>
      <c r="M18" s="5"/>
    </row>
    <row r="19" spans="1:13" ht="13.5" thickBot="1">
      <c r="B19" s="126" t="s">
        <v>58</v>
      </c>
      <c r="C19" s="444" t="s">
        <v>59</v>
      </c>
      <c r="D19" s="444"/>
      <c r="E19" s="452">
        <v>952.5</v>
      </c>
      <c r="G19" s="4"/>
      <c r="H19" s="662"/>
      <c r="I19" s="4"/>
      <c r="J19" s="4"/>
      <c r="M19" s="5"/>
    </row>
    <row r="20" spans="1:13" ht="13.5" thickBot="1">
      <c r="B20" s="11"/>
      <c r="C20" s="445" t="s">
        <v>0</v>
      </c>
      <c r="D20" s="445"/>
      <c r="E20" s="453">
        <f>SUM(E16:E19)</f>
        <v>11466.14</v>
      </c>
      <c r="G20" s="663"/>
      <c r="H20" s="662"/>
      <c r="I20" s="4"/>
      <c r="J20" s="4"/>
      <c r="M20" s="5"/>
    </row>
    <row r="21" spans="1:13">
      <c r="B21" s="11"/>
      <c r="C21" s="445"/>
      <c r="D21" s="445"/>
      <c r="E21" s="623"/>
      <c r="G21" s="663"/>
      <c r="H21" s="662"/>
      <c r="I21" s="4"/>
      <c r="J21" s="4"/>
      <c r="M21" s="5"/>
    </row>
    <row r="22" spans="1:13">
      <c r="B22" s="11" t="s">
        <v>30</v>
      </c>
      <c r="C22" s="441" t="s">
        <v>858</v>
      </c>
      <c r="D22" s="445"/>
      <c r="E22" s="623">
        <v>60</v>
      </c>
      <c r="G22" s="663"/>
      <c r="H22" s="662"/>
      <c r="I22" s="4"/>
      <c r="J22" s="4"/>
      <c r="M22" s="5"/>
    </row>
    <row r="23" spans="1:13">
      <c r="B23" s="11" t="s">
        <v>30</v>
      </c>
      <c r="C23" s="441" t="s">
        <v>280</v>
      </c>
      <c r="D23" s="445"/>
      <c r="E23" s="623">
        <v>940</v>
      </c>
      <c r="G23" s="663"/>
      <c r="H23" s="662"/>
      <c r="I23" s="4"/>
      <c r="J23" s="4"/>
      <c r="M23" s="5"/>
    </row>
    <row r="24" spans="1:13">
      <c r="B24" s="11"/>
      <c r="C24" s="445"/>
      <c r="D24" s="445"/>
      <c r="E24" s="623"/>
      <c r="M24" s="5"/>
    </row>
    <row r="25" spans="1:13" s="437" customFormat="1" ht="6.75" customHeight="1">
      <c r="B25" s="438"/>
      <c r="C25" s="439"/>
      <c r="D25" s="439"/>
      <c r="E25" s="440"/>
      <c r="F25" s="440"/>
      <c r="G25" s="440"/>
      <c r="H25" s="440"/>
      <c r="I25" s="440"/>
      <c r="J25" s="440"/>
      <c r="K25" s="440"/>
      <c r="L25" s="440"/>
      <c r="M25" s="440"/>
    </row>
    <row r="26" spans="1:13" ht="19.5" customHeight="1">
      <c r="A26" s="660"/>
      <c r="B26" s="432" t="s">
        <v>348</v>
      </c>
      <c r="C26" s="717" t="s">
        <v>849</v>
      </c>
      <c r="D26" s="717"/>
      <c r="E26" s="32"/>
      <c r="F26" s="32"/>
      <c r="G26" s="32"/>
      <c r="H26" s="32"/>
      <c r="I26" s="32"/>
      <c r="J26" s="32"/>
      <c r="K26" s="32"/>
      <c r="L26" s="32"/>
      <c r="M26" s="5"/>
    </row>
    <row r="27" spans="1:13" ht="19.5" customHeight="1">
      <c r="B27" s="432" t="s">
        <v>350</v>
      </c>
      <c r="C27" s="1018">
        <v>41983</v>
      </c>
      <c r="D27" s="1020"/>
      <c r="E27" s="32"/>
      <c r="F27" s="32"/>
      <c r="G27" s="32"/>
      <c r="H27" s="32"/>
      <c r="I27" s="32"/>
      <c r="J27" s="32"/>
      <c r="K27" s="32"/>
      <c r="L27" s="32"/>
      <c r="M27" s="5"/>
    </row>
    <row r="28" spans="1:13" ht="4.5" customHeight="1">
      <c r="B28" s="2"/>
      <c r="C28" s="76"/>
      <c r="D28" s="76"/>
      <c r="E28" s="1019"/>
      <c r="F28" s="1021"/>
      <c r="G28" s="3"/>
      <c r="H28" s="4"/>
      <c r="I28" s="4"/>
      <c r="J28" s="4"/>
      <c r="K28" s="4"/>
      <c r="L28" s="13"/>
      <c r="M28" s="4"/>
    </row>
    <row r="29" spans="1:13" s="6" customFormat="1" ht="13.5" thickBot="1">
      <c r="B29" s="433" t="s">
        <v>349</v>
      </c>
      <c r="C29" s="435" t="s">
        <v>1</v>
      </c>
      <c r="D29" s="435"/>
      <c r="E29" s="436" t="s">
        <v>2</v>
      </c>
      <c r="G29" s="318"/>
      <c r="H29" s="318"/>
      <c r="I29" s="318"/>
      <c r="J29" s="318"/>
    </row>
    <row r="30" spans="1:13">
      <c r="B30" s="125" t="s">
        <v>391</v>
      </c>
      <c r="C30" s="195" t="s">
        <v>44</v>
      </c>
      <c r="D30" s="891"/>
      <c r="E30" s="889">
        <v>2556.11</v>
      </c>
      <c r="M30" s="5"/>
    </row>
    <row r="31" spans="1:13">
      <c r="B31" s="563" t="s">
        <v>748</v>
      </c>
      <c r="C31" s="434" t="s">
        <v>41</v>
      </c>
      <c r="D31" s="892"/>
      <c r="E31" s="889">
        <v>1654.05</v>
      </c>
      <c r="F31" s="512"/>
      <c r="M31" s="5"/>
    </row>
    <row r="32" spans="1:13">
      <c r="B32" s="563" t="s">
        <v>477</v>
      </c>
      <c r="C32" s="434" t="s">
        <v>351</v>
      </c>
      <c r="D32" s="892"/>
      <c r="E32" s="889">
        <v>752.24</v>
      </c>
      <c r="M32" s="5"/>
    </row>
    <row r="33" spans="1:13">
      <c r="B33" s="563" t="s">
        <v>3</v>
      </c>
      <c r="C33" s="434" t="s">
        <v>42</v>
      </c>
      <c r="D33" s="892"/>
      <c r="E33" s="889">
        <v>837.04</v>
      </c>
      <c r="M33" s="5"/>
    </row>
    <row r="34" spans="1:13">
      <c r="B34" s="47" t="s">
        <v>4</v>
      </c>
      <c r="C34" s="75" t="s">
        <v>40</v>
      </c>
      <c r="D34" s="893"/>
      <c r="E34" s="890">
        <v>927.03</v>
      </c>
      <c r="M34" s="5"/>
    </row>
    <row r="35" spans="1:13">
      <c r="B35" s="47" t="s">
        <v>793</v>
      </c>
      <c r="C35" s="75" t="s">
        <v>794</v>
      </c>
      <c r="D35" s="893"/>
      <c r="E35" s="890">
        <v>792</v>
      </c>
      <c r="M35" s="5"/>
    </row>
    <row r="36" spans="1:13">
      <c r="B36" s="47" t="s">
        <v>393</v>
      </c>
      <c r="C36" s="75" t="s">
        <v>392</v>
      </c>
      <c r="D36" s="893"/>
      <c r="E36" s="890">
        <v>742</v>
      </c>
      <c r="M36" s="5"/>
    </row>
    <row r="37" spans="1:13">
      <c r="B37" s="47" t="s">
        <v>784</v>
      </c>
      <c r="C37" s="75" t="s">
        <v>779</v>
      </c>
      <c r="D37" s="893"/>
      <c r="E37" s="890">
        <v>792</v>
      </c>
      <c r="F37" s="301"/>
      <c r="G37" s="661"/>
      <c r="H37" s="662"/>
      <c r="I37" s="4"/>
      <c r="J37" s="4"/>
      <c r="M37" s="5"/>
    </row>
    <row r="38" spans="1:13" ht="13.5" thickBot="1">
      <c r="B38" s="942" t="s">
        <v>365</v>
      </c>
      <c r="C38" s="943" t="s">
        <v>366</v>
      </c>
      <c r="D38" s="944"/>
      <c r="E38" s="909">
        <v>990</v>
      </c>
      <c r="F38" s="301"/>
      <c r="M38" s="5"/>
    </row>
    <row r="39" spans="1:13" s="4" customFormat="1" ht="13.5" thickBot="1">
      <c r="B39" s="302"/>
      <c r="C39" s="441"/>
      <c r="D39" s="441"/>
      <c r="E39" s="449">
        <f>SUM(E30:E38)</f>
        <v>10042.469999999999</v>
      </c>
      <c r="F39" s="442"/>
    </row>
    <row r="40" spans="1:13">
      <c r="B40" s="567" t="s">
        <v>477</v>
      </c>
      <c r="C40" s="195" t="s">
        <v>285</v>
      </c>
      <c r="D40" s="195"/>
      <c r="E40" s="450">
        <v>500</v>
      </c>
      <c r="M40" s="5"/>
    </row>
    <row r="41" spans="1:13">
      <c r="B41" s="82" t="s">
        <v>11</v>
      </c>
      <c r="C41" s="138" t="s">
        <v>25</v>
      </c>
      <c r="D41" s="138"/>
      <c r="E41" s="454">
        <v>950</v>
      </c>
      <c r="M41" s="5"/>
    </row>
    <row r="42" spans="1:13" ht="13.5" thickBot="1">
      <c r="B42" s="126" t="s">
        <v>58</v>
      </c>
      <c r="C42" s="444" t="s">
        <v>59</v>
      </c>
      <c r="D42" s="444"/>
      <c r="E42" s="452">
        <v>952.5</v>
      </c>
      <c r="M42" s="5"/>
    </row>
    <row r="43" spans="1:13" ht="13.5" thickBot="1">
      <c r="B43" s="11"/>
      <c r="C43" s="445" t="s">
        <v>0</v>
      </c>
      <c r="D43" s="445"/>
      <c r="E43" s="453">
        <f>SUM(E39:E42)</f>
        <v>12444.97</v>
      </c>
      <c r="M43" s="5"/>
    </row>
    <row r="44" spans="1:13">
      <c r="B44" s="11"/>
      <c r="C44" s="445"/>
      <c r="D44" s="445"/>
      <c r="E44" s="623"/>
      <c r="M44" s="5"/>
    </row>
    <row r="45" spans="1:13" s="437" customFormat="1" ht="6.75" customHeight="1">
      <c r="B45" s="438"/>
      <c r="C45" s="439"/>
      <c r="D45" s="439"/>
      <c r="E45" s="440"/>
      <c r="F45" s="440"/>
      <c r="G45" s="440"/>
      <c r="H45" s="440"/>
      <c r="I45" s="440"/>
      <c r="J45" s="440"/>
      <c r="K45" s="440"/>
      <c r="L45" s="440"/>
      <c r="M45" s="440"/>
    </row>
    <row r="46" spans="1:13" ht="20.25" customHeight="1">
      <c r="A46" s="982" t="s">
        <v>863</v>
      </c>
      <c r="B46" s="11"/>
      <c r="C46" s="28"/>
      <c r="D46" s="28"/>
      <c r="E46" s="32"/>
      <c r="F46" s="32"/>
      <c r="G46" s="32"/>
      <c r="H46" s="32"/>
      <c r="I46" s="32"/>
      <c r="J46" s="32"/>
      <c r="K46" s="32"/>
      <c r="L46" s="32"/>
      <c r="M46" s="32"/>
    </row>
    <row r="47" spans="1:13" s="437" customFormat="1" ht="6.75" customHeight="1">
      <c r="B47" s="438"/>
      <c r="C47" s="439"/>
      <c r="D47" s="439"/>
      <c r="E47" s="440"/>
      <c r="F47" s="440"/>
      <c r="G47" s="440"/>
      <c r="H47" s="440"/>
      <c r="I47" s="440"/>
      <c r="J47" s="440"/>
      <c r="K47" s="440"/>
      <c r="L47" s="440"/>
      <c r="M47" s="440"/>
    </row>
    <row r="48" spans="1:13" ht="19.5" customHeight="1">
      <c r="A48" s="660"/>
      <c r="B48" s="432" t="s">
        <v>348</v>
      </c>
      <c r="C48" s="717" t="s">
        <v>850</v>
      </c>
      <c r="D48" s="457"/>
      <c r="E48" s="32"/>
      <c r="F48" s="32"/>
      <c r="G48" s="32"/>
      <c r="H48" s="32"/>
      <c r="I48" s="32"/>
      <c r="J48" s="32"/>
      <c r="K48" s="32"/>
      <c r="L48" s="32"/>
      <c r="M48" s="5"/>
    </row>
    <row r="49" spans="2:13" ht="19.5" customHeight="1">
      <c r="B49" s="432" t="s">
        <v>350</v>
      </c>
      <c r="C49" s="1018">
        <v>41990</v>
      </c>
      <c r="D49" s="1018"/>
      <c r="E49" s="32"/>
      <c r="F49" s="32"/>
      <c r="G49" s="32"/>
      <c r="H49" s="32"/>
      <c r="I49" s="32"/>
      <c r="J49" s="32"/>
      <c r="K49" s="32"/>
      <c r="L49" s="32"/>
      <c r="M49" s="5"/>
    </row>
    <row r="50" spans="2:13" ht="4.5" customHeight="1">
      <c r="B50" s="2"/>
      <c r="C50" s="76"/>
      <c r="D50" s="76"/>
      <c r="E50" s="1019"/>
      <c r="F50" s="1019"/>
      <c r="G50" s="3"/>
      <c r="H50" s="4"/>
      <c r="I50" s="4"/>
      <c r="J50" s="4"/>
      <c r="K50" s="4"/>
      <c r="L50" s="13"/>
      <c r="M50" s="4"/>
    </row>
    <row r="51" spans="2:13" s="6" customFormat="1" ht="13.5" thickBot="1">
      <c r="B51" s="433" t="s">
        <v>349</v>
      </c>
      <c r="C51" s="435" t="s">
        <v>1</v>
      </c>
      <c r="D51" s="435"/>
      <c r="E51" s="436" t="s">
        <v>2</v>
      </c>
    </row>
    <row r="52" spans="2:13">
      <c r="B52" s="125" t="s">
        <v>391</v>
      </c>
      <c r="C52" s="195" t="s">
        <v>44</v>
      </c>
      <c r="D52" s="891"/>
      <c r="E52" s="889">
        <v>14337.62</v>
      </c>
      <c r="F52" s="512"/>
      <c r="M52" s="5"/>
    </row>
    <row r="53" spans="2:13">
      <c r="B53" s="563" t="s">
        <v>748</v>
      </c>
      <c r="C53" s="434" t="s">
        <v>41</v>
      </c>
      <c r="D53" s="892"/>
      <c r="E53" s="889">
        <v>10901.32</v>
      </c>
      <c r="M53" s="5"/>
    </row>
    <row r="54" spans="2:13">
      <c r="B54" s="563" t="s">
        <v>477</v>
      </c>
      <c r="C54" s="434" t="s">
        <v>351</v>
      </c>
      <c r="D54" s="892"/>
      <c r="E54" s="889">
        <v>6470.43</v>
      </c>
      <c r="F54" s="512"/>
      <c r="M54" s="5"/>
    </row>
    <row r="55" spans="2:13">
      <c r="B55" s="563" t="s">
        <v>3</v>
      </c>
      <c r="C55" s="434" t="s">
        <v>42</v>
      </c>
      <c r="D55" s="892"/>
      <c r="E55" s="889">
        <v>8265.2800000000007</v>
      </c>
      <c r="F55" s="900"/>
      <c r="M55" s="5"/>
    </row>
    <row r="56" spans="2:13">
      <c r="B56" s="47" t="s">
        <v>4</v>
      </c>
      <c r="C56" s="75" t="s">
        <v>40</v>
      </c>
      <c r="D56" s="893"/>
      <c r="E56" s="890">
        <v>8136.84</v>
      </c>
      <c r="M56" s="5"/>
    </row>
    <row r="57" spans="2:13">
      <c r="B57" s="47" t="s">
        <v>793</v>
      </c>
      <c r="C57" s="75" t="s">
        <v>794</v>
      </c>
      <c r="D57" s="893"/>
      <c r="E57" s="890">
        <f>3199.01-100</f>
        <v>3099.01</v>
      </c>
      <c r="G57" s="983"/>
      <c r="M57" s="5"/>
    </row>
    <row r="58" spans="2:13">
      <c r="B58" s="47" t="s">
        <v>393</v>
      </c>
      <c r="C58" s="75" t="s">
        <v>392</v>
      </c>
      <c r="D58" s="893"/>
      <c r="E58" s="890">
        <v>6448.6</v>
      </c>
      <c r="F58" s="301"/>
      <c r="M58" s="5"/>
    </row>
    <row r="59" spans="2:13">
      <c r="B59" s="47" t="s">
        <v>784</v>
      </c>
      <c r="C59" s="75" t="s">
        <v>779</v>
      </c>
      <c r="D59" s="893"/>
      <c r="E59" s="890">
        <v>3223.83</v>
      </c>
      <c r="F59" s="301"/>
      <c r="G59" s="661"/>
      <c r="H59" s="662"/>
      <c r="I59" s="4"/>
      <c r="J59" s="4"/>
      <c r="M59" s="5"/>
    </row>
    <row r="60" spans="2:13" ht="13.5" thickBot="1">
      <c r="B60" s="942" t="s">
        <v>365</v>
      </c>
      <c r="C60" s="943" t="s">
        <v>366</v>
      </c>
      <c r="D60" s="944"/>
      <c r="E60" s="909">
        <v>6623.04</v>
      </c>
      <c r="F60" s="301"/>
      <c r="M60" s="5"/>
    </row>
    <row r="61" spans="2:13" s="4" customFormat="1" ht="13.5" thickBot="1">
      <c r="B61" s="302"/>
      <c r="C61" s="441"/>
      <c r="D61" s="441"/>
      <c r="E61" s="449">
        <f>SUM(E52:E60)</f>
        <v>67505.97</v>
      </c>
      <c r="F61" s="442"/>
    </row>
    <row r="62" spans="2:13">
      <c r="B62" s="567" t="s">
        <v>477</v>
      </c>
      <c r="C62" s="195" t="s">
        <v>285</v>
      </c>
      <c r="D62" s="195"/>
      <c r="E62" s="450">
        <f>500*4*2</f>
        <v>4000</v>
      </c>
      <c r="M62" s="5"/>
    </row>
    <row r="63" spans="2:13">
      <c r="B63" s="82" t="s">
        <v>11</v>
      </c>
      <c r="C63" s="138" t="s">
        <v>25</v>
      </c>
      <c r="D63" s="138"/>
      <c r="E63" s="454">
        <f>950*4</f>
        <v>3800</v>
      </c>
      <c r="M63" s="5"/>
    </row>
    <row r="64" spans="2:13" ht="13.5" thickBot="1">
      <c r="B64" s="126" t="s">
        <v>58</v>
      </c>
      <c r="C64" s="444" t="s">
        <v>59</v>
      </c>
      <c r="D64" s="444"/>
      <c r="E64" s="452">
        <f>952.5*4</f>
        <v>3810</v>
      </c>
      <c r="M64" s="5"/>
    </row>
    <row r="65" spans="1:13" ht="13.5" thickBot="1">
      <c r="B65" s="11"/>
      <c r="C65" s="445" t="s">
        <v>0</v>
      </c>
      <c r="D65" s="445"/>
      <c r="E65" s="453">
        <f>SUM(E61:E64)</f>
        <v>79115.97</v>
      </c>
      <c r="M65" s="5"/>
    </row>
    <row r="66" spans="1:13">
      <c r="B66" s="11"/>
      <c r="C66" s="445"/>
      <c r="D66" s="445"/>
      <c r="E66" s="623"/>
      <c r="M66" s="5"/>
    </row>
    <row r="67" spans="1:13">
      <c r="B67" s="11" t="s">
        <v>30</v>
      </c>
      <c r="C67" s="919" t="s">
        <v>858</v>
      </c>
      <c r="D67" s="445"/>
      <c r="E67" s="623">
        <v>100</v>
      </c>
      <c r="M67" s="5"/>
    </row>
    <row r="68" spans="1:13">
      <c r="B68" s="11"/>
      <c r="C68" s="445"/>
      <c r="D68" s="445"/>
      <c r="E68" s="623"/>
      <c r="M68" s="5"/>
    </row>
    <row r="69" spans="1:13" s="437" customFormat="1" ht="6.75" customHeight="1">
      <c r="B69" s="438"/>
      <c r="C69" s="439"/>
      <c r="D69" s="439"/>
      <c r="E69" s="440"/>
      <c r="F69" s="440"/>
      <c r="G69" s="440"/>
      <c r="H69" s="440"/>
      <c r="I69" s="440"/>
      <c r="J69" s="440"/>
      <c r="K69" s="440"/>
      <c r="L69" s="440"/>
      <c r="M69" s="440"/>
    </row>
    <row r="70" spans="1:13" ht="20.25" customHeight="1">
      <c r="A70" s="982" t="s">
        <v>865</v>
      </c>
      <c r="B70" s="11"/>
      <c r="C70" s="28"/>
      <c r="D70" s="28"/>
      <c r="E70" s="32"/>
      <c r="F70" s="32"/>
      <c r="G70" s="32"/>
      <c r="H70" s="32"/>
      <c r="I70" s="32"/>
      <c r="J70" s="32"/>
      <c r="K70" s="32"/>
      <c r="L70" s="32"/>
      <c r="M70" s="32"/>
    </row>
    <row r="71" spans="1:13" s="437" customFormat="1" ht="6.75" customHeight="1">
      <c r="B71" s="438"/>
      <c r="C71" s="439"/>
      <c r="D71" s="439"/>
      <c r="E71" s="440"/>
      <c r="F71" s="440"/>
      <c r="G71" s="440"/>
      <c r="H71" s="440"/>
      <c r="I71" s="440"/>
      <c r="J71" s="440"/>
      <c r="K71" s="440"/>
      <c r="L71" s="440"/>
      <c r="M71" s="440"/>
    </row>
    <row r="72" spans="1:13">
      <c r="B72" s="11"/>
      <c r="C72" s="445"/>
      <c r="D72" s="445"/>
      <c r="E72" s="623"/>
      <c r="M72" s="5"/>
    </row>
    <row r="73" spans="1:13" s="7" customFormat="1" ht="13.15" customHeight="1">
      <c r="A73" s="56" t="s">
        <v>30</v>
      </c>
      <c r="B73" s="57" t="s">
        <v>31</v>
      </c>
      <c r="C73" s="57"/>
      <c r="D73" s="455">
        <f>Nikki!E1474</f>
        <v>8483.35</v>
      </c>
      <c r="E73" s="908" t="s">
        <v>721</v>
      </c>
      <c r="F73" s="56" t="s">
        <v>38</v>
      </c>
      <c r="G73" s="57" t="s">
        <v>39</v>
      </c>
      <c r="H73" s="455">
        <v>1200</v>
      </c>
      <c r="I73" s="938" t="s">
        <v>721</v>
      </c>
      <c r="J73" s="908"/>
      <c r="K73" s="458"/>
      <c r="L73" s="458"/>
      <c r="M73" s="458"/>
    </row>
    <row r="74" spans="1:13" s="7" customFormat="1" ht="13.15" customHeight="1">
      <c r="A74" s="56" t="s">
        <v>32</v>
      </c>
      <c r="B74" s="57" t="s">
        <v>131</v>
      </c>
      <c r="C74" s="57"/>
      <c r="D74" s="455">
        <f>Nikki!E1475</f>
        <v>1260.0899999999999</v>
      </c>
      <c r="E74" s="908" t="s">
        <v>721</v>
      </c>
      <c r="F74" s="56" t="s">
        <v>38</v>
      </c>
      <c r="G74" s="57" t="s">
        <v>107</v>
      </c>
      <c r="H74" s="455">
        <f>120000*15%/12</f>
        <v>1500</v>
      </c>
      <c r="I74" s="938" t="s">
        <v>721</v>
      </c>
      <c r="J74" s="908"/>
      <c r="K74" s="458"/>
      <c r="L74" s="458"/>
      <c r="M74" s="458"/>
    </row>
    <row r="75" spans="1:13" s="7" customFormat="1" ht="13.15" customHeight="1">
      <c r="A75" s="56" t="s">
        <v>33</v>
      </c>
      <c r="B75" s="57" t="s">
        <v>34</v>
      </c>
      <c r="C75" s="57"/>
      <c r="D75" s="455">
        <v>311.83999999999997</v>
      </c>
      <c r="E75" s="908" t="s">
        <v>721</v>
      </c>
      <c r="F75" s="56" t="s">
        <v>45</v>
      </c>
      <c r="G75" s="57" t="s">
        <v>39</v>
      </c>
      <c r="H75" s="455">
        <v>1800</v>
      </c>
      <c r="I75" s="938" t="s">
        <v>721</v>
      </c>
      <c r="J75" s="908"/>
      <c r="K75" s="458"/>
      <c r="L75" s="458"/>
      <c r="M75" s="458"/>
    </row>
    <row r="76" spans="1:13" s="7" customFormat="1" ht="13.15" customHeight="1">
      <c r="A76" s="56" t="s">
        <v>736</v>
      </c>
      <c r="B76" s="57" t="s">
        <v>738</v>
      </c>
      <c r="C76" s="57"/>
      <c r="D76" s="455">
        <v>472.63</v>
      </c>
      <c r="E76" s="908" t="s">
        <v>721</v>
      </c>
      <c r="F76" s="56" t="s">
        <v>32</v>
      </c>
      <c r="G76" s="57" t="s">
        <v>108</v>
      </c>
      <c r="H76" s="455">
        <v>1014</v>
      </c>
      <c r="I76" s="938" t="s">
        <v>721</v>
      </c>
      <c r="J76" s="908"/>
      <c r="K76" s="458"/>
      <c r="L76" s="997"/>
      <c r="M76" s="458"/>
    </row>
    <row r="77" spans="1:13" s="7" customFormat="1" ht="13.15" customHeight="1">
      <c r="A77" s="56" t="s">
        <v>736</v>
      </c>
      <c r="B77" s="57" t="s">
        <v>739</v>
      </c>
      <c r="C77" s="57"/>
      <c r="D77" s="455">
        <v>86.94</v>
      </c>
      <c r="E77" s="908" t="s">
        <v>721</v>
      </c>
      <c r="F77" s="56" t="s">
        <v>230</v>
      </c>
      <c r="G77" s="57" t="s">
        <v>232</v>
      </c>
      <c r="H77" s="455">
        <v>500</v>
      </c>
      <c r="I77" s="938" t="s">
        <v>721</v>
      </c>
      <c r="J77" s="908"/>
      <c r="K77" s="458"/>
      <c r="L77" s="458"/>
      <c r="M77" s="458"/>
    </row>
    <row r="78" spans="1:13" s="7" customFormat="1" ht="13.15" customHeight="1">
      <c r="A78" s="56" t="s">
        <v>36</v>
      </c>
      <c r="B78" s="57" t="s">
        <v>37</v>
      </c>
      <c r="C78" s="455"/>
      <c r="D78" s="455">
        <v>8000</v>
      </c>
      <c r="E78" s="908" t="s">
        <v>721</v>
      </c>
      <c r="F78" s="56" t="s">
        <v>231</v>
      </c>
      <c r="G78" s="57" t="s">
        <v>233</v>
      </c>
      <c r="H78" s="455">
        <v>500</v>
      </c>
      <c r="I78" s="938" t="s">
        <v>721</v>
      </c>
      <c r="J78" s="908"/>
      <c r="K78" s="458"/>
      <c r="L78" s="458"/>
      <c r="M78" s="458"/>
    </row>
    <row r="79" spans="1:13" s="7" customFormat="1" ht="13.15" customHeight="1">
      <c r="A79" s="56" t="s">
        <v>35</v>
      </c>
      <c r="B79" s="57" t="s">
        <v>186</v>
      </c>
      <c r="C79" s="455"/>
      <c r="D79" s="455">
        <v>1000</v>
      </c>
      <c r="E79" s="908" t="s">
        <v>721</v>
      </c>
      <c r="F79" s="56" t="s">
        <v>33</v>
      </c>
      <c r="G79" s="57" t="s">
        <v>46</v>
      </c>
      <c r="H79" s="455">
        <v>11000</v>
      </c>
      <c r="I79" s="938" t="s">
        <v>721</v>
      </c>
      <c r="J79" s="908"/>
    </row>
    <row r="80" spans="1:13" s="7" customFormat="1" ht="13.15" customHeight="1">
      <c r="A80" s="56"/>
      <c r="B80" s="57" t="s">
        <v>106</v>
      </c>
      <c r="C80" s="455"/>
      <c r="D80" s="455">
        <v>5000</v>
      </c>
      <c r="E80" s="908" t="s">
        <v>721</v>
      </c>
      <c r="F80" s="139" t="s">
        <v>65</v>
      </c>
      <c r="G80" s="57" t="s">
        <v>47</v>
      </c>
      <c r="H80" s="455">
        <v>11000</v>
      </c>
      <c r="I80" s="938" t="s">
        <v>721</v>
      </c>
      <c r="J80" s="459"/>
    </row>
    <row r="81" spans="1:13" s="7" customFormat="1" ht="13.15" customHeight="1" thickBot="1">
      <c r="A81" s="56"/>
      <c r="B81" s="57"/>
      <c r="C81" s="455"/>
      <c r="D81" s="455"/>
      <c r="E81" s="455"/>
      <c r="F81" s="56"/>
      <c r="G81" s="57"/>
      <c r="H81" s="456"/>
      <c r="I81" s="659"/>
      <c r="J81" s="459"/>
    </row>
    <row r="82" spans="1:13" s="7" customFormat="1" ht="13.15" customHeight="1" thickTop="1">
      <c r="B82" s="56"/>
      <c r="C82" s="57"/>
      <c r="D82" s="57"/>
      <c r="E82" s="455"/>
      <c r="F82" s="61"/>
      <c r="G82" s="57"/>
      <c r="H82" s="659">
        <f>SUM(H73:H81)+SUM(D73:D81)</f>
        <v>53128.85</v>
      </c>
      <c r="I82" s="132"/>
      <c r="J82" s="459"/>
    </row>
    <row r="83" spans="1:13" ht="12.75" customHeight="1">
      <c r="B83" s="11"/>
      <c r="C83" s="28"/>
      <c r="D83" s="28"/>
      <c r="E83" s="32"/>
      <c r="F83" s="32"/>
      <c r="G83" s="32"/>
      <c r="H83" s="32"/>
      <c r="I83" s="32"/>
      <c r="J83" s="32"/>
      <c r="K83" s="32"/>
      <c r="L83" s="32"/>
      <c r="M83" s="32"/>
    </row>
    <row r="84" spans="1:13" s="7" customFormat="1" ht="13.15" customHeight="1">
      <c r="A84" s="9"/>
      <c r="B84" s="10"/>
      <c r="C84" s="8"/>
      <c r="D84" s="8"/>
      <c r="E84" s="9"/>
      <c r="F84" s="9"/>
      <c r="G84" s="9"/>
      <c r="H84" s="9"/>
      <c r="I84" s="659"/>
      <c r="J84" s="459"/>
    </row>
    <row r="85" spans="1:13" s="7" customFormat="1" ht="13.15" customHeight="1">
      <c r="A85" s="9"/>
      <c r="B85" s="10"/>
      <c r="C85" s="8"/>
      <c r="D85" s="9"/>
      <c r="E85" s="9"/>
      <c r="F85" s="9"/>
      <c r="G85" s="9"/>
      <c r="H85" s="9"/>
      <c r="I85" s="659"/>
      <c r="J85" s="459"/>
    </row>
    <row r="86" spans="1:13" s="7" customFormat="1" ht="13.15" customHeight="1">
      <c r="A86" s="9"/>
      <c r="B86" s="10"/>
      <c r="C86" s="8"/>
      <c r="D86" s="9"/>
      <c r="E86" s="9"/>
      <c r="F86" s="9"/>
      <c r="G86" s="9"/>
      <c r="H86" s="9"/>
      <c r="I86" s="659"/>
      <c r="J86" s="459"/>
    </row>
    <row r="87" spans="1:13" s="9" customFormat="1" ht="12">
      <c r="B87" s="10"/>
      <c r="C87" s="8"/>
      <c r="M87" s="10"/>
    </row>
    <row r="88" spans="1:13" s="9" customFormat="1" ht="12">
      <c r="B88" s="10"/>
      <c r="M88" s="10"/>
    </row>
    <row r="89" spans="1:13" s="9" customFormat="1" ht="12">
      <c r="B89" s="10"/>
      <c r="M89" s="10"/>
    </row>
    <row r="90" spans="1:13" s="9" customFormat="1" ht="12">
      <c r="B90" s="10"/>
      <c r="M90" s="10"/>
    </row>
    <row r="91" spans="1:13" s="9" customFormat="1">
      <c r="B91" s="10"/>
      <c r="D91" s="5"/>
      <c r="M91" s="10"/>
    </row>
    <row r="92" spans="1:13" s="9" customFormat="1">
      <c r="B92" s="10"/>
      <c r="D92" s="5"/>
      <c r="M92" s="10"/>
    </row>
    <row r="93" spans="1:13" s="9" customFormat="1">
      <c r="B93" s="10"/>
      <c r="D93" s="5"/>
      <c r="M93" s="10"/>
    </row>
    <row r="94" spans="1:13" s="9" customFormat="1">
      <c r="B94" s="12"/>
      <c r="C94" s="5"/>
      <c r="D94" s="5"/>
      <c r="M94" s="10"/>
    </row>
    <row r="95" spans="1:13" s="9" customFormat="1">
      <c r="B95" s="12"/>
      <c r="C95" s="5"/>
      <c r="D95" s="5"/>
      <c r="E95" s="5"/>
      <c r="F95" s="5"/>
      <c r="G95" s="5"/>
      <c r="H95" s="5"/>
      <c r="M95" s="10"/>
    </row>
    <row r="96" spans="1:13" s="9" customFormat="1">
      <c r="B96" s="12"/>
      <c r="C96" s="5"/>
      <c r="D96" s="5"/>
      <c r="E96" s="5"/>
      <c r="F96" s="5"/>
      <c r="G96" s="5"/>
      <c r="H96" s="5"/>
      <c r="M96" s="10"/>
    </row>
    <row r="97" spans="1:13" s="9" customFormat="1">
      <c r="B97" s="12"/>
      <c r="C97" s="5"/>
      <c r="D97" s="5"/>
      <c r="E97" s="5"/>
      <c r="F97" s="5"/>
      <c r="G97" s="5"/>
      <c r="H97" s="5"/>
      <c r="M97" s="10"/>
    </row>
    <row r="98" spans="1:13" s="9" customFormat="1">
      <c r="A98" s="5"/>
      <c r="B98" s="12"/>
      <c r="C98" s="5"/>
      <c r="D98" s="5"/>
      <c r="E98" s="5"/>
      <c r="F98" s="5"/>
      <c r="G98" s="5"/>
      <c r="H98" s="5"/>
      <c r="M98" s="10"/>
    </row>
    <row r="99" spans="1:13" s="9" customFormat="1">
      <c r="A99" s="5"/>
      <c r="B99" s="12"/>
      <c r="C99" s="5"/>
      <c r="D99" s="5"/>
      <c r="E99" s="5"/>
      <c r="F99" s="5"/>
      <c r="G99" s="5"/>
      <c r="H99" s="5"/>
      <c r="M99" s="10"/>
    </row>
    <row r="100" spans="1:13" s="9" customFormat="1">
      <c r="A100" s="5"/>
      <c r="B100" s="12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10"/>
    </row>
    <row r="101" spans="1:13" s="9" customFormat="1">
      <c r="A101" s="5"/>
      <c r="B101" s="12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10"/>
    </row>
    <row r="102" spans="1:13" s="9" customFormat="1">
      <c r="A102" s="5"/>
      <c r="B102" s="1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10"/>
    </row>
    <row r="103" spans="1:13" s="9" customFormat="1">
      <c r="A103" s="5"/>
      <c r="B103" s="12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10"/>
    </row>
  </sheetData>
  <mergeCells count="7">
    <mergeCell ref="E50:F50"/>
    <mergeCell ref="C49:D49"/>
    <mergeCell ref="A1:H1"/>
    <mergeCell ref="C4:D4"/>
    <mergeCell ref="E5:F5"/>
    <mergeCell ref="C27:D27"/>
    <mergeCell ref="E28:F28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opLeftCell="A40" workbookViewId="0">
      <selection activeCell="G7" sqref="G7"/>
    </sheetView>
  </sheetViews>
  <sheetFormatPr defaultColWidth="8.85546875" defaultRowHeight="12.75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2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>
      <c r="A1" s="1022" t="s">
        <v>864</v>
      </c>
      <c r="B1" s="1022"/>
      <c r="C1" s="1022"/>
      <c r="D1" s="1022"/>
      <c r="E1" s="1022"/>
      <c r="F1" s="1022"/>
      <c r="G1" s="1022"/>
      <c r="H1" s="1022"/>
      <c r="I1" s="487"/>
      <c r="J1" s="487"/>
      <c r="K1" s="487"/>
      <c r="L1" s="487"/>
      <c r="M1" s="487"/>
    </row>
    <row r="2" spans="1:13" s="437" customFormat="1" ht="6.75" customHeight="1">
      <c r="B2" s="438"/>
      <c r="C2" s="439"/>
      <c r="D2" s="439"/>
      <c r="E2" s="440"/>
      <c r="F2" s="440"/>
      <c r="G2" s="440"/>
      <c r="H2" s="440"/>
      <c r="I2" s="440"/>
      <c r="J2" s="440"/>
      <c r="K2" s="440"/>
      <c r="L2" s="440"/>
      <c r="M2" s="440"/>
    </row>
    <row r="3" spans="1:13" ht="20.25" customHeight="1">
      <c r="A3" s="982" t="s">
        <v>851</v>
      </c>
      <c r="B3" s="11"/>
      <c r="C3" s="28"/>
      <c r="D3" s="28"/>
      <c r="E3" s="32"/>
      <c r="F3" s="32"/>
      <c r="G3" s="32"/>
      <c r="H3" s="32"/>
      <c r="I3" s="32"/>
      <c r="J3" s="32"/>
      <c r="K3" s="32"/>
      <c r="L3" s="32"/>
      <c r="M3" s="32"/>
    </row>
    <row r="4" spans="1:13" s="437" customFormat="1" ht="6.75" customHeight="1">
      <c r="B4" s="438"/>
      <c r="C4" s="439"/>
      <c r="D4" s="439"/>
      <c r="E4" s="440"/>
      <c r="F4" s="440"/>
      <c r="G4" s="440"/>
      <c r="H4" s="440"/>
      <c r="I4" s="440"/>
      <c r="J4" s="440"/>
      <c r="K4" s="440"/>
      <c r="L4" s="440"/>
      <c r="M4" s="440"/>
    </row>
    <row r="5" spans="1:13" ht="19.5" customHeight="1">
      <c r="A5" s="660"/>
      <c r="B5" s="432" t="s">
        <v>348</v>
      </c>
      <c r="C5" s="717" t="s">
        <v>874</v>
      </c>
      <c r="D5" s="457"/>
      <c r="E5" s="32"/>
      <c r="F5" s="32"/>
      <c r="G5" s="32"/>
      <c r="H5" s="32"/>
      <c r="I5" s="32"/>
      <c r="J5" s="32"/>
      <c r="K5" s="32"/>
      <c r="L5" s="32"/>
      <c r="M5" s="5"/>
    </row>
    <row r="6" spans="1:13" ht="19.5" customHeight="1">
      <c r="B6" s="432" t="s">
        <v>350</v>
      </c>
      <c r="C6" s="1018">
        <v>42018</v>
      </c>
      <c r="D6" s="1018"/>
      <c r="E6" s="32"/>
      <c r="F6" s="32"/>
      <c r="G6" s="32"/>
      <c r="H6" s="32"/>
      <c r="I6" s="32"/>
      <c r="J6" s="32"/>
      <c r="K6" s="32"/>
      <c r="L6" s="32"/>
      <c r="M6" s="5"/>
    </row>
    <row r="7" spans="1:13" ht="4.5" customHeight="1">
      <c r="B7" s="2"/>
      <c r="C7" s="76"/>
      <c r="D7" s="76"/>
      <c r="E7" s="1019"/>
      <c r="F7" s="1019"/>
      <c r="G7" s="3"/>
      <c r="H7" s="4"/>
      <c r="I7" s="4"/>
      <c r="J7" s="4"/>
      <c r="K7" s="4"/>
      <c r="L7" s="13"/>
      <c r="M7" s="4"/>
    </row>
    <row r="8" spans="1:13" s="6" customFormat="1" ht="13.5" thickBot="1">
      <c r="B8" s="433" t="s">
        <v>349</v>
      </c>
      <c r="C8" s="435" t="s">
        <v>1</v>
      </c>
      <c r="D8" s="435"/>
      <c r="E8" s="436" t="s">
        <v>2</v>
      </c>
    </row>
    <row r="9" spans="1:13">
      <c r="B9" s="125" t="s">
        <v>391</v>
      </c>
      <c r="C9" s="195" t="s">
        <v>44</v>
      </c>
      <c r="D9" s="891"/>
      <c r="E9" s="889">
        <v>2229.0300000000002</v>
      </c>
      <c r="F9" s="512"/>
      <c r="M9" s="5"/>
    </row>
    <row r="10" spans="1:13">
      <c r="B10" s="563" t="s">
        <v>748</v>
      </c>
      <c r="C10" s="434" t="s">
        <v>41</v>
      </c>
      <c r="D10" s="892"/>
      <c r="E10" s="889">
        <v>1945.35</v>
      </c>
      <c r="M10" s="5"/>
    </row>
    <row r="11" spans="1:13">
      <c r="B11" s="563" t="s">
        <v>477</v>
      </c>
      <c r="C11" s="434" t="s">
        <v>351</v>
      </c>
      <c r="D11" s="892"/>
      <c r="E11" s="889">
        <v>752.24</v>
      </c>
      <c r="F11" s="512"/>
      <c r="M11" s="5"/>
    </row>
    <row r="12" spans="1:13">
      <c r="B12" s="563" t="s">
        <v>3</v>
      </c>
      <c r="C12" s="434" t="s">
        <v>42</v>
      </c>
      <c r="D12" s="892"/>
      <c r="E12" s="889">
        <v>787.04</v>
      </c>
      <c r="F12" s="900"/>
      <c r="G12" s="963"/>
      <c r="M12" s="5"/>
    </row>
    <row r="13" spans="1:13">
      <c r="B13" s="47" t="s">
        <v>4</v>
      </c>
      <c r="C13" s="75" t="s">
        <v>40</v>
      </c>
      <c r="D13" s="893"/>
      <c r="E13" s="890">
        <v>927.03</v>
      </c>
      <c r="M13" s="5"/>
    </row>
    <row r="14" spans="1:13">
      <c r="B14" s="47" t="s">
        <v>793</v>
      </c>
      <c r="C14" s="75" t="s">
        <v>794</v>
      </c>
      <c r="D14" s="893"/>
      <c r="E14" s="890">
        <v>316.8</v>
      </c>
      <c r="G14" s="983"/>
      <c r="M14" s="5"/>
    </row>
    <row r="15" spans="1:13">
      <c r="B15" s="47" t="s">
        <v>393</v>
      </c>
      <c r="C15" s="75" t="s">
        <v>392</v>
      </c>
      <c r="D15" s="893"/>
      <c r="E15" s="890">
        <v>692</v>
      </c>
      <c r="F15" s="301"/>
      <c r="M15" s="5"/>
    </row>
    <row r="16" spans="1:13">
      <c r="B16" s="47" t="s">
        <v>784</v>
      </c>
      <c r="C16" s="75" t="s">
        <v>779</v>
      </c>
      <c r="D16" s="893"/>
      <c r="E16" s="890">
        <v>792</v>
      </c>
      <c r="F16" s="301"/>
      <c r="G16" s="661"/>
      <c r="H16" s="662"/>
      <c r="I16" s="4"/>
      <c r="J16" s="4"/>
      <c r="M16" s="5"/>
    </row>
    <row r="17" spans="1:13" ht="13.5" thickBot="1">
      <c r="B17" s="942" t="s">
        <v>365</v>
      </c>
      <c r="C17" s="943" t="s">
        <v>366</v>
      </c>
      <c r="D17" s="944"/>
      <c r="E17" s="909">
        <v>1028.7</v>
      </c>
      <c r="F17" s="301"/>
      <c r="M17" s="5"/>
    </row>
    <row r="18" spans="1:13" s="4" customFormat="1" ht="13.5" thickBot="1">
      <c r="B18" s="302"/>
      <c r="C18" s="441"/>
      <c r="D18" s="441"/>
      <c r="E18" s="449">
        <f>SUM(E9:E17)</f>
        <v>9470.19</v>
      </c>
      <c r="F18" s="442"/>
    </row>
    <row r="19" spans="1:13">
      <c r="B19" s="567" t="s">
        <v>477</v>
      </c>
      <c r="C19" s="195" t="s">
        <v>285</v>
      </c>
      <c r="D19" s="195"/>
      <c r="E19" s="450">
        <v>500</v>
      </c>
      <c r="M19" s="5"/>
    </row>
    <row r="20" spans="1:13">
      <c r="B20" s="82" t="s">
        <v>11</v>
      </c>
      <c r="C20" s="138" t="s">
        <v>25</v>
      </c>
      <c r="D20" s="138"/>
      <c r="E20" s="454">
        <f>950</f>
        <v>950</v>
      </c>
      <c r="M20" s="5"/>
    </row>
    <row r="21" spans="1:13" ht="13.5" thickBot="1">
      <c r="B21" s="126" t="s">
        <v>58</v>
      </c>
      <c r="C21" s="444" t="s">
        <v>59</v>
      </c>
      <c r="D21" s="444"/>
      <c r="E21" s="452">
        <v>952.5</v>
      </c>
      <c r="M21" s="5"/>
    </row>
    <row r="22" spans="1:13" ht="13.5" thickBot="1">
      <c r="B22" s="11"/>
      <c r="C22" s="445" t="s">
        <v>0</v>
      </c>
      <c r="D22" s="445"/>
      <c r="E22" s="453">
        <f>SUM(E18:E21)</f>
        <v>11872.69</v>
      </c>
      <c r="M22" s="5"/>
    </row>
    <row r="23" spans="1:13" ht="12.75" customHeight="1">
      <c r="B23" s="11"/>
      <c r="C23" s="28"/>
      <c r="D23" s="28"/>
      <c r="E23" s="32"/>
      <c r="F23" s="32"/>
      <c r="G23" s="32"/>
      <c r="H23" s="32"/>
      <c r="I23" s="32"/>
      <c r="J23" s="32"/>
      <c r="K23" s="32"/>
      <c r="L23" s="32"/>
      <c r="M23" s="32"/>
    </row>
    <row r="24" spans="1:13" s="437" customFormat="1" ht="6.75" customHeight="1">
      <c r="B24" s="438"/>
      <c r="C24" s="439"/>
      <c r="D24" s="439"/>
      <c r="E24" s="440"/>
      <c r="F24" s="440"/>
      <c r="G24" s="440"/>
      <c r="H24" s="440"/>
      <c r="I24" s="440"/>
      <c r="J24" s="440"/>
      <c r="K24" s="440"/>
      <c r="L24" s="440"/>
      <c r="M24" s="440"/>
    </row>
    <row r="25" spans="1:13" ht="19.5" customHeight="1">
      <c r="A25" s="660"/>
      <c r="B25" s="432" t="s">
        <v>348</v>
      </c>
      <c r="C25" s="717" t="s">
        <v>875</v>
      </c>
      <c r="D25" s="457"/>
      <c r="E25" s="32"/>
      <c r="F25" s="32"/>
      <c r="G25" s="32"/>
      <c r="H25" s="32"/>
      <c r="I25" s="32"/>
      <c r="J25" s="32"/>
      <c r="K25" s="32"/>
      <c r="L25" s="32"/>
      <c r="M25" s="5"/>
    </row>
    <row r="26" spans="1:13" ht="19.5" customHeight="1">
      <c r="B26" s="432" t="s">
        <v>350</v>
      </c>
      <c r="C26" s="1018">
        <v>42025</v>
      </c>
      <c r="D26" s="1018"/>
      <c r="E26" s="32"/>
      <c r="F26" s="32"/>
      <c r="G26" s="32"/>
      <c r="H26" s="32"/>
      <c r="I26" s="32"/>
      <c r="J26" s="32"/>
      <c r="K26" s="32"/>
      <c r="L26" s="32"/>
      <c r="M26" s="5"/>
    </row>
    <row r="27" spans="1:13" ht="4.5" customHeight="1">
      <c r="B27" s="2"/>
      <c r="C27" s="76"/>
      <c r="D27" s="76"/>
      <c r="E27" s="1019"/>
      <c r="F27" s="1019"/>
      <c r="G27" s="3"/>
      <c r="H27" s="4"/>
      <c r="I27" s="4"/>
      <c r="J27" s="4"/>
      <c r="K27" s="4"/>
      <c r="L27" s="13"/>
      <c r="M27" s="4"/>
    </row>
    <row r="28" spans="1:13" s="6" customFormat="1" ht="13.5" thickBot="1">
      <c r="B28" s="433" t="s">
        <v>349</v>
      </c>
      <c r="C28" s="435" t="s">
        <v>1</v>
      </c>
      <c r="D28" s="435"/>
      <c r="E28" s="436" t="s">
        <v>2</v>
      </c>
    </row>
    <row r="29" spans="1:13">
      <c r="B29" s="125" t="s">
        <v>391</v>
      </c>
      <c r="C29" s="195" t="s">
        <v>44</v>
      </c>
      <c r="D29" s="891"/>
      <c r="E29" s="889">
        <v>1220.0899999999999</v>
      </c>
      <c r="F29" s="512"/>
      <c r="M29" s="5"/>
    </row>
    <row r="30" spans="1:13">
      <c r="B30" s="563" t="s">
        <v>748</v>
      </c>
      <c r="C30" s="434" t="s">
        <v>41</v>
      </c>
      <c r="D30" s="892"/>
      <c r="E30" s="889">
        <v>1191.68</v>
      </c>
      <c r="M30" s="5"/>
    </row>
    <row r="31" spans="1:13">
      <c r="B31" s="563" t="s">
        <v>477</v>
      </c>
      <c r="C31" s="434" t="s">
        <v>351</v>
      </c>
      <c r="D31" s="892"/>
      <c r="E31" s="889">
        <v>752.24</v>
      </c>
      <c r="M31" s="5"/>
    </row>
    <row r="32" spans="1:13">
      <c r="B32" s="563" t="s">
        <v>3</v>
      </c>
      <c r="C32" s="434" t="s">
        <v>42</v>
      </c>
      <c r="D32" s="892"/>
      <c r="E32" s="889">
        <v>837.04</v>
      </c>
      <c r="F32" s="900"/>
      <c r="M32" s="5"/>
    </row>
    <row r="33" spans="1:13">
      <c r="B33" s="47" t="s">
        <v>4</v>
      </c>
      <c r="C33" s="75" t="s">
        <v>40</v>
      </c>
      <c r="D33" s="893"/>
      <c r="E33" s="890">
        <v>927.03</v>
      </c>
      <c r="M33" s="5"/>
    </row>
    <row r="34" spans="1:13">
      <c r="B34" s="47" t="s">
        <v>393</v>
      </c>
      <c r="C34" s="75" t="s">
        <v>392</v>
      </c>
      <c r="D34" s="893"/>
      <c r="E34" s="890">
        <v>692</v>
      </c>
      <c r="F34" s="301"/>
      <c r="M34" s="5"/>
    </row>
    <row r="35" spans="1:13">
      <c r="B35" s="47" t="s">
        <v>784</v>
      </c>
      <c r="C35" s="75" t="s">
        <v>779</v>
      </c>
      <c r="D35" s="893"/>
      <c r="E35" s="890">
        <v>792</v>
      </c>
      <c r="F35" s="301"/>
      <c r="G35" s="661"/>
      <c r="H35" s="662"/>
      <c r="I35" s="4"/>
      <c r="J35" s="4"/>
      <c r="M35" s="5"/>
    </row>
    <row r="36" spans="1:13" ht="13.5" thickBot="1">
      <c r="B36" s="942" t="s">
        <v>365</v>
      </c>
      <c r="C36" s="943" t="s">
        <v>366</v>
      </c>
      <c r="D36" s="944"/>
      <c r="E36" s="909">
        <v>990</v>
      </c>
      <c r="F36" s="301"/>
      <c r="M36" s="5"/>
    </row>
    <row r="37" spans="1:13" s="4" customFormat="1" ht="13.5" thickBot="1">
      <c r="B37" s="302"/>
      <c r="C37" s="441"/>
      <c r="D37" s="441"/>
      <c r="E37" s="449">
        <f>SUM(E29:E36)</f>
        <v>7402.08</v>
      </c>
      <c r="F37" s="442"/>
    </row>
    <row r="38" spans="1:13">
      <c r="B38" s="567" t="s">
        <v>477</v>
      </c>
      <c r="C38" s="195" t="s">
        <v>285</v>
      </c>
      <c r="D38" s="195"/>
      <c r="E38" s="450">
        <v>500</v>
      </c>
      <c r="M38" s="5"/>
    </row>
    <row r="39" spans="1:13">
      <c r="B39" s="82" t="s">
        <v>11</v>
      </c>
      <c r="C39" s="138" t="s">
        <v>25</v>
      </c>
      <c r="D39" s="138"/>
      <c r="E39" s="454">
        <v>950</v>
      </c>
      <c r="M39" s="5"/>
    </row>
    <row r="40" spans="1:13" ht="13.5" thickBot="1">
      <c r="B40" s="126" t="s">
        <v>58</v>
      </c>
      <c r="C40" s="444" t="s">
        <v>59</v>
      </c>
      <c r="D40" s="444"/>
      <c r="E40" s="452">
        <v>952.5</v>
      </c>
      <c r="M40" s="5"/>
    </row>
    <row r="41" spans="1:13" ht="13.5" thickBot="1">
      <c r="B41" s="11"/>
      <c r="C41" s="445" t="s">
        <v>0</v>
      </c>
      <c r="D41" s="445"/>
      <c r="E41" s="453">
        <f>SUM(E37:E40)</f>
        <v>9804.58</v>
      </c>
      <c r="M41" s="5"/>
    </row>
    <row r="42" spans="1:13" ht="12.75" customHeight="1">
      <c r="B42" s="11"/>
      <c r="C42" s="28"/>
      <c r="D42" s="28"/>
      <c r="E42" s="32"/>
      <c r="F42" s="32"/>
      <c r="G42" s="32"/>
      <c r="H42" s="32"/>
      <c r="I42" s="32"/>
      <c r="J42" s="32"/>
      <c r="K42" s="32"/>
      <c r="L42" s="32"/>
      <c r="M42" s="32"/>
    </row>
    <row r="43" spans="1:13" s="437" customFormat="1" ht="6.75" customHeight="1">
      <c r="B43" s="438"/>
      <c r="C43" s="439"/>
      <c r="D43" s="439"/>
      <c r="E43" s="440"/>
      <c r="F43" s="440"/>
      <c r="G43" s="440"/>
      <c r="H43" s="440"/>
      <c r="I43" s="440"/>
      <c r="J43" s="440"/>
      <c r="K43" s="440"/>
      <c r="L43" s="440"/>
      <c r="M43" s="440"/>
    </row>
    <row r="44" spans="1:13" ht="19.5" customHeight="1">
      <c r="A44" s="660"/>
      <c r="B44" s="432" t="s">
        <v>348</v>
      </c>
      <c r="C44" s="717" t="s">
        <v>876</v>
      </c>
      <c r="D44" s="457"/>
      <c r="E44" s="32"/>
      <c r="F44" s="32"/>
      <c r="G44" s="32"/>
      <c r="H44" s="32"/>
      <c r="I44" s="32"/>
      <c r="J44" s="32"/>
      <c r="K44" s="32"/>
      <c r="L44" s="32"/>
      <c r="M44" s="5"/>
    </row>
    <row r="45" spans="1:13" ht="19.5" customHeight="1">
      <c r="B45" s="432" t="s">
        <v>350</v>
      </c>
      <c r="C45" s="1018">
        <v>42032</v>
      </c>
      <c r="D45" s="1018"/>
      <c r="E45" s="32"/>
      <c r="F45" s="32"/>
      <c r="G45" s="32"/>
      <c r="H45" s="32"/>
      <c r="I45" s="32"/>
      <c r="J45" s="32"/>
      <c r="K45" s="32"/>
      <c r="L45" s="32"/>
      <c r="M45" s="5"/>
    </row>
    <row r="46" spans="1:13" ht="4.5" customHeight="1">
      <c r="B46" s="2"/>
      <c r="C46" s="76"/>
      <c r="D46" s="76"/>
      <c r="E46" s="1019"/>
      <c r="F46" s="1019"/>
      <c r="G46" s="3"/>
      <c r="H46" s="4"/>
      <c r="I46" s="4"/>
      <c r="J46" s="4"/>
      <c r="K46" s="4"/>
      <c r="L46" s="13"/>
      <c r="M46" s="4"/>
    </row>
    <row r="47" spans="1:13" s="6" customFormat="1" ht="13.5" thickBot="1">
      <c r="B47" s="433" t="s">
        <v>349</v>
      </c>
      <c r="C47" s="435" t="s">
        <v>1</v>
      </c>
      <c r="D47" s="435"/>
      <c r="E47" s="436" t="s">
        <v>2</v>
      </c>
    </row>
    <row r="48" spans="1:13">
      <c r="B48" s="125" t="s">
        <v>391</v>
      </c>
      <c r="C48" s="195" t="s">
        <v>44</v>
      </c>
      <c r="D48" s="891"/>
      <c r="E48" s="889">
        <v>1220.32</v>
      </c>
      <c r="M48" s="5"/>
    </row>
    <row r="49" spans="1:13">
      <c r="B49" s="563" t="s">
        <v>748</v>
      </c>
      <c r="C49" s="434" t="s">
        <v>41</v>
      </c>
      <c r="D49" s="892"/>
      <c r="E49" s="889">
        <v>1191.5999999999999</v>
      </c>
      <c r="M49" s="5"/>
    </row>
    <row r="50" spans="1:13">
      <c r="B50" s="563" t="s">
        <v>477</v>
      </c>
      <c r="C50" s="434" t="s">
        <v>351</v>
      </c>
      <c r="D50" s="892"/>
      <c r="E50" s="889">
        <v>752.24</v>
      </c>
      <c r="F50" s="963"/>
      <c r="M50" s="5"/>
    </row>
    <row r="51" spans="1:13">
      <c r="B51" s="563" t="s">
        <v>3</v>
      </c>
      <c r="C51" s="434" t="s">
        <v>42</v>
      </c>
      <c r="D51" s="892"/>
      <c r="E51" s="889">
        <v>837.04</v>
      </c>
      <c r="F51" s="900"/>
      <c r="M51" s="5"/>
    </row>
    <row r="52" spans="1:13">
      <c r="B52" s="47" t="s">
        <v>4</v>
      </c>
      <c r="C52" s="75" t="s">
        <v>40</v>
      </c>
      <c r="D52" s="893"/>
      <c r="E52" s="890">
        <v>927.03</v>
      </c>
      <c r="M52" s="5"/>
    </row>
    <row r="53" spans="1:13">
      <c r="B53" s="47" t="s">
        <v>393</v>
      </c>
      <c r="C53" s="75" t="s">
        <v>392</v>
      </c>
      <c r="D53" s="893"/>
      <c r="E53" s="890">
        <v>692</v>
      </c>
      <c r="F53" s="301"/>
      <c r="M53" s="5"/>
    </row>
    <row r="54" spans="1:13">
      <c r="B54" s="47" t="s">
        <v>784</v>
      </c>
      <c r="C54" s="75" t="s">
        <v>779</v>
      </c>
      <c r="D54" s="893"/>
      <c r="E54" s="890">
        <v>792</v>
      </c>
      <c r="F54" s="301"/>
      <c r="G54" s="661"/>
      <c r="H54" s="662"/>
      <c r="I54" s="4"/>
      <c r="J54" s="4"/>
      <c r="M54" s="5"/>
    </row>
    <row r="55" spans="1:13" ht="13.5" thickBot="1">
      <c r="B55" s="942" t="s">
        <v>365</v>
      </c>
      <c r="C55" s="943" t="s">
        <v>366</v>
      </c>
      <c r="D55" s="944"/>
      <c r="E55" s="909">
        <v>990</v>
      </c>
      <c r="F55" s="301"/>
      <c r="M55" s="5"/>
    </row>
    <row r="56" spans="1:13" s="4" customFormat="1" ht="13.5" thickBot="1">
      <c r="B56" s="302"/>
      <c r="C56" s="441"/>
      <c r="D56" s="441"/>
      <c r="E56" s="449">
        <f>SUM(E48:E55)</f>
        <v>7402.23</v>
      </c>
      <c r="F56" s="442"/>
    </row>
    <row r="57" spans="1:13">
      <c r="B57" s="567" t="s">
        <v>477</v>
      </c>
      <c r="C57" s="195" t="s">
        <v>285</v>
      </c>
      <c r="D57" s="195"/>
      <c r="E57" s="450">
        <v>500</v>
      </c>
      <c r="M57" s="5"/>
    </row>
    <row r="58" spans="1:13">
      <c r="B58" s="82" t="s">
        <v>11</v>
      </c>
      <c r="C58" s="138" t="s">
        <v>25</v>
      </c>
      <c r="D58" s="138"/>
      <c r="E58" s="454">
        <v>950</v>
      </c>
      <c r="M58" s="5"/>
    </row>
    <row r="59" spans="1:13" ht="13.5" thickBot="1">
      <c r="B59" s="126" t="s">
        <v>58</v>
      </c>
      <c r="C59" s="444" t="s">
        <v>59</v>
      </c>
      <c r="D59" s="444"/>
      <c r="E59" s="452">
        <v>952.5</v>
      </c>
      <c r="M59" s="5"/>
    </row>
    <row r="60" spans="1:13" ht="13.5" thickBot="1">
      <c r="B60" s="11"/>
      <c r="C60" s="445" t="s">
        <v>0</v>
      </c>
      <c r="D60" s="445"/>
      <c r="E60" s="453">
        <f>SUM(E56:E59)</f>
        <v>9804.73</v>
      </c>
      <c r="M60" s="5"/>
    </row>
    <row r="61" spans="1:13">
      <c r="B61" s="11"/>
      <c r="C61" s="445"/>
      <c r="D61" s="445"/>
      <c r="E61" s="623"/>
      <c r="M61" s="5"/>
    </row>
    <row r="62" spans="1:13" s="7" customFormat="1" ht="13.15" customHeight="1">
      <c r="A62" s="56" t="s">
        <v>30</v>
      </c>
      <c r="B62" s="57" t="s">
        <v>31</v>
      </c>
      <c r="C62" s="57"/>
      <c r="D62" s="455">
        <f>Nikki!E1526</f>
        <v>8796.1200000000008</v>
      </c>
      <c r="E62" s="908"/>
      <c r="F62" s="56" t="s">
        <v>38</v>
      </c>
      <c r="G62" s="57" t="s">
        <v>39</v>
      </c>
      <c r="H62" s="455">
        <v>1200</v>
      </c>
      <c r="I62" s="938"/>
      <c r="J62" s="908"/>
      <c r="K62" s="458"/>
      <c r="L62" s="458"/>
      <c r="M62" s="458"/>
    </row>
    <row r="63" spans="1:13" s="7" customFormat="1" ht="13.15" customHeight="1">
      <c r="A63" s="56" t="s">
        <v>32</v>
      </c>
      <c r="B63" s="57" t="s">
        <v>131</v>
      </c>
      <c r="C63" s="57"/>
      <c r="D63" s="455">
        <f>Nikki!E1527</f>
        <v>1958.4900000000002</v>
      </c>
      <c r="E63" s="908"/>
      <c r="F63" s="56" t="s">
        <v>38</v>
      </c>
      <c r="G63" s="57" t="s">
        <v>107</v>
      </c>
      <c r="H63" s="455">
        <f>120000*15%/12</f>
        <v>1500</v>
      </c>
      <c r="I63" s="938"/>
      <c r="J63" s="908"/>
      <c r="K63" s="458"/>
      <c r="L63" s="458"/>
      <c r="M63" s="458"/>
    </row>
    <row r="64" spans="1:13" s="7" customFormat="1" ht="13.15" customHeight="1">
      <c r="A64" s="56" t="s">
        <v>33</v>
      </c>
      <c r="B64" s="57" t="s">
        <v>34</v>
      </c>
      <c r="C64" s="57"/>
      <c r="D64" s="455">
        <v>311.83999999999997</v>
      </c>
      <c r="E64" s="455"/>
      <c r="F64" s="56" t="s">
        <v>45</v>
      </c>
      <c r="G64" s="57" t="s">
        <v>39</v>
      </c>
      <c r="H64" s="455">
        <v>1800</v>
      </c>
      <c r="I64" s="938"/>
      <c r="J64" s="908"/>
      <c r="K64" s="458"/>
      <c r="L64" s="458"/>
      <c r="M64" s="458"/>
    </row>
    <row r="65" spans="1:13" s="7" customFormat="1" ht="13.15" customHeight="1">
      <c r="A65" s="56" t="s">
        <v>736</v>
      </c>
      <c r="B65" s="57" t="s">
        <v>738</v>
      </c>
      <c r="C65" s="57"/>
      <c r="D65" s="455">
        <v>472.63</v>
      </c>
      <c r="E65" s="455"/>
      <c r="F65" s="56" t="s">
        <v>32</v>
      </c>
      <c r="G65" s="57" t="s">
        <v>108</v>
      </c>
      <c r="H65" s="455">
        <v>1015</v>
      </c>
      <c r="I65" s="938"/>
      <c r="J65" s="908"/>
      <c r="K65" s="458"/>
      <c r="L65" s="458"/>
      <c r="M65" s="458"/>
    </row>
    <row r="66" spans="1:13" s="7" customFormat="1" ht="13.15" customHeight="1">
      <c r="A66" s="56" t="s">
        <v>736</v>
      </c>
      <c r="B66" s="57" t="s">
        <v>739</v>
      </c>
      <c r="C66" s="57"/>
      <c r="D66" s="455">
        <v>86.94</v>
      </c>
      <c r="E66" s="455"/>
      <c r="F66" s="56" t="s">
        <v>230</v>
      </c>
      <c r="G66" s="57" t="s">
        <v>232</v>
      </c>
      <c r="H66" s="455">
        <v>500</v>
      </c>
      <c r="I66" s="938"/>
      <c r="J66" s="908"/>
      <c r="K66" s="458"/>
      <c r="L66" s="458"/>
      <c r="M66" s="458"/>
    </row>
    <row r="67" spans="1:13" s="7" customFormat="1" ht="13.15" customHeight="1">
      <c r="A67" s="56" t="s">
        <v>36</v>
      </c>
      <c r="B67" s="57" t="s">
        <v>37</v>
      </c>
      <c r="C67" s="455"/>
      <c r="D67" s="455">
        <v>8000</v>
      </c>
      <c r="E67" s="908" t="s">
        <v>878</v>
      </c>
      <c r="F67" s="56" t="s">
        <v>231</v>
      </c>
      <c r="G67" s="57" t="s">
        <v>233</v>
      </c>
      <c r="H67" s="455">
        <v>500</v>
      </c>
      <c r="I67" s="938"/>
      <c r="J67" s="908"/>
      <c r="K67" s="458"/>
      <c r="L67" s="458"/>
      <c r="M67" s="458"/>
    </row>
    <row r="68" spans="1:13" s="7" customFormat="1" ht="13.15" customHeight="1">
      <c r="A68" s="56" t="s">
        <v>35</v>
      </c>
      <c r="B68" s="57" t="s">
        <v>186</v>
      </c>
      <c r="C68" s="455"/>
      <c r="D68" s="455">
        <v>1000</v>
      </c>
      <c r="E68" s="455"/>
      <c r="F68" s="56" t="s">
        <v>33</v>
      </c>
      <c r="G68" s="57" t="s">
        <v>46</v>
      </c>
      <c r="H68" s="455">
        <v>11000</v>
      </c>
      <c r="I68" s="938"/>
      <c r="J68" s="908"/>
    </row>
    <row r="69" spans="1:13" s="7" customFormat="1" ht="13.15" customHeight="1">
      <c r="A69" s="56"/>
      <c r="B69" s="57" t="s">
        <v>106</v>
      </c>
      <c r="C69" s="455"/>
      <c r="D69" s="455">
        <v>5000</v>
      </c>
      <c r="E69" s="455"/>
      <c r="F69" s="139" t="s">
        <v>65</v>
      </c>
      <c r="G69" s="57" t="s">
        <v>47</v>
      </c>
      <c r="H69" s="455">
        <v>11000</v>
      </c>
      <c r="I69" s="455"/>
      <c r="J69" s="459"/>
    </row>
    <row r="70" spans="1:13" s="7" customFormat="1" ht="13.15" customHeight="1" thickBot="1">
      <c r="B70" s="56"/>
      <c r="C70" s="57"/>
      <c r="D70" s="57"/>
      <c r="E70" s="455"/>
      <c r="F70" s="56"/>
      <c r="G70" s="57"/>
      <c r="H70" s="456"/>
      <c r="I70" s="659"/>
      <c r="J70" s="459"/>
    </row>
    <row r="71" spans="1:13" s="7" customFormat="1" ht="13.15" customHeight="1" thickTop="1" thickBot="1">
      <c r="B71" s="56"/>
      <c r="C71" s="57"/>
      <c r="D71" s="57"/>
      <c r="E71" s="455"/>
      <c r="F71" s="61"/>
      <c r="G71" s="57"/>
      <c r="H71" s="659">
        <f>SUM(H62:H70)+SUM(D62:D69)</f>
        <v>54141.020000000004</v>
      </c>
      <c r="I71" s="132"/>
      <c r="J71" s="459"/>
    </row>
    <row r="72" spans="1:13" s="7" customFormat="1" ht="13.15" customHeight="1" thickBot="1">
      <c r="B72" s="56"/>
      <c r="C72" s="57"/>
      <c r="D72" s="9"/>
      <c r="E72" s="455"/>
      <c r="F72" s="61"/>
      <c r="G72" s="474" t="s">
        <v>5</v>
      </c>
      <c r="H72" s="475">
        <f>E60+H71</f>
        <v>63945.75</v>
      </c>
      <c r="I72" s="659"/>
      <c r="J72" s="459"/>
    </row>
    <row r="73" spans="1:13" s="7" customFormat="1" ht="13.15" customHeight="1">
      <c r="B73" s="56"/>
      <c r="C73" s="57"/>
      <c r="D73" s="8"/>
      <c r="E73" s="455"/>
      <c r="F73" s="58"/>
      <c r="G73" s="57"/>
      <c r="H73" s="659"/>
      <c r="I73" s="659"/>
      <c r="J73" s="459"/>
    </row>
    <row r="74" spans="1:13" s="7" customFormat="1" ht="13.15" customHeight="1">
      <c r="B74" s="56"/>
      <c r="C74" s="57"/>
      <c r="D74" s="8"/>
      <c r="E74" s="455"/>
      <c r="F74" s="61"/>
      <c r="G74" s="57"/>
      <c r="H74" s="659"/>
      <c r="I74" s="659"/>
      <c r="J74" s="459"/>
    </row>
    <row r="75" spans="1:13" s="7" customFormat="1" ht="13.15" customHeight="1">
      <c r="A75" s="9"/>
      <c r="B75" s="10"/>
      <c r="C75" s="9"/>
      <c r="D75" s="8"/>
      <c r="E75" s="455"/>
      <c r="F75" s="61"/>
      <c r="G75" s="474"/>
      <c r="H75" s="513"/>
      <c r="I75" s="659"/>
      <c r="J75" s="459"/>
    </row>
    <row r="76" spans="1:13" s="7" customFormat="1" ht="13.15" customHeight="1">
      <c r="A76" s="9"/>
      <c r="B76" s="10"/>
      <c r="C76" s="8"/>
      <c r="D76" s="8"/>
      <c r="E76" s="9"/>
      <c r="F76" s="58"/>
      <c r="G76" s="57"/>
      <c r="H76" s="659"/>
      <c r="I76" s="659"/>
      <c r="J76" s="459"/>
    </row>
    <row r="77" spans="1:13" s="7" customFormat="1" ht="13.15" customHeight="1">
      <c r="A77" s="9"/>
      <c r="B77" s="10"/>
      <c r="C77" s="8"/>
      <c r="D77" s="8"/>
      <c r="E77" s="9"/>
      <c r="F77" s="9"/>
      <c r="G77" s="9"/>
      <c r="H77" s="9"/>
      <c r="I77" s="659"/>
      <c r="J77" s="459"/>
    </row>
    <row r="78" spans="1:13" s="7" customFormat="1" ht="13.15" customHeight="1">
      <c r="A78" s="9"/>
      <c r="B78" s="10"/>
      <c r="C78" s="8"/>
      <c r="D78" s="8"/>
      <c r="E78" s="9"/>
      <c r="F78" s="9"/>
      <c r="G78" s="9"/>
      <c r="H78" s="9"/>
      <c r="I78" s="659"/>
      <c r="J78" s="459"/>
    </row>
    <row r="79" spans="1:13" s="7" customFormat="1" ht="13.15" customHeight="1">
      <c r="A79" s="9"/>
      <c r="B79" s="10"/>
      <c r="C79" s="8"/>
      <c r="D79" s="9"/>
      <c r="E79" s="9"/>
      <c r="F79" s="9"/>
      <c r="G79" s="9"/>
      <c r="H79" s="9"/>
      <c r="I79" s="659"/>
      <c r="J79" s="459"/>
    </row>
    <row r="80" spans="1:13" s="7" customFormat="1" ht="13.15" customHeight="1">
      <c r="A80" s="9"/>
      <c r="B80" s="10"/>
      <c r="C80" s="8"/>
      <c r="D80" s="9"/>
      <c r="E80" s="9"/>
      <c r="F80" s="9"/>
      <c r="G80" s="9"/>
      <c r="H80" s="9"/>
      <c r="I80" s="659"/>
      <c r="J80" s="459"/>
    </row>
    <row r="81" spans="1:13" s="7" customFormat="1" ht="13.15" customHeight="1">
      <c r="A81" s="9"/>
      <c r="B81" s="10"/>
      <c r="C81" s="8"/>
      <c r="D81" s="9"/>
      <c r="E81" s="9"/>
      <c r="F81" s="9"/>
      <c r="G81" s="9"/>
      <c r="H81" s="9"/>
      <c r="I81" s="659"/>
      <c r="J81" s="459"/>
    </row>
    <row r="82" spans="1:13" s="9" customFormat="1" ht="12">
      <c r="B82" s="10"/>
      <c r="M82" s="10"/>
    </row>
    <row r="83" spans="1:13" s="9" customFormat="1" ht="12">
      <c r="B83" s="10"/>
      <c r="M83" s="10"/>
    </row>
    <row r="84" spans="1:13" s="9" customFormat="1" ht="12">
      <c r="B84" s="10"/>
      <c r="M84" s="10"/>
    </row>
    <row r="85" spans="1:13" s="9" customFormat="1">
      <c r="B85" s="10"/>
      <c r="D85" s="5"/>
      <c r="M85" s="10"/>
    </row>
    <row r="86" spans="1:13" s="9" customFormat="1">
      <c r="B86" s="10"/>
      <c r="D86" s="5"/>
      <c r="M86" s="10"/>
    </row>
    <row r="87" spans="1:13" s="9" customFormat="1">
      <c r="B87" s="10"/>
      <c r="D87" s="5"/>
      <c r="M87" s="10"/>
    </row>
    <row r="88" spans="1:13" s="9" customFormat="1">
      <c r="B88" s="12"/>
      <c r="C88" s="5"/>
      <c r="D88" s="5"/>
      <c r="M88" s="10"/>
    </row>
    <row r="89" spans="1:13" s="9" customFormat="1">
      <c r="B89" s="12"/>
      <c r="C89" s="5"/>
      <c r="D89" s="5"/>
      <c r="E89" s="5"/>
      <c r="M89" s="10"/>
    </row>
    <row r="90" spans="1:13" s="9" customFormat="1">
      <c r="B90" s="12"/>
      <c r="C90" s="5"/>
      <c r="D90" s="5"/>
      <c r="E90" s="5"/>
      <c r="F90" s="5"/>
      <c r="G90" s="5"/>
      <c r="H90" s="5"/>
      <c r="M90" s="10"/>
    </row>
    <row r="91" spans="1:13" s="9" customFormat="1">
      <c r="B91" s="12"/>
      <c r="C91" s="5"/>
      <c r="D91" s="5"/>
      <c r="E91" s="5"/>
      <c r="F91" s="5"/>
      <c r="G91" s="5"/>
      <c r="H91" s="5"/>
      <c r="M91" s="10"/>
    </row>
    <row r="92" spans="1:13" s="9" customFormat="1">
      <c r="A92" s="5"/>
      <c r="B92" s="12"/>
      <c r="C92" s="5"/>
      <c r="D92" s="5"/>
      <c r="E92" s="5"/>
      <c r="F92" s="5"/>
      <c r="G92" s="5"/>
      <c r="H92" s="5"/>
      <c r="M92" s="10"/>
    </row>
    <row r="93" spans="1:13" s="9" customFormat="1">
      <c r="A93" s="5"/>
      <c r="B93" s="12"/>
      <c r="C93" s="5"/>
      <c r="D93" s="5"/>
      <c r="E93" s="5"/>
      <c r="F93" s="5"/>
      <c r="G93" s="5"/>
      <c r="H93" s="5"/>
      <c r="M93" s="10"/>
    </row>
    <row r="94" spans="1:13" s="9" customFormat="1">
      <c r="A94" s="5"/>
      <c r="B94" s="12"/>
      <c r="C94" s="5"/>
      <c r="D94" s="5"/>
      <c r="E94" s="5"/>
      <c r="F94" s="5"/>
      <c r="G94" s="5"/>
      <c r="H94" s="5"/>
      <c r="M94" s="10"/>
    </row>
    <row r="95" spans="1:13" s="9" customFormat="1">
      <c r="A95" s="5"/>
      <c r="B95" s="12"/>
      <c r="C95" s="5"/>
      <c r="D95" s="5"/>
      <c r="E95" s="5"/>
      <c r="F95" s="5"/>
      <c r="G95" s="5"/>
      <c r="H95" s="5"/>
      <c r="I95" s="5"/>
      <c r="J95" s="5"/>
      <c r="K95" s="5"/>
      <c r="L95" s="5"/>
      <c r="M95" s="10"/>
    </row>
    <row r="96" spans="1:13" s="9" customFormat="1">
      <c r="A96" s="5"/>
      <c r="B96" s="12"/>
      <c r="C96" s="5"/>
      <c r="D96" s="5"/>
      <c r="E96" s="5"/>
      <c r="F96" s="5"/>
      <c r="G96" s="5"/>
      <c r="H96" s="5"/>
      <c r="I96" s="5"/>
      <c r="J96" s="5"/>
      <c r="K96" s="5"/>
      <c r="L96" s="5"/>
      <c r="M96" s="10"/>
    </row>
    <row r="97" spans="1:13" s="9" customFormat="1">
      <c r="A97" s="5"/>
      <c r="B97" s="12"/>
      <c r="C97" s="5"/>
      <c r="D97" s="5"/>
      <c r="E97" s="5"/>
      <c r="F97" s="5"/>
      <c r="G97" s="5"/>
      <c r="H97" s="5"/>
      <c r="I97" s="5"/>
      <c r="J97" s="5"/>
      <c r="K97" s="5"/>
      <c r="L97" s="5"/>
      <c r="M97" s="10"/>
    </row>
    <row r="98" spans="1:13" s="9" customFormat="1">
      <c r="A98" s="5"/>
      <c r="B98" s="12"/>
      <c r="C98" s="5"/>
      <c r="D98" s="5"/>
      <c r="E98" s="5"/>
      <c r="F98" s="5"/>
      <c r="G98" s="5"/>
      <c r="H98" s="5"/>
      <c r="I98" s="5"/>
      <c r="J98" s="5"/>
      <c r="K98" s="5"/>
      <c r="L98" s="5"/>
      <c r="M98" s="10"/>
    </row>
  </sheetData>
  <mergeCells count="7">
    <mergeCell ref="C26:D26"/>
    <mergeCell ref="E27:F27"/>
    <mergeCell ref="C45:D45"/>
    <mergeCell ref="E46:F46"/>
    <mergeCell ref="A1:H1"/>
    <mergeCell ref="C6:D6"/>
    <mergeCell ref="E7:F7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tabSelected="1" topLeftCell="A49" workbookViewId="0">
      <selection activeCell="L93" sqref="L93"/>
    </sheetView>
  </sheetViews>
  <sheetFormatPr defaultColWidth="8.85546875" defaultRowHeight="12.75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17.7109375" style="5" customWidth="1"/>
    <col min="8" max="8" width="23" style="5" customWidth="1"/>
    <col min="9" max="9" width="2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>
      <c r="A1" s="1022" t="s">
        <v>881</v>
      </c>
      <c r="B1" s="1022"/>
      <c r="C1" s="1022"/>
      <c r="D1" s="1022"/>
      <c r="E1" s="1022"/>
      <c r="F1" s="1022"/>
      <c r="G1" s="1022"/>
      <c r="H1" s="1022"/>
      <c r="I1" s="487"/>
      <c r="J1" s="487"/>
      <c r="K1" s="487"/>
      <c r="L1" s="487"/>
      <c r="M1" s="487"/>
    </row>
    <row r="2" spans="1:13" s="437" customFormat="1" ht="6.75" customHeight="1">
      <c r="B2" s="438"/>
      <c r="C2" s="439"/>
      <c r="D2" s="439"/>
      <c r="E2" s="440"/>
      <c r="F2" s="440"/>
      <c r="G2" s="440"/>
      <c r="H2" s="440"/>
      <c r="I2" s="440"/>
      <c r="J2" s="440"/>
      <c r="K2" s="440"/>
      <c r="L2" s="440"/>
      <c r="M2" s="440"/>
    </row>
    <row r="3" spans="1:13" ht="19.5" customHeight="1">
      <c r="A3" s="660"/>
      <c r="B3" s="432" t="s">
        <v>348</v>
      </c>
      <c r="C3" s="717" t="s">
        <v>882</v>
      </c>
      <c r="D3" s="457"/>
      <c r="E3" s="32"/>
      <c r="F3" s="32"/>
      <c r="G3" s="32"/>
      <c r="H3" s="32"/>
      <c r="I3" s="32"/>
      <c r="J3" s="32"/>
      <c r="K3" s="32"/>
      <c r="L3" s="32"/>
      <c r="M3" s="5"/>
    </row>
    <row r="4" spans="1:13" ht="19.5" customHeight="1">
      <c r="B4" s="432" t="s">
        <v>350</v>
      </c>
      <c r="C4" s="1018">
        <v>42039</v>
      </c>
      <c r="D4" s="1020"/>
      <c r="E4" s="32"/>
      <c r="F4" s="32"/>
      <c r="G4" s="32"/>
      <c r="H4" s="32"/>
      <c r="I4" s="32"/>
      <c r="J4" s="32"/>
      <c r="K4" s="32"/>
      <c r="L4" s="32"/>
      <c r="M4" s="5"/>
    </row>
    <row r="5" spans="1:13" ht="4.5" customHeight="1">
      <c r="B5" s="2"/>
      <c r="C5" s="76"/>
      <c r="D5" s="76"/>
      <c r="E5" s="1019"/>
      <c r="F5" s="1021"/>
      <c r="G5" s="3"/>
      <c r="H5" s="4"/>
      <c r="I5" s="4"/>
      <c r="J5" s="4"/>
      <c r="K5" s="4"/>
      <c r="L5" s="13"/>
      <c r="M5" s="4"/>
    </row>
    <row r="6" spans="1:13" s="6" customFormat="1" ht="13.5" thickBot="1">
      <c r="B6" s="433" t="s">
        <v>349</v>
      </c>
      <c r="C6" s="435" t="s">
        <v>1</v>
      </c>
      <c r="D6" s="435"/>
      <c r="E6" s="436" t="s">
        <v>2</v>
      </c>
      <c r="G6" s="433"/>
      <c r="H6" s="433"/>
      <c r="I6" s="318"/>
      <c r="J6" s="318"/>
    </row>
    <row r="7" spans="1:13">
      <c r="B7" s="125" t="s">
        <v>391</v>
      </c>
      <c r="C7" s="195" t="s">
        <v>44</v>
      </c>
      <c r="D7" s="891"/>
      <c r="E7" s="889">
        <v>1219.9000000000001</v>
      </c>
      <c r="G7" s="661"/>
      <c r="H7" s="662"/>
      <c r="I7" s="4"/>
      <c r="J7" s="4"/>
      <c r="M7" s="5"/>
    </row>
    <row r="8" spans="1:13">
      <c r="B8" s="563" t="s">
        <v>748</v>
      </c>
      <c r="C8" s="434" t="s">
        <v>41</v>
      </c>
      <c r="D8" s="892"/>
      <c r="E8" s="889">
        <v>1191.6400000000001</v>
      </c>
      <c r="G8" s="661"/>
      <c r="H8" s="662"/>
      <c r="I8" s="4"/>
      <c r="J8" s="4"/>
      <c r="M8" s="5"/>
    </row>
    <row r="9" spans="1:13">
      <c r="B9" s="563" t="s">
        <v>477</v>
      </c>
      <c r="C9" s="434" t="s">
        <v>351</v>
      </c>
      <c r="D9" s="892"/>
      <c r="E9" s="889">
        <v>752.24</v>
      </c>
      <c r="G9" s="661"/>
      <c r="H9" s="662"/>
      <c r="I9" s="4"/>
      <c r="J9" s="4"/>
      <c r="M9" s="5"/>
    </row>
    <row r="10" spans="1:13">
      <c r="B10" s="563" t="s">
        <v>3</v>
      </c>
      <c r="C10" s="434" t="s">
        <v>42</v>
      </c>
      <c r="D10" s="892"/>
      <c r="E10" s="889">
        <v>837.04</v>
      </c>
      <c r="F10" s="900"/>
      <c r="G10" s="661"/>
      <c r="H10" s="662"/>
      <c r="I10" s="4"/>
      <c r="J10" s="4"/>
      <c r="M10" s="5"/>
    </row>
    <row r="11" spans="1:13">
      <c r="B11" s="47" t="s">
        <v>4</v>
      </c>
      <c r="C11" s="75" t="s">
        <v>40</v>
      </c>
      <c r="D11" s="893"/>
      <c r="E11" s="890">
        <v>927.03</v>
      </c>
      <c r="G11" s="661"/>
      <c r="H11" s="662"/>
      <c r="I11" s="4"/>
      <c r="J11" s="4"/>
      <c r="M11" s="5"/>
    </row>
    <row r="12" spans="1:13">
      <c r="B12" s="47" t="s">
        <v>393</v>
      </c>
      <c r="C12" s="75" t="s">
        <v>392</v>
      </c>
      <c r="D12" s="893"/>
      <c r="E12" s="890">
        <v>533.6</v>
      </c>
      <c r="F12" s="301"/>
      <c r="G12" s="661"/>
      <c r="H12" s="662"/>
      <c r="I12" s="4"/>
      <c r="J12" s="4"/>
      <c r="M12" s="5"/>
    </row>
    <row r="13" spans="1:13">
      <c r="B13" s="939" t="s">
        <v>784</v>
      </c>
      <c r="C13" s="940" t="s">
        <v>779</v>
      </c>
      <c r="D13" s="941"/>
      <c r="E13" s="898">
        <v>792</v>
      </c>
      <c r="F13" s="301"/>
      <c r="G13" s="661"/>
      <c r="H13" s="662"/>
      <c r="I13" s="4"/>
      <c r="J13" s="4"/>
      <c r="M13" s="5"/>
    </row>
    <row r="14" spans="1:13" ht="13.5" thickBot="1">
      <c r="B14" s="443" t="s">
        <v>365</v>
      </c>
      <c r="C14" s="920" t="s">
        <v>366</v>
      </c>
      <c r="D14" s="921"/>
      <c r="E14" s="452">
        <v>990</v>
      </c>
      <c r="F14" s="301"/>
      <c r="G14" s="661"/>
      <c r="H14" s="662"/>
      <c r="I14" s="4"/>
      <c r="J14" s="4"/>
      <c r="M14" s="5"/>
    </row>
    <row r="15" spans="1:13" s="4" customFormat="1" ht="13.5" thickBot="1">
      <c r="B15" s="302"/>
      <c r="C15" s="441"/>
      <c r="D15" s="441"/>
      <c r="E15" s="449">
        <f>SUM(E7:E14)</f>
        <v>7243.45</v>
      </c>
      <c r="F15" s="442"/>
      <c r="H15" s="662"/>
    </row>
    <row r="16" spans="1:13">
      <c r="B16" s="567" t="s">
        <v>477</v>
      </c>
      <c r="C16" s="195" t="s">
        <v>285</v>
      </c>
      <c r="D16" s="195"/>
      <c r="E16" s="450">
        <v>500</v>
      </c>
      <c r="G16" s="4"/>
      <c r="H16" s="662"/>
      <c r="I16" s="4"/>
      <c r="J16" s="4"/>
      <c r="M16" s="5"/>
    </row>
    <row r="17" spans="1:13">
      <c r="B17" s="82" t="s">
        <v>11</v>
      </c>
      <c r="C17" s="138" t="s">
        <v>25</v>
      </c>
      <c r="D17" s="138"/>
      <c r="E17" s="454">
        <v>950</v>
      </c>
      <c r="G17" s="4"/>
      <c r="H17" s="662"/>
      <c r="I17" s="4"/>
      <c r="J17" s="4"/>
      <c r="M17" s="5"/>
    </row>
    <row r="18" spans="1:13" ht="13.5" thickBot="1">
      <c r="B18" s="126" t="s">
        <v>58</v>
      </c>
      <c r="C18" s="444" t="s">
        <v>59</v>
      </c>
      <c r="D18" s="444"/>
      <c r="E18" s="452">
        <v>952.5</v>
      </c>
      <c r="G18" s="4"/>
      <c r="H18" s="662"/>
      <c r="I18" s="4"/>
      <c r="J18" s="4"/>
      <c r="M18" s="5"/>
    </row>
    <row r="19" spans="1:13" ht="13.5" thickBot="1">
      <c r="B19" s="11"/>
      <c r="C19" s="445" t="s">
        <v>0</v>
      </c>
      <c r="D19" s="445"/>
      <c r="E19" s="453">
        <f>SUM(E15:E18)</f>
        <v>9645.9500000000007</v>
      </c>
      <c r="G19" s="663"/>
      <c r="H19" s="662"/>
      <c r="I19" s="4"/>
      <c r="J19" s="4"/>
      <c r="M19" s="5"/>
    </row>
    <row r="20" spans="1:13">
      <c r="B20" s="11"/>
      <c r="C20" s="445"/>
      <c r="D20" s="445"/>
      <c r="E20" s="623"/>
      <c r="G20" s="663"/>
      <c r="H20" s="662"/>
      <c r="I20" s="4"/>
      <c r="J20" s="4"/>
      <c r="M20" s="5"/>
    </row>
    <row r="21" spans="1:13" s="437" customFormat="1" ht="6.75" customHeight="1">
      <c r="B21" s="438"/>
      <c r="C21" s="439"/>
      <c r="D21" s="439"/>
      <c r="E21" s="440"/>
      <c r="F21" s="440"/>
      <c r="G21" s="440"/>
      <c r="H21" s="440"/>
      <c r="I21" s="440"/>
      <c r="J21" s="440"/>
      <c r="K21" s="440"/>
      <c r="L21" s="440"/>
      <c r="M21" s="440"/>
    </row>
    <row r="22" spans="1:13" ht="19.5" customHeight="1">
      <c r="A22" s="660"/>
      <c r="B22" s="432" t="s">
        <v>348</v>
      </c>
      <c r="C22" s="717" t="s">
        <v>883</v>
      </c>
      <c r="D22" s="457"/>
      <c r="E22" s="32"/>
      <c r="F22" s="32"/>
      <c r="G22" s="32"/>
      <c r="H22" s="32"/>
      <c r="I22" s="32"/>
      <c r="J22" s="32"/>
      <c r="K22" s="32"/>
      <c r="L22" s="32"/>
      <c r="M22" s="5"/>
    </row>
    <row r="23" spans="1:13" ht="19.5" customHeight="1">
      <c r="B23" s="432" t="s">
        <v>350</v>
      </c>
      <c r="C23" s="1018">
        <v>42046</v>
      </c>
      <c r="D23" s="1018"/>
      <c r="E23" s="32"/>
      <c r="F23" s="32"/>
      <c r="G23" s="32"/>
      <c r="H23" s="32"/>
      <c r="I23" s="32"/>
      <c r="J23" s="32"/>
      <c r="K23" s="32"/>
      <c r="L23" s="32"/>
      <c r="M23" s="5"/>
    </row>
    <row r="24" spans="1:13" ht="4.5" customHeight="1">
      <c r="B24" s="2"/>
      <c r="C24" s="76"/>
      <c r="D24" s="76"/>
      <c r="E24" s="1019"/>
      <c r="F24" s="1019"/>
      <c r="G24" s="3"/>
      <c r="H24" s="4"/>
      <c r="I24" s="4"/>
      <c r="J24" s="4"/>
      <c r="K24" s="4"/>
      <c r="L24" s="13"/>
      <c r="M24" s="4"/>
    </row>
    <row r="25" spans="1:13" s="6" customFormat="1" ht="13.5" thickBot="1">
      <c r="B25" s="433" t="s">
        <v>349</v>
      </c>
      <c r="C25" s="435" t="s">
        <v>1</v>
      </c>
      <c r="D25" s="435"/>
      <c r="E25" s="436" t="s">
        <v>2</v>
      </c>
    </row>
    <row r="26" spans="1:13">
      <c r="B26" s="125" t="s">
        <v>391</v>
      </c>
      <c r="C26" s="195" t="s">
        <v>44</v>
      </c>
      <c r="D26" s="891"/>
      <c r="E26" s="889">
        <v>1220.18</v>
      </c>
      <c r="F26" s="512"/>
      <c r="M26" s="5"/>
    </row>
    <row r="27" spans="1:13">
      <c r="B27" s="563" t="s">
        <v>748</v>
      </c>
      <c r="C27" s="434" t="s">
        <v>41</v>
      </c>
      <c r="D27" s="892"/>
      <c r="E27" s="889">
        <v>1191.55</v>
      </c>
      <c r="M27" s="5"/>
    </row>
    <row r="28" spans="1:13">
      <c r="B28" s="563" t="s">
        <v>477</v>
      </c>
      <c r="C28" s="434" t="s">
        <v>351</v>
      </c>
      <c r="D28" s="892"/>
      <c r="E28" s="889">
        <v>752.24</v>
      </c>
      <c r="F28" s="512"/>
      <c r="M28" s="5"/>
    </row>
    <row r="29" spans="1:13">
      <c r="B29" s="563" t="s">
        <v>3</v>
      </c>
      <c r="C29" s="434" t="s">
        <v>42</v>
      </c>
      <c r="D29" s="892"/>
      <c r="E29" s="889">
        <v>837.04</v>
      </c>
      <c r="F29" s="900"/>
      <c r="G29" s="963"/>
      <c r="M29" s="5"/>
    </row>
    <row r="30" spans="1:13">
      <c r="B30" s="47" t="s">
        <v>4</v>
      </c>
      <c r="C30" s="75" t="s">
        <v>40</v>
      </c>
      <c r="D30" s="893"/>
      <c r="E30" s="890">
        <v>927.03</v>
      </c>
      <c r="M30" s="5"/>
    </row>
    <row r="31" spans="1:13">
      <c r="B31" s="47" t="s">
        <v>393</v>
      </c>
      <c r="C31" s="75" t="s">
        <v>392</v>
      </c>
      <c r="D31" s="893"/>
      <c r="E31" s="890">
        <v>692</v>
      </c>
      <c r="F31" s="301"/>
      <c r="M31" s="5"/>
    </row>
    <row r="32" spans="1:13">
      <c r="B32" s="47" t="s">
        <v>784</v>
      </c>
      <c r="C32" s="75" t="s">
        <v>779</v>
      </c>
      <c r="D32" s="893"/>
      <c r="E32" s="890">
        <v>792</v>
      </c>
      <c r="F32" s="301"/>
      <c r="G32" s="661"/>
      <c r="H32" s="662"/>
      <c r="I32" s="4"/>
      <c r="J32" s="4"/>
      <c r="M32" s="5"/>
    </row>
    <row r="33" spans="1:13" ht="13.5" thickBot="1">
      <c r="B33" s="942" t="s">
        <v>365</v>
      </c>
      <c r="C33" s="943" t="s">
        <v>366</v>
      </c>
      <c r="D33" s="944"/>
      <c r="E33" s="909">
        <v>990</v>
      </c>
      <c r="F33" s="301"/>
      <c r="M33" s="5"/>
    </row>
    <row r="34" spans="1:13" s="4" customFormat="1" ht="13.5" thickBot="1">
      <c r="B34" s="302"/>
      <c r="C34" s="441"/>
      <c r="D34" s="441"/>
      <c r="E34" s="449">
        <f>SUM(E26:E33)</f>
        <v>7402.04</v>
      </c>
      <c r="F34" s="442"/>
    </row>
    <row r="35" spans="1:13">
      <c r="B35" s="567" t="s">
        <v>477</v>
      </c>
      <c r="C35" s="195" t="s">
        <v>285</v>
      </c>
      <c r="D35" s="195"/>
      <c r="E35" s="450">
        <v>500</v>
      </c>
      <c r="M35" s="5"/>
    </row>
    <row r="36" spans="1:13">
      <c r="B36" s="82" t="s">
        <v>11</v>
      </c>
      <c r="C36" s="138" t="s">
        <v>25</v>
      </c>
      <c r="D36" s="138"/>
      <c r="E36" s="454">
        <f>950</f>
        <v>950</v>
      </c>
      <c r="M36" s="5"/>
    </row>
    <row r="37" spans="1:13" ht="13.5" thickBot="1">
      <c r="B37" s="126" t="s">
        <v>58</v>
      </c>
      <c r="C37" s="444" t="s">
        <v>59</v>
      </c>
      <c r="D37" s="444"/>
      <c r="E37" s="452">
        <v>952.5</v>
      </c>
      <c r="M37" s="5"/>
    </row>
    <row r="38" spans="1:13" ht="13.5" thickBot="1">
      <c r="B38" s="11"/>
      <c r="C38" s="445" t="s">
        <v>0</v>
      </c>
      <c r="D38" s="445"/>
      <c r="E38" s="453">
        <f>SUM(E34:E37)</f>
        <v>9804.5400000000009</v>
      </c>
      <c r="M38" s="5"/>
    </row>
    <row r="39" spans="1:13" ht="12.75" customHeight="1">
      <c r="B39" s="11"/>
      <c r="C39" s="28"/>
      <c r="D39" s="28"/>
      <c r="E39" s="32"/>
      <c r="F39" s="32"/>
      <c r="G39" s="32"/>
      <c r="H39" s="32"/>
      <c r="I39" s="32"/>
      <c r="J39" s="32"/>
      <c r="K39" s="32"/>
      <c r="L39" s="32"/>
      <c r="M39" s="32"/>
    </row>
    <row r="40" spans="1:13" s="437" customFormat="1" ht="6.75" customHeight="1">
      <c r="B40" s="438"/>
      <c r="C40" s="439"/>
      <c r="D40" s="439"/>
      <c r="E40" s="440"/>
      <c r="F40" s="440"/>
      <c r="G40" s="440"/>
      <c r="H40" s="440"/>
      <c r="I40" s="440"/>
      <c r="J40" s="440"/>
      <c r="K40" s="440"/>
      <c r="L40" s="440"/>
      <c r="M40" s="440"/>
    </row>
    <row r="41" spans="1:13" ht="19.5" customHeight="1">
      <c r="A41" s="660"/>
      <c r="B41" s="432" t="s">
        <v>348</v>
      </c>
      <c r="C41" s="717" t="s">
        <v>884</v>
      </c>
      <c r="D41" s="457"/>
      <c r="E41" s="32"/>
      <c r="F41" s="32"/>
      <c r="G41" s="32"/>
      <c r="H41" s="32"/>
      <c r="I41" s="32"/>
      <c r="J41" s="32"/>
      <c r="K41" s="32"/>
      <c r="L41" s="32"/>
      <c r="M41" s="5"/>
    </row>
    <row r="42" spans="1:13" ht="19.5" customHeight="1">
      <c r="B42" s="432" t="s">
        <v>350</v>
      </c>
      <c r="C42" s="1018">
        <v>42053</v>
      </c>
      <c r="D42" s="1018"/>
      <c r="E42" s="32"/>
      <c r="F42" s="32"/>
      <c r="G42" s="32"/>
      <c r="H42" s="32"/>
      <c r="I42" s="32"/>
      <c r="J42" s="32"/>
      <c r="K42" s="32"/>
      <c r="L42" s="32"/>
      <c r="M42" s="5"/>
    </row>
    <row r="43" spans="1:13" ht="4.5" customHeight="1">
      <c r="B43" s="2"/>
      <c r="C43" s="76"/>
      <c r="D43" s="76"/>
      <c r="E43" s="1019"/>
      <c r="F43" s="1019"/>
      <c r="G43" s="3"/>
      <c r="H43" s="4"/>
      <c r="I43" s="4"/>
      <c r="J43" s="4"/>
      <c r="K43" s="4"/>
      <c r="L43" s="13"/>
      <c r="M43" s="4"/>
    </row>
    <row r="44" spans="1:13" s="6" customFormat="1" ht="13.5" thickBot="1">
      <c r="B44" s="433" t="s">
        <v>349</v>
      </c>
      <c r="C44" s="435" t="s">
        <v>1</v>
      </c>
      <c r="D44" s="435"/>
      <c r="E44" s="436" t="s">
        <v>2</v>
      </c>
    </row>
    <row r="45" spans="1:13">
      <c r="B45" s="125" t="s">
        <v>391</v>
      </c>
      <c r="C45" s="195" t="s">
        <v>44</v>
      </c>
      <c r="D45" s="891"/>
      <c r="E45" s="889">
        <v>1220.1099999999999</v>
      </c>
      <c r="F45" s="512"/>
      <c r="M45" s="5"/>
    </row>
    <row r="46" spans="1:13">
      <c r="B46" s="563" t="s">
        <v>748</v>
      </c>
      <c r="C46" s="434" t="s">
        <v>41</v>
      </c>
      <c r="D46" s="892"/>
      <c r="E46" s="889">
        <v>1191.7</v>
      </c>
      <c r="M46" s="5"/>
    </row>
    <row r="47" spans="1:13">
      <c r="B47" s="563" t="s">
        <v>477</v>
      </c>
      <c r="C47" s="434" t="s">
        <v>351</v>
      </c>
      <c r="D47" s="892"/>
      <c r="E47" s="889">
        <v>752.24</v>
      </c>
      <c r="M47" s="5"/>
    </row>
    <row r="48" spans="1:13">
      <c r="B48" s="563" t="s">
        <v>3</v>
      </c>
      <c r="C48" s="434" t="s">
        <v>42</v>
      </c>
      <c r="D48" s="892"/>
      <c r="E48" s="889">
        <v>837.04</v>
      </c>
      <c r="F48" s="900"/>
      <c r="M48" s="5"/>
    </row>
    <row r="49" spans="1:13">
      <c r="B49" s="47" t="s">
        <v>4</v>
      </c>
      <c r="C49" s="75" t="s">
        <v>40</v>
      </c>
      <c r="D49" s="893"/>
      <c r="E49" s="890">
        <v>927.03</v>
      </c>
      <c r="M49" s="5"/>
    </row>
    <row r="50" spans="1:13">
      <c r="B50" s="47" t="s">
        <v>393</v>
      </c>
      <c r="C50" s="75" t="s">
        <v>392</v>
      </c>
      <c r="D50" s="893"/>
      <c r="E50" s="890">
        <v>692</v>
      </c>
      <c r="F50" s="301"/>
      <c r="G50" s="5" t="s">
        <v>888</v>
      </c>
      <c r="H50" s="5" t="s">
        <v>889</v>
      </c>
      <c r="M50" s="5"/>
    </row>
    <row r="51" spans="1:13">
      <c r="B51" s="47" t="s">
        <v>784</v>
      </c>
      <c r="C51" s="75" t="s">
        <v>779</v>
      </c>
      <c r="D51" s="893"/>
      <c r="E51" s="890">
        <v>792</v>
      </c>
      <c r="F51" s="301"/>
      <c r="G51" s="661"/>
      <c r="H51" s="662"/>
      <c r="I51" s="4"/>
      <c r="J51" s="4"/>
      <c r="M51" s="5"/>
    </row>
    <row r="52" spans="1:13" ht="13.5" thickBot="1">
      <c r="B52" s="942" t="s">
        <v>365</v>
      </c>
      <c r="C52" s="943" t="s">
        <v>366</v>
      </c>
      <c r="D52" s="944"/>
      <c r="E52" s="909">
        <v>990</v>
      </c>
      <c r="F52" s="301"/>
      <c r="M52" s="5"/>
    </row>
    <row r="53" spans="1:13" s="4" customFormat="1" ht="13.5" thickBot="1">
      <c r="B53" s="302"/>
      <c r="C53" s="441"/>
      <c r="D53" s="441"/>
      <c r="E53" s="449">
        <f>SUM(E45:E52)</f>
        <v>7402.12</v>
      </c>
      <c r="F53" s="442"/>
    </row>
    <row r="54" spans="1:13">
      <c r="B54" s="567" t="s">
        <v>477</v>
      </c>
      <c r="C54" s="195" t="s">
        <v>285</v>
      </c>
      <c r="D54" s="195"/>
      <c r="E54" s="450">
        <v>500</v>
      </c>
      <c r="M54" s="5"/>
    </row>
    <row r="55" spans="1:13">
      <c r="B55" s="82" t="s">
        <v>11</v>
      </c>
      <c r="C55" s="138" t="s">
        <v>25</v>
      </c>
      <c r="D55" s="138"/>
      <c r="E55" s="454">
        <v>950</v>
      </c>
      <c r="M55" s="5"/>
    </row>
    <row r="56" spans="1:13" ht="13.5" thickBot="1">
      <c r="B56" s="126" t="s">
        <v>58</v>
      </c>
      <c r="C56" s="444" t="s">
        <v>59</v>
      </c>
      <c r="D56" s="444"/>
      <c r="E56" s="452">
        <v>952.5</v>
      </c>
      <c r="M56" s="5"/>
    </row>
    <row r="57" spans="1:13" ht="13.5" thickBot="1">
      <c r="B57" s="11"/>
      <c r="C57" s="445" t="s">
        <v>0</v>
      </c>
      <c r="D57" s="445"/>
      <c r="E57" s="453">
        <f>SUM(E53:E56)</f>
        <v>9804.619999999999</v>
      </c>
      <c r="M57" s="5"/>
    </row>
    <row r="58" spans="1:13" ht="12.75" customHeight="1">
      <c r="B58" s="11"/>
      <c r="C58" s="28"/>
      <c r="D58" s="28"/>
      <c r="E58" s="32"/>
      <c r="F58" s="32"/>
      <c r="G58" s="32"/>
      <c r="H58" s="32"/>
      <c r="I58" s="32"/>
      <c r="J58" s="32"/>
      <c r="K58" s="32"/>
      <c r="L58" s="32"/>
      <c r="M58" s="32"/>
    </row>
    <row r="59" spans="1:13" s="437" customFormat="1" ht="6.75" customHeight="1">
      <c r="B59" s="438"/>
      <c r="C59" s="439"/>
      <c r="D59" s="439"/>
      <c r="E59" s="440"/>
      <c r="F59" s="440"/>
      <c r="G59" s="440"/>
      <c r="H59" s="440"/>
      <c r="I59" s="440"/>
      <c r="J59" s="440"/>
      <c r="K59" s="440"/>
      <c r="L59" s="440"/>
      <c r="M59" s="440"/>
    </row>
    <row r="60" spans="1:13" ht="19.5" customHeight="1">
      <c r="A60" s="660"/>
      <c r="B60" s="432" t="s">
        <v>348</v>
      </c>
      <c r="C60" s="717" t="s">
        <v>885</v>
      </c>
      <c r="D60" s="457"/>
      <c r="E60" s="32"/>
      <c r="F60" s="32"/>
      <c r="G60" s="32"/>
      <c r="H60" s="32"/>
      <c r="I60" s="32"/>
      <c r="J60" s="32"/>
      <c r="K60" s="32"/>
      <c r="L60" s="32"/>
      <c r="M60" s="5"/>
    </row>
    <row r="61" spans="1:13" ht="19.5" customHeight="1">
      <c r="B61" s="432" t="s">
        <v>350</v>
      </c>
      <c r="C61" s="1018">
        <v>42060</v>
      </c>
      <c r="D61" s="1018"/>
      <c r="E61" s="32"/>
      <c r="F61" s="32"/>
      <c r="G61" s="32"/>
      <c r="H61" s="32"/>
      <c r="I61" s="32"/>
      <c r="J61" s="32"/>
      <c r="K61" s="32"/>
      <c r="L61" s="32"/>
      <c r="M61" s="5"/>
    </row>
    <row r="62" spans="1:13" ht="4.5" customHeight="1">
      <c r="B62" s="2"/>
      <c r="C62" s="76"/>
      <c r="D62" s="76"/>
      <c r="E62" s="1019"/>
      <c r="F62" s="1019"/>
      <c r="G62" s="3"/>
      <c r="H62" s="4"/>
      <c r="I62" s="4"/>
      <c r="J62" s="4"/>
      <c r="K62" s="4"/>
      <c r="L62" s="13"/>
      <c r="M62" s="4"/>
    </row>
    <row r="63" spans="1:13" s="6" customFormat="1" ht="13.5" thickBot="1">
      <c r="B63" s="433" t="s">
        <v>349</v>
      </c>
      <c r="C63" s="435" t="s">
        <v>1</v>
      </c>
      <c r="D63" s="435"/>
      <c r="E63" s="436" t="s">
        <v>2</v>
      </c>
    </row>
    <row r="64" spans="1:13">
      <c r="B64" s="125" t="s">
        <v>391</v>
      </c>
      <c r="C64" s="195" t="s">
        <v>44</v>
      </c>
      <c r="D64" s="891"/>
      <c r="E64" s="889">
        <v>1220.02</v>
      </c>
      <c r="M64" s="5"/>
    </row>
    <row r="65" spans="1:13">
      <c r="B65" s="563" t="s">
        <v>748</v>
      </c>
      <c r="C65" s="434" t="s">
        <v>41</v>
      </c>
      <c r="D65" s="892"/>
      <c r="E65" s="889">
        <v>1191.5999999999999</v>
      </c>
      <c r="M65" s="5"/>
    </row>
    <row r="66" spans="1:13">
      <c r="B66" s="563" t="s">
        <v>477</v>
      </c>
      <c r="C66" s="434" t="s">
        <v>351</v>
      </c>
      <c r="D66" s="892"/>
      <c r="E66" s="889">
        <v>752.24</v>
      </c>
      <c r="F66" s="963"/>
      <c r="M66" s="5"/>
    </row>
    <row r="67" spans="1:13">
      <c r="B67" s="563" t="s">
        <v>3</v>
      </c>
      <c r="C67" s="434" t="s">
        <v>42</v>
      </c>
      <c r="D67" s="892"/>
      <c r="E67" s="889">
        <v>837.04</v>
      </c>
      <c r="F67" s="900"/>
      <c r="M67" s="5"/>
    </row>
    <row r="68" spans="1:13">
      <c r="B68" s="47" t="s">
        <v>4</v>
      </c>
      <c r="C68" s="75" t="s">
        <v>40</v>
      </c>
      <c r="D68" s="893"/>
      <c r="E68" s="890">
        <v>927.03</v>
      </c>
      <c r="M68" s="5"/>
    </row>
    <row r="69" spans="1:13">
      <c r="B69" s="47" t="s">
        <v>393</v>
      </c>
      <c r="C69" s="75" t="s">
        <v>392</v>
      </c>
      <c r="D69" s="893"/>
      <c r="E69" s="890">
        <v>692</v>
      </c>
      <c r="F69" s="301"/>
      <c r="M69" s="5"/>
    </row>
    <row r="70" spans="1:13">
      <c r="B70" s="47" t="s">
        <v>784</v>
      </c>
      <c r="C70" s="75" t="s">
        <v>779</v>
      </c>
      <c r="D70" s="893"/>
      <c r="E70" s="890">
        <v>792</v>
      </c>
      <c r="F70" s="301"/>
      <c r="G70" s="661"/>
      <c r="H70" s="662"/>
      <c r="I70" s="4"/>
      <c r="J70" s="4"/>
      <c r="M70" s="5"/>
    </row>
    <row r="71" spans="1:13" ht="13.5" thickBot="1">
      <c r="B71" s="942" t="s">
        <v>365</v>
      </c>
      <c r="C71" s="943" t="s">
        <v>366</v>
      </c>
      <c r="D71" s="944"/>
      <c r="E71" s="909">
        <v>990</v>
      </c>
      <c r="F71" s="301"/>
      <c r="M71" s="5"/>
    </row>
    <row r="72" spans="1:13" s="4" customFormat="1" ht="13.5" thickBot="1">
      <c r="B72" s="302"/>
      <c r="C72" s="441"/>
      <c r="D72" s="441"/>
      <c r="E72" s="449">
        <f>SUM(E64:E71)</f>
        <v>7401.9299999999994</v>
      </c>
      <c r="F72" s="442"/>
    </row>
    <row r="73" spans="1:13">
      <c r="B73" s="567" t="s">
        <v>477</v>
      </c>
      <c r="C73" s="195" t="s">
        <v>285</v>
      </c>
      <c r="D73" s="195"/>
      <c r="E73" s="450">
        <v>500</v>
      </c>
      <c r="M73" s="5"/>
    </row>
    <row r="74" spans="1:13">
      <c r="B74" s="82" t="s">
        <v>11</v>
      </c>
      <c r="C74" s="138" t="s">
        <v>25</v>
      </c>
      <c r="D74" s="138"/>
      <c r="E74" s="454">
        <v>950</v>
      </c>
      <c r="M74" s="5"/>
    </row>
    <row r="75" spans="1:13" ht="13.5" thickBot="1">
      <c r="B75" s="126" t="s">
        <v>58</v>
      </c>
      <c r="C75" s="444" t="s">
        <v>59</v>
      </c>
      <c r="D75" s="444"/>
      <c r="E75" s="452">
        <v>952.5</v>
      </c>
      <c r="M75" s="5"/>
    </row>
    <row r="76" spans="1:13" ht="13.5" thickBot="1">
      <c r="B76" s="11"/>
      <c r="C76" s="445" t="s">
        <v>0</v>
      </c>
      <c r="D76" s="445"/>
      <c r="E76" s="453">
        <f>SUM(E72:E75)</f>
        <v>9804.43</v>
      </c>
      <c r="M76" s="5"/>
    </row>
    <row r="77" spans="1:13">
      <c r="B77" s="11"/>
      <c r="C77" s="445"/>
      <c r="D77" s="445"/>
      <c r="E77" s="623"/>
      <c r="M77" s="5"/>
    </row>
    <row r="78" spans="1:13" s="7" customFormat="1" ht="13.15" customHeight="1">
      <c r="A78" s="56" t="s">
        <v>30</v>
      </c>
      <c r="B78" s="57" t="s">
        <v>31</v>
      </c>
      <c r="C78" s="57"/>
      <c r="D78" s="455">
        <f>Nikki!E1557</f>
        <v>8796.1200000000008</v>
      </c>
      <c r="E78" s="908"/>
      <c r="F78" s="56" t="s">
        <v>38</v>
      </c>
      <c r="G78" s="57" t="s">
        <v>39</v>
      </c>
      <c r="H78" s="455">
        <v>1200</v>
      </c>
      <c r="I78" s="938"/>
      <c r="J78" s="908"/>
      <c r="K78" s="458"/>
      <c r="L78" s="458"/>
      <c r="M78" s="458"/>
    </row>
    <row r="79" spans="1:13" s="7" customFormat="1" ht="13.15" customHeight="1">
      <c r="A79" s="56" t="s">
        <v>32</v>
      </c>
      <c r="B79" s="57" t="s">
        <v>131</v>
      </c>
      <c r="C79" s="57"/>
      <c r="D79" s="455">
        <f>Nikki!E1558</f>
        <v>973.13999999999987</v>
      </c>
      <c r="E79" s="908"/>
      <c r="F79" s="56" t="s">
        <v>38</v>
      </c>
      <c r="G79" s="57" t="s">
        <v>107</v>
      </c>
      <c r="H79" s="455">
        <f>120000*15%/12</f>
        <v>1500</v>
      </c>
      <c r="I79" s="938"/>
      <c r="J79" s="908"/>
      <c r="K79" s="458"/>
      <c r="L79" s="458"/>
      <c r="M79" s="458"/>
    </row>
    <row r="80" spans="1:13" s="7" customFormat="1" ht="13.15" customHeight="1">
      <c r="A80" s="56" t="s">
        <v>33</v>
      </c>
      <c r="B80" s="57" t="s">
        <v>34</v>
      </c>
      <c r="C80" s="57"/>
      <c r="D80" s="455">
        <v>311.83999999999997</v>
      </c>
      <c r="E80" s="455"/>
      <c r="F80" s="56" t="s">
        <v>45</v>
      </c>
      <c r="G80" s="57" t="s">
        <v>39</v>
      </c>
      <c r="H80" s="455">
        <v>1800</v>
      </c>
      <c r="I80" s="938"/>
      <c r="J80" s="908"/>
      <c r="K80" s="458"/>
      <c r="L80" s="458"/>
      <c r="M80" s="458"/>
    </row>
    <row r="81" spans="1:13" s="7" customFormat="1" ht="13.15" customHeight="1">
      <c r="A81" s="56" t="s">
        <v>736</v>
      </c>
      <c r="B81" s="57" t="s">
        <v>738</v>
      </c>
      <c r="C81" s="57"/>
      <c r="D81" s="455">
        <v>472.63</v>
      </c>
      <c r="E81" s="455"/>
      <c r="F81" s="56" t="s">
        <v>32</v>
      </c>
      <c r="G81" s="57" t="s">
        <v>108</v>
      </c>
      <c r="H81" s="455">
        <v>1015</v>
      </c>
      <c r="I81" s="938"/>
      <c r="J81" s="908"/>
      <c r="K81" s="458"/>
      <c r="L81" s="458"/>
      <c r="M81" s="458"/>
    </row>
    <row r="82" spans="1:13" s="7" customFormat="1" ht="13.15" customHeight="1">
      <c r="A82" s="56" t="s">
        <v>736</v>
      </c>
      <c r="B82" s="57" t="s">
        <v>739</v>
      </c>
      <c r="C82" s="57"/>
      <c r="D82" s="455">
        <v>86.94</v>
      </c>
      <c r="E82" s="455"/>
      <c r="F82" s="56" t="s">
        <v>230</v>
      </c>
      <c r="G82" s="57" t="s">
        <v>232</v>
      </c>
      <c r="H82" s="455">
        <v>500</v>
      </c>
      <c r="I82" s="938"/>
      <c r="J82" s="908"/>
      <c r="K82" s="458"/>
      <c r="L82" s="458"/>
      <c r="M82" s="458"/>
    </row>
    <row r="83" spans="1:13" s="7" customFormat="1" ht="13.15" customHeight="1">
      <c r="A83" s="56" t="s">
        <v>36</v>
      </c>
      <c r="B83" s="57" t="s">
        <v>37</v>
      </c>
      <c r="C83" s="455"/>
      <c r="D83" s="455">
        <v>8000</v>
      </c>
      <c r="E83" s="908"/>
      <c r="F83" s="56" t="s">
        <v>231</v>
      </c>
      <c r="G83" s="57" t="s">
        <v>233</v>
      </c>
      <c r="H83" s="455">
        <v>500</v>
      </c>
      <c r="I83" s="938"/>
      <c r="J83" s="908"/>
      <c r="K83" s="458"/>
      <c r="L83" s="458"/>
      <c r="M83" s="458"/>
    </row>
    <row r="84" spans="1:13" s="7" customFormat="1" ht="13.15" customHeight="1">
      <c r="A84" s="56" t="s">
        <v>35</v>
      </c>
      <c r="B84" s="57" t="s">
        <v>186</v>
      </c>
      <c r="C84" s="455"/>
      <c r="D84" s="455">
        <v>1000</v>
      </c>
      <c r="E84" s="455"/>
      <c r="F84" s="56" t="s">
        <v>33</v>
      </c>
      <c r="G84" s="57" t="s">
        <v>46</v>
      </c>
      <c r="H84" s="455">
        <v>11000</v>
      </c>
      <c r="I84" s="938"/>
      <c r="J84" s="908"/>
    </row>
    <row r="85" spans="1:13" s="7" customFormat="1" ht="13.15" customHeight="1">
      <c r="A85" s="56"/>
      <c r="B85" s="57" t="s">
        <v>106</v>
      </c>
      <c r="C85" s="455"/>
      <c r="D85" s="455">
        <v>5000</v>
      </c>
      <c r="E85" s="455"/>
      <c r="F85" s="139" t="s">
        <v>65</v>
      </c>
      <c r="G85" s="57" t="s">
        <v>47</v>
      </c>
      <c r="H85" s="455">
        <v>11000</v>
      </c>
      <c r="I85" s="455"/>
      <c r="J85" s="459"/>
    </row>
    <row r="86" spans="1:13" s="7" customFormat="1" ht="13.15" customHeight="1" thickBot="1">
      <c r="B86" s="56"/>
      <c r="C86" s="57"/>
      <c r="D86" s="57"/>
      <c r="E86" s="455"/>
      <c r="F86" s="56"/>
      <c r="G86" s="57"/>
      <c r="H86" s="456"/>
      <c r="I86" s="659"/>
      <c r="J86" s="459"/>
    </row>
    <row r="87" spans="1:13" s="7" customFormat="1" ht="13.15" customHeight="1" thickTop="1" thickBot="1">
      <c r="B87" s="56"/>
      <c r="C87" s="57"/>
      <c r="D87" s="57"/>
      <c r="E87" s="455"/>
      <c r="F87" s="61"/>
      <c r="G87" s="57"/>
      <c r="H87" s="659">
        <f>SUM(H78:H86)+SUM(D78:D85)</f>
        <v>53155.67</v>
      </c>
      <c r="I87" s="132"/>
      <c r="J87" s="459"/>
    </row>
    <row r="88" spans="1:13" s="7" customFormat="1" ht="13.15" customHeight="1" thickBot="1">
      <c r="B88" s="56"/>
      <c r="C88" s="57"/>
      <c r="D88" s="9"/>
      <c r="E88" s="455"/>
      <c r="F88" s="61"/>
      <c r="G88" s="474" t="s">
        <v>5</v>
      </c>
      <c r="H88" s="475">
        <f>E76+H87</f>
        <v>62960.1</v>
      </c>
      <c r="I88" s="659"/>
      <c r="J88" s="459"/>
    </row>
    <row r="89" spans="1:13" s="7" customFormat="1" ht="13.15" customHeight="1">
      <c r="B89" s="56"/>
      <c r="C89" s="57"/>
      <c r="D89" s="8"/>
      <c r="E89" s="455"/>
      <c r="F89" s="58"/>
      <c r="G89" s="57"/>
      <c r="H89" s="659"/>
      <c r="I89" s="659"/>
      <c r="J89" s="459"/>
    </row>
    <row r="90" spans="1:13" s="7" customFormat="1" ht="13.15" customHeight="1">
      <c r="B90" s="56"/>
      <c r="C90" s="57"/>
      <c r="D90" s="8"/>
      <c r="E90" s="455"/>
      <c r="F90" s="61"/>
      <c r="G90" s="57"/>
      <c r="H90" s="659"/>
      <c r="I90" s="659"/>
      <c r="J90" s="459"/>
    </row>
    <row r="91" spans="1:13" s="7" customFormat="1" ht="13.15" customHeight="1">
      <c r="A91" s="9"/>
      <c r="B91" s="10"/>
      <c r="C91" s="9"/>
      <c r="D91" s="8"/>
      <c r="E91" s="455"/>
      <c r="F91" s="61"/>
      <c r="G91" s="474"/>
      <c r="H91" s="513"/>
      <c r="I91" s="659"/>
      <c r="J91" s="459"/>
    </row>
    <row r="92" spans="1:13" s="7" customFormat="1" ht="13.15" customHeight="1">
      <c r="A92" s="9"/>
      <c r="B92" s="10"/>
      <c r="C92" s="8"/>
      <c r="D92" s="8"/>
      <c r="E92" s="9"/>
      <c r="F92" s="58"/>
      <c r="G92" s="57"/>
      <c r="H92" s="659"/>
      <c r="I92" s="659"/>
      <c r="J92" s="459"/>
    </row>
    <row r="93" spans="1:13" s="7" customFormat="1" ht="13.15" customHeight="1">
      <c r="A93" s="9"/>
      <c r="B93" s="10"/>
      <c r="C93" s="8"/>
      <c r="D93" s="8"/>
      <c r="E93" s="9"/>
      <c r="F93" s="9"/>
      <c r="G93" s="9"/>
      <c r="H93" s="9"/>
      <c r="I93" s="659"/>
      <c r="J93" s="459"/>
    </row>
    <row r="94" spans="1:13" s="7" customFormat="1" ht="13.15" customHeight="1">
      <c r="A94" s="9"/>
      <c r="B94" s="10"/>
      <c r="C94" s="8"/>
      <c r="D94" s="8"/>
      <c r="E94" s="9"/>
      <c r="F94" s="9"/>
      <c r="G94" s="9"/>
      <c r="H94" s="9"/>
      <c r="I94" s="659"/>
      <c r="J94" s="459"/>
    </row>
    <row r="95" spans="1:13" s="7" customFormat="1" ht="13.15" customHeight="1">
      <c r="A95" s="9"/>
      <c r="B95" s="10"/>
      <c r="C95" s="8"/>
      <c r="D95" s="9"/>
      <c r="E95" s="9"/>
      <c r="F95" s="9"/>
      <c r="G95" s="9"/>
      <c r="H95" s="9"/>
      <c r="I95" s="659"/>
      <c r="J95" s="459"/>
    </row>
    <row r="96" spans="1:13" s="7" customFormat="1" ht="13.15" customHeight="1">
      <c r="A96" s="9"/>
      <c r="B96" s="10"/>
      <c r="C96" s="8"/>
      <c r="D96" s="9"/>
      <c r="E96" s="9"/>
      <c r="F96" s="9"/>
      <c r="G96" s="9"/>
      <c r="H96" s="9"/>
      <c r="I96" s="659"/>
      <c r="J96" s="459"/>
    </row>
    <row r="97" spans="1:13" s="7" customFormat="1" ht="13.15" customHeight="1">
      <c r="A97" s="9"/>
      <c r="B97" s="10"/>
      <c r="C97" s="8"/>
      <c r="D97" s="9"/>
      <c r="E97" s="9"/>
      <c r="F97" s="9"/>
      <c r="G97" s="9"/>
      <c r="H97" s="9"/>
      <c r="I97" s="659"/>
      <c r="J97" s="459"/>
    </row>
    <row r="98" spans="1:13" s="9" customFormat="1" ht="12">
      <c r="B98" s="10"/>
      <c r="M98" s="10"/>
    </row>
    <row r="99" spans="1:13" s="9" customFormat="1" ht="12">
      <c r="B99" s="10"/>
      <c r="M99" s="10"/>
    </row>
    <row r="100" spans="1:13" s="9" customFormat="1" ht="12">
      <c r="B100" s="10"/>
      <c r="M100" s="10"/>
    </row>
    <row r="101" spans="1:13" s="9" customFormat="1">
      <c r="B101" s="10"/>
      <c r="D101" s="5"/>
      <c r="M101" s="10"/>
    </row>
    <row r="102" spans="1:13" s="9" customFormat="1">
      <c r="B102" s="10"/>
      <c r="D102" s="5"/>
      <c r="M102" s="10"/>
    </row>
    <row r="103" spans="1:13" s="9" customFormat="1">
      <c r="B103" s="10"/>
      <c r="D103" s="5"/>
      <c r="M103" s="10"/>
    </row>
    <row r="104" spans="1:13" s="9" customFormat="1">
      <c r="B104" s="12"/>
      <c r="C104" s="5"/>
      <c r="D104" s="5"/>
      <c r="M104" s="10"/>
    </row>
    <row r="105" spans="1:13" s="9" customFormat="1">
      <c r="B105" s="12"/>
      <c r="C105" s="5"/>
      <c r="D105" s="5"/>
      <c r="E105" s="5"/>
      <c r="M105" s="10"/>
    </row>
    <row r="106" spans="1:13" s="9" customFormat="1">
      <c r="B106" s="12"/>
      <c r="C106" s="5"/>
      <c r="D106" s="5"/>
      <c r="E106" s="5"/>
      <c r="F106" s="5"/>
      <c r="G106" s="5"/>
      <c r="H106" s="5"/>
      <c r="M106" s="10"/>
    </row>
    <row r="107" spans="1:13" s="9" customFormat="1">
      <c r="B107" s="12"/>
      <c r="C107" s="5"/>
      <c r="D107" s="5"/>
      <c r="E107" s="5"/>
      <c r="F107" s="5"/>
      <c r="G107" s="5"/>
      <c r="H107" s="5"/>
      <c r="M107" s="10"/>
    </row>
    <row r="108" spans="1:13" s="9" customFormat="1">
      <c r="A108" s="5"/>
      <c r="B108" s="12"/>
      <c r="C108" s="5"/>
      <c r="D108" s="5"/>
      <c r="E108" s="5"/>
      <c r="F108" s="5"/>
      <c r="G108" s="5"/>
      <c r="H108" s="5"/>
      <c r="M108" s="10"/>
    </row>
    <row r="109" spans="1:13" s="9" customFormat="1">
      <c r="A109" s="5"/>
      <c r="B109" s="12"/>
      <c r="C109" s="5"/>
      <c r="D109" s="5"/>
      <c r="E109" s="5"/>
      <c r="F109" s="5"/>
      <c r="G109" s="5"/>
      <c r="H109" s="5"/>
      <c r="M109" s="10"/>
    </row>
    <row r="110" spans="1:13" s="9" customFormat="1">
      <c r="A110" s="5"/>
      <c r="B110" s="12"/>
      <c r="C110" s="5"/>
      <c r="D110" s="5"/>
      <c r="E110" s="5"/>
      <c r="F110" s="5"/>
      <c r="G110" s="5"/>
      <c r="H110" s="5"/>
      <c r="M110" s="10"/>
    </row>
    <row r="111" spans="1:13" s="9" customFormat="1">
      <c r="A111" s="5"/>
      <c r="B111" s="12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10"/>
    </row>
    <row r="112" spans="1:13" s="9" customFormat="1">
      <c r="A112" s="5"/>
      <c r="B112" s="12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10"/>
    </row>
    <row r="113" spans="1:13" s="9" customFormat="1">
      <c r="A113" s="5"/>
      <c r="B113" s="12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10"/>
    </row>
    <row r="114" spans="1:13" s="9" customFormat="1">
      <c r="A114" s="5"/>
      <c r="B114" s="12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10"/>
    </row>
  </sheetData>
  <mergeCells count="9">
    <mergeCell ref="E43:F43"/>
    <mergeCell ref="C61:D61"/>
    <mergeCell ref="E62:F62"/>
    <mergeCell ref="A1:H1"/>
    <mergeCell ref="C4:D4"/>
    <mergeCell ref="E5:F5"/>
    <mergeCell ref="C23:D23"/>
    <mergeCell ref="E24:F24"/>
    <mergeCell ref="C42:D42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M39" sqref="M39"/>
    </sheetView>
  </sheetViews>
  <sheetFormatPr defaultRowHeight="12.75"/>
  <cols>
    <col min="1" max="1" width="2" customWidth="1"/>
    <col min="2" max="2" width="6.28515625" customWidth="1"/>
    <col min="4" max="4" width="11.140625" customWidth="1"/>
    <col min="5" max="5" width="8.140625" style="696" customWidth="1"/>
    <col min="6" max="6" width="9.42578125" customWidth="1"/>
    <col min="7" max="7" width="10" customWidth="1"/>
    <col min="8" max="8" width="2.7109375" customWidth="1"/>
    <col min="9" max="9" width="9.5703125" customWidth="1"/>
    <col min="10" max="10" width="11" customWidth="1"/>
    <col min="11" max="11" width="10.7109375" style="238" customWidth="1"/>
    <col min="12" max="12" width="10.7109375" customWidth="1"/>
  </cols>
  <sheetData>
    <row r="1" spans="1:13" ht="18.75">
      <c r="A1" s="686" t="s">
        <v>481</v>
      </c>
      <c r="B1" s="686"/>
    </row>
    <row r="2" spans="1:13" s="431" customFormat="1" ht="21.95" customHeight="1">
      <c r="A2" s="1023" t="s">
        <v>484</v>
      </c>
      <c r="B2" s="1023"/>
      <c r="C2" s="1029"/>
      <c r="D2" s="1029"/>
      <c r="E2" s="693" t="s">
        <v>483</v>
      </c>
      <c r="F2" s="431" t="s">
        <v>2</v>
      </c>
      <c r="G2" s="431" t="s">
        <v>0</v>
      </c>
      <c r="I2" s="704" t="s">
        <v>482</v>
      </c>
      <c r="J2" s="705" t="s">
        <v>485</v>
      </c>
      <c r="K2" s="706" t="s">
        <v>489</v>
      </c>
    </row>
    <row r="3" spans="1:13">
      <c r="B3" s="688" t="s">
        <v>391</v>
      </c>
      <c r="C3" s="689" t="s">
        <v>44</v>
      </c>
      <c r="D3" s="689"/>
      <c r="E3" s="697">
        <f>950+(150+100)/4</f>
        <v>1012.5</v>
      </c>
      <c r="F3" s="690">
        <v>1360.6</v>
      </c>
      <c r="G3" s="690">
        <f t="shared" ref="G3:G11" si="0">SUM(E3:F3)</f>
        <v>2373.1</v>
      </c>
      <c r="H3" s="687"/>
      <c r="I3" s="694">
        <v>41030</v>
      </c>
      <c r="J3" s="698">
        <v>0.13</v>
      </c>
      <c r="K3" s="685" t="s">
        <v>490</v>
      </c>
    </row>
    <row r="4" spans="1:13">
      <c r="B4" s="688" t="s">
        <v>477</v>
      </c>
      <c r="C4" s="689" t="s">
        <v>351</v>
      </c>
      <c r="D4" s="689"/>
      <c r="E4" s="697"/>
      <c r="F4" s="690">
        <v>752.24</v>
      </c>
      <c r="G4" s="690">
        <f t="shared" si="0"/>
        <v>752.24</v>
      </c>
      <c r="H4" s="687"/>
      <c r="I4" s="694">
        <v>41091</v>
      </c>
      <c r="J4" s="698"/>
      <c r="K4"/>
    </row>
    <row r="5" spans="1:13">
      <c r="B5" s="688" t="s">
        <v>3</v>
      </c>
      <c r="C5" s="689" t="s">
        <v>42</v>
      </c>
      <c r="D5" s="689"/>
      <c r="E5" s="697"/>
      <c r="F5" s="690">
        <v>937.04</v>
      </c>
      <c r="G5" s="690">
        <f t="shared" si="0"/>
        <v>937.04</v>
      </c>
      <c r="H5" s="687"/>
      <c r="I5" s="694">
        <v>40575</v>
      </c>
      <c r="J5" s="698">
        <v>0.2</v>
      </c>
      <c r="K5"/>
    </row>
    <row r="6" spans="1:13">
      <c r="B6" s="688" t="s">
        <v>4</v>
      </c>
      <c r="C6" s="689" t="s">
        <v>40</v>
      </c>
      <c r="D6" s="689"/>
      <c r="E6" s="697"/>
      <c r="F6" s="690">
        <v>873.83</v>
      </c>
      <c r="G6" s="690">
        <f t="shared" si="0"/>
        <v>873.83</v>
      </c>
      <c r="H6" s="687"/>
      <c r="I6" s="694">
        <v>40575</v>
      </c>
      <c r="J6" s="698">
        <v>0.25</v>
      </c>
      <c r="K6"/>
    </row>
    <row r="7" spans="1:13">
      <c r="B7" s="688" t="s">
        <v>393</v>
      </c>
      <c r="C7" s="689" t="s">
        <v>392</v>
      </c>
      <c r="D7" s="689"/>
      <c r="E7" s="697"/>
      <c r="F7" s="690">
        <v>792</v>
      </c>
      <c r="G7" s="690">
        <f t="shared" si="0"/>
        <v>792</v>
      </c>
      <c r="H7" s="687"/>
      <c r="I7" s="695" t="s">
        <v>15</v>
      </c>
      <c r="J7" s="699" t="s">
        <v>15</v>
      </c>
      <c r="K7"/>
    </row>
    <row r="8" spans="1:13">
      <c r="B8" s="688" t="s">
        <v>365</v>
      </c>
      <c r="C8" s="689" t="s">
        <v>366</v>
      </c>
      <c r="D8" s="689"/>
      <c r="E8" s="697"/>
      <c r="F8" s="690">
        <v>1188</v>
      </c>
      <c r="G8" s="690">
        <f t="shared" si="0"/>
        <v>1188</v>
      </c>
      <c r="H8" s="687"/>
      <c r="I8" s="695" t="s">
        <v>15</v>
      </c>
      <c r="J8" s="702"/>
      <c r="K8" s="702" t="s">
        <v>488</v>
      </c>
    </row>
    <row r="9" spans="1:13">
      <c r="B9" s="688" t="s">
        <v>29</v>
      </c>
      <c r="C9" s="691" t="s">
        <v>41</v>
      </c>
      <c r="D9" s="691"/>
      <c r="E9" s="697">
        <v>907.5</v>
      </c>
      <c r="F9" s="690">
        <v>1165.31</v>
      </c>
      <c r="G9" s="690">
        <f t="shared" si="0"/>
        <v>2072.81</v>
      </c>
      <c r="H9" s="687"/>
      <c r="I9" s="694">
        <v>40575</v>
      </c>
      <c r="J9" s="698">
        <v>0.15</v>
      </c>
      <c r="K9"/>
    </row>
    <row r="10" spans="1:13">
      <c r="B10" s="688" t="s">
        <v>166</v>
      </c>
      <c r="C10" s="691" t="s">
        <v>173</v>
      </c>
      <c r="D10" s="691"/>
      <c r="E10" s="697">
        <f>1000/4</f>
        <v>250</v>
      </c>
      <c r="F10" s="690">
        <f>792-250</f>
        <v>542</v>
      </c>
      <c r="G10" s="690">
        <f t="shared" si="0"/>
        <v>792</v>
      </c>
      <c r="H10" s="687"/>
      <c r="I10" s="695" t="s">
        <v>15</v>
      </c>
      <c r="J10" s="699" t="s">
        <v>15</v>
      </c>
      <c r="K10"/>
    </row>
    <row r="11" spans="1:13" ht="13.5" thickBot="1">
      <c r="B11" s="688" t="s">
        <v>477</v>
      </c>
      <c r="C11" s="689" t="s">
        <v>285</v>
      </c>
      <c r="D11" s="689"/>
      <c r="E11" s="697"/>
      <c r="F11" s="690">
        <v>500</v>
      </c>
      <c r="G11" s="690">
        <f t="shared" si="0"/>
        <v>500</v>
      </c>
      <c r="H11" s="687"/>
      <c r="I11" s="694">
        <v>40575</v>
      </c>
      <c r="J11" s="698">
        <v>0.25</v>
      </c>
      <c r="K11"/>
    </row>
    <row r="12" spans="1:13" ht="13.5" thickBot="1">
      <c r="B12" s="11"/>
      <c r="C12" s="445"/>
      <c r="D12" s="445"/>
      <c r="E12" s="445"/>
      <c r="F12" s="445" t="s">
        <v>487</v>
      </c>
      <c r="G12" s="692">
        <f>SUM(G3:G11)</f>
        <v>10281.02</v>
      </c>
      <c r="H12" s="623"/>
      <c r="J12" s="238"/>
      <c r="K12"/>
    </row>
    <row r="13" spans="1:13">
      <c r="B13" s="11"/>
      <c r="C13" s="445"/>
      <c r="D13" s="445"/>
      <c r="E13" s="445"/>
      <c r="F13" s="445"/>
      <c r="G13" s="623"/>
      <c r="H13" s="623"/>
      <c r="J13" s="238"/>
      <c r="K13"/>
    </row>
    <row r="14" spans="1:13">
      <c r="E14" s="1025" t="s">
        <v>491</v>
      </c>
      <c r="F14" s="1027" t="s">
        <v>485</v>
      </c>
      <c r="G14" s="1025" t="s">
        <v>492</v>
      </c>
      <c r="K14" s="1024" t="s">
        <v>493</v>
      </c>
      <c r="L14" s="1024"/>
    </row>
    <row r="15" spans="1:13" ht="10.5" customHeight="1">
      <c r="A15" s="701" t="s">
        <v>486</v>
      </c>
      <c r="B15" s="700"/>
      <c r="E15" s="1026"/>
      <c r="F15" s="1028"/>
      <c r="G15" s="1026"/>
      <c r="H15" s="711"/>
      <c r="I15" s="431" t="s">
        <v>2</v>
      </c>
      <c r="J15" s="431" t="s">
        <v>0</v>
      </c>
      <c r="K15" s="706" t="s">
        <v>494</v>
      </c>
      <c r="L15" s="705" t="s">
        <v>495</v>
      </c>
      <c r="M15" s="238"/>
    </row>
    <row r="16" spans="1:13">
      <c r="B16" s="688" t="s">
        <v>391</v>
      </c>
      <c r="C16" s="689" t="s">
        <v>44</v>
      </c>
      <c r="D16" s="689"/>
      <c r="E16" s="708">
        <v>69</v>
      </c>
      <c r="F16" s="712">
        <v>8</v>
      </c>
      <c r="G16" s="703">
        <f t="shared" ref="G16:G24" si="1">E16+E16*(F16/100)</f>
        <v>74.52</v>
      </c>
      <c r="H16" s="703"/>
      <c r="I16" s="690">
        <v>1528.63</v>
      </c>
      <c r="J16" s="690">
        <f t="shared" ref="J16:J24" si="2">I16+E3</f>
        <v>2541.13</v>
      </c>
      <c r="K16" s="687">
        <f t="shared" ref="K16:K24" si="3">I16-F3</f>
        <v>168.0300000000002</v>
      </c>
      <c r="L16" s="707">
        <f t="shared" ref="L16:L24" si="4">K16*4</f>
        <v>672.1200000000008</v>
      </c>
      <c r="M16" s="238"/>
    </row>
    <row r="17" spans="2:14">
      <c r="B17" s="688" t="s">
        <v>477</v>
      </c>
      <c r="C17" s="689" t="s">
        <v>351</v>
      </c>
      <c r="D17" s="689"/>
      <c r="E17" s="708">
        <v>19</v>
      </c>
      <c r="F17" s="712">
        <v>8</v>
      </c>
      <c r="G17" s="703">
        <f t="shared" si="1"/>
        <v>20.52</v>
      </c>
      <c r="H17" s="703"/>
      <c r="I17" s="690">
        <v>826.16</v>
      </c>
      <c r="J17" s="690">
        <f t="shared" si="2"/>
        <v>826.16</v>
      </c>
      <c r="K17" s="713">
        <f t="shared" si="3"/>
        <v>73.919999999999959</v>
      </c>
      <c r="L17" s="714">
        <f t="shared" si="4"/>
        <v>295.67999999999984</v>
      </c>
      <c r="M17" s="238"/>
    </row>
    <row r="18" spans="2:14">
      <c r="B18" s="688" t="s">
        <v>3</v>
      </c>
      <c r="C18" s="689" t="s">
        <v>42</v>
      </c>
      <c r="D18" s="689"/>
      <c r="E18" s="708">
        <v>24</v>
      </c>
      <c r="F18" s="712">
        <v>15</v>
      </c>
      <c r="G18" s="703">
        <f t="shared" si="1"/>
        <v>27.6</v>
      </c>
      <c r="H18" s="703"/>
      <c r="I18" s="690">
        <v>1084.8800000000001</v>
      </c>
      <c r="J18" s="690">
        <f t="shared" si="2"/>
        <v>1084.8800000000001</v>
      </c>
      <c r="K18" s="687">
        <f t="shared" si="3"/>
        <v>147.84000000000015</v>
      </c>
      <c r="L18" s="707">
        <f t="shared" si="4"/>
        <v>591.36000000000058</v>
      </c>
      <c r="M18" s="238"/>
    </row>
    <row r="19" spans="2:14">
      <c r="B19" s="688" t="s">
        <v>4</v>
      </c>
      <c r="C19" s="689" t="s">
        <v>40</v>
      </c>
      <c r="D19" s="689"/>
      <c r="E19" s="708">
        <v>22.29</v>
      </c>
      <c r="F19" s="712">
        <v>15</v>
      </c>
      <c r="G19" s="703">
        <f t="shared" si="1"/>
        <v>25.633499999999998</v>
      </c>
      <c r="H19" s="703"/>
      <c r="I19" s="690">
        <v>1010.96</v>
      </c>
      <c r="J19" s="690">
        <f t="shared" si="2"/>
        <v>1010.96</v>
      </c>
      <c r="K19" s="713">
        <f t="shared" si="3"/>
        <v>137.13</v>
      </c>
      <c r="L19" s="714">
        <f t="shared" si="4"/>
        <v>548.52</v>
      </c>
      <c r="M19" s="238"/>
    </row>
    <row r="20" spans="2:14">
      <c r="B20" s="688" t="s">
        <v>393</v>
      </c>
      <c r="C20" s="689" t="s">
        <v>392</v>
      </c>
      <c r="D20" s="689"/>
      <c r="E20" s="708">
        <v>20</v>
      </c>
      <c r="F20" s="712">
        <v>15</v>
      </c>
      <c r="G20" s="703">
        <f t="shared" si="1"/>
        <v>23</v>
      </c>
      <c r="H20" s="703"/>
      <c r="I20" s="690">
        <v>910.8</v>
      </c>
      <c r="J20" s="690">
        <f t="shared" si="2"/>
        <v>910.8</v>
      </c>
      <c r="K20" s="687">
        <f t="shared" si="3"/>
        <v>118.79999999999995</v>
      </c>
      <c r="L20" s="707">
        <f t="shared" si="4"/>
        <v>475.19999999999982</v>
      </c>
      <c r="M20" s="238"/>
    </row>
    <row r="21" spans="2:14">
      <c r="B21" s="688" t="s">
        <v>365</v>
      </c>
      <c r="C21" s="689" t="s">
        <v>366</v>
      </c>
      <c r="D21" s="689"/>
      <c r="E21" s="708">
        <v>30</v>
      </c>
      <c r="F21" s="712">
        <v>8</v>
      </c>
      <c r="G21" s="703">
        <f t="shared" si="1"/>
        <v>32.4</v>
      </c>
      <c r="H21" s="703"/>
      <c r="I21" s="690">
        <v>1256.71</v>
      </c>
      <c r="J21" s="690">
        <f t="shared" si="2"/>
        <v>1256.71</v>
      </c>
      <c r="K21" s="713">
        <f t="shared" si="3"/>
        <v>68.710000000000036</v>
      </c>
      <c r="L21" s="714">
        <f t="shared" si="4"/>
        <v>274.84000000000015</v>
      </c>
      <c r="M21" s="238"/>
    </row>
    <row r="22" spans="2:14">
      <c r="B22" s="688" t="s">
        <v>29</v>
      </c>
      <c r="C22" s="691" t="s">
        <v>41</v>
      </c>
      <c r="D22" s="691"/>
      <c r="E22" s="708">
        <v>32.29</v>
      </c>
      <c r="F22" s="712">
        <v>15</v>
      </c>
      <c r="G22" s="703">
        <f t="shared" si="1"/>
        <v>37.133499999999998</v>
      </c>
      <c r="H22" s="703"/>
      <c r="I22" s="690">
        <v>1318.02</v>
      </c>
      <c r="J22" s="690">
        <f t="shared" si="2"/>
        <v>2225.52</v>
      </c>
      <c r="K22" s="687">
        <f t="shared" si="3"/>
        <v>152.71000000000004</v>
      </c>
      <c r="L22" s="707">
        <f t="shared" si="4"/>
        <v>610.84000000000015</v>
      </c>
      <c r="M22" s="238"/>
    </row>
    <row r="23" spans="2:14">
      <c r="B23" s="688" t="s">
        <v>166</v>
      </c>
      <c r="C23" s="691" t="s">
        <v>173</v>
      </c>
      <c r="D23" s="691"/>
      <c r="E23" s="708">
        <v>20</v>
      </c>
      <c r="F23" s="712">
        <v>15</v>
      </c>
      <c r="G23" s="703">
        <f t="shared" si="1"/>
        <v>23</v>
      </c>
      <c r="H23" s="703"/>
      <c r="I23" s="690">
        <v>660.8</v>
      </c>
      <c r="J23" s="690">
        <f t="shared" si="2"/>
        <v>910.8</v>
      </c>
      <c r="K23" s="713">
        <f t="shared" si="3"/>
        <v>118.79999999999995</v>
      </c>
      <c r="L23" s="714">
        <f t="shared" si="4"/>
        <v>475.19999999999982</v>
      </c>
      <c r="M23" s="238"/>
    </row>
    <row r="24" spans="2:14" ht="13.5" thickBot="1">
      <c r="B24" s="688" t="s">
        <v>477</v>
      </c>
      <c r="C24" s="689" t="s">
        <v>285</v>
      </c>
      <c r="D24" s="689"/>
      <c r="E24" s="708">
        <v>12.5</v>
      </c>
      <c r="F24" s="712">
        <v>10</v>
      </c>
      <c r="G24" s="703">
        <f t="shared" si="1"/>
        <v>13.75</v>
      </c>
      <c r="H24" s="703"/>
      <c r="I24" s="690">
        <f>G24*40</f>
        <v>550</v>
      </c>
      <c r="J24" s="690">
        <f t="shared" si="2"/>
        <v>550</v>
      </c>
      <c r="K24" s="713">
        <f t="shared" si="3"/>
        <v>50</v>
      </c>
      <c r="L24" s="714">
        <f t="shared" si="4"/>
        <v>200</v>
      </c>
      <c r="M24" s="238"/>
    </row>
    <row r="25" spans="2:14" ht="13.5" thickBot="1">
      <c r="B25" s="11"/>
      <c r="C25" s="445"/>
      <c r="D25" s="445"/>
      <c r="E25" s="445"/>
      <c r="F25" s="445"/>
      <c r="G25" s="445"/>
      <c r="H25" s="445"/>
      <c r="I25" s="445" t="s">
        <v>487</v>
      </c>
      <c r="J25" s="692">
        <f>SUM(J16:J24)</f>
        <v>11316.96</v>
      </c>
      <c r="K25" s="623"/>
      <c r="L25" s="707"/>
      <c r="N25" s="238"/>
    </row>
    <row r="26" spans="2:14">
      <c r="J26" s="707">
        <f>J25-G12</f>
        <v>1035.9399999999987</v>
      </c>
      <c r="K26" s="715">
        <f>SUM(K16:K24)</f>
        <v>1035.9400000000003</v>
      </c>
      <c r="L26" s="707">
        <f>SUM(L16:L25)</f>
        <v>4143.7600000000011</v>
      </c>
    </row>
  </sheetData>
  <mergeCells count="6">
    <mergeCell ref="A2:B2"/>
    <mergeCell ref="K14:L14"/>
    <mergeCell ref="E14:E15"/>
    <mergeCell ref="F14:F15"/>
    <mergeCell ref="G14:G15"/>
    <mergeCell ref="C2:D2"/>
  </mergeCells>
  <pageMargins left="0.25" right="0.25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I1583"/>
  <sheetViews>
    <sheetView zoomScaleNormal="100" workbookViewId="0">
      <selection activeCell="R9" sqref="R9"/>
    </sheetView>
  </sheetViews>
  <sheetFormatPr defaultRowHeight="12.75"/>
  <cols>
    <col min="1" max="1" width="1.28515625" customWidth="1"/>
    <col min="2" max="2" width="1.7109375" customWidth="1"/>
    <col min="3" max="3" width="2.7109375" customWidth="1"/>
    <col min="4" max="4" width="18.140625" customWidth="1"/>
    <col min="5" max="5" width="13.5703125" style="14" customWidth="1"/>
    <col min="6" max="6" width="2.28515625" customWidth="1"/>
    <col min="7" max="7" width="1.28515625" style="23" customWidth="1"/>
    <col min="8" max="8" width="12.28515625" customWidth="1"/>
    <col min="9" max="9" width="4.7109375" customWidth="1"/>
    <col min="10" max="10" width="5" customWidth="1"/>
    <col min="11" max="11" width="5" style="254" customWidth="1"/>
    <col min="12" max="12" width="13.42578125" customWidth="1"/>
    <col min="13" max="13" width="12.7109375" style="14" customWidth="1"/>
    <col min="14" max="14" width="12.5703125" customWidth="1"/>
    <col min="15" max="15" width="3" customWidth="1"/>
    <col min="16" max="16" width="12.5703125" style="14" customWidth="1"/>
    <col min="17" max="17" width="12.7109375" style="14" customWidth="1"/>
    <col min="18" max="18" width="13.42578125" style="14" customWidth="1"/>
    <col min="19" max="19" width="13.140625" style="374" customWidth="1"/>
    <col min="20" max="20" width="13.7109375" customWidth="1"/>
    <col min="21" max="21" width="4" customWidth="1"/>
    <col min="22" max="22" width="12.42578125" customWidth="1"/>
    <col min="23" max="23" width="2.85546875" customWidth="1"/>
    <col min="24" max="24" width="7.85546875" customWidth="1"/>
    <col min="25" max="25" width="8.85546875" customWidth="1"/>
    <col min="26" max="26" width="12.7109375" style="14" customWidth="1"/>
    <col min="27" max="27" width="8" style="110" customWidth="1"/>
    <col min="28" max="28" width="11.7109375" style="14" customWidth="1"/>
    <col min="29" max="29" width="11.7109375" customWidth="1"/>
    <col min="30" max="30" width="13" customWidth="1"/>
    <col min="31" max="31" width="10.140625" customWidth="1"/>
    <col min="32" max="32" width="9.85546875" customWidth="1"/>
  </cols>
  <sheetData>
    <row r="1" spans="1:35" ht="16.5" customHeight="1">
      <c r="A1" s="347" t="s">
        <v>6</v>
      </c>
      <c r="B1" s="346"/>
      <c r="G1" s="1049"/>
      <c r="H1" s="1049"/>
      <c r="I1" s="343"/>
    </row>
    <row r="2" spans="1:35" s="335" customFormat="1" ht="3" customHeight="1">
      <c r="E2" s="336"/>
      <c r="G2" s="337"/>
      <c r="H2" s="338"/>
      <c r="I2" s="344"/>
      <c r="K2" s="339"/>
      <c r="N2" s="336"/>
      <c r="O2" s="336"/>
      <c r="P2" s="336"/>
      <c r="Q2" s="336"/>
      <c r="R2" s="336"/>
      <c r="S2" s="375"/>
      <c r="T2" s="336"/>
      <c r="X2" s="340"/>
      <c r="Y2" s="341"/>
      <c r="Z2" s="342"/>
      <c r="AA2" s="338"/>
      <c r="AB2" s="342"/>
    </row>
    <row r="3" spans="1:35" s="328" customFormat="1" ht="6" customHeight="1">
      <c r="E3" s="329"/>
      <c r="G3" s="330"/>
      <c r="H3" s="331"/>
      <c r="I3" s="345"/>
      <c r="K3" s="332"/>
      <c r="N3" s="329"/>
      <c r="O3" s="329"/>
      <c r="P3" s="329"/>
      <c r="Q3" s="329"/>
      <c r="R3" s="329"/>
      <c r="S3" s="376"/>
      <c r="T3" s="329"/>
      <c r="X3" s="333"/>
      <c r="Y3" s="334"/>
      <c r="Z3" s="48"/>
      <c r="AA3" s="331"/>
      <c r="AB3" s="48"/>
    </row>
    <row r="4" spans="1:35" ht="12.75" customHeight="1">
      <c r="B4" s="1030" t="s">
        <v>893</v>
      </c>
      <c r="C4" s="1030"/>
      <c r="D4" s="1030"/>
      <c r="E4" s="1030"/>
      <c r="G4" s="261"/>
      <c r="H4" s="658"/>
      <c r="I4" s="26"/>
      <c r="K4" s="258"/>
      <c r="L4" s="100"/>
      <c r="M4" s="1031" t="s">
        <v>54</v>
      </c>
      <c r="N4" s="259"/>
      <c r="O4" s="67"/>
      <c r="P4" s="1033" t="s">
        <v>48</v>
      </c>
      <c r="Q4" s="1035" t="s">
        <v>749</v>
      </c>
      <c r="R4" s="1035"/>
      <c r="S4" s="377"/>
      <c r="X4" s="35"/>
      <c r="Y4" s="35"/>
      <c r="Z4" s="26"/>
      <c r="AA4" s="120"/>
      <c r="AB4" s="26"/>
      <c r="AC4" s="20"/>
      <c r="AD4" s="20"/>
      <c r="AE4" s="20"/>
      <c r="AF4" s="20"/>
      <c r="AG4" s="20"/>
      <c r="AH4" s="20"/>
      <c r="AI4" s="20"/>
    </row>
    <row r="5" spans="1:35" ht="12.75" customHeight="1">
      <c r="C5" s="17" t="s">
        <v>357</v>
      </c>
      <c r="D5" s="14"/>
      <c r="E5" s="877">
        <v>8796.1200000000008</v>
      </c>
      <c r="G5" s="1036"/>
      <c r="H5" s="1036"/>
      <c r="I5" s="26"/>
      <c r="K5" s="260" t="s">
        <v>221</v>
      </c>
      <c r="L5" s="156"/>
      <c r="M5" s="1032"/>
      <c r="N5" s="259" t="s">
        <v>43</v>
      </c>
      <c r="O5" s="67"/>
      <c r="P5" s="1034"/>
      <c r="Q5" s="271" t="s">
        <v>43</v>
      </c>
      <c r="R5" s="272" t="s">
        <v>53</v>
      </c>
      <c r="S5" s="377"/>
      <c r="X5" s="118"/>
      <c r="Y5" s="111"/>
      <c r="Z5" s="117"/>
      <c r="AA5" s="89"/>
      <c r="AB5" s="90"/>
      <c r="AC5" s="20"/>
      <c r="AD5" s="41"/>
      <c r="AE5" s="20"/>
      <c r="AF5" s="20"/>
      <c r="AG5" s="20"/>
      <c r="AH5" s="20"/>
      <c r="AI5" s="20"/>
    </row>
    <row r="6" spans="1:35" ht="12.75" customHeight="1">
      <c r="C6" s="17"/>
      <c r="D6" s="14" t="s">
        <v>24</v>
      </c>
      <c r="E6" s="45">
        <f>'[1]MAR ''15'!$C$17</f>
        <v>1442.99</v>
      </c>
      <c r="G6" s="30"/>
      <c r="H6" s="624"/>
      <c r="I6" s="26"/>
      <c r="K6" s="273"/>
      <c r="L6" s="235" t="s">
        <v>226</v>
      </c>
      <c r="M6" s="196">
        <f>$M$1582</f>
        <v>603.19009400002346</v>
      </c>
      <c r="N6" s="71">
        <f>M6</f>
        <v>603.19009400002346</v>
      </c>
      <c r="O6" s="26"/>
      <c r="P6" s="45">
        <f>$Q$1564</f>
        <v>-27224.397278480999</v>
      </c>
      <c r="Q6" s="71">
        <f>P6</f>
        <v>-27224.397278480999</v>
      </c>
      <c r="R6" s="45">
        <f>28000+Q6</f>
        <v>775.60272151900062</v>
      </c>
      <c r="S6" s="378" t="s">
        <v>298</v>
      </c>
      <c r="T6" s="367" t="s">
        <v>299</v>
      </c>
      <c r="W6" s="392"/>
      <c r="X6" s="111"/>
      <c r="Y6" s="111"/>
      <c r="Z6" s="45"/>
      <c r="AA6" s="488"/>
      <c r="AB6" s="26"/>
      <c r="AC6" s="20"/>
      <c r="AD6" s="92"/>
      <c r="AE6" s="93"/>
      <c r="AF6" s="20"/>
      <c r="AG6" s="20"/>
      <c r="AH6" s="20"/>
      <c r="AI6" s="20"/>
    </row>
    <row r="7" spans="1:35" ht="12.75" customHeight="1">
      <c r="C7" s="18" t="s">
        <v>5</v>
      </c>
      <c r="D7" s="14"/>
      <c r="E7" s="14">
        <f>SUM(E5:E6)</f>
        <v>10239.11</v>
      </c>
      <c r="G7" s="30"/>
      <c r="H7" s="624"/>
      <c r="I7" s="26"/>
      <c r="K7" s="297"/>
      <c r="L7" s="184"/>
      <c r="M7" s="45"/>
      <c r="N7" s="538">
        <f>N6+M7</f>
        <v>603.19009400002346</v>
      </c>
      <c r="O7" s="39"/>
      <c r="P7" s="543">
        <v>-124.08</v>
      </c>
      <c r="Q7" s="72">
        <f>Q6+P7</f>
        <v>-27348.477278481001</v>
      </c>
      <c r="R7" s="45">
        <f>28000+Q7</f>
        <v>651.52272151899888</v>
      </c>
      <c r="S7" s="373" t="s">
        <v>810</v>
      </c>
      <c r="T7" s="391" t="s">
        <v>549</v>
      </c>
      <c r="W7" s="111"/>
      <c r="X7" s="111"/>
      <c r="Y7" s="112"/>
      <c r="Z7" s="55"/>
      <c r="AA7" s="489"/>
      <c r="AB7" s="26"/>
      <c r="AC7" s="20"/>
      <c r="AD7" s="92"/>
      <c r="AE7" s="93"/>
      <c r="AF7" s="20"/>
      <c r="AG7" s="20"/>
      <c r="AH7" s="20"/>
      <c r="AI7" s="20"/>
    </row>
    <row r="8" spans="1:35" ht="12.75" customHeight="1">
      <c r="G8" s="242"/>
      <c r="H8" s="492"/>
      <c r="I8" s="26"/>
      <c r="K8" s="297"/>
      <c r="L8" s="116"/>
      <c r="M8" s="45"/>
      <c r="N8" s="538">
        <f>N7+M8</f>
        <v>603.19009400002346</v>
      </c>
      <c r="O8" s="253"/>
      <c r="P8" s="543">
        <v>-971.91</v>
      </c>
      <c r="Q8" s="72">
        <f t="shared" ref="Q8:Q25" si="0">Q7+P8</f>
        <v>-28320.387278481001</v>
      </c>
      <c r="R8" s="45">
        <f>28000+Q8</f>
        <v>-320.38727848100098</v>
      </c>
      <c r="S8" s="373" t="s">
        <v>282</v>
      </c>
      <c r="T8" s="391" t="s">
        <v>549</v>
      </c>
      <c r="W8" s="112"/>
      <c r="X8" s="112"/>
      <c r="Y8" s="112"/>
      <c r="Z8" s="55"/>
      <c r="AA8" s="489"/>
      <c r="AB8" s="26"/>
      <c r="AC8" s="20"/>
      <c r="AD8" s="92"/>
      <c r="AE8" s="93"/>
      <c r="AF8" s="20"/>
      <c r="AG8" s="20"/>
      <c r="AH8" s="20"/>
      <c r="AI8" s="20"/>
    </row>
    <row r="9" spans="1:35" ht="12.75" customHeight="1">
      <c r="A9" s="319"/>
      <c r="C9" s="81" t="s">
        <v>17</v>
      </c>
      <c r="E9" s="42"/>
      <c r="G9" s="20"/>
      <c r="H9" s="490"/>
      <c r="I9" s="26"/>
      <c r="K9" s="297" t="s">
        <v>223</v>
      </c>
      <c r="L9" s="184" t="s">
        <v>227</v>
      </c>
      <c r="M9" s="226">
        <v>-449</v>
      </c>
      <c r="N9" s="538">
        <f>N8+M9</f>
        <v>154.19009400002346</v>
      </c>
      <c r="O9" s="253"/>
      <c r="P9" s="412">
        <v>-345.7</v>
      </c>
      <c r="Q9" s="72">
        <f t="shared" si="0"/>
        <v>-28666.087278481002</v>
      </c>
      <c r="R9" s="45">
        <f t="shared" ref="R9:R25" si="1">28000+Q9</f>
        <v>-666.0872784810017</v>
      </c>
      <c r="S9" s="373" t="s">
        <v>253</v>
      </c>
      <c r="T9" s="391"/>
      <c r="W9" s="103"/>
      <c r="X9" s="111"/>
      <c r="Y9" s="112"/>
      <c r="Z9" s="55"/>
      <c r="AA9" s="489"/>
      <c r="AB9" s="95"/>
      <c r="AC9" s="20"/>
      <c r="AD9" s="96"/>
      <c r="AE9" s="93"/>
      <c r="AF9" s="20"/>
      <c r="AG9" s="20"/>
      <c r="AH9" s="20"/>
      <c r="AI9" s="20"/>
    </row>
    <row r="10" spans="1:35" ht="12.75" customHeight="1">
      <c r="A10" s="319"/>
      <c r="D10" s="20" t="s">
        <v>14</v>
      </c>
      <c r="E10" s="42">
        <f>E5</f>
        <v>8796.1200000000008</v>
      </c>
      <c r="F10" s="20"/>
      <c r="G10"/>
      <c r="H10" s="491"/>
      <c r="I10" s="26"/>
      <c r="K10" s="297" t="s">
        <v>223</v>
      </c>
      <c r="L10" s="116" t="s">
        <v>524</v>
      </c>
      <c r="M10" s="226">
        <v>-11</v>
      </c>
      <c r="N10" s="538">
        <f t="shared" ref="N10:N23" si="2">N9+M10</f>
        <v>143.19009400002346</v>
      </c>
      <c r="O10" s="253"/>
      <c r="P10" s="133"/>
      <c r="Q10" s="72">
        <f t="shared" ref="Q10:Q11" si="3">Q9+P10</f>
        <v>-28666.087278481002</v>
      </c>
      <c r="R10" s="45">
        <f t="shared" ref="R10:R11" si="4">28000+Q10</f>
        <v>-666.0872784810017</v>
      </c>
      <c r="S10" s="373"/>
      <c r="T10" s="391"/>
      <c r="U10" s="74"/>
      <c r="V10" s="26"/>
      <c r="W10" s="111"/>
      <c r="X10" s="111"/>
      <c r="Y10" s="112"/>
      <c r="Z10" s="55"/>
      <c r="AA10" s="489"/>
      <c r="AB10" s="26"/>
      <c r="AC10" s="20"/>
      <c r="AD10" s="41"/>
      <c r="AE10" s="93"/>
      <c r="AF10" s="20"/>
      <c r="AG10" s="20"/>
      <c r="AH10" s="20"/>
      <c r="AI10" s="20"/>
    </row>
    <row r="11" spans="1:35" ht="12.75" customHeight="1">
      <c r="A11" s="319"/>
      <c r="D11" s="78" t="s">
        <v>13</v>
      </c>
      <c r="E11" s="483">
        <f>SUM(E6:E6)</f>
        <v>1442.99</v>
      </c>
      <c r="F11" s="482"/>
      <c r="G11" s="20"/>
      <c r="H11" s="490"/>
      <c r="I11" s="26"/>
      <c r="K11" s="297"/>
      <c r="L11" s="116"/>
      <c r="M11" s="45"/>
      <c r="N11" s="538">
        <f t="shared" si="2"/>
        <v>143.19009400002346</v>
      </c>
      <c r="O11" s="253"/>
      <c r="P11" s="133"/>
      <c r="Q11" s="72">
        <f t="shared" si="3"/>
        <v>-28666.087278481002</v>
      </c>
      <c r="R11" s="45">
        <f t="shared" si="4"/>
        <v>-666.0872784810017</v>
      </c>
      <c r="S11" s="373"/>
      <c r="T11" s="391"/>
      <c r="U11" s="74"/>
      <c r="V11" s="26"/>
      <c r="W11" s="20"/>
      <c r="X11" s="20"/>
      <c r="Y11" s="112"/>
      <c r="Z11" s="43"/>
      <c r="AA11" s="94"/>
      <c r="AB11" s="26"/>
      <c r="AC11" s="20"/>
      <c r="AD11" s="92"/>
      <c r="AE11" s="93"/>
      <c r="AF11" s="20"/>
      <c r="AG11" s="20"/>
      <c r="AH11" s="20"/>
      <c r="AI11" s="20"/>
    </row>
    <row r="12" spans="1:35" ht="12.75" customHeight="1">
      <c r="A12" s="319"/>
      <c r="D12" s="20"/>
      <c r="E12" s="26"/>
      <c r="F12" s="122"/>
      <c r="G12" s="1037"/>
      <c r="H12" s="1037"/>
      <c r="I12" s="26"/>
      <c r="K12" s="297"/>
      <c r="L12" s="116"/>
      <c r="M12" s="45"/>
      <c r="N12" s="538">
        <f t="shared" si="2"/>
        <v>143.19009400002346</v>
      </c>
      <c r="O12" s="253"/>
      <c r="P12" s="133"/>
      <c r="Q12" s="72">
        <f t="shared" ref="Q12:Q23" si="5">Q11+P12</f>
        <v>-28666.087278481002</v>
      </c>
      <c r="R12" s="45">
        <f t="shared" ref="R12:R23" si="6">28000+Q12</f>
        <v>-666.0872784810017</v>
      </c>
      <c r="S12" s="373"/>
      <c r="T12" s="391"/>
      <c r="U12" s="74"/>
      <c r="V12" s="26"/>
      <c r="W12" s="26"/>
      <c r="X12" s="20"/>
      <c r="Y12" s="112"/>
      <c r="Z12" s="43"/>
      <c r="AA12" s="94"/>
      <c r="AB12" s="95"/>
      <c r="AC12" s="20"/>
      <c r="AD12" s="92"/>
      <c r="AE12" s="93"/>
      <c r="AF12" s="20"/>
      <c r="AG12" s="20"/>
      <c r="AH12" s="20"/>
      <c r="AI12" s="20"/>
    </row>
    <row r="13" spans="1:35" ht="12.75" customHeight="1">
      <c r="A13" s="319"/>
      <c r="D13" s="20"/>
      <c r="E13" s="26"/>
      <c r="F13" s="122"/>
      <c r="G13" s="1006"/>
      <c r="H13" s="1006"/>
      <c r="I13" s="26"/>
      <c r="K13" s="297"/>
      <c r="L13" s="116"/>
      <c r="M13" s="45"/>
      <c r="N13" s="538">
        <f t="shared" si="2"/>
        <v>143.19009400002346</v>
      </c>
      <c r="O13" s="253"/>
      <c r="P13" s="133"/>
      <c r="Q13" s="72">
        <f t="shared" si="5"/>
        <v>-28666.087278481002</v>
      </c>
      <c r="R13" s="45">
        <f t="shared" si="6"/>
        <v>-666.0872784810017</v>
      </c>
      <c r="S13" s="373"/>
      <c r="T13" s="391"/>
      <c r="U13" s="74"/>
      <c r="V13" s="26"/>
      <c r="W13" s="26"/>
      <c r="X13" s="20"/>
      <c r="Y13" s="112"/>
      <c r="Z13" s="239"/>
      <c r="AA13" s="94"/>
      <c r="AB13" s="95"/>
      <c r="AC13" s="20"/>
      <c r="AD13" s="92"/>
      <c r="AE13" s="93"/>
      <c r="AF13" s="20"/>
      <c r="AG13" s="20"/>
      <c r="AH13" s="20"/>
      <c r="AI13" s="20"/>
    </row>
    <row r="14" spans="1:35" ht="12.75" customHeight="1">
      <c r="A14" s="333"/>
      <c r="B14" s="333"/>
      <c r="C14" s="333"/>
      <c r="D14" s="133"/>
      <c r="E14" s="133"/>
      <c r="F14" s="50"/>
      <c r="G14" s="409"/>
      <c r="H14" s="401"/>
      <c r="I14" s="26"/>
      <c r="K14" s="258" t="s">
        <v>248</v>
      </c>
      <c r="L14" s="266" t="s">
        <v>51</v>
      </c>
      <c r="M14" s="775">
        <f>E10</f>
        <v>8796.1200000000008</v>
      </c>
      <c r="N14" s="538">
        <f t="shared" si="2"/>
        <v>8939.310094000024</v>
      </c>
      <c r="O14" s="253"/>
      <c r="P14" s="133"/>
      <c r="Q14" s="72">
        <f t="shared" si="5"/>
        <v>-28666.087278481002</v>
      </c>
      <c r="R14" s="45">
        <f t="shared" si="6"/>
        <v>-666.0872784810017</v>
      </c>
      <c r="S14" s="373"/>
      <c r="T14" s="391"/>
      <c r="U14" s="20"/>
      <c r="V14" s="26"/>
      <c r="W14" s="26"/>
      <c r="X14" s="91"/>
      <c r="Y14" s="20"/>
      <c r="Z14" s="239"/>
      <c r="AA14" s="94"/>
      <c r="AB14" s="26"/>
      <c r="AC14" s="20"/>
      <c r="AD14" s="20"/>
      <c r="AE14" s="20"/>
      <c r="AF14" s="20"/>
      <c r="AG14" s="20"/>
      <c r="AH14" s="20"/>
      <c r="AI14" s="20"/>
    </row>
    <row r="15" spans="1:35" ht="12.75" customHeight="1">
      <c r="A15" s="333"/>
      <c r="B15" s="333"/>
      <c r="C15" s="333"/>
      <c r="D15" s="133"/>
      <c r="E15" s="133"/>
      <c r="F15" s="50"/>
      <c r="G15" s="409"/>
      <c r="H15" s="401"/>
      <c r="I15" s="26"/>
      <c r="K15" s="258" t="s">
        <v>248</v>
      </c>
      <c r="L15" s="266" t="s">
        <v>895</v>
      </c>
      <c r="M15" s="952">
        <v>-3135</v>
      </c>
      <c r="N15" s="538">
        <f t="shared" si="2"/>
        <v>5804.310094000024</v>
      </c>
      <c r="O15" s="253"/>
      <c r="P15" s="133"/>
      <c r="Q15" s="72">
        <f t="shared" si="5"/>
        <v>-28666.087278481002</v>
      </c>
      <c r="R15" s="45">
        <f t="shared" si="6"/>
        <v>-666.0872784810017</v>
      </c>
      <c r="S15" s="373"/>
      <c r="T15" s="391"/>
      <c r="U15" s="20"/>
      <c r="V15" s="26"/>
      <c r="W15" s="26"/>
      <c r="X15" s="91"/>
      <c r="Y15" s="20"/>
      <c r="Z15" s="239"/>
      <c r="AA15" s="94"/>
      <c r="AB15" s="26"/>
      <c r="AC15" s="20"/>
      <c r="AD15" s="20"/>
      <c r="AE15" s="20"/>
      <c r="AF15" s="20"/>
      <c r="AG15" s="20"/>
      <c r="AH15" s="20"/>
      <c r="AI15" s="20"/>
    </row>
    <row r="16" spans="1:35" ht="12.75" customHeight="1">
      <c r="A16" s="333"/>
      <c r="B16" s="333"/>
      <c r="C16" s="333"/>
      <c r="D16" s="133"/>
      <c r="E16" s="133"/>
      <c r="F16" s="50"/>
      <c r="G16" s="409"/>
      <c r="H16" s="401"/>
      <c r="I16" s="26"/>
      <c r="J16" s="974"/>
      <c r="K16" s="258" t="s">
        <v>248</v>
      </c>
      <c r="L16" s="266" t="s">
        <v>552</v>
      </c>
      <c r="M16" s="108">
        <v>-300</v>
      </c>
      <c r="N16" s="538">
        <f t="shared" si="2"/>
        <v>5504.310094000024</v>
      </c>
      <c r="O16" s="253"/>
      <c r="P16" s="133"/>
      <c r="Q16" s="72">
        <f t="shared" si="5"/>
        <v>-28666.087278481002</v>
      </c>
      <c r="R16" s="45">
        <f t="shared" si="6"/>
        <v>-666.0872784810017</v>
      </c>
      <c r="S16" s="373"/>
      <c r="T16" s="391"/>
      <c r="U16" s="20"/>
      <c r="V16" s="26"/>
      <c r="W16" s="26"/>
      <c r="X16" s="91"/>
      <c r="Y16" s="20"/>
      <c r="Z16" s="239"/>
      <c r="AA16" s="94"/>
      <c r="AB16" s="26"/>
      <c r="AC16" s="20"/>
      <c r="AD16" s="20"/>
      <c r="AE16" s="20"/>
      <c r="AF16" s="20"/>
      <c r="AG16" s="20"/>
      <c r="AH16" s="20"/>
      <c r="AI16" s="20"/>
    </row>
    <row r="17" spans="1:35" ht="12.75" customHeight="1">
      <c r="A17" s="333"/>
      <c r="B17" s="333"/>
      <c r="C17" s="333"/>
      <c r="D17" s="133"/>
      <c r="E17" s="133"/>
      <c r="F17" s="50"/>
      <c r="G17" s="409"/>
      <c r="H17" s="401"/>
      <c r="I17" s="26"/>
      <c r="K17" s="258" t="s">
        <v>248</v>
      </c>
      <c r="L17" s="266" t="s">
        <v>195</v>
      </c>
      <c r="M17" s="226">
        <v>-2065.2199999999998</v>
      </c>
      <c r="N17" s="538">
        <f t="shared" si="2"/>
        <v>3439.0900940000242</v>
      </c>
      <c r="O17" s="253"/>
      <c r="P17" s="953"/>
      <c r="Q17" s="72">
        <f t="shared" si="5"/>
        <v>-28666.087278481002</v>
      </c>
      <c r="R17" s="45">
        <f t="shared" si="6"/>
        <v>-666.0872784810017</v>
      </c>
      <c r="S17" s="373"/>
      <c r="T17" s="391"/>
      <c r="U17" s="20"/>
      <c r="V17" s="26"/>
      <c r="W17" s="26"/>
      <c r="X17" s="91"/>
      <c r="Y17" s="20"/>
      <c r="Z17" s="239"/>
      <c r="AA17" s="94"/>
      <c r="AB17" s="26"/>
      <c r="AC17" s="20"/>
      <c r="AD17" s="20"/>
      <c r="AE17" s="20"/>
      <c r="AF17" s="20"/>
      <c r="AG17" s="20"/>
      <c r="AH17" s="20"/>
      <c r="AI17" s="20"/>
    </row>
    <row r="18" spans="1:35" ht="12.75" customHeight="1">
      <c r="A18" s="333"/>
      <c r="B18" s="333"/>
      <c r="C18" s="333"/>
      <c r="D18" s="133"/>
      <c r="E18" s="133"/>
      <c r="F18" s="50"/>
      <c r="G18" s="409"/>
      <c r="H18" s="401"/>
      <c r="I18" s="874"/>
      <c r="K18" s="85" t="s">
        <v>248</v>
      </c>
      <c r="L18" s="266" t="s">
        <v>180</v>
      </c>
      <c r="M18" s="226">
        <v>-59</v>
      </c>
      <c r="N18" s="538">
        <f t="shared" si="2"/>
        <v>3380.0900940000242</v>
      </c>
      <c r="O18" s="253"/>
      <c r="P18" s="543"/>
      <c r="Q18" s="72">
        <f t="shared" si="5"/>
        <v>-28666.087278481002</v>
      </c>
      <c r="R18" s="45">
        <f t="shared" si="6"/>
        <v>-666.0872784810017</v>
      </c>
      <c r="S18" s="373"/>
      <c r="T18" s="391"/>
      <c r="U18" s="20"/>
      <c r="V18" s="26"/>
      <c r="W18" s="26"/>
      <c r="X18" s="91"/>
      <c r="Y18" s="20"/>
      <c r="Z18" s="239"/>
      <c r="AA18" s="94"/>
      <c r="AB18" s="26"/>
      <c r="AC18" s="20"/>
      <c r="AD18" s="20"/>
      <c r="AE18" s="20"/>
      <c r="AF18" s="20"/>
      <c r="AG18" s="20"/>
      <c r="AH18" s="20"/>
      <c r="AI18" s="20"/>
    </row>
    <row r="19" spans="1:35" ht="12.75" customHeight="1">
      <c r="A19" s="333"/>
      <c r="B19" s="333"/>
      <c r="C19" s="333"/>
      <c r="D19" s="133"/>
      <c r="E19" s="133"/>
      <c r="F19" s="50"/>
      <c r="G19" s="409"/>
      <c r="H19" s="401"/>
      <c r="I19" s="315"/>
      <c r="J19" s="511"/>
      <c r="K19" s="258" t="s">
        <v>248</v>
      </c>
      <c r="L19" s="266" t="s">
        <v>61</v>
      </c>
      <c r="M19" s="226">
        <v>-588.51</v>
      </c>
      <c r="N19" s="538">
        <f t="shared" si="2"/>
        <v>2791.5800940000245</v>
      </c>
      <c r="O19" s="253"/>
      <c r="P19" s="543"/>
      <c r="Q19" s="72">
        <f t="shared" si="5"/>
        <v>-28666.087278481002</v>
      </c>
      <c r="R19" s="45">
        <f t="shared" si="6"/>
        <v>-666.0872784810017</v>
      </c>
      <c r="S19" s="373"/>
      <c r="T19" s="391"/>
      <c r="U19" s="20"/>
      <c r="V19" s="26"/>
      <c r="W19" s="26"/>
      <c r="X19" s="91"/>
      <c r="Y19" s="20"/>
      <c r="Z19" s="239"/>
      <c r="AA19" s="94"/>
      <c r="AB19" s="26"/>
      <c r="AC19" s="20"/>
      <c r="AD19" s="20"/>
      <c r="AE19" s="20"/>
      <c r="AF19" s="20"/>
      <c r="AG19" s="20"/>
      <c r="AH19" s="20"/>
      <c r="AI19" s="20"/>
    </row>
    <row r="20" spans="1:35" ht="12.75" customHeight="1">
      <c r="A20" s="333"/>
      <c r="B20" s="333"/>
      <c r="C20" s="333"/>
      <c r="D20" s="133"/>
      <c r="E20" s="133"/>
      <c r="F20" s="50"/>
      <c r="G20" s="409"/>
      <c r="H20" s="401"/>
      <c r="I20" s="493"/>
      <c r="J20" s="517"/>
      <c r="K20" s="85" t="s">
        <v>189</v>
      </c>
      <c r="L20" s="267" t="s">
        <v>16</v>
      </c>
      <c r="M20" s="1015">
        <v>-313.99</v>
      </c>
      <c r="N20" s="538">
        <f t="shared" si="2"/>
        <v>2477.5900940000247</v>
      </c>
      <c r="O20" s="253"/>
      <c r="P20" s="543"/>
      <c r="Q20" s="72">
        <f t="shared" si="5"/>
        <v>-28666.087278481002</v>
      </c>
      <c r="R20" s="45">
        <f t="shared" si="6"/>
        <v>-666.0872784810017</v>
      </c>
      <c r="S20" s="373"/>
      <c r="T20" s="391"/>
      <c r="U20" s="20"/>
      <c r="V20" s="26"/>
      <c r="W20" s="26"/>
      <c r="X20" s="91"/>
      <c r="Y20" s="20"/>
      <c r="Z20" s="239"/>
      <c r="AA20" s="94"/>
      <c r="AB20" s="26"/>
      <c r="AC20" s="20"/>
      <c r="AD20" s="20"/>
      <c r="AE20" s="20"/>
      <c r="AF20" s="20"/>
      <c r="AG20" s="20"/>
      <c r="AH20" s="20"/>
      <c r="AI20" s="20"/>
    </row>
    <row r="21" spans="1:35" ht="12.75" customHeight="1">
      <c r="A21" s="333"/>
      <c r="B21" s="333"/>
      <c r="C21" s="333"/>
      <c r="D21" s="133"/>
      <c r="E21" s="133"/>
      <c r="F21" s="50"/>
      <c r="G21" s="409"/>
      <c r="H21" s="401"/>
      <c r="I21" s="493"/>
      <c r="J21" s="709"/>
      <c r="K21" s="258" t="s">
        <v>189</v>
      </c>
      <c r="L21" s="268" t="s">
        <v>56</v>
      </c>
      <c r="M21" s="1015">
        <v>-720</v>
      </c>
      <c r="N21" s="538">
        <f t="shared" si="2"/>
        <v>1757.5900940000247</v>
      </c>
      <c r="O21" s="253"/>
      <c r="P21" s="543"/>
      <c r="Q21" s="72">
        <f t="shared" si="5"/>
        <v>-28666.087278481002</v>
      </c>
      <c r="R21" s="45">
        <f t="shared" si="6"/>
        <v>-666.0872784810017</v>
      </c>
      <c r="S21" s="373"/>
      <c r="T21" s="391"/>
      <c r="U21" s="20"/>
      <c r="V21" s="253"/>
      <c r="W21" s="26"/>
      <c r="X21" s="91"/>
      <c r="Y21" s="20"/>
      <c r="Z21" s="239"/>
      <c r="AA21" s="94"/>
      <c r="AB21" s="26"/>
      <c r="AC21" s="20"/>
      <c r="AD21" s="20"/>
      <c r="AE21" s="20"/>
      <c r="AF21" s="20"/>
      <c r="AG21" s="20"/>
      <c r="AH21" s="20"/>
      <c r="AI21" s="20"/>
    </row>
    <row r="22" spans="1:35" ht="12.75" customHeight="1">
      <c r="A22" s="333"/>
      <c r="B22" s="333"/>
      <c r="C22" s="333"/>
      <c r="D22" s="413"/>
      <c r="E22" s="34"/>
      <c r="F22" s="50"/>
      <c r="G22" s="409"/>
      <c r="H22" s="401"/>
      <c r="I22" s="495"/>
      <c r="K22" s="258" t="s">
        <v>189</v>
      </c>
      <c r="L22" s="268" t="s">
        <v>23</v>
      </c>
      <c r="M22" s="543">
        <v>-441.32</v>
      </c>
      <c r="N22" s="735">
        <f t="shared" si="2"/>
        <v>1316.2700940000248</v>
      </c>
      <c r="O22" s="253"/>
      <c r="P22" s="543"/>
      <c r="Q22" s="72">
        <f t="shared" si="5"/>
        <v>-28666.087278481002</v>
      </c>
      <c r="R22" s="45">
        <f t="shared" si="6"/>
        <v>-666.0872784810017</v>
      </c>
      <c r="S22" s="373"/>
      <c r="T22" s="391"/>
      <c r="U22" s="20"/>
      <c r="V22" s="253"/>
      <c r="W22" s="26"/>
      <c r="X22" s="91"/>
      <c r="Y22" s="20"/>
      <c r="Z22" s="239"/>
      <c r="AA22" s="94"/>
      <c r="AB22" s="26"/>
      <c r="AC22" s="20"/>
      <c r="AD22" s="20"/>
      <c r="AE22" s="20"/>
      <c r="AF22" s="20"/>
      <c r="AG22" s="20"/>
      <c r="AH22" s="20"/>
      <c r="AI22" s="20"/>
    </row>
    <row r="23" spans="1:35" ht="12.75" customHeight="1">
      <c r="A23" s="333"/>
      <c r="B23" s="333"/>
      <c r="C23" s="333"/>
      <c r="D23" s="413"/>
      <c r="E23" s="34"/>
      <c r="F23" s="50"/>
      <c r="G23" s="409"/>
      <c r="H23" s="509"/>
      <c r="I23" s="961"/>
      <c r="J23" s="961"/>
      <c r="K23" s="258" t="s">
        <v>189</v>
      </c>
      <c r="L23" s="116" t="s">
        <v>714</v>
      </c>
      <c r="M23" s="226">
        <v>-530.74</v>
      </c>
      <c r="N23" s="735">
        <f t="shared" si="2"/>
        <v>785.53009400002475</v>
      </c>
      <c r="O23" s="253"/>
      <c r="P23" s="543"/>
      <c r="Q23" s="72">
        <f t="shared" si="5"/>
        <v>-28666.087278481002</v>
      </c>
      <c r="R23" s="45">
        <f t="shared" si="6"/>
        <v>-666.0872784810017</v>
      </c>
      <c r="S23" s="373"/>
      <c r="T23" s="391"/>
      <c r="U23" s="20"/>
      <c r="V23" s="253"/>
      <c r="W23" s="26"/>
      <c r="X23" s="91"/>
      <c r="Y23" s="20"/>
      <c r="Z23" s="239"/>
      <c r="AA23" s="94"/>
      <c r="AB23" s="26"/>
      <c r="AC23" s="20"/>
      <c r="AD23" s="20"/>
      <c r="AE23" s="20"/>
      <c r="AF23" s="20"/>
      <c r="AG23" s="20"/>
      <c r="AH23" s="20"/>
      <c r="AI23" s="20"/>
    </row>
    <row r="24" spans="1:35" ht="12.75" customHeight="1">
      <c r="A24" s="333"/>
      <c r="B24" s="333"/>
      <c r="C24" s="333"/>
      <c r="D24" s="48"/>
      <c r="E24" s="133"/>
      <c r="F24" s="50"/>
      <c r="G24" s="414"/>
      <c r="H24" s="509"/>
      <c r="I24" s="961"/>
      <c r="J24" s="961"/>
      <c r="K24" s="258" t="s">
        <v>189</v>
      </c>
      <c r="L24" s="116" t="s">
        <v>585</v>
      </c>
      <c r="M24" s="752">
        <v>-66.989999999999995</v>
      </c>
      <c r="N24" s="538">
        <f t="shared" ref="N24" si="7">N23+M24</f>
        <v>718.54009400002474</v>
      </c>
      <c r="O24" s="497"/>
      <c r="P24" s="953">
        <f>E6</f>
        <v>1442.99</v>
      </c>
      <c r="Q24" s="72">
        <f t="shared" ref="Q24" si="8">Q23+P24</f>
        <v>-27223.097278481</v>
      </c>
      <c r="R24" s="45">
        <f t="shared" ref="R24" si="9">28000+Q24</f>
        <v>776.9027215189999</v>
      </c>
      <c r="S24" s="373" t="s">
        <v>280</v>
      </c>
      <c r="T24" s="391"/>
      <c r="U24" s="20"/>
      <c r="V24" s="253"/>
      <c r="W24" s="26"/>
      <c r="X24" s="91"/>
      <c r="Y24" s="20"/>
      <c r="Z24" s="239"/>
      <c r="AA24" s="94"/>
      <c r="AB24" s="26"/>
      <c r="AC24" s="20"/>
      <c r="AD24" s="20"/>
      <c r="AE24" s="20"/>
      <c r="AF24" s="20"/>
      <c r="AG24" s="20"/>
      <c r="AH24" s="20"/>
      <c r="AI24" s="20"/>
    </row>
    <row r="25" spans="1:35" ht="12.75" customHeight="1">
      <c r="A25" s="333"/>
      <c r="B25" s="333"/>
      <c r="C25" s="333"/>
      <c r="D25" s="48"/>
      <c r="E25" s="133"/>
      <c r="F25" s="50"/>
      <c r="G25" s="414"/>
      <c r="H25" s="509"/>
      <c r="I25" s="510"/>
      <c r="J25" s="521"/>
      <c r="K25" s="321" t="s">
        <v>190</v>
      </c>
      <c r="L25" s="269" t="s">
        <v>375</v>
      </c>
      <c r="M25" s="807">
        <v>-47.52</v>
      </c>
      <c r="N25" s="566">
        <f>N24+M25</f>
        <v>671.02009400002476</v>
      </c>
      <c r="O25" s="497"/>
      <c r="P25" s="985"/>
      <c r="Q25" s="73">
        <f t="shared" si="0"/>
        <v>-27223.097278481</v>
      </c>
      <c r="R25" s="45">
        <f t="shared" si="1"/>
        <v>776.9027215189999</v>
      </c>
      <c r="S25" s="373"/>
      <c r="T25" s="833"/>
      <c r="U25" s="20"/>
      <c r="V25" s="253"/>
      <c r="W25" s="26"/>
      <c r="X25" s="91"/>
      <c r="Y25" s="20"/>
      <c r="Z25" s="239"/>
      <c r="AA25" s="94"/>
      <c r="AB25" s="26"/>
      <c r="AC25" s="20"/>
      <c r="AD25" s="20"/>
      <c r="AE25" s="20"/>
      <c r="AF25" s="20"/>
      <c r="AG25" s="20"/>
      <c r="AH25" s="20"/>
      <c r="AI25" s="20"/>
    </row>
    <row r="26" spans="1:35" ht="12.75" customHeight="1">
      <c r="A26" s="328"/>
      <c r="B26" s="328"/>
      <c r="C26" s="328"/>
      <c r="D26" s="547"/>
      <c r="E26" s="133"/>
      <c r="F26" s="50"/>
      <c r="G26" s="414"/>
      <c r="H26" s="734"/>
      <c r="L26" s="23"/>
      <c r="M26" s="168">
        <f>SUM(M6:M25)</f>
        <v>671.02009400002476</v>
      </c>
      <c r="N26" s="806"/>
      <c r="P26" s="64">
        <f>SUM(P6:P25)</f>
        <v>-27223.097278481</v>
      </c>
      <c r="Q26" s="287" t="s">
        <v>243</v>
      </c>
      <c r="R26" s="317"/>
      <c r="S26" s="611"/>
      <c r="T26" s="372"/>
      <c r="U26" s="20"/>
      <c r="V26" s="26"/>
      <c r="W26" s="26"/>
      <c r="X26" s="91"/>
      <c r="Y26" s="20"/>
      <c r="Z26" s="43"/>
      <c r="AA26" s="94"/>
      <c r="AB26" s="26"/>
      <c r="AC26" s="20"/>
      <c r="AD26" s="20"/>
      <c r="AE26" s="20"/>
      <c r="AF26" s="20"/>
      <c r="AG26" s="20"/>
      <c r="AH26" s="20"/>
      <c r="AI26" s="20"/>
    </row>
    <row r="27" spans="1:35" ht="12.75" customHeight="1">
      <c r="A27" s="328"/>
      <c r="B27" s="328"/>
      <c r="C27" s="328"/>
      <c r="D27" s="547"/>
      <c r="E27" s="133"/>
      <c r="F27" s="50"/>
      <c r="G27" s="414"/>
      <c r="H27" s="498"/>
      <c r="I27" s="875"/>
      <c r="J27" s="899"/>
      <c r="K27" s="772" t="s">
        <v>353</v>
      </c>
      <c r="L27" s="129"/>
      <c r="M27" s="710"/>
      <c r="N27" s="296"/>
      <c r="P27" s="68"/>
      <c r="Q27" s="287"/>
      <c r="R27" s="317"/>
      <c r="S27" s="611"/>
      <c r="T27" s="372"/>
      <c r="U27" s="20"/>
      <c r="V27" s="26"/>
      <c r="W27" s="26"/>
      <c r="X27" s="91"/>
      <c r="Y27" s="20"/>
      <c r="Z27" s="239"/>
      <c r="AA27" s="94"/>
      <c r="AB27" s="26"/>
      <c r="AC27" s="20"/>
      <c r="AD27" s="20"/>
      <c r="AE27" s="20"/>
      <c r="AF27" s="20"/>
      <c r="AG27" s="20"/>
      <c r="AH27" s="20"/>
      <c r="AI27" s="20"/>
    </row>
    <row r="28" spans="1:35" ht="12.75" customHeight="1">
      <c r="F28" s="50"/>
      <c r="G28" s="414"/>
      <c r="H28" s="498"/>
      <c r="I28" s="875"/>
      <c r="J28" s="899"/>
      <c r="K28" s="297" t="s">
        <v>223</v>
      </c>
      <c r="L28" s="184" t="s">
        <v>227</v>
      </c>
      <c r="M28" s="226">
        <v>-449</v>
      </c>
      <c r="N28" s="984">
        <f>N25+M28</f>
        <v>222.02009400002476</v>
      </c>
      <c r="O28" s="20"/>
      <c r="P28" s="68"/>
      <c r="Q28" s="287"/>
      <c r="R28" s="317"/>
      <c r="S28" s="611"/>
      <c r="T28" s="372"/>
      <c r="U28" s="20"/>
      <c r="V28" s="26"/>
    </row>
    <row r="29" spans="1:35" ht="12.75" customHeight="1">
      <c r="G29"/>
      <c r="H29" s="33"/>
      <c r="I29" s="235"/>
      <c r="J29" s="534"/>
      <c r="K29" s="751"/>
      <c r="L29" s="116" t="s">
        <v>524</v>
      </c>
      <c r="M29" s="226">
        <v>-11</v>
      </c>
      <c r="N29" s="984">
        <f>N28+M29</f>
        <v>211.02009400002476</v>
      </c>
      <c r="O29" s="20"/>
      <c r="P29" s="68"/>
      <c r="Q29" s="287"/>
      <c r="R29" s="317"/>
      <c r="S29" s="611"/>
      <c r="T29" s="372"/>
      <c r="U29" s="20"/>
      <c r="V29" s="26"/>
      <c r="AA29" s="238"/>
    </row>
    <row r="30" spans="1:35" ht="12.75" customHeight="1">
      <c r="G30"/>
      <c r="H30" s="33"/>
      <c r="I30" s="235"/>
      <c r="J30" s="534"/>
      <c r="K30" s="751"/>
      <c r="L30" s="116"/>
      <c r="M30" s="226"/>
      <c r="N30" s="49"/>
      <c r="O30" s="20"/>
      <c r="P30" s="68"/>
      <c r="Q30" s="287"/>
      <c r="R30" s="317"/>
      <c r="S30" s="611"/>
      <c r="T30" s="372"/>
      <c r="U30" s="20"/>
      <c r="V30" s="26"/>
      <c r="AA30" s="238"/>
    </row>
    <row r="31" spans="1:35" ht="12.75" customHeight="1">
      <c r="G31"/>
      <c r="H31" s="33"/>
      <c r="I31" s="235"/>
      <c r="J31" s="534"/>
      <c r="K31" s="751"/>
      <c r="L31" s="116"/>
      <c r="M31" s="226"/>
      <c r="N31" s="49"/>
      <c r="O31" s="20"/>
      <c r="P31" s="68"/>
      <c r="Q31" s="287"/>
      <c r="R31" s="317"/>
      <c r="S31" s="611"/>
      <c r="T31" s="372"/>
      <c r="U31" s="20"/>
      <c r="V31" s="26"/>
      <c r="AA31" s="238"/>
    </row>
    <row r="32" spans="1:35" ht="12.75" customHeight="1">
      <c r="G32"/>
      <c r="H32" s="33"/>
      <c r="I32" s="235"/>
      <c r="J32" s="534"/>
      <c r="K32" s="751"/>
      <c r="L32" s="116"/>
      <c r="M32" s="226"/>
      <c r="N32" s="49"/>
      <c r="O32" s="20"/>
      <c r="P32" s="68"/>
      <c r="Q32" s="287"/>
      <c r="R32" s="317"/>
      <c r="S32" s="611"/>
      <c r="T32" s="372"/>
      <c r="U32" s="20"/>
      <c r="V32" s="26"/>
      <c r="AA32" s="238"/>
    </row>
    <row r="33" spans="2:35" ht="12.75" customHeight="1">
      <c r="G33"/>
      <c r="H33" s="33"/>
      <c r="I33" s="235"/>
      <c r="J33" s="534"/>
      <c r="K33" s="751"/>
      <c r="L33" s="116"/>
      <c r="M33" s="226"/>
      <c r="N33" s="49"/>
      <c r="O33" s="20"/>
      <c r="P33" s="68"/>
      <c r="Q33" s="287"/>
      <c r="R33" s="317"/>
      <c r="S33" s="611"/>
      <c r="T33" s="372"/>
      <c r="U33" s="20"/>
      <c r="V33" s="26"/>
      <c r="AA33" s="238"/>
    </row>
    <row r="34" spans="2:35" ht="12.75" customHeight="1">
      <c r="G34"/>
      <c r="H34" s="33"/>
      <c r="I34" s="235"/>
      <c r="J34" s="534"/>
      <c r="K34" s="751"/>
      <c r="L34" s="116"/>
      <c r="M34" s="226"/>
      <c r="N34" s="49"/>
      <c r="O34" s="20"/>
      <c r="P34" s="68"/>
      <c r="Q34" s="287"/>
      <c r="R34" s="317"/>
      <c r="S34" s="611"/>
      <c r="T34" s="372"/>
      <c r="U34" s="20"/>
      <c r="V34" s="26"/>
      <c r="AA34" s="238"/>
    </row>
    <row r="35" spans="2:35" ht="12.75" customHeight="1">
      <c r="G35"/>
      <c r="H35" s="33"/>
      <c r="I35" s="235"/>
      <c r="J35" s="534"/>
      <c r="K35" s="751"/>
      <c r="L35" s="116"/>
      <c r="M35" s="226"/>
      <c r="N35" s="49"/>
      <c r="O35" s="20"/>
      <c r="P35" s="68"/>
      <c r="Q35" s="287"/>
      <c r="R35" s="317"/>
      <c r="S35" s="611"/>
      <c r="T35" s="372"/>
      <c r="U35" s="20"/>
      <c r="V35" s="26"/>
      <c r="AA35" s="238"/>
    </row>
    <row r="36" spans="2:35" ht="12.75" customHeight="1">
      <c r="G36"/>
      <c r="H36" s="33"/>
      <c r="I36" s="235"/>
      <c r="J36" s="534"/>
      <c r="K36" s="751"/>
      <c r="L36" s="116"/>
      <c r="M36" s="226"/>
      <c r="N36" s="49"/>
      <c r="O36" s="20"/>
      <c r="P36" s="68"/>
      <c r="Q36" s="287"/>
      <c r="R36" s="317"/>
      <c r="S36" s="611"/>
      <c r="T36" s="372"/>
      <c r="U36" s="20"/>
      <c r="V36" s="26"/>
      <c r="AA36" s="238"/>
    </row>
    <row r="37" spans="2:35" ht="12.75" customHeight="1">
      <c r="G37"/>
      <c r="H37" s="33"/>
      <c r="I37" s="235"/>
      <c r="J37" s="534"/>
      <c r="K37" s="751"/>
      <c r="L37" s="116"/>
      <c r="M37" s="226"/>
      <c r="N37" s="49"/>
      <c r="O37" s="20"/>
      <c r="P37" s="68"/>
      <c r="Q37" s="287"/>
      <c r="R37" s="317"/>
      <c r="S37" s="611"/>
      <c r="T37" s="372"/>
      <c r="U37" s="20"/>
      <c r="V37" s="26"/>
      <c r="AA37" s="238"/>
    </row>
    <row r="38" spans="2:35" ht="12.75" customHeight="1">
      <c r="G38"/>
      <c r="H38" s="33"/>
      <c r="I38" s="235"/>
      <c r="J38" s="534"/>
      <c r="K38" s="751"/>
      <c r="L38" s="116"/>
      <c r="M38" s="226"/>
      <c r="N38" s="49"/>
      <c r="O38" s="20"/>
      <c r="P38" s="68"/>
      <c r="Q38" s="287"/>
      <c r="R38" s="317"/>
      <c r="S38" s="611"/>
      <c r="T38" s="372"/>
      <c r="U38" s="20"/>
      <c r="V38" s="26"/>
      <c r="AA38" s="238"/>
    </row>
    <row r="39" spans="2:35" ht="12.75" customHeight="1">
      <c r="G39"/>
      <c r="H39" s="33"/>
      <c r="I39" s="235"/>
      <c r="J39" s="534"/>
      <c r="K39" s="751"/>
      <c r="L39" s="116"/>
      <c r="M39" s="226"/>
      <c r="N39" s="49"/>
      <c r="O39" s="20"/>
      <c r="P39" s="68"/>
      <c r="Q39" s="287"/>
      <c r="R39" s="317"/>
      <c r="S39" s="611"/>
      <c r="T39" s="372"/>
      <c r="U39" s="20"/>
      <c r="V39" s="26"/>
      <c r="AA39" s="238"/>
    </row>
    <row r="40" spans="2:35" ht="12.75" customHeight="1">
      <c r="G40"/>
      <c r="H40" s="33"/>
      <c r="I40" s="34"/>
      <c r="P40" s="55"/>
      <c r="Q40" s="100"/>
      <c r="R40" s="131"/>
      <c r="S40" s="377"/>
      <c r="AA40" s="238"/>
    </row>
    <row r="41" spans="2:35" s="348" customFormat="1" ht="6.75" customHeight="1">
      <c r="E41" s="349"/>
      <c r="I41" s="350"/>
      <c r="J41" s="351"/>
      <c r="K41" s="352"/>
      <c r="L41" s="353"/>
      <c r="M41" s="349"/>
      <c r="P41" s="349"/>
      <c r="Q41" s="349"/>
      <c r="R41" s="349"/>
      <c r="S41" s="381"/>
      <c r="Z41" s="349"/>
      <c r="AA41" s="354"/>
      <c r="AB41" s="349"/>
    </row>
    <row r="42" spans="2:35" ht="4.5" customHeight="1">
      <c r="C42" s="24"/>
      <c r="D42" s="25"/>
      <c r="E42" s="26"/>
      <c r="F42" s="20"/>
      <c r="G42" s="20"/>
    </row>
    <row r="43" spans="2:35" s="348" customFormat="1" ht="6.75" customHeight="1">
      <c r="E43" s="349"/>
      <c r="I43" s="350"/>
      <c r="J43" s="351"/>
      <c r="K43" s="352"/>
      <c r="L43" s="353"/>
      <c r="M43" s="349"/>
      <c r="P43" s="349"/>
      <c r="Q43" s="349"/>
      <c r="R43" s="349"/>
      <c r="S43" s="381"/>
      <c r="Z43" s="349"/>
      <c r="AA43" s="354"/>
      <c r="AB43" s="349"/>
    </row>
    <row r="45" spans="2:35" hidden="1">
      <c r="B45" s="1045" t="s">
        <v>74</v>
      </c>
      <c r="C45" s="1045"/>
      <c r="D45" s="1045"/>
      <c r="E45" s="1045"/>
      <c r="G45" s="31"/>
      <c r="H45" s="31"/>
      <c r="I45" s="26"/>
      <c r="L45" s="59"/>
      <c r="M45" s="1042" t="s">
        <v>54</v>
      </c>
      <c r="N45" s="123"/>
      <c r="O45" s="123"/>
      <c r="P45" s="1044" t="s">
        <v>48</v>
      </c>
      <c r="Q45" s="121"/>
      <c r="R45" s="121"/>
      <c r="S45" s="377"/>
      <c r="V45" s="20"/>
      <c r="W45" s="20"/>
      <c r="X45" s="35"/>
      <c r="Y45" s="35"/>
      <c r="Z45" s="26"/>
      <c r="AA45" s="120"/>
      <c r="AB45" s="26"/>
      <c r="AC45" s="20"/>
      <c r="AD45" s="20"/>
      <c r="AE45" s="20"/>
      <c r="AF45" s="20"/>
      <c r="AG45" s="20"/>
      <c r="AH45" s="20"/>
      <c r="AI45" s="20"/>
    </row>
    <row r="46" spans="2:35" ht="12.75" hidden="1" customHeight="1">
      <c r="C46" s="17" t="s">
        <v>12</v>
      </c>
      <c r="D46" s="14"/>
      <c r="E46" s="44">
        <v>6000</v>
      </c>
      <c r="G46" s="514"/>
      <c r="H46" s="514"/>
      <c r="I46" s="26"/>
      <c r="L46" s="60"/>
      <c r="M46" s="1042"/>
      <c r="N46" s="123" t="s">
        <v>52</v>
      </c>
      <c r="O46" s="123"/>
      <c r="P46" s="1044"/>
      <c r="Q46" s="121" t="s">
        <v>43</v>
      </c>
      <c r="R46" s="121" t="s">
        <v>53</v>
      </c>
      <c r="S46" s="377"/>
      <c r="V46" s="20"/>
      <c r="W46" s="20"/>
      <c r="X46" s="118"/>
      <c r="Y46" s="111"/>
      <c r="Z46" s="117"/>
      <c r="AA46" s="89"/>
      <c r="AB46" s="90"/>
      <c r="AC46" s="20"/>
      <c r="AD46" s="41"/>
      <c r="AE46" s="20"/>
      <c r="AF46" s="20"/>
      <c r="AG46" s="20"/>
      <c r="AH46" s="20"/>
      <c r="AI46" s="20"/>
    </row>
    <row r="47" spans="2:35" hidden="1">
      <c r="C47" s="17"/>
      <c r="D47" s="14" t="s">
        <v>24</v>
      </c>
      <c r="E47" s="44">
        <f>'[2]FEBRUARY ''11'!$C$37</f>
        <v>854.44</v>
      </c>
      <c r="G47" s="30"/>
      <c r="H47" s="30"/>
      <c r="I47" s="26"/>
      <c r="L47" s="46" t="s">
        <v>55</v>
      </c>
      <c r="M47" s="26">
        <f>[3]Nikki!$K$316</f>
        <v>3653.3297920000032</v>
      </c>
      <c r="N47" s="71">
        <f>M47</f>
        <v>3653.3297920000032</v>
      </c>
      <c r="O47" s="26"/>
      <c r="P47" s="26">
        <f>[3]Nikki!$O$314</f>
        <v>-8946.957278481008</v>
      </c>
      <c r="Q47" s="71">
        <f>P47</f>
        <v>-8946.957278481008</v>
      </c>
      <c r="R47" s="45">
        <f>10050+Q47</f>
        <v>1103.042721518992</v>
      </c>
      <c r="S47" s="382"/>
      <c r="T47" s="29"/>
      <c r="V47" s="20"/>
      <c r="W47" s="20"/>
      <c r="X47" s="91"/>
      <c r="Y47" s="111"/>
      <c r="Z47" s="26"/>
      <c r="AA47" s="120"/>
      <c r="AB47" s="26"/>
      <c r="AC47" s="20"/>
      <c r="AD47" s="92"/>
      <c r="AE47" s="93"/>
      <c r="AF47" s="20"/>
      <c r="AG47" s="20"/>
      <c r="AH47" s="20"/>
      <c r="AI47" s="20"/>
    </row>
    <row r="48" spans="2:35" hidden="1">
      <c r="C48" s="17"/>
      <c r="D48" s="14" t="s">
        <v>69</v>
      </c>
      <c r="E48" s="44">
        <f>'[2]JANUARY ''11'!$C$36</f>
        <v>976.9</v>
      </c>
      <c r="G48" s="30"/>
      <c r="H48" s="30"/>
      <c r="I48" s="26"/>
      <c r="L48" s="101" t="s">
        <v>75</v>
      </c>
      <c r="M48" s="133">
        <v>-670</v>
      </c>
      <c r="N48" s="69">
        <f t="shared" ref="N48:N79" si="10">N47+M48</f>
        <v>2983.3297920000032</v>
      </c>
      <c r="O48" s="26"/>
      <c r="P48" s="131">
        <v>-285.5</v>
      </c>
      <c r="Q48" s="72">
        <f t="shared" ref="Q48:Q60" si="11">Q47+P48</f>
        <v>-9232.457278481008</v>
      </c>
      <c r="R48" s="45">
        <f>10050+Q48</f>
        <v>817.54272151899204</v>
      </c>
      <c r="S48" s="373" t="s">
        <v>77</v>
      </c>
      <c r="T48" s="29"/>
      <c r="V48" s="20"/>
      <c r="W48" s="20"/>
      <c r="X48" s="91"/>
      <c r="Y48" s="112"/>
      <c r="Z48" s="26"/>
      <c r="AA48" s="120"/>
      <c r="AB48" s="26"/>
      <c r="AC48" s="20"/>
      <c r="AD48" s="92"/>
      <c r="AE48" s="93"/>
      <c r="AF48" s="20"/>
      <c r="AG48" s="20"/>
      <c r="AH48" s="20"/>
      <c r="AI48" s="20"/>
    </row>
    <row r="49" spans="3:35" ht="12.75" hidden="1" customHeight="1">
      <c r="C49" s="17"/>
      <c r="D49" s="62" t="s">
        <v>60</v>
      </c>
      <c r="E49" s="15"/>
      <c r="G49"/>
      <c r="I49" s="26"/>
      <c r="L49" s="101" t="s">
        <v>70</v>
      </c>
      <c r="M49" s="133">
        <v>-293.89999999999998</v>
      </c>
      <c r="N49" s="69">
        <f t="shared" si="10"/>
        <v>2689.4297920000031</v>
      </c>
      <c r="O49" s="65"/>
      <c r="P49" s="131">
        <v>-146.4</v>
      </c>
      <c r="Q49" s="72">
        <f t="shared" si="11"/>
        <v>-9378.8572784810076</v>
      </c>
      <c r="R49" s="45">
        <f t="shared" ref="R49:R60" si="12">10050+Q49</f>
        <v>671.1427215189924</v>
      </c>
      <c r="S49" s="373" t="s">
        <v>78</v>
      </c>
      <c r="V49" s="20"/>
      <c r="W49" s="20"/>
      <c r="X49" s="20"/>
      <c r="Y49" s="112"/>
      <c r="Z49" s="43"/>
      <c r="AA49" s="94"/>
      <c r="AB49" s="95"/>
      <c r="AC49" s="20"/>
      <c r="AD49" s="41"/>
      <c r="AE49" s="93"/>
      <c r="AF49" s="20"/>
      <c r="AG49" s="20"/>
      <c r="AH49" s="20"/>
      <c r="AI49" s="20"/>
    </row>
    <row r="50" spans="3:35" ht="12.75" hidden="1" customHeight="1">
      <c r="C50" s="18" t="s">
        <v>5</v>
      </c>
      <c r="D50" s="14"/>
      <c r="E50" s="14">
        <f>SUM(E46:E49)</f>
        <v>7831.34</v>
      </c>
      <c r="G50" s="518" t="s">
        <v>73</v>
      </c>
      <c r="H50" s="518"/>
      <c r="I50" s="518"/>
      <c r="J50" s="20"/>
      <c r="K50" s="256"/>
      <c r="L50" s="101" t="s">
        <v>76</v>
      </c>
      <c r="M50" s="133">
        <v>-20</v>
      </c>
      <c r="N50" s="69">
        <f t="shared" si="10"/>
        <v>2669.4297920000031</v>
      </c>
      <c r="O50" s="65"/>
      <c r="P50" s="131">
        <v>-220</v>
      </c>
      <c r="Q50" s="72">
        <f t="shared" si="11"/>
        <v>-9598.8572784810076</v>
      </c>
      <c r="R50" s="45">
        <f t="shared" si="12"/>
        <v>451.1427215189924</v>
      </c>
      <c r="S50" s="373" t="s">
        <v>79</v>
      </c>
      <c r="V50" s="20"/>
      <c r="W50" s="20"/>
      <c r="X50" s="20"/>
      <c r="Y50" s="112"/>
      <c r="Z50" s="43"/>
      <c r="AA50" s="94"/>
      <c r="AB50" s="26"/>
      <c r="AC50" s="20"/>
      <c r="AD50" s="92"/>
      <c r="AE50" s="93"/>
      <c r="AF50" s="20"/>
      <c r="AG50" s="20"/>
      <c r="AH50" s="20"/>
      <c r="AI50" s="20"/>
    </row>
    <row r="51" spans="3:35" hidden="1">
      <c r="G51"/>
      <c r="H51" s="23" t="s">
        <v>10</v>
      </c>
      <c r="I51" s="14">
        <v>175.44</v>
      </c>
      <c r="J51" s="54"/>
      <c r="K51" s="256"/>
      <c r="L51" s="101" t="s">
        <v>81</v>
      </c>
      <c r="M51" s="133">
        <v>-149.85</v>
      </c>
      <c r="N51" s="69">
        <f t="shared" si="10"/>
        <v>2519.5797920000032</v>
      </c>
      <c r="O51" s="48"/>
      <c r="P51" s="131">
        <v>-123.84</v>
      </c>
      <c r="Q51" s="72">
        <f t="shared" si="11"/>
        <v>-9722.6972784810077</v>
      </c>
      <c r="R51" s="45">
        <f t="shared" si="12"/>
        <v>327.30272151899226</v>
      </c>
      <c r="S51" s="373" t="s">
        <v>49</v>
      </c>
      <c r="V51" s="20"/>
      <c r="W51" s="20"/>
      <c r="X51" s="91"/>
      <c r="Y51" s="112"/>
      <c r="Z51" s="43"/>
      <c r="AA51" s="94"/>
      <c r="AB51" s="26"/>
      <c r="AC51" s="20"/>
      <c r="AD51" s="92"/>
      <c r="AE51" s="93"/>
      <c r="AF51" s="20"/>
      <c r="AG51" s="20"/>
      <c r="AH51" s="20"/>
      <c r="AI51" s="20"/>
    </row>
    <row r="52" spans="3:35" hidden="1">
      <c r="C52" s="17" t="s">
        <v>7</v>
      </c>
      <c r="G52"/>
      <c r="H52" s="23" t="s">
        <v>18</v>
      </c>
      <c r="I52" s="14">
        <f>4.08+16.89</f>
        <v>20.97</v>
      </c>
      <c r="J52" s="20"/>
      <c r="K52" s="256"/>
      <c r="L52" s="101" t="s">
        <v>80</v>
      </c>
      <c r="M52" s="133">
        <v>-99.2</v>
      </c>
      <c r="N52" s="69">
        <f t="shared" si="10"/>
        <v>2420.3797920000034</v>
      </c>
      <c r="O52" s="48"/>
      <c r="P52" s="131">
        <v>-132.76</v>
      </c>
      <c r="Q52" s="72">
        <f t="shared" si="11"/>
        <v>-9855.457278481008</v>
      </c>
      <c r="R52" s="45">
        <f t="shared" si="12"/>
        <v>194.54272151899204</v>
      </c>
      <c r="S52" s="373" t="s">
        <v>71</v>
      </c>
      <c r="T52" s="20"/>
      <c r="U52" s="20"/>
      <c r="V52" s="103"/>
      <c r="W52" s="103"/>
      <c r="X52" s="20"/>
      <c r="Y52" s="112"/>
      <c r="Z52" s="43"/>
      <c r="AA52" s="94"/>
      <c r="AB52" s="95"/>
      <c r="AC52" s="20"/>
      <c r="AD52" s="96"/>
      <c r="AE52" s="93"/>
      <c r="AF52" s="20"/>
      <c r="AG52" s="20"/>
      <c r="AH52" s="20"/>
      <c r="AI52" s="20"/>
    </row>
    <row r="53" spans="3:35" hidden="1">
      <c r="D53" t="s">
        <v>8</v>
      </c>
      <c r="E53" s="14">
        <f>1204/2</f>
        <v>602</v>
      </c>
      <c r="G53" s="36"/>
      <c r="H53" s="23" t="s">
        <v>20</v>
      </c>
      <c r="I53" s="14">
        <v>7.45</v>
      </c>
      <c r="J53" s="20"/>
      <c r="K53" s="256"/>
      <c r="L53" s="79" t="s">
        <v>82</v>
      </c>
      <c r="M53" s="45">
        <v>-200</v>
      </c>
      <c r="N53" s="69">
        <f t="shared" si="10"/>
        <v>2220.3797920000034</v>
      </c>
      <c r="O53" s="49"/>
      <c r="P53" s="131">
        <v>1500</v>
      </c>
      <c r="Q53" s="72">
        <f t="shared" si="11"/>
        <v>-8355.457278481008</v>
      </c>
      <c r="R53" s="45">
        <f t="shared" si="12"/>
        <v>1694.542721518992</v>
      </c>
      <c r="S53" s="373" t="s">
        <v>66</v>
      </c>
      <c r="T53" s="20"/>
      <c r="U53" s="20"/>
      <c r="V53" s="20"/>
      <c r="W53" s="20"/>
      <c r="X53" s="20"/>
      <c r="Y53" s="112"/>
      <c r="Z53" s="43"/>
      <c r="AA53" s="94"/>
      <c r="AB53" s="26"/>
      <c r="AC53" s="20"/>
      <c r="AD53" s="41"/>
      <c r="AE53" s="93"/>
      <c r="AF53" s="20"/>
      <c r="AG53" s="20"/>
      <c r="AH53" s="20"/>
      <c r="AI53" s="20"/>
    </row>
    <row r="54" spans="3:35" hidden="1">
      <c r="D54" t="s">
        <v>9</v>
      </c>
      <c r="E54" s="44"/>
      <c r="F54" s="37" t="s">
        <v>15</v>
      </c>
      <c r="G54"/>
      <c r="H54" s="23" t="s">
        <v>19</v>
      </c>
      <c r="I54" s="14">
        <v>30.7</v>
      </c>
      <c r="J54" s="20"/>
      <c r="K54" s="256"/>
      <c r="L54" s="79" t="s">
        <v>83</v>
      </c>
      <c r="M54" s="45">
        <v>-131.9</v>
      </c>
      <c r="N54" s="69">
        <f t="shared" si="10"/>
        <v>2088.4797920000033</v>
      </c>
      <c r="O54" s="49"/>
      <c r="P54" s="131">
        <v>-140</v>
      </c>
      <c r="Q54" s="72">
        <f t="shared" si="11"/>
        <v>-8495.457278481008</v>
      </c>
      <c r="R54" s="45">
        <f t="shared" si="12"/>
        <v>1554.542721518992</v>
      </c>
      <c r="S54" s="373" t="s">
        <v>90</v>
      </c>
      <c r="T54" s="20"/>
      <c r="U54" s="20"/>
      <c r="V54" s="20"/>
      <c r="W54" s="20"/>
      <c r="X54" s="20"/>
      <c r="Y54" s="112"/>
      <c r="Z54" s="43"/>
      <c r="AA54" s="94"/>
      <c r="AB54" s="26"/>
      <c r="AC54" s="20"/>
      <c r="AD54" s="92"/>
      <c r="AE54" s="93"/>
      <c r="AF54" s="20"/>
      <c r="AG54" s="20"/>
      <c r="AH54" s="20"/>
      <c r="AI54" s="20"/>
    </row>
    <row r="55" spans="3:35" hidden="1">
      <c r="D55" t="s">
        <v>10</v>
      </c>
      <c r="E55" s="19">
        <f>I58</f>
        <v>376.33</v>
      </c>
      <c r="F55" s="37" t="s">
        <v>15</v>
      </c>
      <c r="G55"/>
      <c r="H55" s="23" t="s">
        <v>21</v>
      </c>
      <c r="I55" s="14">
        <v>3.51</v>
      </c>
      <c r="J55" s="20"/>
      <c r="K55" s="256"/>
      <c r="L55" s="79" t="s">
        <v>84</v>
      </c>
      <c r="M55" s="133">
        <v>-130.9</v>
      </c>
      <c r="N55" s="69">
        <f t="shared" si="10"/>
        <v>1957.5797920000032</v>
      </c>
      <c r="O55" s="49"/>
      <c r="P55" s="45">
        <f>-250-11.5</f>
        <v>-261.5</v>
      </c>
      <c r="Q55" s="72">
        <f t="shared" si="11"/>
        <v>-8756.957278481008</v>
      </c>
      <c r="R55" s="45">
        <f t="shared" si="12"/>
        <v>1293.042721518992</v>
      </c>
      <c r="S55" s="373" t="s">
        <v>91</v>
      </c>
      <c r="T55" s="50"/>
      <c r="U55" s="20"/>
      <c r="V55" s="26"/>
      <c r="W55" s="26"/>
      <c r="X55" s="20"/>
      <c r="Y55" s="112"/>
      <c r="Z55" s="43"/>
      <c r="AA55" s="94"/>
      <c r="AB55" s="95"/>
      <c r="AC55" s="20"/>
      <c r="AD55" s="92"/>
      <c r="AE55" s="93"/>
      <c r="AF55" s="20"/>
      <c r="AG55" s="20"/>
      <c r="AH55" s="20"/>
      <c r="AI55" s="20"/>
    </row>
    <row r="56" spans="3:35" ht="12.75" hidden="1" customHeight="1">
      <c r="D56" t="s">
        <v>22</v>
      </c>
      <c r="E56" s="15"/>
      <c r="F56" s="38"/>
      <c r="G56"/>
      <c r="H56" s="23" t="s">
        <v>26</v>
      </c>
      <c r="I56" s="44">
        <f>368.4+134.31+48.07+3.95</f>
        <v>554.73</v>
      </c>
      <c r="J56" s="20"/>
      <c r="K56" s="256"/>
      <c r="L56" s="79" t="s">
        <v>72</v>
      </c>
      <c r="M56" s="133">
        <v>-55</v>
      </c>
      <c r="N56" s="69">
        <f t="shared" si="10"/>
        <v>1902.5797920000032</v>
      </c>
      <c r="O56" s="39"/>
      <c r="P56" s="132">
        <v>-380.35</v>
      </c>
      <c r="Q56" s="72">
        <f t="shared" si="11"/>
        <v>-9137.3072784810083</v>
      </c>
      <c r="R56" s="45">
        <f t="shared" si="12"/>
        <v>912.69272151899168</v>
      </c>
      <c r="S56" s="373" t="s">
        <v>92</v>
      </c>
      <c r="T56" s="50"/>
      <c r="U56" s="20"/>
      <c r="V56" s="26"/>
      <c r="W56" s="26"/>
      <c r="X56" s="20"/>
      <c r="Y56" s="112"/>
      <c r="Z56" s="43"/>
      <c r="AA56" s="94"/>
      <c r="AB56" s="26"/>
      <c r="AC56" s="20"/>
      <c r="AD56" s="92"/>
      <c r="AE56" s="97"/>
      <c r="AF56" s="20"/>
      <c r="AG56" s="20"/>
      <c r="AH56" s="20"/>
      <c r="AI56" s="20"/>
    </row>
    <row r="57" spans="3:35" ht="12.75" hidden="1" customHeight="1">
      <c r="C57" s="18" t="s">
        <v>5</v>
      </c>
      <c r="E57" s="19">
        <f>SUM(E53:E56)</f>
        <v>978.32999999999993</v>
      </c>
      <c r="G57"/>
      <c r="H57" s="23" t="s">
        <v>27</v>
      </c>
      <c r="I57" s="52">
        <f>-368.4-48.07</f>
        <v>-416.46999999999997</v>
      </c>
      <c r="J57" s="20"/>
      <c r="K57" s="256"/>
      <c r="L57" s="79" t="s">
        <v>85</v>
      </c>
      <c r="M57" s="133">
        <v>-98.1</v>
      </c>
      <c r="N57" s="69">
        <f t="shared" si="10"/>
        <v>1804.4797920000033</v>
      </c>
      <c r="O57" s="39"/>
      <c r="P57" s="132">
        <v>-421.02</v>
      </c>
      <c r="Q57" s="72">
        <f t="shared" si="11"/>
        <v>-9558.3272784810088</v>
      </c>
      <c r="R57" s="45">
        <f t="shared" si="12"/>
        <v>491.67272151899124</v>
      </c>
      <c r="S57" s="373" t="s">
        <v>50</v>
      </c>
      <c r="T57" s="80"/>
      <c r="U57" s="74"/>
      <c r="V57" s="26"/>
      <c r="W57" s="26"/>
      <c r="X57" s="20"/>
      <c r="Y57" s="112"/>
      <c r="Z57" s="43"/>
      <c r="AA57" s="94"/>
      <c r="AB57" s="26"/>
      <c r="AC57" s="20"/>
      <c r="AD57" s="20"/>
      <c r="AE57" s="93"/>
      <c r="AF57" s="20"/>
      <c r="AG57" s="20"/>
      <c r="AH57" s="20"/>
      <c r="AI57" s="20"/>
    </row>
    <row r="58" spans="3:35" ht="13.5" hidden="1" thickBot="1">
      <c r="C58" s="18"/>
      <c r="G58"/>
      <c r="H58" s="23"/>
      <c r="I58" s="53">
        <f>SUM(I51:I57)</f>
        <v>376.33</v>
      </c>
      <c r="J58" s="20"/>
      <c r="K58" s="256"/>
      <c r="L58" s="79" t="s">
        <v>86</v>
      </c>
      <c r="M58" s="133">
        <v>-396.1</v>
      </c>
      <c r="N58" s="69">
        <f t="shared" si="10"/>
        <v>1408.3797920000034</v>
      </c>
      <c r="O58" s="39"/>
      <c r="P58" s="131">
        <v>-113.3</v>
      </c>
      <c r="Q58" s="72">
        <f t="shared" si="11"/>
        <v>-9671.627278481008</v>
      </c>
      <c r="R58" s="45">
        <f t="shared" si="12"/>
        <v>378.37272151899197</v>
      </c>
      <c r="S58" s="373" t="s">
        <v>57</v>
      </c>
      <c r="T58" s="50"/>
      <c r="U58" s="74"/>
      <c r="V58" s="26"/>
      <c r="W58" s="26"/>
      <c r="X58" s="91"/>
      <c r="Y58" s="20"/>
      <c r="Z58" s="43"/>
      <c r="AA58" s="94"/>
      <c r="AB58" s="95"/>
      <c r="AC58" s="20"/>
      <c r="AD58" s="98"/>
      <c r="AE58" s="93"/>
      <c r="AF58" s="120"/>
      <c r="AG58" s="20"/>
      <c r="AH58" s="20"/>
      <c r="AI58" s="20"/>
    </row>
    <row r="59" spans="3:35" ht="13.5" hidden="1" thickBot="1">
      <c r="D59" s="16" t="s">
        <v>67</v>
      </c>
      <c r="E59" s="27">
        <f>E50-E57</f>
        <v>6853.01</v>
      </c>
      <c r="G59"/>
      <c r="H59" s="116"/>
      <c r="I59" s="45"/>
      <c r="J59" s="20"/>
      <c r="K59" s="256"/>
      <c r="L59" s="79" t="s">
        <v>87</v>
      </c>
      <c r="M59" s="133">
        <v>530.02</v>
      </c>
      <c r="N59" s="69">
        <f t="shared" si="10"/>
        <v>1938.3997920000033</v>
      </c>
      <c r="O59" s="39"/>
      <c r="P59" s="49">
        <v>-122.75</v>
      </c>
      <c r="Q59" s="72">
        <f t="shared" si="11"/>
        <v>-9794.377278481008</v>
      </c>
      <c r="R59" s="45">
        <f t="shared" si="12"/>
        <v>255.62272151899197</v>
      </c>
      <c r="S59" s="379" t="s">
        <v>94</v>
      </c>
      <c r="T59" s="66"/>
      <c r="U59" s="65"/>
      <c r="V59" s="26"/>
      <c r="W59" s="26"/>
      <c r="X59" s="35"/>
      <c r="Y59" s="20"/>
      <c r="Z59" s="43"/>
      <c r="AA59" s="94"/>
      <c r="AB59" s="26"/>
      <c r="AC59" s="20"/>
      <c r="AD59" s="20"/>
      <c r="AE59" s="20"/>
      <c r="AF59" s="99"/>
      <c r="AG59" s="20"/>
      <c r="AH59" s="20"/>
      <c r="AI59" s="20"/>
    </row>
    <row r="60" spans="3:35" hidden="1">
      <c r="D60" s="17"/>
      <c r="E60" s="40"/>
      <c r="G60"/>
      <c r="H60" s="23"/>
      <c r="I60" s="45"/>
      <c r="J60" s="20"/>
      <c r="K60" s="256"/>
      <c r="L60" s="79" t="s">
        <v>88</v>
      </c>
      <c r="M60" s="133">
        <v>-20</v>
      </c>
      <c r="N60" s="69">
        <f t="shared" si="10"/>
        <v>1918.3997920000033</v>
      </c>
      <c r="O60" s="39"/>
      <c r="P60" s="49">
        <f>E64</f>
        <v>1303.4099999999999</v>
      </c>
      <c r="Q60" s="73">
        <f t="shared" si="11"/>
        <v>-8490.9672784810082</v>
      </c>
      <c r="R60" s="52">
        <f t="shared" si="12"/>
        <v>1559.0327215189918</v>
      </c>
      <c r="S60" s="383" t="s">
        <v>64</v>
      </c>
      <c r="T60" s="66"/>
      <c r="U60" s="65"/>
      <c r="V60" s="20"/>
      <c r="W60" s="20"/>
      <c r="X60" s="20"/>
      <c r="Y60" s="111"/>
      <c r="Z60" s="43"/>
      <c r="AA60" s="94"/>
      <c r="AB60" s="26"/>
      <c r="AC60" s="20"/>
      <c r="AD60" s="20"/>
      <c r="AE60" s="20"/>
      <c r="AF60" s="20"/>
      <c r="AG60" s="20"/>
      <c r="AH60" s="20"/>
      <c r="AI60" s="20"/>
    </row>
    <row r="61" spans="3:35" hidden="1">
      <c r="D61" s="17"/>
      <c r="E61" s="40"/>
      <c r="G61"/>
      <c r="H61" s="23"/>
      <c r="I61" s="45"/>
      <c r="J61" s="20"/>
      <c r="K61" s="256"/>
      <c r="L61" s="79" t="s">
        <v>68</v>
      </c>
      <c r="M61" s="133">
        <v>-1500</v>
      </c>
      <c r="N61" s="69">
        <f t="shared" si="10"/>
        <v>418.39979200000334</v>
      </c>
      <c r="O61" s="39"/>
      <c r="P61" s="64">
        <f>SUM(P47:P60)</f>
        <v>-8490.9672784810082</v>
      </c>
      <c r="Q61" s="63"/>
      <c r="R61" s="63"/>
      <c r="S61" s="377"/>
      <c r="T61" s="66"/>
      <c r="U61" s="65"/>
      <c r="V61" s="20"/>
      <c r="W61" s="20"/>
      <c r="X61" s="91"/>
      <c r="Y61" s="111"/>
      <c r="Z61" s="43"/>
      <c r="AA61" s="94"/>
      <c r="AB61" s="95"/>
      <c r="AC61" s="20"/>
      <c r="AD61" s="20"/>
      <c r="AE61" s="20"/>
      <c r="AF61" s="20"/>
      <c r="AG61" s="20"/>
      <c r="AH61" s="20"/>
      <c r="AI61" s="20"/>
    </row>
    <row r="62" spans="3:35" hidden="1">
      <c r="C62" s="81" t="s">
        <v>17</v>
      </c>
      <c r="E62" s="42"/>
      <c r="G62"/>
      <c r="H62" s="23"/>
      <c r="I62" s="14"/>
      <c r="J62" s="20"/>
      <c r="K62" s="256"/>
      <c r="L62" s="79" t="s">
        <v>89</v>
      </c>
      <c r="M62" s="133">
        <v>-89.75</v>
      </c>
      <c r="N62" s="69">
        <f t="shared" si="10"/>
        <v>328.64979200000334</v>
      </c>
      <c r="O62" s="42"/>
      <c r="P62" s="68"/>
      <c r="Q62" s="100"/>
      <c r="R62" s="131"/>
      <c r="S62" s="377"/>
      <c r="T62" s="66"/>
      <c r="U62" s="65"/>
      <c r="V62" s="20"/>
      <c r="W62" s="20"/>
      <c r="X62" s="20"/>
      <c r="Y62" s="111"/>
      <c r="Z62" s="43"/>
      <c r="AA62" s="94"/>
      <c r="AB62" s="26"/>
      <c r="AC62" s="20"/>
      <c r="AD62" s="20"/>
      <c r="AE62" s="20"/>
      <c r="AF62" s="20"/>
      <c r="AG62" s="120"/>
      <c r="AH62" s="20"/>
      <c r="AI62" s="20"/>
    </row>
    <row r="63" spans="3:35" hidden="1">
      <c r="D63" t="s">
        <v>14</v>
      </c>
      <c r="E63" s="42">
        <v>4849.6000000000004</v>
      </c>
      <c r="G63"/>
      <c r="H63" s="23"/>
      <c r="L63" s="79" t="s">
        <v>62</v>
      </c>
      <c r="M63" s="133">
        <v>-29</v>
      </c>
      <c r="N63" s="69">
        <f t="shared" si="10"/>
        <v>299.64979200000334</v>
      </c>
      <c r="O63" s="26"/>
      <c r="P63" s="68"/>
      <c r="Q63" s="100"/>
      <c r="R63" s="102"/>
      <c r="S63" s="377"/>
      <c r="T63" s="66"/>
      <c r="U63" s="83"/>
      <c r="V63" s="20"/>
      <c r="W63" s="20"/>
      <c r="X63" s="20"/>
      <c r="Y63" s="111"/>
      <c r="Z63" s="43"/>
      <c r="AA63" s="94"/>
      <c r="AB63" s="26"/>
      <c r="AC63" s="20"/>
      <c r="AD63" s="20"/>
      <c r="AE63" s="20"/>
      <c r="AF63" s="20"/>
      <c r="AG63" s="20"/>
      <c r="AH63" s="20"/>
      <c r="AI63" s="20"/>
    </row>
    <row r="64" spans="3:35" hidden="1">
      <c r="D64" s="20" t="s">
        <v>13</v>
      </c>
      <c r="E64" s="14">
        <f>E59-E63-E65</f>
        <v>1303.4099999999999</v>
      </c>
      <c r="G64" s="30"/>
      <c r="H64" s="104"/>
      <c r="L64" s="79" t="s">
        <v>62</v>
      </c>
      <c r="M64" s="133">
        <v>-29</v>
      </c>
      <c r="N64" s="69">
        <f t="shared" si="10"/>
        <v>270.64979200000334</v>
      </c>
      <c r="O64" s="26"/>
      <c r="P64" s="68"/>
      <c r="Q64" s="100"/>
      <c r="R64" s="102"/>
      <c r="S64" s="377"/>
      <c r="T64" s="119"/>
      <c r="U64" s="84"/>
      <c r="V64" s="26"/>
      <c r="W64" s="26"/>
      <c r="X64" s="91"/>
      <c r="Y64" s="20"/>
      <c r="Z64" s="43"/>
      <c r="AA64" s="94"/>
      <c r="AB64" s="26"/>
      <c r="AC64" s="20"/>
      <c r="AD64" s="20"/>
      <c r="AE64" s="20"/>
      <c r="AF64" s="20"/>
      <c r="AG64" s="20"/>
      <c r="AH64" s="20"/>
      <c r="AI64" s="20"/>
    </row>
    <row r="65" spans="2:35" ht="12.75" hidden="1" customHeight="1">
      <c r="D65" s="78" t="s">
        <v>28</v>
      </c>
      <c r="E65" s="15">
        <v>700</v>
      </c>
      <c r="F65" s="88"/>
      <c r="G65" s="516">
        <f>SUM(E63:E65)</f>
        <v>6853.01</v>
      </c>
      <c r="H65" s="516"/>
      <c r="L65" s="79" t="s">
        <v>95</v>
      </c>
      <c r="M65" s="133">
        <v>-29.95</v>
      </c>
      <c r="N65" s="69">
        <f t="shared" si="10"/>
        <v>240.69979200000336</v>
      </c>
      <c r="O65" s="26"/>
      <c r="P65" s="68"/>
      <c r="Q65" s="100"/>
      <c r="R65" s="102"/>
      <c r="S65" s="377"/>
      <c r="T65" s="119"/>
      <c r="U65" s="84"/>
      <c r="V65" s="26"/>
      <c r="W65" s="26"/>
      <c r="X65" s="35"/>
      <c r="Y65" s="20"/>
      <c r="Z65" s="43"/>
      <c r="AA65" s="94"/>
      <c r="AB65" s="26"/>
      <c r="AC65" s="20"/>
      <c r="AD65" s="20"/>
      <c r="AE65" s="20"/>
      <c r="AF65" s="20"/>
      <c r="AG65" s="20"/>
      <c r="AH65" s="20"/>
      <c r="AI65" s="20"/>
    </row>
    <row r="66" spans="2:35" ht="12.75" hidden="1" customHeight="1">
      <c r="D66" s="20"/>
      <c r="E66" s="26"/>
      <c r="F66" s="122"/>
      <c r="G66" s="515"/>
      <c r="H66" s="515"/>
      <c r="L66" s="79" t="s">
        <v>96</v>
      </c>
      <c r="M66" s="133">
        <f>140+200</f>
        <v>340</v>
      </c>
      <c r="N66" s="69">
        <f t="shared" si="10"/>
        <v>580.6997920000033</v>
      </c>
      <c r="O66" s="26"/>
      <c r="P66" s="68"/>
      <c r="Q66" s="100"/>
      <c r="R66" s="102"/>
      <c r="S66" s="377"/>
      <c r="T66" s="119"/>
      <c r="U66" s="20"/>
      <c r="V66" s="26"/>
      <c r="W66" s="26"/>
      <c r="X66" s="20"/>
      <c r="Y66" s="20"/>
      <c r="Z66" s="43"/>
      <c r="AA66" s="94"/>
      <c r="AB66" s="26"/>
      <c r="AC66" s="20"/>
      <c r="AD66" s="20"/>
      <c r="AE66" s="20"/>
      <c r="AF66" s="20"/>
      <c r="AG66" s="20"/>
      <c r="AH66" s="20"/>
      <c r="AI66" s="20"/>
    </row>
    <row r="67" spans="2:35" hidden="1">
      <c r="D67" s="20"/>
      <c r="E67" s="26"/>
      <c r="F67" s="122"/>
      <c r="G67" s="124"/>
      <c r="H67" s="124"/>
      <c r="L67" s="79" t="s">
        <v>97</v>
      </c>
      <c r="M67" s="133">
        <v>-200</v>
      </c>
      <c r="N67" s="69">
        <f t="shared" si="10"/>
        <v>380.6997920000033</v>
      </c>
      <c r="O67" s="26"/>
      <c r="P67" s="22"/>
      <c r="Q67" s="100"/>
      <c r="R67" s="102"/>
      <c r="S67" s="377"/>
      <c r="T67" s="119"/>
      <c r="U67" s="20"/>
      <c r="V67" s="26"/>
      <c r="W67" s="26"/>
      <c r="X67" s="91"/>
      <c r="Y67" s="20"/>
      <c r="Z67" s="43"/>
      <c r="AA67" s="94"/>
      <c r="AB67" s="26"/>
      <c r="AC67" s="20"/>
      <c r="AD67" s="20"/>
      <c r="AE67" s="20"/>
      <c r="AF67" s="20"/>
      <c r="AG67" s="20"/>
      <c r="AH67" s="20"/>
      <c r="AI67" s="20"/>
    </row>
    <row r="68" spans="2:35" hidden="1">
      <c r="B68" s="20"/>
      <c r="C68" s="35"/>
      <c r="D68" s="26"/>
      <c r="E68" s="45"/>
      <c r="F68" s="122"/>
      <c r="G68" s="124"/>
      <c r="H68" s="124"/>
      <c r="L68" s="79" t="s">
        <v>81</v>
      </c>
      <c r="M68" s="133">
        <v>-164.8</v>
      </c>
      <c r="N68" s="69">
        <f t="shared" si="10"/>
        <v>215.89979200000329</v>
      </c>
      <c r="O68" s="26"/>
      <c r="P68" s="68"/>
      <c r="Q68" s="100"/>
      <c r="R68" s="107"/>
      <c r="S68" s="377"/>
      <c r="T68" s="119"/>
      <c r="U68" s="20"/>
      <c r="V68" s="26"/>
      <c r="W68" s="26"/>
      <c r="X68" s="91"/>
      <c r="Y68" s="20"/>
      <c r="Z68" s="43"/>
      <c r="AA68" s="94"/>
      <c r="AB68" s="26"/>
      <c r="AC68" s="20"/>
      <c r="AD68" s="20"/>
      <c r="AE68" s="20"/>
      <c r="AF68" s="20"/>
      <c r="AG68" s="20"/>
      <c r="AH68" s="20"/>
      <c r="AI68" s="20"/>
    </row>
    <row r="69" spans="2:35" hidden="1">
      <c r="B69" s="20"/>
      <c r="C69" s="35"/>
      <c r="D69" s="26"/>
      <c r="E69" s="45"/>
      <c r="F69" s="122"/>
      <c r="G69" s="124"/>
      <c r="H69" s="124"/>
      <c r="L69" s="79" t="s">
        <v>98</v>
      </c>
      <c r="M69" s="133">
        <v>-100.13</v>
      </c>
      <c r="N69" s="69">
        <f t="shared" si="10"/>
        <v>115.76979200000329</v>
      </c>
      <c r="O69" s="26"/>
      <c r="P69" s="26"/>
      <c r="Q69" s="26"/>
      <c r="R69" s="26"/>
      <c r="S69" s="384"/>
      <c r="T69" s="119"/>
      <c r="U69" s="20"/>
      <c r="V69" s="26"/>
      <c r="W69" s="26"/>
      <c r="X69" s="91"/>
      <c r="Y69" s="20"/>
      <c r="Z69" s="43"/>
      <c r="AA69" s="94"/>
      <c r="AB69" s="26"/>
      <c r="AC69" s="20"/>
      <c r="AD69" s="20"/>
      <c r="AE69" s="20"/>
      <c r="AF69" s="20"/>
      <c r="AG69" s="20"/>
      <c r="AH69" s="20"/>
      <c r="AI69" s="20"/>
    </row>
    <row r="70" spans="2:35" hidden="1">
      <c r="B70" s="20"/>
      <c r="C70" s="35"/>
      <c r="D70" s="26"/>
      <c r="E70" s="45"/>
      <c r="F70" s="122"/>
      <c r="G70" s="124"/>
      <c r="H70" s="124"/>
      <c r="L70" s="79" t="s">
        <v>62</v>
      </c>
      <c r="M70" s="133">
        <v>-29</v>
      </c>
      <c r="N70" s="69">
        <f t="shared" si="10"/>
        <v>86.769792000003292</v>
      </c>
      <c r="O70" s="26"/>
      <c r="P70" s="26"/>
      <c r="Q70" s="26"/>
      <c r="R70" s="26"/>
      <c r="S70" s="384"/>
      <c r="T70" s="119"/>
      <c r="U70" s="20"/>
      <c r="V70" s="26"/>
      <c r="W70" s="26"/>
      <c r="X70" s="91"/>
      <c r="Y70" s="20"/>
      <c r="Z70" s="43"/>
      <c r="AA70" s="94"/>
      <c r="AB70" s="26"/>
      <c r="AC70" s="20"/>
      <c r="AD70" s="20"/>
      <c r="AE70" s="20"/>
      <c r="AF70" s="20"/>
      <c r="AG70" s="20"/>
      <c r="AH70" s="20"/>
      <c r="AI70" s="20"/>
    </row>
    <row r="71" spans="2:35" hidden="1">
      <c r="B71" s="20"/>
      <c r="C71" s="35"/>
      <c r="D71" s="26"/>
      <c r="E71" s="45"/>
      <c r="F71" s="122"/>
      <c r="G71" s="124"/>
      <c r="H71" s="124"/>
      <c r="L71" s="109" t="s">
        <v>51</v>
      </c>
      <c r="M71" s="134">
        <f>E63</f>
        <v>4849.6000000000004</v>
      </c>
      <c r="N71" s="69">
        <f t="shared" si="10"/>
        <v>4936.3697920000041</v>
      </c>
      <c r="O71" s="26"/>
      <c r="P71" s="26"/>
      <c r="Q71" s="26"/>
      <c r="R71" s="26"/>
      <c r="S71" s="384"/>
      <c r="T71" s="119"/>
      <c r="U71" s="20"/>
      <c r="V71" s="26"/>
      <c r="W71" s="26"/>
      <c r="X71" s="91"/>
      <c r="Y71" s="20"/>
      <c r="Z71" s="43"/>
      <c r="AA71" s="94"/>
      <c r="AB71" s="26"/>
      <c r="AC71" s="20"/>
      <c r="AD71" s="20"/>
      <c r="AE71" s="20"/>
      <c r="AF71" s="20"/>
      <c r="AG71" s="20"/>
      <c r="AH71" s="20"/>
      <c r="AI71" s="20"/>
    </row>
    <row r="72" spans="2:35" hidden="1">
      <c r="B72" s="20"/>
      <c r="C72" s="35"/>
      <c r="D72" s="26"/>
      <c r="E72" s="45"/>
      <c r="F72" s="122"/>
      <c r="G72" s="124"/>
      <c r="H72" s="124"/>
      <c r="L72" s="79" t="s">
        <v>61</v>
      </c>
      <c r="M72" s="45">
        <v>-144.5</v>
      </c>
      <c r="N72" s="69">
        <f t="shared" si="10"/>
        <v>4791.8697920000041</v>
      </c>
      <c r="O72" s="26"/>
      <c r="P72" s="26"/>
      <c r="Q72" s="26"/>
      <c r="R72" s="26"/>
      <c r="S72" s="384"/>
      <c r="T72" s="119"/>
      <c r="U72" s="20"/>
      <c r="V72" s="26"/>
      <c r="W72" s="26"/>
      <c r="X72" s="91"/>
      <c r="Y72" s="20"/>
      <c r="Z72" s="43"/>
      <c r="AA72" s="94"/>
      <c r="AB72" s="26"/>
      <c r="AC72" s="20"/>
      <c r="AD72" s="20"/>
      <c r="AE72" s="20"/>
      <c r="AF72" s="20"/>
      <c r="AG72" s="20"/>
      <c r="AH72" s="20"/>
      <c r="AI72" s="20"/>
    </row>
    <row r="73" spans="2:35" hidden="1">
      <c r="B73" s="20"/>
      <c r="C73" s="35"/>
      <c r="D73" s="26"/>
      <c r="E73" s="45"/>
      <c r="F73" s="122"/>
      <c r="G73" s="124"/>
      <c r="H73" s="124"/>
      <c r="L73" s="86" t="s">
        <v>63</v>
      </c>
      <c r="M73" s="135">
        <f>-3.9+M72*1.37%</f>
        <v>-5.8796499999999998</v>
      </c>
      <c r="N73" s="69">
        <f t="shared" si="10"/>
        <v>4785.9901420000042</v>
      </c>
      <c r="O73" s="26"/>
      <c r="P73" s="26"/>
      <c r="Q73" s="26"/>
      <c r="R73" s="26"/>
      <c r="S73" s="384"/>
      <c r="T73" s="119"/>
      <c r="U73" s="20"/>
      <c r="V73" s="26"/>
      <c r="W73" s="26"/>
      <c r="X73" s="91"/>
      <c r="Y73" s="20"/>
      <c r="Z73" s="43"/>
      <c r="AA73" s="94"/>
      <c r="AB73" s="26"/>
      <c r="AC73" s="20"/>
      <c r="AD73" s="20"/>
      <c r="AE73" s="20"/>
      <c r="AF73" s="20"/>
      <c r="AG73" s="20"/>
      <c r="AH73" s="20"/>
      <c r="AI73" s="20"/>
    </row>
    <row r="74" spans="2:35" hidden="1">
      <c r="B74" s="20"/>
      <c r="C74" s="35"/>
      <c r="D74" s="26"/>
      <c r="E74" s="45"/>
      <c r="F74" s="122"/>
      <c r="G74" s="124"/>
      <c r="H74" s="124"/>
      <c r="L74" s="85" t="s">
        <v>23</v>
      </c>
      <c r="M74" s="136">
        <v>-188.78</v>
      </c>
      <c r="N74" s="69">
        <f t="shared" si="10"/>
        <v>4597.2101420000045</v>
      </c>
      <c r="O74" s="119"/>
      <c r="P74" s="26"/>
      <c r="Q74" s="26"/>
      <c r="R74" s="26"/>
      <c r="S74" s="384"/>
      <c r="T74" s="119"/>
      <c r="U74" s="20"/>
      <c r="V74" s="26"/>
      <c r="W74" s="26"/>
      <c r="X74" s="91"/>
      <c r="Y74" s="20"/>
      <c r="Z74" s="43"/>
      <c r="AA74" s="94"/>
      <c r="AB74" s="26"/>
      <c r="AC74" s="20"/>
      <c r="AD74" s="20"/>
      <c r="AE74" s="20"/>
      <c r="AF74" s="20"/>
      <c r="AG74" s="20"/>
      <c r="AH74" s="20"/>
      <c r="AI74" s="20"/>
    </row>
    <row r="75" spans="2:35" s="20" customFormat="1" hidden="1">
      <c r="C75" s="35"/>
      <c r="D75" s="26"/>
      <c r="E75" s="45"/>
      <c r="F75" s="122"/>
      <c r="G75" s="128"/>
      <c r="H75" s="128"/>
      <c r="K75" s="256"/>
      <c r="L75" s="86" t="s">
        <v>63</v>
      </c>
      <c r="M75" s="135">
        <f>-3.9+M74*1.37%</f>
        <v>-6.4862859999999998</v>
      </c>
      <c r="N75" s="69">
        <f t="shared" si="10"/>
        <v>4590.7238560000042</v>
      </c>
      <c r="O75" s="26"/>
      <c r="P75" s="26"/>
      <c r="Q75" s="26"/>
      <c r="R75" s="26"/>
      <c r="S75" s="384"/>
      <c r="T75" s="127"/>
      <c r="V75" s="26"/>
      <c r="W75" s="26"/>
      <c r="X75" s="35"/>
      <c r="Z75" s="43"/>
      <c r="AA75" s="94"/>
      <c r="AB75" s="26"/>
    </row>
    <row r="76" spans="2:35" s="20" customFormat="1" hidden="1">
      <c r="E76" s="26"/>
      <c r="G76" s="46"/>
      <c r="K76" s="256"/>
      <c r="L76" s="50" t="s">
        <v>16</v>
      </c>
      <c r="M76" s="133">
        <v>-483.99</v>
      </c>
      <c r="N76" s="69">
        <f t="shared" si="10"/>
        <v>4106.7338560000044</v>
      </c>
      <c r="P76" s="26"/>
      <c r="Q76" s="26"/>
      <c r="R76" s="26"/>
      <c r="S76" s="384"/>
      <c r="Z76" s="26"/>
      <c r="AA76" s="120"/>
      <c r="AB76" s="26"/>
    </row>
    <row r="77" spans="2:35" hidden="1">
      <c r="L77" s="66" t="s">
        <v>63</v>
      </c>
      <c r="M77" s="135">
        <f>-3.9+M76*1.37%</f>
        <v>-10.530663000000001</v>
      </c>
      <c r="N77" s="69">
        <f t="shared" si="10"/>
        <v>4096.2031930000048</v>
      </c>
      <c r="V77" s="20"/>
      <c r="W77" s="20"/>
      <c r="X77" s="20"/>
      <c r="Y77" s="20"/>
      <c r="Z77" s="26"/>
    </row>
    <row r="78" spans="2:35" hidden="1">
      <c r="L78" s="87" t="s">
        <v>56</v>
      </c>
      <c r="M78" s="137">
        <v>-505</v>
      </c>
      <c r="N78" s="69">
        <f t="shared" si="10"/>
        <v>3591.2031930000048</v>
      </c>
      <c r="V78" s="20"/>
      <c r="W78" s="20"/>
      <c r="X78" s="20"/>
      <c r="Y78" s="20"/>
      <c r="Z78" s="26"/>
    </row>
    <row r="79" spans="2:35" hidden="1">
      <c r="L79" s="86" t="s">
        <v>63</v>
      </c>
      <c r="M79" s="135">
        <f>-3.9+M78*1.37%</f>
        <v>-10.8185</v>
      </c>
      <c r="N79" s="70">
        <f t="shared" si="10"/>
        <v>3580.384693000005</v>
      </c>
      <c r="V79" s="20"/>
      <c r="W79" s="20"/>
      <c r="X79" s="20"/>
      <c r="Y79" s="20"/>
      <c r="Z79" s="26"/>
    </row>
    <row r="80" spans="2:35" hidden="1">
      <c r="M80" s="51">
        <f>SUM(M47:M79)</f>
        <v>3580.384693000005</v>
      </c>
      <c r="V80" s="20"/>
      <c r="W80" s="20"/>
      <c r="X80" s="20"/>
      <c r="Y80" s="20"/>
      <c r="Z80" s="26"/>
    </row>
    <row r="81" spans="2:35" s="78" customFormat="1" hidden="1">
      <c r="E81" s="15"/>
      <c r="G81" s="129"/>
      <c r="K81" s="257"/>
      <c r="M81" s="15"/>
      <c r="P81" s="15"/>
      <c r="Q81" s="15"/>
      <c r="R81" s="15"/>
      <c r="S81" s="385"/>
      <c r="Z81" s="15"/>
      <c r="AA81" s="130"/>
      <c r="AB81" s="15"/>
    </row>
    <row r="82" spans="2:35" hidden="1">
      <c r="L82" s="20"/>
      <c r="M82" s="26"/>
      <c r="N82" s="20"/>
    </row>
    <row r="83" spans="2:35" hidden="1">
      <c r="B83" s="1045" t="s">
        <v>93</v>
      </c>
      <c r="C83" s="1045"/>
      <c r="D83" s="1045"/>
      <c r="E83" s="1045"/>
      <c r="G83" s="31"/>
      <c r="H83" s="31"/>
      <c r="I83" s="26"/>
      <c r="L83" s="59"/>
      <c r="M83" s="1042" t="s">
        <v>54</v>
      </c>
      <c r="N83" s="142"/>
      <c r="O83" s="142"/>
      <c r="P83" s="1044" t="s">
        <v>48</v>
      </c>
      <c r="Q83" s="141"/>
      <c r="R83" s="141"/>
      <c r="S83" s="377"/>
      <c r="X83" s="35"/>
      <c r="Y83" s="35"/>
      <c r="Z83" s="26"/>
      <c r="AA83" s="120"/>
      <c r="AB83" s="26"/>
      <c r="AC83" s="20"/>
      <c r="AD83" s="20"/>
      <c r="AE83" s="20"/>
      <c r="AF83" s="20"/>
      <c r="AG83" s="20"/>
      <c r="AH83" s="20"/>
      <c r="AI83" s="20"/>
    </row>
    <row r="84" spans="2:35" ht="12.75" hidden="1" customHeight="1">
      <c r="C84" s="17" t="s">
        <v>12</v>
      </c>
      <c r="D84" s="14"/>
      <c r="E84" s="44">
        <v>6000</v>
      </c>
      <c r="G84" s="514"/>
      <c r="H84" s="514"/>
      <c r="I84" s="26"/>
      <c r="L84" s="60"/>
      <c r="M84" s="1042"/>
      <c r="N84" s="142" t="s">
        <v>52</v>
      </c>
      <c r="O84" s="142"/>
      <c r="P84" s="1044"/>
      <c r="Q84" s="141" t="s">
        <v>43</v>
      </c>
      <c r="R84" s="141" t="s">
        <v>53</v>
      </c>
      <c r="S84" s="377"/>
      <c r="X84" s="118"/>
      <c r="Y84" s="111"/>
      <c r="Z84" s="117"/>
      <c r="AA84" s="89"/>
      <c r="AB84" s="90"/>
      <c r="AC84" s="20"/>
      <c r="AD84" s="41"/>
      <c r="AE84" s="20"/>
      <c r="AF84" s="20"/>
      <c r="AG84" s="20"/>
      <c r="AH84" s="20"/>
      <c r="AI84" s="20"/>
    </row>
    <row r="85" spans="2:35" hidden="1">
      <c r="C85" s="17"/>
      <c r="D85" s="14" t="s">
        <v>24</v>
      </c>
      <c r="E85" s="44">
        <f>'[2]MARCH ''11'!$C$38</f>
        <v>555.73</v>
      </c>
      <c r="G85" s="30"/>
      <c r="H85" s="30"/>
      <c r="I85" s="26"/>
      <c r="L85" s="46" t="s">
        <v>55</v>
      </c>
      <c r="M85" s="45">
        <f>$M$80</f>
        <v>3580.384693000005</v>
      </c>
      <c r="N85" s="71">
        <f>M85</f>
        <v>3580.384693000005</v>
      </c>
      <c r="O85" s="26"/>
      <c r="P85" s="45">
        <f>$Q$60</f>
        <v>-8490.9672784810082</v>
      </c>
      <c r="Q85" s="71">
        <f>P85</f>
        <v>-8490.9672784810082</v>
      </c>
      <c r="R85" s="45">
        <f>10050+Q85</f>
        <v>1559.0327215189918</v>
      </c>
      <c r="S85" s="382"/>
      <c r="T85" s="29"/>
      <c r="X85" s="91"/>
      <c r="Y85" s="111"/>
      <c r="Z85" s="26"/>
      <c r="AA85" s="120"/>
      <c r="AB85" s="26"/>
      <c r="AC85" s="20"/>
      <c r="AD85" s="92"/>
      <c r="AE85" s="93"/>
      <c r="AF85" s="20"/>
      <c r="AG85" s="20"/>
      <c r="AH85" s="20"/>
      <c r="AI85" s="20"/>
    </row>
    <row r="86" spans="2:35" hidden="1">
      <c r="C86" s="17"/>
      <c r="D86" s="14" t="s">
        <v>69</v>
      </c>
      <c r="E86" s="44">
        <f>'[2]FEBRUARY ''11'!$C$39</f>
        <v>-82.35</v>
      </c>
      <c r="G86" s="30"/>
      <c r="H86" s="30"/>
      <c r="I86" s="26"/>
      <c r="L86" s="101" t="s">
        <v>99</v>
      </c>
      <c r="M86" s="133">
        <v>-750</v>
      </c>
      <c r="N86" s="69">
        <f t="shared" ref="N86:N99" si="13">N85+M86</f>
        <v>2830.384693000005</v>
      </c>
      <c r="O86" s="26"/>
      <c r="P86" s="131">
        <v>-59.99</v>
      </c>
      <c r="Q86" s="72">
        <f>Q85+P86</f>
        <v>-8550.957278481008</v>
      </c>
      <c r="R86" s="45">
        <f>10050+Q86</f>
        <v>1499.042721518992</v>
      </c>
      <c r="S86" s="373" t="s">
        <v>50</v>
      </c>
      <c r="T86" s="29"/>
      <c r="X86" s="91"/>
      <c r="Y86" s="112"/>
      <c r="Z86" s="26"/>
      <c r="AA86" s="120"/>
      <c r="AB86" s="26"/>
      <c r="AC86" s="20"/>
      <c r="AD86" s="92"/>
      <c r="AE86" s="93"/>
      <c r="AF86" s="20"/>
      <c r="AG86" s="20"/>
      <c r="AH86" s="20"/>
      <c r="AI86" s="20"/>
    </row>
    <row r="87" spans="2:35" ht="12.75" hidden="1" customHeight="1">
      <c r="C87" s="17"/>
      <c r="D87" s="62" t="s">
        <v>60</v>
      </c>
      <c r="E87" s="15"/>
      <c r="G87"/>
      <c r="I87" s="26"/>
      <c r="L87" s="101" t="s">
        <v>70</v>
      </c>
      <c r="M87" s="133">
        <v>-484.2</v>
      </c>
      <c r="N87" s="69">
        <f t="shared" si="13"/>
        <v>2346.1846930000052</v>
      </c>
      <c r="O87" s="65"/>
      <c r="P87" s="131">
        <v>-160.63</v>
      </c>
      <c r="Q87" s="72">
        <f>Q86+P87</f>
        <v>-8711.5872784810072</v>
      </c>
      <c r="R87" s="45">
        <f t="shared" ref="R87:R95" si="14">10050+Q87</f>
        <v>1338.4127215189928</v>
      </c>
      <c r="S87" s="373" t="s">
        <v>49</v>
      </c>
      <c r="X87" s="20"/>
      <c r="Y87" s="112"/>
      <c r="Z87" s="43"/>
      <c r="AA87" s="94"/>
      <c r="AB87" s="95"/>
      <c r="AC87" s="20"/>
      <c r="AD87" s="41"/>
      <c r="AE87" s="93"/>
      <c r="AF87" s="20"/>
      <c r="AG87" s="20"/>
      <c r="AH87" s="20"/>
      <c r="AI87" s="20"/>
    </row>
    <row r="88" spans="2:35" ht="12.75" hidden="1" customHeight="1">
      <c r="C88" s="18" t="s">
        <v>5</v>
      </c>
      <c r="D88" s="14"/>
      <c r="E88" s="14">
        <f>SUM(E84:E87)</f>
        <v>6473.3799999999992</v>
      </c>
      <c r="G88" s="518" t="s">
        <v>73</v>
      </c>
      <c r="H88" s="518"/>
      <c r="I88" s="518"/>
      <c r="J88" s="20"/>
      <c r="K88" s="256"/>
      <c r="L88" s="101" t="s">
        <v>102</v>
      </c>
      <c r="M88" s="133">
        <v>-1500</v>
      </c>
      <c r="N88" s="69">
        <f t="shared" si="13"/>
        <v>846.18469300000515</v>
      </c>
      <c r="O88" s="65"/>
      <c r="P88" s="131">
        <v>-234.9</v>
      </c>
      <c r="Q88" s="72">
        <f>Q87+P88</f>
        <v>-8946.4872784810068</v>
      </c>
      <c r="R88" s="45">
        <f t="shared" si="14"/>
        <v>1103.5127215189932</v>
      </c>
      <c r="S88" s="373" t="s">
        <v>57</v>
      </c>
      <c r="X88" s="20"/>
      <c r="Y88" s="112"/>
      <c r="Z88" s="43"/>
      <c r="AA88" s="94"/>
      <c r="AB88" s="26"/>
      <c r="AC88" s="20"/>
      <c r="AD88" s="92"/>
      <c r="AE88" s="93"/>
      <c r="AF88" s="20"/>
      <c r="AG88" s="20"/>
      <c r="AH88" s="20"/>
      <c r="AI88" s="20"/>
    </row>
    <row r="89" spans="2:35" hidden="1">
      <c r="G89"/>
      <c r="H89" s="23" t="s">
        <v>10</v>
      </c>
      <c r="I89" s="14">
        <v>175.44</v>
      </c>
      <c r="J89" s="54"/>
      <c r="K89" s="256"/>
      <c r="L89" s="101" t="s">
        <v>104</v>
      </c>
      <c r="M89" s="133">
        <v>-690</v>
      </c>
      <c r="N89" s="69">
        <f t="shared" si="13"/>
        <v>156.18469300000515</v>
      </c>
      <c r="O89" s="48"/>
      <c r="P89" s="131">
        <f>-800-11.5</f>
        <v>-811.5</v>
      </c>
      <c r="Q89" s="72">
        <f>Q88+P89</f>
        <v>-9757.9872784810068</v>
      </c>
      <c r="R89" s="45">
        <f t="shared" si="14"/>
        <v>292.0127215189932</v>
      </c>
      <c r="S89" s="373" t="s">
        <v>100</v>
      </c>
      <c r="X89" s="91"/>
      <c r="Y89" s="112"/>
      <c r="Z89" s="43"/>
      <c r="AA89" s="94"/>
      <c r="AB89" s="26"/>
      <c r="AC89" s="20"/>
      <c r="AD89" s="92"/>
      <c r="AE89" s="93"/>
      <c r="AF89" s="20"/>
      <c r="AG89" s="20"/>
      <c r="AH89" s="20"/>
      <c r="AI89" s="20"/>
    </row>
    <row r="90" spans="2:35" hidden="1">
      <c r="C90" s="17" t="s">
        <v>7</v>
      </c>
      <c r="G90"/>
      <c r="H90" s="23" t="s">
        <v>18</v>
      </c>
      <c r="I90" s="14">
        <f>4.08+16.89</f>
        <v>20.97</v>
      </c>
      <c r="J90" s="20"/>
      <c r="K90" s="256"/>
      <c r="L90" s="145" t="s">
        <v>51</v>
      </c>
      <c r="M90" s="146">
        <f>E101</f>
        <v>4849.6000000000004</v>
      </c>
      <c r="N90" s="69">
        <f t="shared" si="13"/>
        <v>5005.7846930000051</v>
      </c>
      <c r="O90" s="48"/>
      <c r="P90" s="131">
        <v>-121.85</v>
      </c>
      <c r="Q90" s="72">
        <f t="shared" ref="Q90:Q95" si="15">Q89+P90</f>
        <v>-9879.8372784810072</v>
      </c>
      <c r="R90" s="45">
        <f t="shared" si="14"/>
        <v>170.16272151899284</v>
      </c>
      <c r="S90" s="373" t="s">
        <v>101</v>
      </c>
      <c r="T90" s="20"/>
      <c r="U90" s="20"/>
      <c r="V90" s="103"/>
      <c r="W90" s="103"/>
      <c r="X90" s="20"/>
      <c r="Y90" s="112"/>
      <c r="Z90" s="43"/>
      <c r="AA90" s="94"/>
      <c r="AB90" s="95"/>
      <c r="AC90" s="20"/>
      <c r="AD90" s="96"/>
      <c r="AE90" s="93"/>
      <c r="AF90" s="20"/>
      <c r="AG90" s="20"/>
      <c r="AH90" s="20"/>
      <c r="AI90" s="20"/>
    </row>
    <row r="91" spans="2:35" hidden="1">
      <c r="D91" t="s">
        <v>8</v>
      </c>
      <c r="E91" s="14">
        <f>1204/2</f>
        <v>602</v>
      </c>
      <c r="G91" s="36"/>
      <c r="H91" s="23" t="s">
        <v>20</v>
      </c>
      <c r="I91" s="14">
        <v>7.45</v>
      </c>
      <c r="J91" s="20"/>
      <c r="K91" s="256"/>
      <c r="L91" s="144"/>
      <c r="M91" s="147"/>
      <c r="N91" s="69">
        <f t="shared" si="13"/>
        <v>5005.7846930000051</v>
      </c>
      <c r="O91" s="49"/>
      <c r="P91" s="133">
        <v>1500</v>
      </c>
      <c r="Q91" s="72">
        <f t="shared" si="15"/>
        <v>-8379.8372784810072</v>
      </c>
      <c r="R91" s="45">
        <f t="shared" si="14"/>
        <v>1670.1627215189928</v>
      </c>
      <c r="S91" s="373" t="s">
        <v>66</v>
      </c>
      <c r="T91" s="20"/>
      <c r="U91" s="20"/>
      <c r="V91" s="20"/>
      <c r="W91" s="20"/>
      <c r="X91" s="20"/>
      <c r="Y91" s="112"/>
      <c r="Z91" s="43"/>
      <c r="AA91" s="94"/>
      <c r="AB91" s="26"/>
      <c r="AC91" s="20"/>
      <c r="AD91" s="41"/>
      <c r="AE91" s="93"/>
      <c r="AF91" s="20"/>
      <c r="AG91" s="20"/>
      <c r="AH91" s="20"/>
      <c r="AI91" s="20"/>
    </row>
    <row r="92" spans="2:35" hidden="1">
      <c r="D92" t="s">
        <v>9</v>
      </c>
      <c r="E92" s="44"/>
      <c r="F92" s="37" t="s">
        <v>15</v>
      </c>
      <c r="G92"/>
      <c r="H92" s="23" t="s">
        <v>19</v>
      </c>
      <c r="I92" s="14">
        <v>-3.29</v>
      </c>
      <c r="J92" s="20"/>
      <c r="K92" s="256"/>
      <c r="L92" s="79" t="s">
        <v>61</v>
      </c>
      <c r="M92" s="45">
        <v>-144.5</v>
      </c>
      <c r="N92" s="69">
        <f t="shared" si="13"/>
        <v>4861.2846930000051</v>
      </c>
      <c r="O92" s="49"/>
      <c r="P92" s="131">
        <v>-129.94999999999999</v>
      </c>
      <c r="Q92" s="72">
        <f t="shared" si="15"/>
        <v>-8509.7872784810079</v>
      </c>
      <c r="R92" s="45">
        <f t="shared" si="14"/>
        <v>1540.2127215189921</v>
      </c>
      <c r="S92" s="373" t="s">
        <v>103</v>
      </c>
      <c r="T92" s="20"/>
      <c r="U92" s="20"/>
      <c r="V92" s="20"/>
      <c r="W92" s="20"/>
      <c r="X92" s="20"/>
      <c r="Y92" s="112"/>
      <c r="Z92" s="43"/>
      <c r="AA92" s="94"/>
      <c r="AB92" s="26"/>
      <c r="AC92" s="20"/>
      <c r="AD92" s="92"/>
      <c r="AE92" s="93"/>
      <c r="AF92" s="20"/>
      <c r="AG92" s="20"/>
      <c r="AH92" s="20"/>
      <c r="AI92" s="20"/>
    </row>
    <row r="93" spans="2:35" hidden="1">
      <c r="D93" t="s">
        <v>10</v>
      </c>
      <c r="E93" s="19">
        <f>I97</f>
        <v>321.77999999999997</v>
      </c>
      <c r="F93" s="37" t="s">
        <v>15</v>
      </c>
      <c r="G93"/>
      <c r="H93" s="23" t="s">
        <v>21</v>
      </c>
      <c r="I93" s="14">
        <v>3.51</v>
      </c>
      <c r="J93" s="20"/>
      <c r="K93" s="256"/>
      <c r="L93" s="86" t="s">
        <v>63</v>
      </c>
      <c r="M93" s="135">
        <f>-3.9+M92*1.37%</f>
        <v>-5.8796499999999998</v>
      </c>
      <c r="N93" s="69">
        <f t="shared" si="13"/>
        <v>4855.4050430000052</v>
      </c>
      <c r="O93" s="49"/>
      <c r="P93" s="45">
        <v>-122.98</v>
      </c>
      <c r="Q93" s="72">
        <f t="shared" si="15"/>
        <v>-8632.7672784810075</v>
      </c>
      <c r="R93" s="45">
        <f t="shared" si="14"/>
        <v>1417.2327215189925</v>
      </c>
      <c r="S93" s="373" t="s">
        <v>50</v>
      </c>
      <c r="T93" s="50"/>
      <c r="U93" s="20"/>
      <c r="V93" s="26"/>
      <c r="W93" s="26"/>
      <c r="X93" s="20"/>
      <c r="Y93" s="112"/>
      <c r="Z93" s="43"/>
      <c r="AA93" s="94"/>
      <c r="AB93" s="95"/>
      <c r="AC93" s="20"/>
      <c r="AD93" s="92"/>
      <c r="AE93" s="93"/>
      <c r="AF93" s="20"/>
      <c r="AG93" s="20"/>
      <c r="AH93" s="20"/>
      <c r="AI93" s="20"/>
    </row>
    <row r="94" spans="2:35" ht="12.75" hidden="1" customHeight="1">
      <c r="D94" t="s">
        <v>22</v>
      </c>
      <c r="E94" s="15"/>
      <c r="F94" s="38"/>
      <c r="G94"/>
      <c r="H94" s="23" t="s">
        <v>26</v>
      </c>
      <c r="I94" s="52">
        <f>302.44</f>
        <v>302.44</v>
      </c>
      <c r="J94" s="20"/>
      <c r="K94" s="256"/>
      <c r="L94" s="85" t="s">
        <v>23</v>
      </c>
      <c r="M94" s="136">
        <v>-177.68</v>
      </c>
      <c r="N94" s="69">
        <f t="shared" si="13"/>
        <v>4677.7250430000049</v>
      </c>
      <c r="O94" s="39"/>
      <c r="P94" s="132">
        <v>-1011.5</v>
      </c>
      <c r="Q94" s="72">
        <f t="shared" si="15"/>
        <v>-9644.2672784810075</v>
      </c>
      <c r="R94" s="45">
        <f t="shared" si="14"/>
        <v>405.73272151899255</v>
      </c>
      <c r="S94" s="373" t="s">
        <v>91</v>
      </c>
      <c r="T94" s="50"/>
      <c r="U94" s="20"/>
      <c r="V94" s="26"/>
      <c r="W94" s="26"/>
      <c r="X94" s="20"/>
      <c r="Y94" s="112"/>
      <c r="Z94" s="43"/>
      <c r="AA94" s="94"/>
      <c r="AB94" s="26"/>
      <c r="AC94" s="20"/>
      <c r="AD94" s="92"/>
      <c r="AE94" s="97"/>
      <c r="AF94" s="20"/>
      <c r="AG94" s="20"/>
      <c r="AH94" s="20"/>
      <c r="AI94" s="20"/>
    </row>
    <row r="95" spans="2:35" ht="12.75" hidden="1" customHeight="1">
      <c r="C95" s="18" t="s">
        <v>5</v>
      </c>
      <c r="E95" s="19">
        <f>SUM(E91:E94)</f>
        <v>923.78</v>
      </c>
      <c r="G95"/>
      <c r="H95" s="116" t="s">
        <v>105</v>
      </c>
      <c r="I95" s="44">
        <f>SUM(I89:I94)</f>
        <v>506.52</v>
      </c>
      <c r="J95" s="20"/>
      <c r="K95" s="256"/>
      <c r="L95" s="86" t="s">
        <v>63</v>
      </c>
      <c r="M95" s="135">
        <f>-3.9+M94*1.37%</f>
        <v>-6.3342159999999996</v>
      </c>
      <c r="N95" s="69">
        <f t="shared" si="13"/>
        <v>4671.3908270000047</v>
      </c>
      <c r="O95" s="39"/>
      <c r="P95" s="49">
        <f>E102</f>
        <v>-9.0949470177292824E-13</v>
      </c>
      <c r="Q95" s="73">
        <f t="shared" si="15"/>
        <v>-9644.2672784810093</v>
      </c>
      <c r="R95" s="52">
        <f t="shared" si="14"/>
        <v>405.73272151899073</v>
      </c>
      <c r="S95" s="383" t="s">
        <v>64</v>
      </c>
      <c r="T95" s="80"/>
      <c r="U95" s="74"/>
      <c r="V95" s="26"/>
      <c r="W95" s="26"/>
      <c r="X95" s="20"/>
      <c r="Y95" s="112"/>
      <c r="Z95" s="43"/>
      <c r="AA95" s="94"/>
      <c r="AB95" s="26"/>
      <c r="AC95" s="20"/>
      <c r="AD95" s="20"/>
      <c r="AE95" s="93"/>
      <c r="AF95" s="20"/>
      <c r="AG95" s="20"/>
      <c r="AH95" s="20"/>
      <c r="AI95" s="20"/>
    </row>
    <row r="96" spans="2:35" hidden="1">
      <c r="C96" s="18"/>
      <c r="G96"/>
      <c r="H96" s="23" t="s">
        <v>27</v>
      </c>
      <c r="I96" s="52">
        <f>-137.61-16.43-30.7</f>
        <v>-184.74</v>
      </c>
      <c r="J96" s="20"/>
      <c r="K96" s="256"/>
      <c r="L96" s="50" t="s">
        <v>16</v>
      </c>
      <c r="M96" s="133">
        <v>-483.99</v>
      </c>
      <c r="N96" s="69">
        <f t="shared" si="13"/>
        <v>4187.4008270000049</v>
      </c>
      <c r="O96" s="39"/>
      <c r="P96" s="64">
        <f>SUM(P85:P95)</f>
        <v>-9644.2672784810093</v>
      </c>
      <c r="Q96" s="63"/>
      <c r="R96" s="63"/>
      <c r="S96" s="377"/>
      <c r="T96" s="50"/>
      <c r="U96" s="74"/>
      <c r="V96" s="26"/>
      <c r="W96" s="26"/>
      <c r="X96" s="91"/>
      <c r="Y96" s="20"/>
      <c r="Z96" s="43"/>
      <c r="AA96" s="94"/>
      <c r="AB96" s="95"/>
      <c r="AC96" s="20"/>
      <c r="AD96" s="98"/>
      <c r="AE96" s="93"/>
      <c r="AF96" s="120"/>
      <c r="AG96" s="20"/>
      <c r="AH96" s="20"/>
      <c r="AI96" s="20"/>
    </row>
    <row r="97" spans="2:35" ht="13.5" hidden="1" thickBot="1">
      <c r="D97" s="16" t="s">
        <v>67</v>
      </c>
      <c r="E97" s="27">
        <f>E88-E95</f>
        <v>5549.5999999999995</v>
      </c>
      <c r="G97"/>
      <c r="H97" s="23"/>
      <c r="I97" s="53">
        <f>SUM(I95:I96)</f>
        <v>321.77999999999997</v>
      </c>
      <c r="J97" s="20"/>
      <c r="K97" s="256"/>
      <c r="L97" s="66" t="s">
        <v>63</v>
      </c>
      <c r="M97" s="135">
        <f>-3.9+M96*1.37%</f>
        <v>-10.530663000000001</v>
      </c>
      <c r="N97" s="69">
        <f t="shared" si="13"/>
        <v>4176.8701640000054</v>
      </c>
      <c r="O97" s="39"/>
      <c r="P97" s="68"/>
      <c r="Q97" s="100"/>
      <c r="R97" s="107"/>
      <c r="S97" s="377"/>
      <c r="T97" s="66"/>
      <c r="U97" s="65"/>
      <c r="V97" s="26"/>
      <c r="W97" s="26"/>
      <c r="X97" s="35"/>
      <c r="Y97" s="20"/>
      <c r="Z97" s="43"/>
      <c r="AA97" s="94"/>
      <c r="AB97" s="26"/>
      <c r="AC97" s="20"/>
      <c r="AD97" s="20"/>
      <c r="AE97" s="20"/>
      <c r="AF97" s="99"/>
      <c r="AG97" s="20"/>
      <c r="AH97" s="20"/>
      <c r="AI97" s="20"/>
    </row>
    <row r="98" spans="2:35" hidden="1">
      <c r="D98" s="17"/>
      <c r="E98" s="40"/>
      <c r="G98"/>
      <c r="H98" s="116"/>
      <c r="I98" s="45"/>
      <c r="J98" s="20"/>
      <c r="K98" s="256"/>
      <c r="L98" s="87" t="s">
        <v>56</v>
      </c>
      <c r="M98" s="137">
        <v>-505</v>
      </c>
      <c r="N98" s="69">
        <f t="shared" si="13"/>
        <v>3671.8701640000054</v>
      </c>
      <c r="O98" s="39"/>
      <c r="P98" s="68"/>
      <c r="Q98" s="100"/>
      <c r="R98" s="107"/>
      <c r="S98" s="377"/>
      <c r="T98" s="66"/>
      <c r="U98" s="65"/>
      <c r="V98" s="20"/>
      <c r="W98" s="20"/>
      <c r="X98" s="20"/>
      <c r="Y98" s="111"/>
      <c r="Z98" s="43"/>
      <c r="AA98" s="94"/>
      <c r="AB98" s="26"/>
      <c r="AC98" s="20"/>
      <c r="AD98" s="20"/>
      <c r="AE98" s="20"/>
      <c r="AF98" s="20"/>
      <c r="AG98" s="20"/>
      <c r="AH98" s="20"/>
      <c r="AI98" s="20"/>
    </row>
    <row r="99" spans="2:35" hidden="1">
      <c r="D99" s="17"/>
      <c r="E99" s="40"/>
      <c r="G99"/>
      <c r="H99" s="23"/>
      <c r="I99" s="45"/>
      <c r="J99" s="20"/>
      <c r="K99" s="256"/>
      <c r="L99" s="86" t="s">
        <v>63</v>
      </c>
      <c r="M99" s="135">
        <f>-3.9+M98*1.37%</f>
        <v>-10.8185</v>
      </c>
      <c r="N99" s="70">
        <f t="shared" si="13"/>
        <v>3661.0516640000055</v>
      </c>
      <c r="O99" s="39"/>
      <c r="P99" s="68"/>
      <c r="Q99" s="100"/>
      <c r="R99" s="107"/>
      <c r="S99" s="377"/>
      <c r="T99" s="66"/>
      <c r="U99" s="65"/>
      <c r="V99" s="20"/>
      <c r="W99" s="20"/>
      <c r="X99" s="91"/>
      <c r="Y99" s="111"/>
      <c r="Z99" s="43"/>
      <c r="AA99" s="94"/>
      <c r="AB99" s="95"/>
      <c r="AC99" s="20"/>
      <c r="AD99" s="20"/>
      <c r="AE99" s="20"/>
      <c r="AF99" s="20"/>
      <c r="AG99" s="20"/>
      <c r="AH99" s="20"/>
      <c r="AI99" s="20"/>
    </row>
    <row r="100" spans="2:35" hidden="1">
      <c r="C100" s="81" t="s">
        <v>17</v>
      </c>
      <c r="E100" s="42"/>
      <c r="G100"/>
      <c r="H100" s="23"/>
      <c r="I100" s="14"/>
      <c r="J100" s="20"/>
      <c r="K100" s="256"/>
      <c r="M100" s="51">
        <f>SUM(M85:M99)</f>
        <v>3661.0516640000055</v>
      </c>
      <c r="O100" s="42"/>
      <c r="P100" s="68"/>
      <c r="Q100" s="100"/>
      <c r="R100" s="107"/>
      <c r="S100" s="377"/>
      <c r="T100" s="140"/>
      <c r="U100" s="65"/>
      <c r="V100" s="20"/>
      <c r="W100" s="20"/>
      <c r="X100" s="20"/>
      <c r="Y100" s="111"/>
      <c r="Z100" s="43"/>
      <c r="AA100" s="94"/>
      <c r="AB100" s="26"/>
      <c r="AC100" s="20"/>
      <c r="AD100" s="20"/>
      <c r="AE100" s="20"/>
      <c r="AF100" s="20"/>
      <c r="AG100" s="120"/>
      <c r="AH100" s="20"/>
      <c r="AI100" s="20"/>
    </row>
    <row r="101" spans="2:35" hidden="1">
      <c r="D101" t="s">
        <v>14</v>
      </c>
      <c r="E101" s="42">
        <v>4849.6000000000004</v>
      </c>
      <c r="G101"/>
      <c r="H101" s="23"/>
      <c r="M101" s="26"/>
      <c r="O101" s="26"/>
      <c r="P101" s="68"/>
      <c r="Q101" s="100"/>
      <c r="R101" s="107"/>
      <c r="S101" s="377"/>
      <c r="T101" s="140"/>
      <c r="U101" s="83"/>
      <c r="V101" s="20"/>
      <c r="W101" s="20"/>
      <c r="X101" s="20"/>
      <c r="Y101" s="111"/>
      <c r="Z101" s="43"/>
      <c r="AA101" s="94"/>
      <c r="AB101" s="26"/>
      <c r="AC101" s="20"/>
      <c r="AD101" s="20"/>
      <c r="AE101" s="20"/>
      <c r="AF101" s="20"/>
      <c r="AG101" s="20"/>
      <c r="AH101" s="20"/>
      <c r="AI101" s="20"/>
    </row>
    <row r="102" spans="2:35" hidden="1">
      <c r="D102" s="20" t="s">
        <v>13</v>
      </c>
      <c r="E102" s="14">
        <f>E97-E101-E103</f>
        <v>-9.0949470177292824E-13</v>
      </c>
      <c r="G102" s="30"/>
      <c r="H102" s="104"/>
      <c r="M102" s="26"/>
      <c r="O102" s="26"/>
      <c r="P102" s="68"/>
      <c r="Q102" s="100"/>
      <c r="R102" s="107"/>
      <c r="S102" s="377"/>
      <c r="T102" s="140"/>
      <c r="U102" s="84"/>
      <c r="V102" s="26"/>
      <c r="W102" s="26"/>
      <c r="X102" s="91"/>
      <c r="Y102" s="20"/>
      <c r="Z102" s="43"/>
      <c r="AA102" s="94"/>
      <c r="AB102" s="26"/>
      <c r="AC102" s="20"/>
      <c r="AD102" s="20"/>
      <c r="AE102" s="20"/>
      <c r="AF102" s="20"/>
      <c r="AG102" s="20"/>
      <c r="AH102" s="20"/>
      <c r="AI102" s="20"/>
    </row>
    <row r="103" spans="2:35" ht="12.75" hidden="1" customHeight="1">
      <c r="D103" s="78" t="s">
        <v>28</v>
      </c>
      <c r="E103" s="15">
        <v>700</v>
      </c>
      <c r="F103" s="88"/>
      <c r="G103" s="516">
        <f>SUM(E101:E103)</f>
        <v>5549.5999999999995</v>
      </c>
      <c r="H103" s="516"/>
      <c r="M103" s="26"/>
      <c r="O103" s="26"/>
      <c r="P103" s="68"/>
      <c r="Q103" s="100"/>
      <c r="R103" s="107"/>
      <c r="S103" s="377"/>
      <c r="T103" s="140"/>
      <c r="U103" s="84"/>
      <c r="V103" s="26"/>
      <c r="W103" s="26"/>
      <c r="X103" s="35"/>
      <c r="Y103" s="20"/>
      <c r="Z103" s="43"/>
      <c r="AA103" s="94"/>
      <c r="AB103" s="26"/>
      <c r="AC103" s="20"/>
      <c r="AD103" s="20"/>
      <c r="AE103" s="20"/>
      <c r="AF103" s="20"/>
      <c r="AG103" s="20"/>
      <c r="AH103" s="20"/>
      <c r="AI103" s="20"/>
    </row>
    <row r="104" spans="2:35" s="78" customFormat="1" hidden="1">
      <c r="E104" s="15"/>
      <c r="G104" s="129"/>
      <c r="K104" s="257"/>
      <c r="M104" s="15"/>
      <c r="P104" s="15"/>
      <c r="Q104" s="15"/>
      <c r="R104" s="15"/>
      <c r="S104" s="385"/>
      <c r="Z104" s="15"/>
      <c r="AA104" s="130"/>
      <c r="AB104" s="15"/>
    </row>
    <row r="105" spans="2:35" hidden="1"/>
    <row r="106" spans="2:35" hidden="1">
      <c r="B106" s="1045" t="s">
        <v>109</v>
      </c>
      <c r="C106" s="1045"/>
      <c r="D106" s="1045"/>
      <c r="E106" s="1045"/>
      <c r="G106" s="31"/>
      <c r="H106" s="31"/>
      <c r="I106" s="26"/>
      <c r="L106" s="59"/>
      <c r="M106" s="1042" t="s">
        <v>54</v>
      </c>
      <c r="N106" s="151"/>
      <c r="O106" s="151"/>
      <c r="P106" s="1044" t="s">
        <v>48</v>
      </c>
      <c r="Q106" s="152"/>
      <c r="R106" s="152"/>
      <c r="S106" s="377"/>
      <c r="X106" s="35"/>
      <c r="Y106" s="35"/>
      <c r="Z106" s="26"/>
      <c r="AA106" s="120"/>
      <c r="AB106" s="26"/>
      <c r="AC106" s="20"/>
      <c r="AD106" s="20"/>
      <c r="AE106" s="20"/>
      <c r="AF106" s="20"/>
      <c r="AG106" s="20"/>
      <c r="AH106" s="20"/>
      <c r="AI106" s="20"/>
    </row>
    <row r="107" spans="2:35" ht="12.75" hidden="1" customHeight="1">
      <c r="C107" s="17" t="s">
        <v>12</v>
      </c>
      <c r="D107" s="14"/>
      <c r="E107" s="44">
        <v>6000</v>
      </c>
      <c r="G107" s="514"/>
      <c r="H107" s="514"/>
      <c r="I107" s="26"/>
      <c r="L107" s="60"/>
      <c r="M107" s="1042"/>
      <c r="N107" s="151" t="s">
        <v>52</v>
      </c>
      <c r="O107" s="151"/>
      <c r="P107" s="1044"/>
      <c r="Q107" s="152" t="s">
        <v>43</v>
      </c>
      <c r="R107" s="152" t="s">
        <v>53</v>
      </c>
      <c r="S107" s="377"/>
      <c r="X107" s="118"/>
      <c r="Y107" s="111"/>
      <c r="Z107" s="117"/>
      <c r="AA107" s="89"/>
      <c r="AB107" s="90"/>
      <c r="AC107" s="20"/>
      <c r="AD107" s="41"/>
      <c r="AE107" s="20"/>
      <c r="AF107" s="20"/>
      <c r="AG107" s="20"/>
      <c r="AH107" s="20"/>
      <c r="AI107" s="20"/>
    </row>
    <row r="108" spans="2:35" hidden="1">
      <c r="C108" s="17"/>
      <c r="D108" s="14" t="s">
        <v>24</v>
      </c>
      <c r="E108" s="44">
        <f>'[2]APRIL ''11'!$C$38</f>
        <v>-50.260000000000076</v>
      </c>
      <c r="G108" s="30"/>
      <c r="H108" s="30"/>
      <c r="I108" s="26"/>
      <c r="L108" s="46" t="s">
        <v>55</v>
      </c>
      <c r="M108" s="26">
        <f>$M$100</f>
        <v>3661.0516640000055</v>
      </c>
      <c r="N108" s="71">
        <f>M108</f>
        <v>3661.0516640000055</v>
      </c>
      <c r="O108" s="26"/>
      <c r="P108" s="45">
        <f>$Q$95</f>
        <v>-9644.2672784810093</v>
      </c>
      <c r="Q108" s="71">
        <f>P108</f>
        <v>-9644.2672784810093</v>
      </c>
      <c r="R108" s="45">
        <f t="shared" ref="R108:R121" si="16">10050+Q108</f>
        <v>405.73272151899073</v>
      </c>
      <c r="S108" s="382"/>
      <c r="T108" s="29"/>
      <c r="X108" s="91"/>
      <c r="Y108" s="111"/>
      <c r="Z108" s="26"/>
      <c r="AA108" s="120"/>
      <c r="AB108" s="26"/>
      <c r="AC108" s="20"/>
      <c r="AD108" s="92"/>
      <c r="AE108" s="93"/>
      <c r="AF108" s="20"/>
      <c r="AG108" s="20"/>
      <c r="AH108" s="20"/>
      <c r="AI108" s="20"/>
    </row>
    <row r="109" spans="2:35" hidden="1">
      <c r="C109" s="17"/>
      <c r="D109" s="143" t="s">
        <v>110</v>
      </c>
      <c r="E109" s="15">
        <f>'[2]MARCH ''11'!$C$41</f>
        <v>523.64</v>
      </c>
      <c r="G109"/>
      <c r="I109" s="26"/>
      <c r="L109" s="101" t="s">
        <v>111</v>
      </c>
      <c r="M109" s="133">
        <v>-600</v>
      </c>
      <c r="N109" s="69">
        <f t="shared" ref="N109:N128" si="17">N108+M109</f>
        <v>3061.0516640000055</v>
      </c>
      <c r="O109" s="65"/>
      <c r="P109" s="131">
        <v>-250</v>
      </c>
      <c r="Q109" s="72">
        <f>Q108+P109</f>
        <v>-9894.2672784810093</v>
      </c>
      <c r="R109" s="45">
        <f t="shared" si="16"/>
        <v>155.73272151899073</v>
      </c>
      <c r="S109" s="373" t="s">
        <v>113</v>
      </c>
      <c r="X109" s="20"/>
      <c r="Y109" s="112"/>
      <c r="Z109" s="43"/>
      <c r="AA109" s="94"/>
      <c r="AB109" s="95"/>
      <c r="AC109" s="20"/>
      <c r="AD109" s="41"/>
      <c r="AE109" s="93"/>
      <c r="AF109" s="20"/>
      <c r="AG109" s="20"/>
      <c r="AH109" s="20"/>
      <c r="AI109" s="20"/>
    </row>
    <row r="110" spans="2:35" ht="12.75" hidden="1" customHeight="1">
      <c r="C110" s="18" t="s">
        <v>5</v>
      </c>
      <c r="D110" s="14"/>
      <c r="E110" s="14">
        <f>SUM(E107:E109)</f>
        <v>6473.38</v>
      </c>
      <c r="G110" s="518" t="s">
        <v>125</v>
      </c>
      <c r="H110" s="518"/>
      <c r="I110" s="518"/>
      <c r="J110" s="20"/>
      <c r="K110" s="256"/>
      <c r="L110" s="101" t="s">
        <v>112</v>
      </c>
      <c r="M110" s="133">
        <f>-400-500</f>
        <v>-900</v>
      </c>
      <c r="N110" s="69">
        <f t="shared" si="17"/>
        <v>2161.0516640000055</v>
      </c>
      <c r="O110" s="65"/>
      <c r="P110" s="131">
        <v>1500</v>
      </c>
      <c r="Q110" s="72">
        <f>Q109+P110</f>
        <v>-8394.2672784810093</v>
      </c>
      <c r="R110" s="45">
        <f t="shared" si="16"/>
        <v>1655.7327215189907</v>
      </c>
      <c r="S110" s="373" t="s">
        <v>66</v>
      </c>
      <c r="X110" s="20"/>
      <c r="Y110" s="112"/>
      <c r="Z110" s="43"/>
      <c r="AA110" s="94"/>
      <c r="AB110" s="26"/>
      <c r="AC110" s="20"/>
      <c r="AD110" s="92"/>
      <c r="AE110" s="93"/>
      <c r="AF110" s="20"/>
      <c r="AG110" s="20"/>
      <c r="AH110" s="20"/>
      <c r="AI110" s="20"/>
    </row>
    <row r="111" spans="2:35" ht="12.75" hidden="1" customHeight="1">
      <c r="G111"/>
      <c r="H111" s="23" t="s">
        <v>10</v>
      </c>
      <c r="I111" s="14">
        <v>175.44</v>
      </c>
      <c r="J111" s="54"/>
      <c r="K111" s="256"/>
      <c r="L111" s="101" t="s">
        <v>114</v>
      </c>
      <c r="M111" s="133">
        <v>-6.7</v>
      </c>
      <c r="N111" s="69">
        <f t="shared" si="17"/>
        <v>2154.3516640000057</v>
      </c>
      <c r="O111" s="48"/>
      <c r="P111" s="131">
        <v>-150.07</v>
      </c>
      <c r="Q111" s="72">
        <f>Q110+P111</f>
        <v>-8544.337278481009</v>
      </c>
      <c r="R111" s="45">
        <f t="shared" si="16"/>
        <v>1505.662721518991</v>
      </c>
      <c r="S111" s="373" t="s">
        <v>49</v>
      </c>
      <c r="X111" s="91"/>
      <c r="Y111" s="112"/>
      <c r="Z111" s="43"/>
      <c r="AA111" s="94"/>
      <c r="AB111" s="26"/>
      <c r="AC111" s="20"/>
      <c r="AD111" s="92"/>
      <c r="AE111" s="93"/>
      <c r="AF111" s="20"/>
      <c r="AG111" s="20"/>
      <c r="AH111" s="20"/>
      <c r="AI111" s="20"/>
    </row>
    <row r="112" spans="2:35" hidden="1">
      <c r="C112" s="17" t="s">
        <v>7</v>
      </c>
      <c r="G112"/>
      <c r="H112" s="23" t="s">
        <v>18</v>
      </c>
      <c r="I112" s="14">
        <f>4.08+16.89</f>
        <v>20.97</v>
      </c>
      <c r="J112" s="20"/>
      <c r="K112" s="256"/>
      <c r="L112" s="101" t="s">
        <v>114</v>
      </c>
      <c r="M112" s="133">
        <v>-21.45</v>
      </c>
      <c r="N112" s="69">
        <f t="shared" si="17"/>
        <v>2132.9016640000059</v>
      </c>
      <c r="O112" s="48"/>
      <c r="P112" s="131">
        <v>-359.95</v>
      </c>
      <c r="Q112" s="72">
        <f t="shared" ref="Q112:Q121" si="18">Q111+P112</f>
        <v>-8904.2872784810097</v>
      </c>
      <c r="R112" s="45">
        <f t="shared" si="16"/>
        <v>1145.7127215189903</v>
      </c>
      <c r="S112" s="373" t="s">
        <v>115</v>
      </c>
      <c r="T112" s="20"/>
      <c r="U112" s="20"/>
      <c r="V112" s="103"/>
      <c r="W112" s="103"/>
      <c r="X112" s="20"/>
      <c r="Y112" s="112"/>
      <c r="Z112" s="43"/>
      <c r="AA112" s="94"/>
      <c r="AB112" s="95"/>
      <c r="AC112" s="20"/>
      <c r="AD112" s="96"/>
      <c r="AE112" s="93"/>
      <c r="AF112" s="20"/>
      <c r="AG112" s="20"/>
      <c r="AH112" s="20"/>
      <c r="AI112" s="20"/>
    </row>
    <row r="113" spans="2:35" hidden="1">
      <c r="D113" t="s">
        <v>8</v>
      </c>
      <c r="E113" s="14">
        <f>1204/2</f>
        <v>602</v>
      </c>
      <c r="G113" s="36"/>
      <c r="H113" s="23" t="s">
        <v>20</v>
      </c>
      <c r="I113" s="14">
        <v>7.45</v>
      </c>
      <c r="J113" s="20"/>
      <c r="K113" s="256"/>
      <c r="L113" s="101" t="s">
        <v>102</v>
      </c>
      <c r="M113" s="133">
        <v>-1500</v>
      </c>
      <c r="N113" s="69">
        <f t="shared" si="17"/>
        <v>632.90166400000589</v>
      </c>
      <c r="O113" s="49"/>
      <c r="P113" s="133">
        <v>-300.77999999999997</v>
      </c>
      <c r="Q113" s="72">
        <f t="shared" si="18"/>
        <v>-9205.0672784810104</v>
      </c>
      <c r="R113" s="45">
        <f t="shared" si="16"/>
        <v>844.93272151898964</v>
      </c>
      <c r="S113" s="373" t="s">
        <v>50</v>
      </c>
      <c r="T113" s="20"/>
      <c r="U113" s="20"/>
      <c r="V113" s="20"/>
      <c r="W113" s="20"/>
      <c r="X113" s="20"/>
      <c r="Y113" s="112"/>
      <c r="Z113" s="43"/>
      <c r="AA113" s="94"/>
      <c r="AB113" s="26"/>
      <c r="AC113" s="20"/>
      <c r="AD113" s="41"/>
      <c r="AE113" s="93"/>
      <c r="AF113" s="20"/>
      <c r="AG113" s="20"/>
      <c r="AH113" s="20"/>
      <c r="AI113" s="20"/>
    </row>
    <row r="114" spans="2:35" hidden="1">
      <c r="D114" t="s">
        <v>9</v>
      </c>
      <c r="E114" s="44"/>
      <c r="F114" s="37" t="s">
        <v>15</v>
      </c>
      <c r="G114"/>
      <c r="H114" s="23" t="s">
        <v>19</v>
      </c>
      <c r="I114" s="14">
        <v>-3.29</v>
      </c>
      <c r="J114" s="20"/>
      <c r="K114" s="256"/>
      <c r="L114" s="101" t="s">
        <v>24</v>
      </c>
      <c r="M114" s="133">
        <v>-314.02999999999997</v>
      </c>
      <c r="N114" s="69">
        <f t="shared" si="17"/>
        <v>318.87166400000592</v>
      </c>
      <c r="O114" s="49"/>
      <c r="P114" s="131">
        <v>-407.58</v>
      </c>
      <c r="Q114" s="72">
        <f t="shared" si="18"/>
        <v>-9612.6472784810103</v>
      </c>
      <c r="R114" s="45">
        <f t="shared" si="16"/>
        <v>437.35272151898971</v>
      </c>
      <c r="S114" s="373" t="s">
        <v>116</v>
      </c>
      <c r="T114" s="20"/>
      <c r="U114" s="20"/>
      <c r="V114" s="20"/>
      <c r="W114" s="20"/>
      <c r="X114" s="20"/>
      <c r="Y114" s="112"/>
      <c r="Z114" s="43"/>
      <c r="AA114" s="94"/>
      <c r="AB114" s="26"/>
      <c r="AC114" s="20"/>
      <c r="AD114" s="92"/>
      <c r="AE114" s="93"/>
      <c r="AF114" s="20"/>
      <c r="AG114" s="20"/>
      <c r="AH114" s="20"/>
      <c r="AI114" s="20"/>
    </row>
    <row r="115" spans="2:35" hidden="1">
      <c r="D115" t="s">
        <v>10</v>
      </c>
      <c r="E115" s="19">
        <f>I120</f>
        <v>321.77999999999997</v>
      </c>
      <c r="F115" s="37" t="s">
        <v>15</v>
      </c>
      <c r="G115"/>
      <c r="H115" s="23" t="s">
        <v>21</v>
      </c>
      <c r="I115" s="14">
        <v>3.51</v>
      </c>
      <c r="J115" s="20"/>
      <c r="K115" s="256"/>
      <c r="L115" s="79" t="s">
        <v>61</v>
      </c>
      <c r="M115" s="133">
        <v>-29</v>
      </c>
      <c r="N115" s="69">
        <f t="shared" si="17"/>
        <v>289.87166400000592</v>
      </c>
      <c r="O115" s="49"/>
      <c r="P115" s="45">
        <v>690.1</v>
      </c>
      <c r="Q115" s="72">
        <f t="shared" si="18"/>
        <v>-8922.5472784810099</v>
      </c>
      <c r="R115" s="45">
        <f t="shared" si="16"/>
        <v>1127.4527215189901</v>
      </c>
      <c r="S115" s="373" t="s">
        <v>117</v>
      </c>
      <c r="T115" s="50"/>
      <c r="U115" s="20"/>
      <c r="V115" s="26"/>
      <c r="W115" s="26"/>
      <c r="X115" s="20"/>
      <c r="Y115" s="112"/>
      <c r="Z115" s="43"/>
      <c r="AA115" s="94"/>
      <c r="AB115" s="95"/>
      <c r="AC115" s="20"/>
      <c r="AD115" s="92"/>
      <c r="AE115" s="93"/>
      <c r="AF115" s="20"/>
      <c r="AG115" s="20"/>
      <c r="AH115" s="20"/>
      <c r="AI115" s="20"/>
    </row>
    <row r="116" spans="2:35" hidden="1">
      <c r="D116" t="s">
        <v>22</v>
      </c>
      <c r="E116" s="15"/>
      <c r="F116" s="38"/>
      <c r="G116"/>
      <c r="H116" s="23" t="s">
        <v>26</v>
      </c>
      <c r="I116" s="52">
        <f>1198.4</f>
        <v>1198.4000000000001</v>
      </c>
      <c r="J116" s="20"/>
      <c r="K116" s="256"/>
      <c r="L116" s="79" t="s">
        <v>61</v>
      </c>
      <c r="M116" s="133">
        <v>-29</v>
      </c>
      <c r="N116" s="69">
        <f t="shared" si="17"/>
        <v>260.87166400000592</v>
      </c>
      <c r="O116" s="39"/>
      <c r="P116" s="132">
        <v>-88.97</v>
      </c>
      <c r="Q116" s="72">
        <f t="shared" si="18"/>
        <v>-9011.5172784810093</v>
      </c>
      <c r="R116" s="45">
        <f t="shared" si="16"/>
        <v>1038.4827215189907</v>
      </c>
      <c r="S116" s="373" t="s">
        <v>50</v>
      </c>
      <c r="T116" s="50"/>
      <c r="U116" s="20"/>
      <c r="V116" s="26"/>
      <c r="W116" s="26"/>
      <c r="X116" s="20"/>
      <c r="Y116" s="112"/>
      <c r="Z116" s="43"/>
      <c r="AA116" s="94"/>
      <c r="AB116" s="26"/>
      <c r="AC116" s="20"/>
      <c r="AD116" s="92"/>
      <c r="AE116" s="97"/>
      <c r="AF116" s="20"/>
      <c r="AG116" s="20"/>
      <c r="AH116" s="20"/>
      <c r="AI116" s="20"/>
    </row>
    <row r="117" spans="2:35" ht="12.75" hidden="1" customHeight="1">
      <c r="C117" s="18" t="s">
        <v>5</v>
      </c>
      <c r="E117" s="19">
        <f>SUM(E113:E116)</f>
        <v>923.78</v>
      </c>
      <c r="G117"/>
      <c r="H117" s="116" t="s">
        <v>105</v>
      </c>
      <c r="I117" s="44">
        <f>SUM(I111:I116)</f>
        <v>1402.48</v>
      </c>
      <c r="J117" s="20"/>
      <c r="K117" s="256"/>
      <c r="L117" s="79" t="s">
        <v>61</v>
      </c>
      <c r="M117" s="133">
        <v>-29</v>
      </c>
      <c r="N117" s="69">
        <f t="shared" si="17"/>
        <v>231.87166400000592</v>
      </c>
      <c r="O117" s="39"/>
      <c r="P117" s="132">
        <v>-106.6</v>
      </c>
      <c r="Q117" s="72">
        <f t="shared" si="18"/>
        <v>-9118.1172784810096</v>
      </c>
      <c r="R117" s="45">
        <f t="shared" si="16"/>
        <v>931.88272151899037</v>
      </c>
      <c r="S117" s="373" t="s">
        <v>123</v>
      </c>
      <c r="T117" s="80"/>
      <c r="U117" s="74"/>
      <c r="V117" s="26"/>
      <c r="W117" s="26"/>
      <c r="X117" s="20"/>
      <c r="Y117" s="112"/>
      <c r="Z117" s="43"/>
      <c r="AA117" s="94"/>
      <c r="AB117" s="26"/>
      <c r="AC117" s="20"/>
      <c r="AD117" s="20"/>
      <c r="AE117" s="93"/>
      <c r="AF117" s="20"/>
      <c r="AG117" s="20"/>
      <c r="AH117" s="20"/>
      <c r="AI117" s="20"/>
    </row>
    <row r="118" spans="2:35" ht="12.75" hidden="1" customHeight="1">
      <c r="C118" s="18"/>
      <c r="G118"/>
      <c r="H118" s="23" t="s">
        <v>27</v>
      </c>
      <c r="I118" s="52">
        <f>-506.66</f>
        <v>-506.66</v>
      </c>
      <c r="J118" s="20"/>
      <c r="K118" s="256"/>
      <c r="L118" s="79" t="s">
        <v>112</v>
      </c>
      <c r="M118" s="133">
        <v>-200</v>
      </c>
      <c r="N118" s="69">
        <f t="shared" si="17"/>
        <v>31.871664000005921</v>
      </c>
      <c r="O118" s="39"/>
      <c r="P118" s="131">
        <f>-500-11.5</f>
        <v>-511.5</v>
      </c>
      <c r="Q118" s="72">
        <f t="shared" si="18"/>
        <v>-9629.6172784810096</v>
      </c>
      <c r="R118" s="45">
        <f t="shared" si="16"/>
        <v>420.38272151899037</v>
      </c>
      <c r="S118" s="373" t="s">
        <v>124</v>
      </c>
      <c r="T118" s="50"/>
      <c r="U118" s="74"/>
      <c r="V118" s="26"/>
      <c r="W118" s="26"/>
      <c r="X118" s="91"/>
      <c r="Y118" s="20"/>
      <c r="Z118" s="43"/>
      <c r="AA118" s="94"/>
      <c r="AB118" s="95"/>
      <c r="AC118" s="20"/>
      <c r="AD118" s="98"/>
      <c r="AE118" s="93"/>
      <c r="AF118" s="120"/>
      <c r="AG118" s="20"/>
      <c r="AH118" s="20"/>
      <c r="AI118" s="20"/>
    </row>
    <row r="119" spans="2:35" ht="13.5" hidden="1" thickBot="1">
      <c r="D119" s="16" t="s">
        <v>67</v>
      </c>
      <c r="E119" s="27">
        <f>E110-E117</f>
        <v>5549.6</v>
      </c>
      <c r="G119"/>
      <c r="H119" s="23"/>
      <c r="I119" s="161">
        <f>SUM(I117:I118)</f>
        <v>895.81999999999994</v>
      </c>
      <c r="J119" s="20"/>
      <c r="K119" s="256"/>
      <c r="L119" s="79" t="s">
        <v>122</v>
      </c>
      <c r="M119" s="133">
        <f>-300-325.03</f>
        <v>-625.03</v>
      </c>
      <c r="N119" s="69">
        <f t="shared" si="17"/>
        <v>-593.15833599999405</v>
      </c>
      <c r="O119" s="39"/>
      <c r="P119" s="132">
        <v>-194.25</v>
      </c>
      <c r="Q119" s="72">
        <f t="shared" si="18"/>
        <v>-9823.8672784810096</v>
      </c>
      <c r="R119" s="45">
        <f t="shared" si="16"/>
        <v>226.13272151899037</v>
      </c>
      <c r="S119" s="373" t="s">
        <v>116</v>
      </c>
      <c r="T119" s="66"/>
      <c r="U119" s="65"/>
      <c r="V119" s="26"/>
      <c r="W119" s="26"/>
      <c r="X119" s="35"/>
      <c r="Y119" s="20"/>
      <c r="Z119" s="43"/>
      <c r="AA119" s="94"/>
      <c r="AB119" s="26"/>
      <c r="AC119" s="20"/>
      <c r="AD119" s="20"/>
      <c r="AE119" s="20"/>
      <c r="AF119" s="99"/>
      <c r="AG119" s="20"/>
      <c r="AH119" s="20"/>
      <c r="AI119" s="20"/>
    </row>
    <row r="120" spans="2:35" hidden="1">
      <c r="D120" s="17"/>
      <c r="E120" s="40"/>
      <c r="G120"/>
      <c r="H120" s="116" t="s">
        <v>118</v>
      </c>
      <c r="I120" s="45">
        <v>321.77999999999997</v>
      </c>
      <c r="J120" s="20"/>
      <c r="K120" s="256"/>
      <c r="L120" s="109" t="s">
        <v>51</v>
      </c>
      <c r="M120" s="134">
        <f>E123</f>
        <v>4849.6000000000004</v>
      </c>
      <c r="N120" s="69">
        <f t="shared" si="17"/>
        <v>4256.4416640000063</v>
      </c>
      <c r="O120" s="39"/>
      <c r="P120" s="49">
        <v>-99.99</v>
      </c>
      <c r="Q120" s="72">
        <f t="shared" si="18"/>
        <v>-9923.8572784810094</v>
      </c>
      <c r="R120" s="45">
        <f t="shared" si="16"/>
        <v>126.14272151899058</v>
      </c>
      <c r="S120" s="379" t="s">
        <v>117</v>
      </c>
      <c r="T120" s="66"/>
      <c r="U120" s="65"/>
      <c r="V120" s="20"/>
      <c r="W120" s="20"/>
      <c r="X120" s="20"/>
      <c r="Y120" s="111"/>
      <c r="Z120" s="43"/>
      <c r="AA120" s="94"/>
      <c r="AB120" s="26"/>
      <c r="AC120" s="20"/>
      <c r="AD120" s="20"/>
      <c r="AE120" s="20"/>
      <c r="AF120" s="20"/>
      <c r="AG120" s="20"/>
      <c r="AH120" s="20"/>
      <c r="AI120" s="20"/>
    </row>
    <row r="121" spans="2:35" ht="13.5" hidden="1" thickBot="1">
      <c r="D121" s="17"/>
      <c r="E121" s="40"/>
      <c r="G121"/>
      <c r="H121" s="116" t="s">
        <v>119</v>
      </c>
      <c r="I121" s="53">
        <f>I119-I120</f>
        <v>574.04</v>
      </c>
      <c r="J121" s="20"/>
      <c r="K121" s="256"/>
      <c r="L121" s="79" t="s">
        <v>61</v>
      </c>
      <c r="M121" s="45">
        <v>-144.5</v>
      </c>
      <c r="N121" s="69">
        <f t="shared" si="17"/>
        <v>4111.9416640000063</v>
      </c>
      <c r="O121" s="39"/>
      <c r="P121" s="49">
        <f>E124</f>
        <v>0</v>
      </c>
      <c r="Q121" s="73">
        <f t="shared" si="18"/>
        <v>-9923.8572784810094</v>
      </c>
      <c r="R121" s="105">
        <f t="shared" si="16"/>
        <v>126.14272151899058</v>
      </c>
      <c r="S121" s="383" t="s">
        <v>64</v>
      </c>
      <c r="T121" s="66"/>
      <c r="U121" s="65"/>
      <c r="V121" s="20"/>
      <c r="W121" s="20"/>
      <c r="X121" s="91"/>
      <c r="Y121" s="111"/>
      <c r="Z121" s="43"/>
      <c r="AA121" s="94"/>
      <c r="AB121" s="95"/>
      <c r="AC121" s="20"/>
      <c r="AD121" s="20"/>
      <c r="AE121" s="20"/>
      <c r="AF121" s="20"/>
      <c r="AG121" s="20"/>
      <c r="AH121" s="20"/>
      <c r="AI121" s="20"/>
    </row>
    <row r="122" spans="2:35" hidden="1">
      <c r="C122" s="81" t="s">
        <v>17</v>
      </c>
      <c r="E122" s="42"/>
      <c r="G122"/>
      <c r="H122" s="23"/>
      <c r="I122" s="14"/>
      <c r="J122" s="20"/>
      <c r="K122" s="256"/>
      <c r="L122" s="86" t="s">
        <v>63</v>
      </c>
      <c r="M122" s="135">
        <f>-3.9+M121*1.37%</f>
        <v>-5.8796499999999998</v>
      </c>
      <c r="N122" s="69">
        <f t="shared" si="17"/>
        <v>4106.0620140000065</v>
      </c>
      <c r="O122" s="42"/>
      <c r="P122" s="64">
        <f>SUM(P108:P121)</f>
        <v>-9923.8572784810094</v>
      </c>
      <c r="Q122" s="63"/>
      <c r="R122" s="63"/>
      <c r="S122" s="377"/>
      <c r="T122" s="66"/>
      <c r="U122" s="65"/>
      <c r="V122" s="20"/>
      <c r="W122" s="20"/>
      <c r="X122" s="20"/>
      <c r="Y122" s="111"/>
      <c r="Z122" s="43"/>
      <c r="AA122" s="94"/>
      <c r="AB122" s="26"/>
      <c r="AC122" s="20"/>
      <c r="AD122" s="20"/>
      <c r="AE122" s="20"/>
      <c r="AF122" s="20"/>
      <c r="AG122" s="120"/>
      <c r="AH122" s="20"/>
      <c r="AI122" s="20"/>
    </row>
    <row r="123" spans="2:35" hidden="1">
      <c r="D123" t="s">
        <v>14</v>
      </c>
      <c r="E123" s="42">
        <v>4849.6000000000004</v>
      </c>
      <c r="G123"/>
      <c r="H123" s="23"/>
      <c r="L123" s="85" t="s">
        <v>23</v>
      </c>
      <c r="M123" s="136">
        <v>-167.56</v>
      </c>
      <c r="N123" s="69">
        <f t="shared" si="17"/>
        <v>3938.5020140000065</v>
      </c>
      <c r="O123" s="26"/>
      <c r="P123" s="68"/>
      <c r="Q123" s="100"/>
      <c r="R123" s="107"/>
      <c r="S123" s="377"/>
      <c r="T123" s="66"/>
      <c r="U123" s="83"/>
      <c r="V123" s="20"/>
      <c r="W123" s="20"/>
      <c r="X123" s="20"/>
      <c r="Y123" s="111"/>
      <c r="Z123" s="43"/>
      <c r="AA123" s="94"/>
      <c r="AB123" s="26"/>
      <c r="AC123" s="20"/>
      <c r="AD123" s="20"/>
      <c r="AE123" s="20"/>
      <c r="AF123" s="20"/>
      <c r="AG123" s="20"/>
      <c r="AH123" s="20"/>
      <c r="AI123" s="20"/>
    </row>
    <row r="124" spans="2:35" hidden="1">
      <c r="D124" s="20" t="s">
        <v>13</v>
      </c>
      <c r="E124" s="14">
        <f>E119-E123-E125</f>
        <v>0</v>
      </c>
      <c r="G124" s="30"/>
      <c r="H124" s="104"/>
      <c r="L124" s="86" t="s">
        <v>63</v>
      </c>
      <c r="M124" s="135">
        <f>-3.9+M123*1.37%</f>
        <v>-6.1955720000000003</v>
      </c>
      <c r="N124" s="69">
        <f t="shared" si="17"/>
        <v>3932.3064420000064</v>
      </c>
      <c r="O124" s="26"/>
      <c r="P124" s="68"/>
      <c r="Q124" s="100"/>
      <c r="R124" s="107"/>
      <c r="S124" s="377"/>
      <c r="T124" s="148"/>
      <c r="U124" s="84"/>
      <c r="V124" s="26"/>
      <c r="W124" s="26"/>
      <c r="X124" s="91"/>
      <c r="Y124" s="20"/>
      <c r="Z124" s="43"/>
      <c r="AA124" s="94"/>
      <c r="AB124" s="26"/>
      <c r="AC124" s="20"/>
      <c r="AD124" s="20"/>
      <c r="AE124" s="20"/>
      <c r="AF124" s="20"/>
      <c r="AG124" s="20"/>
      <c r="AH124" s="20"/>
      <c r="AI124" s="20"/>
    </row>
    <row r="125" spans="2:35" ht="12.75" hidden="1" customHeight="1">
      <c r="D125" s="78" t="s">
        <v>28</v>
      </c>
      <c r="E125" s="15">
        <v>700</v>
      </c>
      <c r="F125" s="88"/>
      <c r="G125" s="516">
        <f>SUM(E123:E125)</f>
        <v>5549.6</v>
      </c>
      <c r="H125" s="516"/>
      <c r="L125" s="50" t="s">
        <v>16</v>
      </c>
      <c r="M125" s="133">
        <v>-483.99</v>
      </c>
      <c r="N125" s="69">
        <f t="shared" si="17"/>
        <v>3448.3164420000066</v>
      </c>
      <c r="O125" s="26"/>
      <c r="P125" s="68"/>
      <c r="Q125" s="100"/>
      <c r="R125" s="107"/>
      <c r="S125" s="377"/>
      <c r="T125" s="148"/>
      <c r="U125" s="84"/>
      <c r="V125" s="26"/>
      <c r="W125" s="26"/>
      <c r="X125" s="35"/>
      <c r="Y125" s="20"/>
      <c r="Z125" s="43"/>
      <c r="AA125" s="94"/>
      <c r="AB125" s="26"/>
      <c r="AC125" s="20"/>
      <c r="AD125" s="20"/>
      <c r="AE125" s="20"/>
      <c r="AF125" s="20"/>
      <c r="AG125" s="20"/>
      <c r="AH125" s="20"/>
      <c r="AI125" s="20"/>
    </row>
    <row r="126" spans="2:35" ht="12.75" hidden="1" customHeight="1">
      <c r="D126" s="20"/>
      <c r="E126" s="26"/>
      <c r="F126" s="122"/>
      <c r="G126" s="515"/>
      <c r="H126" s="515"/>
      <c r="L126" s="66" t="s">
        <v>63</v>
      </c>
      <c r="M126" s="135">
        <f>-3.9+M125*1.37%</f>
        <v>-10.530663000000001</v>
      </c>
      <c r="N126" s="69">
        <f t="shared" si="17"/>
        <v>3437.7857790000066</v>
      </c>
      <c r="O126" s="26"/>
      <c r="P126" s="68"/>
      <c r="Q126" s="100"/>
      <c r="R126" s="107"/>
      <c r="S126" s="377"/>
      <c r="T126" s="148"/>
      <c r="U126" s="20"/>
      <c r="V126" s="26"/>
      <c r="W126" s="26"/>
      <c r="X126" s="20"/>
      <c r="Y126" s="20"/>
      <c r="Z126" s="43"/>
      <c r="AA126" s="94"/>
      <c r="AB126" s="26"/>
      <c r="AC126" s="20"/>
      <c r="AD126" s="20"/>
      <c r="AE126" s="20"/>
      <c r="AF126" s="20"/>
      <c r="AG126" s="20"/>
      <c r="AH126" s="20"/>
      <c r="AI126" s="20"/>
    </row>
    <row r="127" spans="2:35" hidden="1">
      <c r="D127" s="20"/>
      <c r="E127" s="26"/>
      <c r="F127" s="122"/>
      <c r="G127" s="153"/>
      <c r="H127" s="153"/>
      <c r="L127" s="87" t="s">
        <v>56</v>
      </c>
      <c r="M127" s="137">
        <v>-505</v>
      </c>
      <c r="N127" s="69">
        <f t="shared" si="17"/>
        <v>2932.7857790000066</v>
      </c>
      <c r="O127" s="26"/>
      <c r="P127" s="68"/>
      <c r="Q127" s="100"/>
      <c r="R127" s="107"/>
      <c r="S127" s="377"/>
      <c r="T127" s="148"/>
      <c r="U127" s="20"/>
      <c r="V127" s="26"/>
      <c r="W127" s="26"/>
      <c r="X127" s="91"/>
      <c r="Y127" s="20"/>
      <c r="Z127" s="43"/>
      <c r="AA127" s="94"/>
      <c r="AB127" s="26"/>
      <c r="AC127" s="20"/>
      <c r="AD127" s="20"/>
      <c r="AE127" s="20"/>
      <c r="AF127" s="20"/>
      <c r="AG127" s="20"/>
      <c r="AH127" s="20"/>
      <c r="AI127" s="20"/>
    </row>
    <row r="128" spans="2:35" hidden="1">
      <c r="B128" s="20"/>
      <c r="C128" s="35"/>
      <c r="D128" s="26"/>
      <c r="E128" s="45"/>
      <c r="F128" s="122"/>
      <c r="G128" s="153"/>
      <c r="H128" s="153"/>
      <c r="L128" s="86" t="s">
        <v>63</v>
      </c>
      <c r="M128" s="135">
        <f>-3.9+M127*1.37%</f>
        <v>-10.8185</v>
      </c>
      <c r="N128" s="70">
        <f t="shared" si="17"/>
        <v>2921.9672790000068</v>
      </c>
      <c r="O128" s="26"/>
      <c r="P128" s="68"/>
      <c r="Q128" s="100"/>
      <c r="R128" s="107"/>
      <c r="S128" s="377"/>
      <c r="T128" s="148"/>
      <c r="U128" s="20"/>
      <c r="V128" s="26"/>
      <c r="W128" s="26"/>
      <c r="X128" s="91"/>
      <c r="Y128" s="20"/>
      <c r="Z128" s="43"/>
      <c r="AA128" s="94"/>
      <c r="AB128" s="26"/>
      <c r="AC128" s="20"/>
      <c r="AD128" s="20"/>
      <c r="AE128" s="20"/>
      <c r="AF128" s="20"/>
      <c r="AG128" s="20"/>
      <c r="AH128" s="20"/>
      <c r="AI128" s="20"/>
    </row>
    <row r="129" spans="2:35" hidden="1">
      <c r="B129" s="20"/>
      <c r="C129" s="35"/>
      <c r="D129" s="26"/>
      <c r="E129" s="45"/>
      <c r="F129" s="122"/>
      <c r="G129" s="153"/>
      <c r="H129" s="153"/>
      <c r="M129" s="51">
        <f>SUM(M108:M128)</f>
        <v>2921.9672790000068</v>
      </c>
      <c r="O129" s="26"/>
      <c r="P129" s="68"/>
      <c r="Q129" s="100"/>
      <c r="R129" s="107"/>
      <c r="S129" s="377"/>
      <c r="T129" s="148"/>
      <c r="U129" s="20"/>
      <c r="V129" s="26"/>
      <c r="W129" s="26"/>
      <c r="X129" s="91"/>
      <c r="Y129" s="20"/>
      <c r="Z129" s="43"/>
      <c r="AA129" s="94"/>
      <c r="AB129" s="26"/>
      <c r="AC129" s="20"/>
      <c r="AD129" s="20"/>
      <c r="AE129" s="20"/>
      <c r="AF129" s="20"/>
      <c r="AG129" s="20"/>
      <c r="AH129" s="20"/>
      <c r="AI129" s="20"/>
    </row>
    <row r="130" spans="2:35" s="78" customFormat="1" hidden="1">
      <c r="C130" s="154"/>
      <c r="D130" s="15"/>
      <c r="E130" s="52"/>
      <c r="F130" s="88"/>
      <c r="G130" s="150"/>
      <c r="H130" s="150"/>
      <c r="K130" s="257"/>
      <c r="M130" s="15"/>
      <c r="O130" s="15"/>
      <c r="P130" s="155"/>
      <c r="Q130" s="156"/>
      <c r="R130" s="157"/>
      <c r="S130" s="386"/>
      <c r="T130" s="149"/>
      <c r="V130" s="15"/>
      <c r="W130" s="15"/>
      <c r="X130" s="158"/>
      <c r="Z130" s="159"/>
      <c r="AA130" s="160"/>
      <c r="AB130" s="15"/>
    </row>
    <row r="131" spans="2:35" hidden="1"/>
    <row r="132" spans="2:35" hidden="1">
      <c r="B132" s="1045" t="s">
        <v>120</v>
      </c>
      <c r="C132" s="1045"/>
      <c r="D132" s="1045"/>
      <c r="E132" s="1045"/>
      <c r="G132" s="31"/>
      <c r="H132" s="31"/>
      <c r="I132" s="26"/>
      <c r="L132" s="59"/>
      <c r="M132" s="1042" t="s">
        <v>54</v>
      </c>
      <c r="N132" s="165"/>
      <c r="O132" s="165"/>
      <c r="P132" s="1044" t="s">
        <v>48</v>
      </c>
      <c r="Q132" s="166"/>
      <c r="R132" s="166"/>
      <c r="S132" s="377"/>
      <c r="X132" s="35"/>
      <c r="Y132" s="35"/>
      <c r="Z132" s="26"/>
      <c r="AA132" s="120"/>
      <c r="AB132" s="26"/>
      <c r="AC132" s="20"/>
      <c r="AD132" s="20"/>
      <c r="AE132" s="20"/>
      <c r="AF132" s="20"/>
      <c r="AG132" s="20"/>
      <c r="AH132" s="20"/>
      <c r="AI132" s="20"/>
    </row>
    <row r="133" spans="2:35" ht="12.75" hidden="1" customHeight="1">
      <c r="C133" s="17" t="s">
        <v>12</v>
      </c>
      <c r="D133" s="14"/>
      <c r="E133" s="44">
        <v>6000</v>
      </c>
      <c r="G133" s="514"/>
      <c r="H133" s="514"/>
      <c r="I133" s="26"/>
      <c r="L133" s="60"/>
      <c r="M133" s="1042"/>
      <c r="N133" s="165" t="s">
        <v>52</v>
      </c>
      <c r="O133" s="165"/>
      <c r="P133" s="1044"/>
      <c r="Q133" s="166" t="s">
        <v>43</v>
      </c>
      <c r="R133" s="166" t="s">
        <v>53</v>
      </c>
      <c r="S133" s="377"/>
      <c r="X133" s="118"/>
      <c r="Y133" s="111"/>
      <c r="Z133" s="117"/>
      <c r="AA133" s="89"/>
      <c r="AB133" s="90"/>
      <c r="AC133" s="20"/>
      <c r="AD133" s="41"/>
      <c r="AE133" s="20"/>
      <c r="AF133" s="20"/>
      <c r="AG133" s="20"/>
      <c r="AH133" s="20"/>
      <c r="AI133" s="20"/>
    </row>
    <row r="134" spans="2:35" hidden="1">
      <c r="C134" s="17"/>
      <c r="D134" s="14" t="s">
        <v>24</v>
      </c>
      <c r="E134" s="44">
        <f>'[2]MAY ''11'!$C$68</f>
        <v>406.67</v>
      </c>
      <c r="G134" s="30"/>
      <c r="H134" s="30"/>
      <c r="I134" s="26"/>
      <c r="L134" s="46" t="s">
        <v>55</v>
      </c>
      <c r="M134" s="26">
        <f>$M$129</f>
        <v>2921.9672790000068</v>
      </c>
      <c r="N134" s="71">
        <f>M134</f>
        <v>2921.9672790000068</v>
      </c>
      <c r="O134" s="26"/>
      <c r="P134" s="26">
        <f>$Q$121</f>
        <v>-9923.8572784810094</v>
      </c>
      <c r="Q134" s="71">
        <f>P134</f>
        <v>-9923.8572784810094</v>
      </c>
      <c r="R134" s="45">
        <f t="shared" ref="R134:R141" si="19">10050+Q134</f>
        <v>126.14272151899058</v>
      </c>
      <c r="S134" s="382"/>
      <c r="T134" s="29"/>
      <c r="X134" s="91"/>
      <c r="Y134" s="111"/>
      <c r="Z134" s="26"/>
      <c r="AA134" s="120"/>
      <c r="AB134" s="26"/>
      <c r="AC134" s="20"/>
      <c r="AD134" s="92"/>
      <c r="AE134" s="93"/>
      <c r="AF134" s="20"/>
      <c r="AG134" s="20"/>
      <c r="AH134" s="20"/>
      <c r="AI134" s="20"/>
    </row>
    <row r="135" spans="2:35" hidden="1">
      <c r="C135" s="17"/>
      <c r="D135" s="143" t="s">
        <v>110</v>
      </c>
      <c r="E135" s="15">
        <f>'[2]APRIL ''11'!$C$41</f>
        <v>480.06</v>
      </c>
      <c r="G135"/>
      <c r="I135" s="26"/>
      <c r="L135" s="101" t="s">
        <v>102</v>
      </c>
      <c r="M135" s="133">
        <v>-2000</v>
      </c>
      <c r="N135" s="69">
        <f t="shared" ref="N135:N156" si="20">N134+M135</f>
        <v>921.96727900000678</v>
      </c>
      <c r="O135" s="65"/>
      <c r="P135" s="131">
        <v>2000</v>
      </c>
      <c r="Q135" s="72">
        <f t="shared" ref="Q135:Q141" si="21">Q134+P135</f>
        <v>-7923.8572784810094</v>
      </c>
      <c r="R135" s="45">
        <f t="shared" si="19"/>
        <v>2126.1427215189906</v>
      </c>
      <c r="S135" s="373" t="s">
        <v>66</v>
      </c>
      <c r="X135" s="20"/>
      <c r="Y135" s="112"/>
      <c r="Z135" s="43"/>
      <c r="AA135" s="94"/>
      <c r="AB135" s="95"/>
      <c r="AC135" s="20"/>
      <c r="AD135" s="41"/>
      <c r="AE135" s="93"/>
      <c r="AF135" s="20"/>
      <c r="AG135" s="20"/>
      <c r="AH135" s="20"/>
      <c r="AI135" s="20"/>
    </row>
    <row r="136" spans="2:35" ht="12.75" hidden="1" customHeight="1">
      <c r="C136" s="18" t="s">
        <v>5</v>
      </c>
      <c r="D136" s="14"/>
      <c r="E136" s="14">
        <f>SUM(E133:E135)</f>
        <v>6886.7300000000005</v>
      </c>
      <c r="G136" s="518" t="s">
        <v>121</v>
      </c>
      <c r="H136" s="518"/>
      <c r="I136" s="518"/>
      <c r="J136" s="20"/>
      <c r="K136" s="256"/>
      <c r="L136" s="101" t="s">
        <v>24</v>
      </c>
      <c r="M136" s="133">
        <v>-381.31</v>
      </c>
      <c r="N136" s="69">
        <f t="shared" si="20"/>
        <v>540.65727900000684</v>
      </c>
      <c r="O136" s="65"/>
      <c r="P136" s="131">
        <v>-127.75</v>
      </c>
      <c r="Q136" s="72">
        <f t="shared" si="21"/>
        <v>-8051.6072784810094</v>
      </c>
      <c r="R136" s="45">
        <f t="shared" si="19"/>
        <v>1998.3927215189906</v>
      </c>
      <c r="S136" s="373" t="s">
        <v>49</v>
      </c>
      <c r="X136" s="20"/>
      <c r="Y136" s="112"/>
      <c r="Z136" s="43"/>
      <c r="AA136" s="94"/>
      <c r="AB136" s="26"/>
      <c r="AC136" s="20"/>
      <c r="AD136" s="92"/>
      <c r="AE136" s="93"/>
      <c r="AF136" s="20"/>
      <c r="AG136" s="20"/>
      <c r="AH136" s="20"/>
      <c r="AI136" s="20"/>
    </row>
    <row r="137" spans="2:35" ht="12.75" hidden="1" customHeight="1">
      <c r="G137"/>
      <c r="H137" s="23" t="s">
        <v>10</v>
      </c>
      <c r="I137" s="44">
        <v>175.44</v>
      </c>
      <c r="J137" s="54"/>
      <c r="K137" s="256"/>
      <c r="L137" s="101" t="s">
        <v>127</v>
      </c>
      <c r="M137" s="133">
        <v>-200</v>
      </c>
      <c r="N137" s="69">
        <f t="shared" si="20"/>
        <v>340.65727900000684</v>
      </c>
      <c r="O137" s="48"/>
      <c r="P137" s="131">
        <v>-164.38</v>
      </c>
      <c r="Q137" s="72">
        <f t="shared" si="21"/>
        <v>-8215.9872784810086</v>
      </c>
      <c r="R137" s="45">
        <f t="shared" si="19"/>
        <v>1834.0127215189914</v>
      </c>
      <c r="S137" s="373" t="s">
        <v>50</v>
      </c>
      <c r="X137" s="91"/>
      <c r="Y137" s="112"/>
      <c r="Z137" s="43"/>
      <c r="AA137" s="94"/>
      <c r="AB137" s="26"/>
      <c r="AC137" s="20"/>
      <c r="AD137" s="92"/>
      <c r="AE137" s="93"/>
      <c r="AF137" s="20"/>
      <c r="AG137" s="20"/>
      <c r="AH137" s="20"/>
      <c r="AI137" s="20"/>
    </row>
    <row r="138" spans="2:35" hidden="1">
      <c r="C138" s="17" t="s">
        <v>7</v>
      </c>
      <c r="G138"/>
      <c r="H138" s="23" t="s">
        <v>18</v>
      </c>
      <c r="I138" s="44">
        <f>4.39+4.08</f>
        <v>8.4699999999999989</v>
      </c>
      <c r="J138" s="20"/>
      <c r="K138" s="256"/>
      <c r="L138" s="101" t="s">
        <v>102</v>
      </c>
      <c r="M138" s="133">
        <v>1500</v>
      </c>
      <c r="N138" s="69">
        <f t="shared" si="20"/>
        <v>1840.6572790000068</v>
      </c>
      <c r="O138" s="48"/>
      <c r="P138" s="131">
        <v>-108.8</v>
      </c>
      <c r="Q138" s="72">
        <f t="shared" si="21"/>
        <v>-8324.7872784810079</v>
      </c>
      <c r="R138" s="45">
        <f t="shared" si="19"/>
        <v>1725.2127215189921</v>
      </c>
      <c r="S138" s="373" t="s">
        <v>57</v>
      </c>
      <c r="T138" s="20"/>
      <c r="U138" s="20"/>
      <c r="V138" s="103"/>
      <c r="W138" s="103"/>
      <c r="X138" s="20"/>
      <c r="Y138" s="112"/>
      <c r="Z138" s="43"/>
      <c r="AA138" s="94"/>
      <c r="AB138" s="95"/>
      <c r="AC138" s="20"/>
      <c r="AD138" s="96"/>
      <c r="AE138" s="93"/>
      <c r="AF138" s="20"/>
      <c r="AG138" s="20"/>
      <c r="AH138" s="20"/>
      <c r="AI138" s="20"/>
    </row>
    <row r="139" spans="2:35" hidden="1">
      <c r="D139" t="s">
        <v>8</v>
      </c>
      <c r="E139" s="14">
        <f>1204/2</f>
        <v>602</v>
      </c>
      <c r="G139" s="36"/>
      <c r="H139" s="23" t="s">
        <v>20</v>
      </c>
      <c r="I139" s="44">
        <v>7.45</v>
      </c>
      <c r="J139" s="20"/>
      <c r="K139" s="256"/>
      <c r="L139" s="101" t="s">
        <v>129</v>
      </c>
      <c r="M139" s="133">
        <v>-1500</v>
      </c>
      <c r="N139" s="69">
        <f t="shared" si="20"/>
        <v>340.65727900000684</v>
      </c>
      <c r="O139" s="49"/>
      <c r="P139" s="133">
        <v>-137.21</v>
      </c>
      <c r="Q139" s="72">
        <f t="shared" si="21"/>
        <v>-8461.997278481007</v>
      </c>
      <c r="R139" s="45">
        <f t="shared" si="19"/>
        <v>1588.002721518993</v>
      </c>
      <c r="S139" s="373" t="s">
        <v>128</v>
      </c>
      <c r="T139" s="20"/>
      <c r="U139" s="20"/>
      <c r="V139" s="20"/>
      <c r="W139" s="20"/>
      <c r="X139" s="20"/>
      <c r="Y139" s="112"/>
      <c r="Z139" s="43"/>
      <c r="AA139" s="94"/>
      <c r="AB139" s="26"/>
      <c r="AC139" s="20"/>
      <c r="AD139" s="41"/>
      <c r="AE139" s="93"/>
      <c r="AF139" s="20"/>
      <c r="AG139" s="20"/>
      <c r="AH139" s="20"/>
      <c r="AI139" s="20"/>
    </row>
    <row r="140" spans="2:35" hidden="1">
      <c r="D140" t="s">
        <v>9</v>
      </c>
      <c r="E140" s="44"/>
      <c r="F140" s="37" t="s">
        <v>15</v>
      </c>
      <c r="G140"/>
      <c r="H140" s="23" t="s">
        <v>19</v>
      </c>
      <c r="I140" s="44">
        <v>43.86</v>
      </c>
      <c r="J140" s="20"/>
      <c r="K140" s="256"/>
      <c r="L140" s="101" t="s">
        <v>61</v>
      </c>
      <c r="M140" s="133">
        <v>-29</v>
      </c>
      <c r="N140" s="69">
        <f t="shared" si="20"/>
        <v>311.65727900000684</v>
      </c>
      <c r="O140" s="49"/>
      <c r="P140" s="131">
        <v>-1500</v>
      </c>
      <c r="Q140" s="72">
        <f t="shared" si="21"/>
        <v>-9961.997278481007</v>
      </c>
      <c r="R140" s="45">
        <f t="shared" si="19"/>
        <v>88.002721518992985</v>
      </c>
      <c r="S140" s="373" t="s">
        <v>66</v>
      </c>
      <c r="T140" s="20"/>
      <c r="U140" s="20"/>
      <c r="V140" s="20"/>
      <c r="W140" s="20"/>
      <c r="X140" s="20"/>
      <c r="Y140" s="112"/>
      <c r="Z140" s="43"/>
      <c r="AA140" s="94"/>
      <c r="AB140" s="26"/>
      <c r="AC140" s="20"/>
      <c r="AD140" s="92"/>
      <c r="AE140" s="93"/>
      <c r="AF140" s="20"/>
      <c r="AG140" s="20"/>
      <c r="AH140" s="20"/>
      <c r="AI140" s="20"/>
    </row>
    <row r="141" spans="2:35" hidden="1">
      <c r="D141" t="s">
        <v>10</v>
      </c>
      <c r="E141" s="19">
        <f>I146</f>
        <v>1064</v>
      </c>
      <c r="F141" s="37" t="s">
        <v>15</v>
      </c>
      <c r="G141"/>
      <c r="H141" s="23" t="s">
        <v>21</v>
      </c>
      <c r="I141" s="44">
        <v>3.51</v>
      </c>
      <c r="J141" s="20"/>
      <c r="K141" s="256"/>
      <c r="L141" s="101" t="s">
        <v>111</v>
      </c>
      <c r="M141" s="133">
        <v>200</v>
      </c>
      <c r="N141" s="69">
        <f t="shared" si="20"/>
        <v>511.65727900000684</v>
      </c>
      <c r="O141" s="49"/>
      <c r="P141" s="49">
        <f>E150</f>
        <v>266.93000000000029</v>
      </c>
      <c r="Q141" s="73">
        <f t="shared" si="21"/>
        <v>-9695.0672784810067</v>
      </c>
      <c r="R141" s="52">
        <f t="shared" si="19"/>
        <v>354.93272151899328</v>
      </c>
      <c r="S141" s="383" t="s">
        <v>64</v>
      </c>
      <c r="T141" s="162"/>
      <c r="U141" s="20"/>
      <c r="V141" s="26"/>
      <c r="W141" s="26"/>
      <c r="X141" s="20"/>
      <c r="Y141" s="112"/>
      <c r="Z141" s="43"/>
      <c r="AA141" s="94"/>
      <c r="AB141" s="95"/>
      <c r="AC141" s="20"/>
      <c r="AD141" s="92"/>
      <c r="AE141" s="93"/>
      <c r="AF141" s="20"/>
      <c r="AG141" s="20"/>
      <c r="AH141" s="20"/>
      <c r="AI141" s="20"/>
    </row>
    <row r="142" spans="2:35" hidden="1">
      <c r="D142" t="s">
        <v>22</v>
      </c>
      <c r="E142" s="15"/>
      <c r="F142" s="38"/>
      <c r="G142"/>
      <c r="H142" s="23" t="s">
        <v>26</v>
      </c>
      <c r="I142" s="52">
        <v>360.66</v>
      </c>
      <c r="J142" s="20"/>
      <c r="K142" s="256"/>
      <c r="L142" s="79" t="s">
        <v>133</v>
      </c>
      <c r="M142" s="175">
        <v>-250</v>
      </c>
      <c r="N142" s="69">
        <f t="shared" si="20"/>
        <v>261.65727900000684</v>
      </c>
      <c r="O142" s="39"/>
      <c r="P142" s="64">
        <f>SUM(P134:P141)</f>
        <v>-9695.0672784810067</v>
      </c>
      <c r="Q142" s="63"/>
      <c r="R142" s="63"/>
      <c r="S142" s="377"/>
      <c r="T142" s="162"/>
      <c r="U142" s="20"/>
      <c r="V142" s="26"/>
      <c r="W142" s="26"/>
      <c r="X142" s="20"/>
      <c r="Y142" s="112"/>
      <c r="Z142" s="43"/>
      <c r="AA142" s="94"/>
      <c r="AB142" s="26"/>
      <c r="AC142" s="20"/>
      <c r="AD142" s="92"/>
      <c r="AE142" s="97"/>
      <c r="AF142" s="20"/>
      <c r="AG142" s="20"/>
      <c r="AH142" s="20"/>
      <c r="AI142" s="20"/>
    </row>
    <row r="143" spans="2:35" ht="12.75" hidden="1" customHeight="1">
      <c r="C143" s="18" t="s">
        <v>5</v>
      </c>
      <c r="E143" s="19">
        <f>SUM(E139:E142)</f>
        <v>1666</v>
      </c>
      <c r="G143"/>
      <c r="H143" s="116" t="s">
        <v>105</v>
      </c>
      <c r="I143" s="44">
        <f>SUM(I137:I142)</f>
        <v>599.39</v>
      </c>
      <c r="J143" s="20"/>
      <c r="K143" s="256"/>
      <c r="L143" s="79" t="s">
        <v>134</v>
      </c>
      <c r="M143" s="175">
        <v>-20</v>
      </c>
      <c r="N143" s="69">
        <f t="shared" si="20"/>
        <v>241.65727900000684</v>
      </c>
      <c r="O143" s="39"/>
      <c r="P143" s="68"/>
      <c r="Q143" s="100"/>
      <c r="R143" s="107"/>
      <c r="S143" s="377"/>
      <c r="T143" s="162"/>
      <c r="U143" s="74"/>
      <c r="V143" s="26"/>
      <c r="W143" s="26"/>
      <c r="X143" s="20"/>
      <c r="Y143" s="112"/>
      <c r="Z143" s="43"/>
      <c r="AA143" s="94"/>
      <c r="AB143" s="26"/>
      <c r="AC143" s="20"/>
      <c r="AD143" s="20"/>
      <c r="AE143" s="93"/>
      <c r="AF143" s="20"/>
      <c r="AG143" s="20"/>
      <c r="AH143" s="20"/>
      <c r="AI143" s="20"/>
    </row>
    <row r="144" spans="2:35" ht="12.75" hidden="1" customHeight="1">
      <c r="C144" s="18"/>
      <c r="G144"/>
      <c r="H144" s="46" t="s">
        <v>27</v>
      </c>
      <c r="I144" s="45">
        <f>-99.43-10</f>
        <v>-109.43</v>
      </c>
      <c r="J144" s="20"/>
      <c r="K144" s="256"/>
      <c r="L144" s="144" t="s">
        <v>135</v>
      </c>
      <c r="M144" s="147">
        <v>-376.12</v>
      </c>
      <c r="N144" s="69">
        <f t="shared" si="20"/>
        <v>-134.46272099999317</v>
      </c>
      <c r="O144" s="39"/>
      <c r="P144" s="68"/>
      <c r="Q144" s="100"/>
      <c r="R144" s="102"/>
      <c r="S144" s="377"/>
      <c r="T144" s="162"/>
      <c r="U144" s="74"/>
      <c r="V144" s="26"/>
      <c r="W144" s="26"/>
      <c r="X144" s="91"/>
      <c r="Y144" s="20"/>
      <c r="Z144" s="43"/>
      <c r="AA144" s="94"/>
      <c r="AB144" s="95"/>
      <c r="AC144" s="20"/>
      <c r="AD144" s="98"/>
      <c r="AE144" s="93"/>
      <c r="AF144" s="120"/>
      <c r="AG144" s="20"/>
      <c r="AH144" s="20"/>
      <c r="AI144" s="20"/>
    </row>
    <row r="145" spans="2:35" ht="13.5" hidden="1" thickBot="1">
      <c r="D145" s="16" t="s">
        <v>67</v>
      </c>
      <c r="E145" s="27">
        <f>E136-E143</f>
        <v>5220.7300000000005</v>
      </c>
      <c r="G145"/>
      <c r="H145" s="116" t="s">
        <v>119</v>
      </c>
      <c r="I145" s="52">
        <f>$I$121</f>
        <v>574.04</v>
      </c>
      <c r="J145" s="20"/>
      <c r="K145" s="256"/>
      <c r="L145" s="109" t="s">
        <v>51</v>
      </c>
      <c r="M145" s="134">
        <f>E149</f>
        <v>4953.8</v>
      </c>
      <c r="N145" s="69">
        <f t="shared" si="20"/>
        <v>4819.3372790000067</v>
      </c>
      <c r="O145" s="39"/>
      <c r="P145" s="68"/>
      <c r="Q145" s="100"/>
      <c r="R145" s="102"/>
      <c r="S145" s="377"/>
      <c r="T145" s="162"/>
      <c r="U145" s="65"/>
      <c r="V145" s="26"/>
      <c r="W145" s="26"/>
      <c r="X145" s="35"/>
      <c r="Y145" s="20"/>
      <c r="Z145" s="43"/>
      <c r="AA145" s="94"/>
      <c r="AB145" s="26"/>
      <c r="AC145" s="20"/>
      <c r="AD145" s="20"/>
      <c r="AE145" s="20"/>
      <c r="AF145" s="99"/>
      <c r="AG145" s="20"/>
      <c r="AH145" s="20"/>
      <c r="AI145" s="20"/>
    </row>
    <row r="146" spans="2:35" ht="13.5" hidden="1" thickBot="1">
      <c r="D146" s="17"/>
      <c r="E146" s="40"/>
      <c r="G146"/>
      <c r="H146" s="23"/>
      <c r="I146" s="53">
        <f>SUM(I143:I145)</f>
        <v>1064</v>
      </c>
      <c r="J146" s="20"/>
      <c r="K146" s="256"/>
      <c r="L146" s="109" t="s">
        <v>126</v>
      </c>
      <c r="M146" s="134">
        <v>-700</v>
      </c>
      <c r="N146" s="69">
        <f t="shared" si="20"/>
        <v>4119.3372790000067</v>
      </c>
      <c r="O146" s="39"/>
      <c r="P146" s="68"/>
      <c r="Q146" s="100"/>
      <c r="R146" s="102"/>
      <c r="S146" s="377"/>
      <c r="T146" s="162"/>
      <c r="U146" s="65"/>
      <c r="V146" s="20"/>
      <c r="W146" s="20"/>
      <c r="X146" s="20"/>
      <c r="Y146" s="111"/>
      <c r="Z146" s="43"/>
      <c r="AA146" s="94"/>
      <c r="AB146" s="26"/>
      <c r="AC146" s="20"/>
      <c r="AD146" s="20"/>
      <c r="AE146" s="20"/>
      <c r="AF146" s="20"/>
      <c r="AG146" s="20"/>
      <c r="AH146" s="20"/>
      <c r="AI146" s="20"/>
    </row>
    <row r="147" spans="2:35" hidden="1">
      <c r="D147" s="17"/>
      <c r="E147" s="40"/>
      <c r="G147"/>
      <c r="H147" s="23"/>
      <c r="I147" s="45"/>
      <c r="J147" s="20"/>
      <c r="K147" s="256"/>
      <c r="L147" s="79" t="s">
        <v>61</v>
      </c>
      <c r="M147" s="45">
        <v>-144.5</v>
      </c>
      <c r="N147" s="69">
        <f t="shared" si="20"/>
        <v>3974.8372790000067</v>
      </c>
      <c r="O147" s="49"/>
      <c r="P147" s="68"/>
      <c r="Q147" s="100"/>
      <c r="R147" s="102"/>
      <c r="S147" s="377"/>
      <c r="T147" s="162"/>
      <c r="U147" s="65"/>
      <c r="V147" s="20"/>
      <c r="W147" s="20"/>
      <c r="X147" s="91"/>
      <c r="Y147" s="111"/>
      <c r="Z147" s="43"/>
      <c r="AA147" s="94"/>
      <c r="AB147" s="95"/>
      <c r="AC147" s="20"/>
      <c r="AD147" s="20"/>
      <c r="AE147" s="20"/>
      <c r="AF147" s="20"/>
      <c r="AG147" s="20"/>
      <c r="AH147" s="20"/>
      <c r="AI147" s="20"/>
    </row>
    <row r="148" spans="2:35" hidden="1">
      <c r="C148" s="81" t="s">
        <v>17</v>
      </c>
      <c r="E148" s="42"/>
      <c r="G148"/>
      <c r="H148" s="23"/>
      <c r="I148" s="14"/>
      <c r="J148" s="20"/>
      <c r="K148" s="256"/>
      <c r="L148" s="86" t="s">
        <v>63</v>
      </c>
      <c r="M148" s="135">
        <f>-3.9+M147*1.37%</f>
        <v>-5.8796499999999998</v>
      </c>
      <c r="N148" s="69">
        <f t="shared" si="20"/>
        <v>3968.9576290000068</v>
      </c>
      <c r="O148" s="42"/>
      <c r="P148" s="22"/>
      <c r="Q148" s="100"/>
      <c r="R148" s="102"/>
      <c r="S148" s="377"/>
      <c r="T148" s="162"/>
      <c r="U148" s="65"/>
      <c r="V148" s="20"/>
      <c r="W148" s="20"/>
      <c r="X148" s="20"/>
      <c r="Y148" s="111"/>
      <c r="Z148" s="43"/>
      <c r="AA148" s="94"/>
      <c r="AB148" s="26"/>
      <c r="AC148" s="20"/>
      <c r="AD148" s="20"/>
      <c r="AE148" s="20"/>
      <c r="AF148" s="20"/>
      <c r="AG148" s="120"/>
      <c r="AH148" s="20"/>
      <c r="AI148" s="20"/>
    </row>
    <row r="149" spans="2:35" hidden="1">
      <c r="D149" s="20" t="s">
        <v>14</v>
      </c>
      <c r="E149" s="42">
        <v>4953.8</v>
      </c>
      <c r="F149" s="20"/>
      <c r="G149" s="20"/>
      <c r="H149" s="46"/>
      <c r="L149" s="169" t="s">
        <v>23</v>
      </c>
      <c r="M149" s="136">
        <v>-157.91</v>
      </c>
      <c r="N149" s="69">
        <f t="shared" si="20"/>
        <v>3811.047629000007</v>
      </c>
      <c r="O149" s="26"/>
      <c r="P149" s="22"/>
      <c r="Q149" s="100"/>
      <c r="R149" s="102"/>
      <c r="S149" s="377"/>
      <c r="T149" s="162"/>
      <c r="U149" s="83"/>
      <c r="V149" s="20"/>
      <c r="W149" s="20"/>
      <c r="X149" s="20"/>
      <c r="Y149" s="111"/>
      <c r="Z149" s="43"/>
      <c r="AA149" s="94"/>
      <c r="AB149" s="26"/>
      <c r="AC149" s="20"/>
      <c r="AD149" s="20"/>
      <c r="AE149" s="20"/>
      <c r="AF149" s="20"/>
      <c r="AG149" s="20"/>
      <c r="AH149" s="20"/>
      <c r="AI149" s="20"/>
    </row>
    <row r="150" spans="2:35" ht="12.75" hidden="1" customHeight="1">
      <c r="D150" s="78" t="s">
        <v>13</v>
      </c>
      <c r="E150" s="15">
        <f>E145-E149-E151</f>
        <v>266.93000000000029</v>
      </c>
      <c r="F150" s="78"/>
      <c r="G150" s="516">
        <f>SUM(E149:E150)</f>
        <v>5220.7300000000005</v>
      </c>
      <c r="H150" s="516"/>
      <c r="L150" s="86" t="s">
        <v>63</v>
      </c>
      <c r="M150" s="135">
        <f>-3.9+M149*1.37%</f>
        <v>-6.0633669999999995</v>
      </c>
      <c r="N150" s="69">
        <f t="shared" si="20"/>
        <v>3804.9842620000068</v>
      </c>
      <c r="O150" s="26"/>
      <c r="P150" s="21"/>
      <c r="Q150" s="100"/>
      <c r="R150" s="102"/>
      <c r="S150" s="377"/>
      <c r="T150" s="162"/>
      <c r="U150" s="84"/>
      <c r="V150" s="26"/>
      <c r="W150" s="26"/>
      <c r="X150" s="91"/>
      <c r="Y150" s="20"/>
      <c r="Z150" s="43"/>
      <c r="AA150" s="94"/>
      <c r="AB150" s="26"/>
      <c r="AC150" s="20"/>
      <c r="AD150" s="20"/>
      <c r="AE150" s="20"/>
      <c r="AF150" s="20"/>
      <c r="AG150" s="20"/>
      <c r="AH150" s="20"/>
      <c r="AI150" s="20"/>
    </row>
    <row r="151" spans="2:35" ht="12.75" hidden="1" customHeight="1">
      <c r="D151" s="20"/>
      <c r="E151" s="26"/>
      <c r="F151" s="122"/>
      <c r="G151" s="515"/>
      <c r="H151" s="515"/>
      <c r="L151" s="80" t="s">
        <v>16</v>
      </c>
      <c r="M151" s="133">
        <v>-483.99</v>
      </c>
      <c r="N151" s="69">
        <f t="shared" si="20"/>
        <v>3320.9942620000065</v>
      </c>
      <c r="O151" s="26"/>
      <c r="P151" s="21"/>
      <c r="Q151" s="100"/>
      <c r="R151" s="102"/>
      <c r="S151" s="377"/>
      <c r="T151" s="162"/>
      <c r="U151" s="84"/>
      <c r="V151" s="26"/>
      <c r="W151" s="26"/>
      <c r="X151" s="35"/>
      <c r="Y151" s="20"/>
      <c r="Z151" s="43"/>
      <c r="AA151" s="94"/>
      <c r="AB151" s="26"/>
      <c r="AC151" s="20"/>
      <c r="AD151" s="20"/>
      <c r="AE151" s="20"/>
      <c r="AF151" s="20"/>
      <c r="AG151" s="20"/>
      <c r="AH151" s="20"/>
      <c r="AI151" s="20"/>
    </row>
    <row r="152" spans="2:35" ht="12.75" hidden="1" customHeight="1">
      <c r="D152" s="20"/>
      <c r="E152" s="26"/>
      <c r="F152" s="122"/>
      <c r="G152" s="515"/>
      <c r="H152" s="515"/>
      <c r="L152" s="66" t="s">
        <v>63</v>
      </c>
      <c r="M152" s="135">
        <f>-3.9+M151*1.37%</f>
        <v>-10.530663000000001</v>
      </c>
      <c r="N152" s="69">
        <f t="shared" si="20"/>
        <v>3310.4635990000065</v>
      </c>
      <c r="O152" s="26"/>
      <c r="U152" s="20"/>
      <c r="V152" s="26"/>
      <c r="W152" s="26"/>
      <c r="X152" s="20"/>
      <c r="Y152" s="20"/>
      <c r="Z152" s="43"/>
      <c r="AA152" s="94"/>
      <c r="AB152" s="26"/>
      <c r="AC152" s="20"/>
      <c r="AD152" s="20"/>
      <c r="AE152" s="20"/>
      <c r="AF152" s="20"/>
      <c r="AG152" s="20"/>
      <c r="AH152" s="20"/>
      <c r="AI152" s="20"/>
    </row>
    <row r="153" spans="2:35" hidden="1">
      <c r="D153" s="20"/>
      <c r="E153" s="26"/>
      <c r="F153" s="122"/>
      <c r="G153" s="164"/>
      <c r="H153" s="164"/>
      <c r="L153" s="170" t="s">
        <v>56</v>
      </c>
      <c r="M153" s="137">
        <v>-505</v>
      </c>
      <c r="N153" s="69">
        <f t="shared" si="20"/>
        <v>2805.4635990000065</v>
      </c>
      <c r="O153" s="26"/>
      <c r="U153" s="20"/>
      <c r="V153" s="26"/>
      <c r="W153" s="26"/>
      <c r="X153" s="91"/>
      <c r="Y153" s="20"/>
      <c r="Z153" s="43"/>
      <c r="AA153" s="94"/>
      <c r="AB153" s="26"/>
      <c r="AC153" s="20"/>
      <c r="AD153" s="20"/>
      <c r="AE153" s="20"/>
      <c r="AF153" s="20"/>
      <c r="AG153" s="20"/>
      <c r="AH153" s="20"/>
      <c r="AI153" s="20"/>
    </row>
    <row r="154" spans="2:35" hidden="1">
      <c r="B154" s="20"/>
      <c r="C154" s="35"/>
      <c r="D154" s="26"/>
      <c r="E154" s="45"/>
      <c r="F154" s="122"/>
      <c r="G154" s="164"/>
      <c r="H154" s="164"/>
      <c r="L154" s="86" t="s">
        <v>63</v>
      </c>
      <c r="M154" s="135">
        <f>-3.9+M153*1.37%</f>
        <v>-10.8185</v>
      </c>
      <c r="N154" s="69">
        <f t="shared" si="20"/>
        <v>2794.6450990000067</v>
      </c>
      <c r="O154" s="26"/>
      <c r="U154" s="20"/>
      <c r="V154" s="26"/>
      <c r="W154" s="26"/>
      <c r="X154" s="91"/>
      <c r="Y154" s="20"/>
      <c r="Z154" s="43"/>
      <c r="AA154" s="94"/>
      <c r="AB154" s="26"/>
      <c r="AC154" s="20"/>
      <c r="AD154" s="20"/>
      <c r="AE154" s="20"/>
      <c r="AF154" s="20"/>
      <c r="AG154" s="20"/>
      <c r="AH154" s="20"/>
      <c r="AI154" s="20"/>
    </row>
    <row r="155" spans="2:35" hidden="1">
      <c r="B155" s="20"/>
      <c r="C155" s="35"/>
      <c r="D155" s="26"/>
      <c r="E155" s="45"/>
      <c r="F155" s="122"/>
      <c r="G155" s="167"/>
      <c r="H155" s="167"/>
      <c r="L155" s="171" t="s">
        <v>130</v>
      </c>
      <c r="M155" s="137">
        <v>-50</v>
      </c>
      <c r="N155" s="69">
        <f t="shared" si="20"/>
        <v>2744.6450990000067</v>
      </c>
      <c r="O155" s="26"/>
      <c r="U155" s="20"/>
      <c r="V155" s="26"/>
      <c r="W155" s="26"/>
      <c r="X155" s="91"/>
      <c r="Y155" s="20"/>
      <c r="Z155" s="43"/>
      <c r="AA155" s="94"/>
      <c r="AB155" s="26"/>
      <c r="AC155" s="20"/>
      <c r="AD155" s="20"/>
      <c r="AE155" s="20"/>
      <c r="AF155" s="20"/>
      <c r="AG155" s="20"/>
      <c r="AH155" s="20"/>
      <c r="AI155" s="20"/>
    </row>
    <row r="156" spans="2:35" hidden="1">
      <c r="B156" s="20"/>
      <c r="C156" s="35"/>
      <c r="D156" s="26"/>
      <c r="E156" s="45"/>
      <c r="F156" s="122"/>
      <c r="G156" s="172"/>
      <c r="H156" s="172"/>
      <c r="L156" s="86" t="s">
        <v>63</v>
      </c>
      <c r="M156" s="135">
        <f>-3.9+M155*1.37%</f>
        <v>-4.585</v>
      </c>
      <c r="N156" s="70">
        <f t="shared" si="20"/>
        <v>2740.0600990000066</v>
      </c>
      <c r="O156" s="26"/>
      <c r="U156" s="20"/>
      <c r="V156" s="26"/>
      <c r="W156" s="26"/>
      <c r="X156" s="91"/>
      <c r="Y156" s="20"/>
      <c r="Z156" s="43"/>
      <c r="AA156" s="94"/>
      <c r="AB156" s="26"/>
      <c r="AC156" s="20"/>
      <c r="AD156" s="20"/>
      <c r="AE156" s="20"/>
      <c r="AF156" s="20"/>
      <c r="AG156" s="20"/>
      <c r="AH156" s="20"/>
      <c r="AI156" s="20"/>
    </row>
    <row r="157" spans="2:35" hidden="1">
      <c r="B157" s="20"/>
      <c r="C157" s="35"/>
      <c r="D157" s="26"/>
      <c r="E157" s="45"/>
      <c r="F157" s="122"/>
      <c r="G157" s="172"/>
      <c r="H157" s="172"/>
      <c r="L157" s="23"/>
      <c r="M157" s="168">
        <f>SUM(M134:M156)</f>
        <v>2740.0600990000066</v>
      </c>
      <c r="O157" s="26"/>
      <c r="U157" s="20"/>
      <c r="V157" s="26"/>
      <c r="W157" s="26"/>
      <c r="X157" s="91"/>
      <c r="Y157" s="20"/>
      <c r="Z157" s="43"/>
      <c r="AA157" s="94"/>
      <c r="AB157" s="26"/>
      <c r="AC157" s="20"/>
      <c r="AD157" s="20"/>
      <c r="AE157" s="20"/>
      <c r="AF157" s="20"/>
      <c r="AG157" s="20"/>
      <c r="AH157" s="20"/>
      <c r="AI157" s="20"/>
    </row>
    <row r="158" spans="2:35" s="78" customFormat="1" hidden="1">
      <c r="C158" s="154"/>
      <c r="D158" s="15"/>
      <c r="E158" s="52"/>
      <c r="F158" s="88"/>
      <c r="G158" s="163"/>
      <c r="H158" s="163"/>
      <c r="K158" s="256"/>
      <c r="L158" s="23"/>
      <c r="M158" s="26"/>
      <c r="N158"/>
      <c r="O158" s="15"/>
      <c r="P158" s="15"/>
      <c r="Q158" s="15"/>
      <c r="R158" s="15"/>
      <c r="S158" s="385"/>
      <c r="V158" s="15"/>
      <c r="W158" s="15"/>
      <c r="X158" s="158"/>
      <c r="Z158" s="159"/>
      <c r="AA158" s="160"/>
      <c r="AB158" s="15"/>
    </row>
    <row r="159" spans="2:35" hidden="1">
      <c r="B159" s="20"/>
      <c r="C159" s="35"/>
      <c r="D159" s="26"/>
      <c r="E159" s="45"/>
      <c r="F159" s="122"/>
      <c r="G159" s="164"/>
      <c r="H159" s="164"/>
      <c r="L159" s="173"/>
      <c r="M159" s="174"/>
      <c r="N159" s="173"/>
      <c r="O159" s="26"/>
      <c r="U159" s="20"/>
      <c r="V159" s="26"/>
      <c r="W159" s="26"/>
      <c r="X159" s="91"/>
      <c r="Y159" s="20"/>
      <c r="Z159" s="43"/>
      <c r="AA159" s="94"/>
      <c r="AB159" s="26"/>
      <c r="AC159" s="20"/>
      <c r="AD159" s="20"/>
      <c r="AE159" s="20"/>
      <c r="AF159" s="20"/>
      <c r="AG159" s="20"/>
      <c r="AH159" s="20"/>
      <c r="AI159" s="20"/>
    </row>
    <row r="160" spans="2:35" hidden="1">
      <c r="B160" s="1045" t="s">
        <v>132</v>
      </c>
      <c r="C160" s="1045"/>
      <c r="D160" s="1045"/>
      <c r="E160" s="1045"/>
      <c r="G160" s="31"/>
      <c r="H160" s="31"/>
      <c r="I160" s="26"/>
      <c r="L160" s="59"/>
      <c r="M160" s="1042" t="s">
        <v>54</v>
      </c>
      <c r="N160" s="178"/>
      <c r="O160" s="178"/>
      <c r="P160" s="1044" t="s">
        <v>48</v>
      </c>
      <c r="Q160" s="177"/>
      <c r="R160" s="177"/>
      <c r="S160" s="377"/>
      <c r="X160" s="35"/>
      <c r="Y160" s="35"/>
      <c r="Z160" s="26"/>
      <c r="AA160" s="120"/>
      <c r="AB160" s="26"/>
      <c r="AC160" s="20"/>
      <c r="AD160" s="20"/>
      <c r="AE160" s="20"/>
      <c r="AF160" s="20"/>
      <c r="AG160" s="20"/>
      <c r="AH160" s="20"/>
      <c r="AI160" s="20"/>
    </row>
    <row r="161" spans="3:35" ht="12.75" hidden="1" customHeight="1">
      <c r="C161" s="17" t="s">
        <v>12</v>
      </c>
      <c r="D161" s="14"/>
      <c r="E161" s="44">
        <v>6000</v>
      </c>
      <c r="G161" s="514"/>
      <c r="H161" s="514"/>
      <c r="I161" s="26"/>
      <c r="L161" s="60"/>
      <c r="M161" s="1042"/>
      <c r="N161" s="178" t="s">
        <v>52</v>
      </c>
      <c r="O161" s="178"/>
      <c r="P161" s="1044"/>
      <c r="Q161" s="177" t="s">
        <v>43</v>
      </c>
      <c r="R161" s="177" t="s">
        <v>53</v>
      </c>
      <c r="S161" s="377"/>
      <c r="W161" s="115"/>
      <c r="X161" s="118"/>
      <c r="Y161" s="111"/>
      <c r="Z161" s="117"/>
      <c r="AA161" s="89"/>
      <c r="AB161" s="90"/>
      <c r="AC161" s="20"/>
      <c r="AD161" s="41"/>
      <c r="AE161" s="20"/>
      <c r="AF161" s="20"/>
      <c r="AG161" s="20"/>
      <c r="AH161" s="20"/>
      <c r="AI161" s="20"/>
    </row>
    <row r="162" spans="3:35" hidden="1">
      <c r="C162" s="17"/>
      <c r="D162" s="14" t="s">
        <v>24</v>
      </c>
      <c r="E162" s="44">
        <f>'[2]JUNE ''11'!$C$63</f>
        <v>48.170000000000073</v>
      </c>
      <c r="G162" s="30"/>
      <c r="H162" s="30"/>
      <c r="I162" s="26"/>
      <c r="L162" s="46" t="s">
        <v>55</v>
      </c>
      <c r="M162" s="45">
        <f>$M$157</f>
        <v>2740.0600990000066</v>
      </c>
      <c r="N162" s="71">
        <f>M162</f>
        <v>2740.0600990000066</v>
      </c>
      <c r="O162" s="26"/>
      <c r="P162" s="45">
        <f>$Q$141</f>
        <v>-9695.0672784810067</v>
      </c>
      <c r="Q162" s="71">
        <f>P162</f>
        <v>-9695.0672784810067</v>
      </c>
      <c r="R162" s="45">
        <f t="shared" ref="R162:R174" si="22">10050+Q162</f>
        <v>354.93272151899328</v>
      </c>
      <c r="S162" s="382"/>
      <c r="T162" s="29"/>
      <c r="X162" s="91"/>
      <c r="Y162" s="111"/>
      <c r="Z162" s="26"/>
      <c r="AA162" s="120"/>
      <c r="AB162" s="26"/>
      <c r="AC162" s="20"/>
      <c r="AD162" s="92"/>
      <c r="AE162" s="93"/>
      <c r="AF162" s="20"/>
      <c r="AG162" s="20"/>
      <c r="AH162" s="20"/>
      <c r="AI162" s="20"/>
    </row>
    <row r="163" spans="3:35" hidden="1">
      <c r="C163" s="17"/>
      <c r="D163" s="143" t="s">
        <v>110</v>
      </c>
      <c r="E163" s="15"/>
      <c r="G163"/>
      <c r="I163" s="26"/>
      <c r="L163" s="101" t="s">
        <v>136</v>
      </c>
      <c r="M163" s="133">
        <v>-600</v>
      </c>
      <c r="N163" s="69">
        <f t="shared" ref="N163:N184" si="23">N162+M163</f>
        <v>2140.0600990000066</v>
      </c>
      <c r="O163" s="65"/>
      <c r="P163" s="131">
        <v>-145.94</v>
      </c>
      <c r="Q163" s="72">
        <f>Q162+P163</f>
        <v>-9841.0072784810072</v>
      </c>
      <c r="R163" s="45">
        <f t="shared" si="22"/>
        <v>208.99272151899277</v>
      </c>
      <c r="S163" s="373" t="s">
        <v>49</v>
      </c>
      <c r="X163" s="20"/>
      <c r="Y163" s="112"/>
      <c r="Z163" s="43"/>
      <c r="AA163" s="94"/>
      <c r="AB163" s="95"/>
      <c r="AC163" s="20"/>
      <c r="AD163" s="41"/>
      <c r="AE163" s="93"/>
      <c r="AF163" s="20"/>
      <c r="AG163" s="20"/>
      <c r="AH163" s="20"/>
      <c r="AI163" s="20"/>
    </row>
    <row r="164" spans="3:35" ht="12.75" hidden="1" customHeight="1">
      <c r="C164" s="18" t="s">
        <v>5</v>
      </c>
      <c r="D164" s="14"/>
      <c r="E164" s="14">
        <f>SUM(E161:E163)</f>
        <v>6048.17</v>
      </c>
      <c r="G164" s="518" t="s">
        <v>121</v>
      </c>
      <c r="H164" s="518"/>
      <c r="I164" s="518"/>
      <c r="J164" s="20"/>
      <c r="K164" s="256"/>
      <c r="L164" s="101" t="s">
        <v>102</v>
      </c>
      <c r="M164" s="133">
        <v>-2000</v>
      </c>
      <c r="N164" s="69">
        <f t="shared" si="23"/>
        <v>140.06009900000663</v>
      </c>
      <c r="O164" s="65"/>
      <c r="P164" s="131">
        <v>2000</v>
      </c>
      <c r="Q164" s="72">
        <f>Q163+P164</f>
        <v>-7841.0072784810072</v>
      </c>
      <c r="R164" s="45">
        <f t="shared" si="22"/>
        <v>2208.9927215189928</v>
      </c>
      <c r="S164" s="373" t="s">
        <v>66</v>
      </c>
      <c r="X164" s="20"/>
      <c r="Y164" s="112"/>
      <c r="Z164" s="43"/>
      <c r="AA164" s="94"/>
      <c r="AB164" s="26"/>
      <c r="AC164" s="20"/>
      <c r="AD164" s="92"/>
      <c r="AE164" s="93"/>
      <c r="AF164" s="20"/>
      <c r="AG164" s="20"/>
      <c r="AH164" s="20"/>
      <c r="AI164" s="20"/>
    </row>
    <row r="165" spans="3:35" ht="12.75" hidden="1" customHeight="1">
      <c r="G165"/>
      <c r="H165" s="23" t="s">
        <v>10</v>
      </c>
      <c r="I165" s="44">
        <v>175.44</v>
      </c>
      <c r="J165" s="54"/>
      <c r="K165" s="256"/>
      <c r="L165" s="101" t="s">
        <v>140</v>
      </c>
      <c r="M165" s="133">
        <v>-100</v>
      </c>
      <c r="N165" s="69">
        <f t="shared" si="23"/>
        <v>40.06009900000663</v>
      </c>
      <c r="O165" s="48"/>
      <c r="P165" s="131">
        <v>-69.98</v>
      </c>
      <c r="Q165" s="72">
        <f>Q164+P165</f>
        <v>-7910.9872784810068</v>
      </c>
      <c r="R165" s="45">
        <f t="shared" si="22"/>
        <v>2139.0127215189932</v>
      </c>
      <c r="S165" s="373" t="s">
        <v>137</v>
      </c>
      <c r="X165" s="91"/>
      <c r="Y165" s="112"/>
      <c r="Z165" s="43"/>
      <c r="AA165" s="94"/>
      <c r="AB165" s="26"/>
      <c r="AC165" s="20"/>
      <c r="AD165" s="92"/>
      <c r="AE165" s="93"/>
      <c r="AF165" s="20"/>
      <c r="AG165" s="20"/>
      <c r="AH165" s="20"/>
      <c r="AI165" s="20"/>
    </row>
    <row r="166" spans="3:35" hidden="1">
      <c r="C166" s="17" t="s">
        <v>7</v>
      </c>
      <c r="G166"/>
      <c r="H166" s="23" t="s">
        <v>18</v>
      </c>
      <c r="I166" s="44">
        <f>4.39+4.08</f>
        <v>8.4699999999999989</v>
      </c>
      <c r="J166" s="20"/>
      <c r="K166" s="256"/>
      <c r="L166" s="101" t="s">
        <v>102</v>
      </c>
      <c r="M166" s="133">
        <v>600</v>
      </c>
      <c r="N166" s="69">
        <f t="shared" si="23"/>
        <v>640.06009900000663</v>
      </c>
      <c r="O166" s="48"/>
      <c r="P166" s="131">
        <v>-185</v>
      </c>
      <c r="Q166" s="72">
        <f t="shared" ref="Q166:Q173" si="24">Q165+P166</f>
        <v>-8095.9872784810068</v>
      </c>
      <c r="R166" s="45">
        <f t="shared" si="22"/>
        <v>1954.0127215189932</v>
      </c>
      <c r="S166" s="373" t="s">
        <v>138</v>
      </c>
      <c r="T166" s="20"/>
      <c r="U166" s="20"/>
      <c r="V166" s="103"/>
      <c r="W166" s="103"/>
      <c r="X166" s="20"/>
      <c r="Y166" s="112"/>
      <c r="Z166" s="43"/>
      <c r="AA166" s="94"/>
      <c r="AB166" s="95"/>
      <c r="AC166" s="20"/>
      <c r="AD166" s="96"/>
      <c r="AE166" s="93"/>
      <c r="AF166" s="20"/>
      <c r="AG166" s="20"/>
      <c r="AH166" s="20"/>
      <c r="AI166" s="20"/>
    </row>
    <row r="167" spans="3:35" hidden="1">
      <c r="D167" t="s">
        <v>8</v>
      </c>
      <c r="E167" s="14">
        <f>1204/2</f>
        <v>602</v>
      </c>
      <c r="G167" s="36"/>
      <c r="H167" s="23" t="s">
        <v>20</v>
      </c>
      <c r="I167" s="44">
        <v>7.45</v>
      </c>
      <c r="J167" s="20"/>
      <c r="K167" s="256"/>
      <c r="L167" s="101" t="s">
        <v>142</v>
      </c>
      <c r="M167" s="133">
        <v>-529.09</v>
      </c>
      <c r="N167" s="69">
        <f t="shared" si="23"/>
        <v>110.9700990000066</v>
      </c>
      <c r="O167" s="49"/>
      <c r="P167" s="133">
        <v>-62.5</v>
      </c>
      <c r="Q167" s="72">
        <f t="shared" si="24"/>
        <v>-8158.4872784810068</v>
      </c>
      <c r="R167" s="45">
        <f t="shared" si="22"/>
        <v>1891.5127215189932</v>
      </c>
      <c r="S167" s="373" t="s">
        <v>139</v>
      </c>
      <c r="T167" s="20"/>
      <c r="U167" s="20"/>
      <c r="V167" s="20"/>
      <c r="W167" s="20"/>
      <c r="X167" s="20"/>
      <c r="Y167" s="112"/>
      <c r="Z167" s="43"/>
      <c r="AA167" s="94"/>
      <c r="AB167" s="26"/>
      <c r="AC167" s="20"/>
      <c r="AD167" s="41"/>
      <c r="AE167" s="93"/>
      <c r="AF167" s="20"/>
      <c r="AG167" s="20"/>
      <c r="AH167" s="20"/>
      <c r="AI167" s="20"/>
    </row>
    <row r="168" spans="3:35" hidden="1">
      <c r="D168" t="s">
        <v>9</v>
      </c>
      <c r="E168" s="44"/>
      <c r="F168" s="37" t="s">
        <v>15</v>
      </c>
      <c r="G168"/>
      <c r="H168" s="23" t="s">
        <v>19</v>
      </c>
      <c r="I168" s="44">
        <v>43.86</v>
      </c>
      <c r="J168" s="20"/>
      <c r="K168" s="256"/>
      <c r="L168" s="79" t="s">
        <v>24</v>
      </c>
      <c r="M168" s="175">
        <v>1000</v>
      </c>
      <c r="N168" s="69">
        <f t="shared" si="23"/>
        <v>1110.9700990000065</v>
      </c>
      <c r="O168" s="49"/>
      <c r="P168" s="131">
        <v>-146.85</v>
      </c>
      <c r="Q168" s="72">
        <f t="shared" si="24"/>
        <v>-8305.3372784810072</v>
      </c>
      <c r="R168" s="45">
        <f t="shared" si="22"/>
        <v>1744.6627215189928</v>
      </c>
      <c r="S168" s="373" t="s">
        <v>101</v>
      </c>
      <c r="T168" s="20"/>
      <c r="U168" s="20"/>
      <c r="V168" s="20"/>
      <c r="W168" s="20"/>
      <c r="X168" s="20"/>
      <c r="Y168" s="112"/>
      <c r="Z168" s="43"/>
      <c r="AA168" s="94"/>
      <c r="AB168" s="26"/>
      <c r="AC168" s="20"/>
      <c r="AD168" s="92"/>
      <c r="AE168" s="93"/>
      <c r="AF168" s="20"/>
      <c r="AG168" s="20"/>
      <c r="AH168" s="20"/>
      <c r="AI168" s="20"/>
    </row>
    <row r="169" spans="3:35" hidden="1">
      <c r="D169" t="s">
        <v>10</v>
      </c>
      <c r="E169" s="19">
        <f>I173</f>
        <v>258.58999999999997</v>
      </c>
      <c r="F169" s="37" t="s">
        <v>15</v>
      </c>
      <c r="G169"/>
      <c r="H169" s="23" t="s">
        <v>21</v>
      </c>
      <c r="I169" s="44">
        <v>3.51</v>
      </c>
      <c r="J169" s="20"/>
      <c r="K169" s="256"/>
      <c r="L169" s="79" t="s">
        <v>144</v>
      </c>
      <c r="M169" s="175">
        <v>-475</v>
      </c>
      <c r="N169" s="69">
        <f t="shared" si="23"/>
        <v>635.97009900000648</v>
      </c>
      <c r="O169" s="49"/>
      <c r="P169" s="45">
        <f>-500-11.5</f>
        <v>-511.5</v>
      </c>
      <c r="Q169" s="72">
        <f t="shared" si="24"/>
        <v>-8816.8372784810072</v>
      </c>
      <c r="R169" s="45">
        <f t="shared" si="22"/>
        <v>1233.1627215189928</v>
      </c>
      <c r="S169" s="373" t="s">
        <v>124</v>
      </c>
      <c r="T169" s="50"/>
      <c r="U169" s="20"/>
      <c r="V169" s="26"/>
      <c r="W169" s="26"/>
      <c r="X169" s="20"/>
      <c r="Y169" s="112"/>
      <c r="Z169" s="43"/>
      <c r="AA169" s="94"/>
      <c r="AB169" s="95"/>
      <c r="AC169" s="20"/>
      <c r="AD169" s="92"/>
      <c r="AE169" s="93"/>
      <c r="AF169" s="20"/>
      <c r="AG169" s="20"/>
      <c r="AH169" s="20"/>
      <c r="AI169" s="20"/>
    </row>
    <row r="170" spans="3:35" hidden="1">
      <c r="D170" t="s">
        <v>22</v>
      </c>
      <c r="E170" s="15"/>
      <c r="F170" s="38"/>
      <c r="G170"/>
      <c r="H170" s="23" t="s">
        <v>26</v>
      </c>
      <c r="I170" s="52">
        <f>486.56</f>
        <v>486.56</v>
      </c>
      <c r="J170" s="20"/>
      <c r="K170" s="256"/>
      <c r="L170" s="144" t="s">
        <v>145</v>
      </c>
      <c r="M170" s="147">
        <v>-520</v>
      </c>
      <c r="N170" s="69">
        <f t="shared" si="23"/>
        <v>115.97009900000648</v>
      </c>
      <c r="O170" s="39"/>
      <c r="P170" s="45">
        <v>-600</v>
      </c>
      <c r="Q170" s="72">
        <f t="shared" si="24"/>
        <v>-9416.8372784810072</v>
      </c>
      <c r="R170" s="45">
        <f t="shared" si="22"/>
        <v>633.16272151899284</v>
      </c>
      <c r="S170" s="373" t="s">
        <v>66</v>
      </c>
      <c r="T170" s="50"/>
      <c r="U170" s="20"/>
      <c r="V170" s="26"/>
      <c r="W170" s="26"/>
      <c r="X170" s="20"/>
      <c r="Y170" s="112"/>
      <c r="Z170" s="43"/>
      <c r="AA170" s="94"/>
      <c r="AB170" s="26"/>
      <c r="AC170" s="20"/>
      <c r="AD170" s="92"/>
      <c r="AE170" s="97"/>
      <c r="AF170" s="20"/>
      <c r="AG170" s="20"/>
      <c r="AH170" s="20"/>
      <c r="AI170" s="20"/>
    </row>
    <row r="171" spans="3:35" ht="12.75" hidden="1" customHeight="1">
      <c r="C171" s="18" t="s">
        <v>5</v>
      </c>
      <c r="E171" s="19">
        <f>SUM(E167:E170)</f>
        <v>860.58999999999992</v>
      </c>
      <c r="G171"/>
      <c r="H171" s="116" t="s">
        <v>105</v>
      </c>
      <c r="I171" s="44">
        <f>SUM(I165:I170)</f>
        <v>725.29</v>
      </c>
      <c r="J171" s="20"/>
      <c r="K171" s="256"/>
      <c r="L171" s="109" t="s">
        <v>51</v>
      </c>
      <c r="M171" s="134">
        <f>E177</f>
        <v>4953.8</v>
      </c>
      <c r="N171" s="69">
        <f t="shared" si="23"/>
        <v>5069.7700990000067</v>
      </c>
      <c r="O171" s="39"/>
      <c r="P171" s="45">
        <v>-161.25</v>
      </c>
      <c r="Q171" s="72">
        <f t="shared" si="24"/>
        <v>-9578.0872784810072</v>
      </c>
      <c r="R171" s="45">
        <f t="shared" si="22"/>
        <v>471.91272151899284</v>
      </c>
      <c r="S171" s="373" t="s">
        <v>141</v>
      </c>
      <c r="T171" s="80"/>
      <c r="U171" s="74"/>
      <c r="V171" s="26"/>
      <c r="W171" s="26"/>
      <c r="X171" s="20"/>
      <c r="Y171" s="112"/>
      <c r="Z171" s="43"/>
      <c r="AA171" s="94"/>
      <c r="AB171" s="26"/>
      <c r="AC171" s="20"/>
      <c r="AD171" s="20"/>
      <c r="AE171" s="93"/>
      <c r="AF171" s="20"/>
      <c r="AG171" s="20"/>
      <c r="AH171" s="20"/>
      <c r="AI171" s="20"/>
    </row>
    <row r="172" spans="3:35" ht="12.75" hidden="1" customHeight="1">
      <c r="C172" s="18"/>
      <c r="G172"/>
      <c r="H172" s="46" t="s">
        <v>27</v>
      </c>
      <c r="I172" s="45">
        <f>-316.7-150</f>
        <v>-466.7</v>
      </c>
      <c r="J172" s="20"/>
      <c r="K172" s="256"/>
      <c r="L172" s="145" t="s">
        <v>126</v>
      </c>
      <c r="M172" s="146">
        <v>-700</v>
      </c>
      <c r="N172" s="69">
        <f t="shared" si="23"/>
        <v>4369.7700990000067</v>
      </c>
      <c r="O172" s="39"/>
      <c r="P172" s="45">
        <v>-75.95</v>
      </c>
      <c r="Q172" s="72">
        <f t="shared" si="24"/>
        <v>-9654.0372784810079</v>
      </c>
      <c r="R172" s="45">
        <f t="shared" si="22"/>
        <v>395.96272151899211</v>
      </c>
      <c r="S172" s="373" t="s">
        <v>101</v>
      </c>
      <c r="T172" s="50"/>
      <c r="U172" s="74"/>
      <c r="V172" s="26"/>
      <c r="W172" s="26"/>
      <c r="X172" s="91"/>
      <c r="Y172" s="20"/>
      <c r="Z172" s="43"/>
      <c r="AA172" s="94"/>
      <c r="AB172" s="95"/>
      <c r="AC172" s="20"/>
      <c r="AD172" s="98"/>
      <c r="AE172" s="93"/>
      <c r="AF172" s="120"/>
      <c r="AG172" s="20"/>
      <c r="AH172" s="20"/>
      <c r="AI172" s="20"/>
    </row>
    <row r="173" spans="3:35" ht="13.5" hidden="1" thickBot="1">
      <c r="D173" s="16" t="s">
        <v>67</v>
      </c>
      <c r="E173" s="27">
        <f>E164-E171</f>
        <v>5187.58</v>
      </c>
      <c r="G173"/>
      <c r="H173" s="116" t="s">
        <v>5</v>
      </c>
      <c r="I173" s="53">
        <f>SUM(I171:I172)</f>
        <v>258.58999999999997</v>
      </c>
      <c r="J173" s="20"/>
      <c r="K173" s="256"/>
      <c r="L173" s="145" t="s">
        <v>148</v>
      </c>
      <c r="M173" s="146">
        <v>200</v>
      </c>
      <c r="N173" s="69">
        <f t="shared" si="23"/>
        <v>4569.7700990000067</v>
      </c>
      <c r="O173" s="39"/>
      <c r="P173" s="132">
        <v>-352.85</v>
      </c>
      <c r="Q173" s="72">
        <f t="shared" si="24"/>
        <v>-10006.887278481008</v>
      </c>
      <c r="R173" s="45">
        <f t="shared" si="22"/>
        <v>43.112721518991748</v>
      </c>
      <c r="S173" s="373" t="s">
        <v>143</v>
      </c>
      <c r="T173" s="66"/>
      <c r="U173" s="65"/>
      <c r="V173" s="26"/>
      <c r="W173" s="26"/>
      <c r="X173" s="35"/>
      <c r="Y173" s="20"/>
      <c r="Z173" s="43"/>
      <c r="AA173" s="94"/>
      <c r="AB173" s="26"/>
      <c r="AC173" s="20"/>
      <c r="AD173" s="20"/>
      <c r="AE173" s="20"/>
      <c r="AF173" s="99"/>
      <c r="AG173" s="20"/>
      <c r="AH173" s="20"/>
      <c r="AI173" s="20"/>
    </row>
    <row r="174" spans="3:35" hidden="1">
      <c r="D174" s="17"/>
      <c r="E174" s="40"/>
      <c r="G174"/>
      <c r="H174" s="23"/>
      <c r="I174" s="161"/>
      <c r="J174" s="20"/>
      <c r="K174" s="256"/>
      <c r="L174" s="144" t="s">
        <v>133</v>
      </c>
      <c r="M174" s="134">
        <v>-1000</v>
      </c>
      <c r="N174" s="69">
        <f t="shared" si="23"/>
        <v>3569.7700990000067</v>
      </c>
      <c r="O174" s="39"/>
      <c r="P174" s="49">
        <f>E178</f>
        <v>233.77999999999975</v>
      </c>
      <c r="Q174" s="73">
        <f>Q173+P174</f>
        <v>-9773.1072784810094</v>
      </c>
      <c r="R174" s="52">
        <f t="shared" si="22"/>
        <v>276.89272151899058</v>
      </c>
      <c r="S174" s="383" t="s">
        <v>64</v>
      </c>
      <c r="T174" s="176"/>
      <c r="U174" s="65"/>
      <c r="V174" s="20"/>
      <c r="W174" s="20"/>
      <c r="X174" s="20"/>
      <c r="Y174" s="111"/>
      <c r="Z174" s="43"/>
      <c r="AA174" s="94"/>
      <c r="AB174" s="26"/>
      <c r="AC174" s="20"/>
      <c r="AD174" s="20"/>
      <c r="AE174" s="20"/>
      <c r="AF174" s="20"/>
      <c r="AG174" s="20"/>
      <c r="AH174" s="20"/>
      <c r="AI174" s="20"/>
    </row>
    <row r="175" spans="3:35" hidden="1">
      <c r="D175" s="17"/>
      <c r="E175" s="40"/>
      <c r="G175"/>
      <c r="H175" s="23"/>
      <c r="I175" s="45"/>
      <c r="J175" s="20"/>
      <c r="K175" s="256"/>
      <c r="L175" s="79" t="s">
        <v>61</v>
      </c>
      <c r="M175" s="45">
        <v>-144.5</v>
      </c>
      <c r="N175" s="69">
        <f t="shared" si="23"/>
        <v>3425.2700990000067</v>
      </c>
      <c r="O175" s="39"/>
      <c r="P175" s="181">
        <f>SUM(P162:P174)</f>
        <v>-9773.1072784810094</v>
      </c>
      <c r="Q175" s="131"/>
      <c r="R175" s="131"/>
      <c r="S175" s="377"/>
      <c r="T175" s="176"/>
      <c r="U175" s="65"/>
      <c r="V175" s="20"/>
      <c r="W175" s="20"/>
      <c r="X175" s="91"/>
      <c r="Y175" s="111"/>
      <c r="Z175" s="43"/>
      <c r="AA175" s="94"/>
      <c r="AB175" s="95"/>
      <c r="AC175" s="20"/>
      <c r="AD175" s="20"/>
      <c r="AE175" s="20"/>
      <c r="AF175" s="20"/>
      <c r="AG175" s="20"/>
      <c r="AH175" s="20"/>
      <c r="AI175" s="20"/>
    </row>
    <row r="176" spans="3:35" hidden="1">
      <c r="C176" s="81" t="s">
        <v>17</v>
      </c>
      <c r="E176" s="42"/>
      <c r="G176"/>
      <c r="H176" s="23"/>
      <c r="I176" s="14"/>
      <c r="J176" s="20"/>
      <c r="K176" s="256"/>
      <c r="L176" s="86" t="s">
        <v>63</v>
      </c>
      <c r="M176" s="135">
        <f>-3.9+M175*1.37%</f>
        <v>-5.8796499999999998</v>
      </c>
      <c r="N176" s="69">
        <f t="shared" si="23"/>
        <v>3419.3904490000068</v>
      </c>
      <c r="O176" s="42"/>
      <c r="P176" s="182"/>
      <c r="Q176" s="100"/>
      <c r="R176" s="131"/>
      <c r="S176" s="377"/>
      <c r="T176" s="176"/>
      <c r="U176" s="65"/>
      <c r="V176" s="20"/>
      <c r="W176" s="20"/>
      <c r="X176" s="20"/>
      <c r="Y176" s="111"/>
      <c r="Z176" s="43"/>
      <c r="AA176" s="94"/>
      <c r="AB176" s="26"/>
      <c r="AC176" s="20"/>
      <c r="AD176" s="20"/>
      <c r="AE176" s="20"/>
      <c r="AF176" s="20"/>
      <c r="AG176" s="120"/>
      <c r="AH176" s="20"/>
      <c r="AI176" s="20"/>
    </row>
    <row r="177" spans="2:35" hidden="1">
      <c r="D177" s="20" t="s">
        <v>14</v>
      </c>
      <c r="E177" s="42">
        <v>4953.8</v>
      </c>
      <c r="F177" s="20"/>
      <c r="G177" s="20"/>
      <c r="H177" s="46"/>
      <c r="L177" s="169" t="s">
        <v>23</v>
      </c>
      <c r="M177" s="136">
        <v>-155.76</v>
      </c>
      <c r="N177" s="69">
        <f t="shared" si="23"/>
        <v>3263.6304490000066</v>
      </c>
      <c r="O177" s="26"/>
      <c r="P177" s="182"/>
      <c r="Q177" s="100"/>
      <c r="R177" s="131"/>
      <c r="S177" s="377"/>
      <c r="T177" s="176"/>
      <c r="U177" s="83"/>
      <c r="V177" s="20"/>
      <c r="W177" s="20"/>
      <c r="X177" s="20"/>
      <c r="Y177" s="111"/>
      <c r="Z177" s="43"/>
      <c r="AA177" s="94"/>
      <c r="AB177" s="26"/>
      <c r="AC177" s="20"/>
      <c r="AD177" s="20"/>
      <c r="AE177" s="20"/>
      <c r="AF177" s="20"/>
      <c r="AG177" s="20"/>
      <c r="AH177" s="20"/>
      <c r="AI177" s="20"/>
    </row>
    <row r="178" spans="2:35" ht="12.75" hidden="1" customHeight="1">
      <c r="D178" s="78" t="s">
        <v>13</v>
      </c>
      <c r="E178" s="15">
        <f>E173-E177-E179</f>
        <v>233.77999999999975</v>
      </c>
      <c r="F178" s="78"/>
      <c r="G178" s="516">
        <f>SUM(E177:E178)</f>
        <v>5187.58</v>
      </c>
      <c r="H178" s="516"/>
      <c r="L178" s="86" t="s">
        <v>63</v>
      </c>
      <c r="M178" s="135">
        <f>-3.9+M177*1.37%</f>
        <v>-6.0339119999999999</v>
      </c>
      <c r="N178" s="69">
        <f t="shared" si="23"/>
        <v>3257.5965370000067</v>
      </c>
      <c r="O178" s="26"/>
      <c r="P178" s="182"/>
      <c r="Q178" s="100"/>
      <c r="R178" s="131"/>
      <c r="S178" s="377"/>
      <c r="T178" s="176"/>
      <c r="U178" s="84"/>
      <c r="V178" s="26"/>
      <c r="W178" s="26"/>
      <c r="X178" s="91"/>
      <c r="Y178" s="20"/>
      <c r="Z178" s="43"/>
      <c r="AA178" s="94"/>
      <c r="AB178" s="26"/>
      <c r="AC178" s="20"/>
      <c r="AD178" s="20"/>
      <c r="AE178" s="20"/>
      <c r="AF178" s="20"/>
      <c r="AG178" s="20"/>
      <c r="AH178" s="20"/>
      <c r="AI178" s="20"/>
    </row>
    <row r="179" spans="2:35" ht="12.75" hidden="1" customHeight="1">
      <c r="D179" s="20"/>
      <c r="E179" s="26"/>
      <c r="F179" s="122"/>
      <c r="G179" s="515"/>
      <c r="H179" s="515"/>
      <c r="L179" s="80" t="s">
        <v>16</v>
      </c>
      <c r="M179" s="133">
        <v>-483.99</v>
      </c>
      <c r="N179" s="69">
        <f t="shared" si="23"/>
        <v>2773.6065370000069</v>
      </c>
      <c r="O179" s="26"/>
      <c r="P179" s="68"/>
      <c r="Q179" s="100"/>
      <c r="R179" s="102"/>
      <c r="S179" s="377"/>
      <c r="T179" s="176"/>
      <c r="U179" s="84"/>
      <c r="V179" s="26"/>
      <c r="W179" s="26"/>
      <c r="X179" s="35"/>
      <c r="Y179" s="20"/>
      <c r="Z179" s="43"/>
      <c r="AA179" s="94"/>
      <c r="AB179" s="26"/>
      <c r="AC179" s="20"/>
      <c r="AD179" s="20"/>
      <c r="AE179" s="20"/>
      <c r="AF179" s="20"/>
      <c r="AG179" s="20"/>
      <c r="AH179" s="20"/>
      <c r="AI179" s="20"/>
    </row>
    <row r="180" spans="2:35" ht="12.75" hidden="1" customHeight="1">
      <c r="D180" s="20"/>
      <c r="E180" s="26"/>
      <c r="F180" s="122"/>
      <c r="G180" s="515"/>
      <c r="H180" s="515"/>
      <c r="L180" s="66" t="s">
        <v>63</v>
      </c>
      <c r="M180" s="135">
        <f>-3.9+M179*1.37%</f>
        <v>-10.530663000000001</v>
      </c>
      <c r="N180" s="69">
        <f t="shared" si="23"/>
        <v>2763.0758740000069</v>
      </c>
      <c r="O180" s="26"/>
      <c r="P180" s="68"/>
      <c r="Q180" s="100"/>
      <c r="R180" s="102"/>
      <c r="S180" s="377"/>
      <c r="T180" s="180"/>
      <c r="U180" s="20"/>
      <c r="V180" s="26"/>
      <c r="W180" s="26"/>
      <c r="X180" s="20"/>
      <c r="Y180" s="20"/>
      <c r="Z180" s="43"/>
      <c r="AA180" s="94"/>
      <c r="AB180" s="26"/>
      <c r="AC180" s="20"/>
      <c r="AD180" s="20"/>
      <c r="AE180" s="20"/>
      <c r="AF180" s="20"/>
      <c r="AG180" s="20"/>
      <c r="AH180" s="20"/>
      <c r="AI180" s="20"/>
    </row>
    <row r="181" spans="2:35" hidden="1">
      <c r="D181" s="20"/>
      <c r="E181" s="26"/>
      <c r="F181" s="122"/>
      <c r="G181" s="179"/>
      <c r="H181" s="179"/>
      <c r="L181" s="170" t="s">
        <v>56</v>
      </c>
      <c r="M181" s="137">
        <v>-505</v>
      </c>
      <c r="N181" s="69">
        <f t="shared" si="23"/>
        <v>2258.0758740000069</v>
      </c>
      <c r="O181" s="26"/>
      <c r="P181" s="68"/>
      <c r="Q181" s="100"/>
      <c r="R181" s="102"/>
      <c r="S181" s="377"/>
      <c r="T181" s="176"/>
      <c r="U181" s="20"/>
      <c r="V181" s="26"/>
      <c r="W181" s="26"/>
      <c r="X181" s="91"/>
      <c r="Y181" s="20"/>
      <c r="Z181" s="43"/>
      <c r="AA181" s="94"/>
      <c r="AB181" s="26"/>
      <c r="AC181" s="20"/>
      <c r="AD181" s="20"/>
      <c r="AE181" s="20"/>
      <c r="AF181" s="20"/>
      <c r="AG181" s="20"/>
      <c r="AH181" s="20"/>
      <c r="AI181" s="20"/>
    </row>
    <row r="182" spans="2:35" hidden="1">
      <c r="B182" s="20"/>
      <c r="C182" s="35"/>
      <c r="D182" s="26"/>
      <c r="E182" s="45"/>
      <c r="F182" s="122"/>
      <c r="G182" s="179"/>
      <c r="H182" s="179"/>
      <c r="L182" s="86" t="s">
        <v>63</v>
      </c>
      <c r="M182" s="135">
        <f>-3.9+M181*1.37%</f>
        <v>-10.8185</v>
      </c>
      <c r="N182" s="69">
        <f t="shared" si="23"/>
        <v>2247.2573740000071</v>
      </c>
      <c r="O182" s="26"/>
      <c r="T182" s="176"/>
      <c r="U182" s="20"/>
      <c r="V182" s="26"/>
      <c r="W182" s="26"/>
      <c r="X182" s="91"/>
      <c r="Y182" s="20"/>
      <c r="Z182" s="43"/>
      <c r="AA182" s="94"/>
      <c r="AB182" s="26"/>
      <c r="AC182" s="20"/>
      <c r="AD182" s="20"/>
      <c r="AE182" s="20"/>
      <c r="AF182" s="20"/>
      <c r="AG182" s="20"/>
      <c r="AH182" s="20"/>
      <c r="AI182" s="20"/>
    </row>
    <row r="183" spans="2:35" hidden="1">
      <c r="B183" s="20"/>
      <c r="C183" s="35"/>
      <c r="D183" s="26"/>
      <c r="E183" s="45"/>
      <c r="F183" s="122"/>
      <c r="G183" s="179"/>
      <c r="H183" s="179"/>
      <c r="L183" s="171" t="s">
        <v>130</v>
      </c>
      <c r="M183" s="137">
        <v>-50</v>
      </c>
      <c r="N183" s="69">
        <f t="shared" si="23"/>
        <v>2197.2573740000071</v>
      </c>
      <c r="O183" s="26"/>
      <c r="T183" s="176"/>
      <c r="U183" s="20"/>
      <c r="V183" s="26"/>
      <c r="W183" s="26"/>
      <c r="X183" s="91"/>
      <c r="Y183" s="20"/>
      <c r="Z183" s="43"/>
      <c r="AA183" s="94"/>
      <c r="AB183" s="26"/>
      <c r="AC183" s="20"/>
      <c r="AD183" s="20"/>
      <c r="AE183" s="20"/>
      <c r="AF183" s="20"/>
      <c r="AG183" s="20"/>
      <c r="AH183" s="20"/>
      <c r="AI183" s="20"/>
    </row>
    <row r="184" spans="2:35" hidden="1">
      <c r="B184" s="20"/>
      <c r="C184" s="35"/>
      <c r="D184" s="26"/>
      <c r="E184" s="45"/>
      <c r="F184" s="122"/>
      <c r="G184" s="179"/>
      <c r="H184" s="179"/>
      <c r="L184" s="86" t="s">
        <v>63</v>
      </c>
      <c r="M184" s="135">
        <f>-3.9+M183*1.37%</f>
        <v>-4.585</v>
      </c>
      <c r="N184" s="70">
        <f t="shared" si="23"/>
        <v>2192.672374000007</v>
      </c>
      <c r="O184" s="26"/>
      <c r="T184" s="176"/>
      <c r="U184" s="20"/>
      <c r="V184" s="26"/>
      <c r="W184" s="26"/>
      <c r="X184" s="91"/>
      <c r="Y184" s="20"/>
      <c r="Z184" s="43"/>
      <c r="AA184" s="94"/>
      <c r="AB184" s="26"/>
      <c r="AC184" s="20"/>
      <c r="AD184" s="20"/>
      <c r="AE184" s="20"/>
      <c r="AF184" s="20"/>
      <c r="AG184" s="20"/>
      <c r="AH184" s="20"/>
      <c r="AI184" s="20"/>
    </row>
    <row r="185" spans="2:35" hidden="1">
      <c r="B185" s="20"/>
      <c r="C185" s="35"/>
      <c r="D185" s="26"/>
      <c r="E185" s="45"/>
      <c r="F185" s="122"/>
      <c r="G185" s="179"/>
      <c r="H185" s="179"/>
      <c r="L185" s="23"/>
      <c r="M185" s="168">
        <f>SUM(M162:M184)</f>
        <v>2192.672374000007</v>
      </c>
      <c r="O185" s="26"/>
      <c r="T185" s="176"/>
      <c r="U185" s="20"/>
      <c r="V185" s="26"/>
      <c r="W185" s="26"/>
      <c r="X185" s="91"/>
      <c r="Y185" s="20"/>
      <c r="Z185" s="43"/>
      <c r="AA185" s="94"/>
      <c r="AB185" s="26"/>
      <c r="AC185" s="20"/>
      <c r="AD185" s="20"/>
      <c r="AE185" s="20"/>
      <c r="AF185" s="20"/>
      <c r="AG185" s="20"/>
      <c r="AH185" s="20"/>
      <c r="AI185" s="20"/>
    </row>
    <row r="186" spans="2:35" s="78" customFormat="1" hidden="1">
      <c r="E186" s="15"/>
      <c r="G186" s="129"/>
      <c r="K186" s="257"/>
      <c r="M186" s="15"/>
      <c r="P186" s="15"/>
      <c r="Q186" s="15"/>
      <c r="R186" s="15"/>
      <c r="S186" s="385"/>
      <c r="Z186" s="15"/>
      <c r="AA186" s="130"/>
      <c r="AB186" s="15"/>
    </row>
    <row r="187" spans="2:35" hidden="1"/>
    <row r="188" spans="2:35" hidden="1">
      <c r="B188" s="1045" t="s">
        <v>146</v>
      </c>
      <c r="C188" s="1045"/>
      <c r="D188" s="1045"/>
      <c r="E188" s="1045"/>
      <c r="G188" s="31"/>
      <c r="H188" s="31"/>
      <c r="I188" s="26"/>
      <c r="L188" s="59"/>
      <c r="M188" s="1042" t="s">
        <v>54</v>
      </c>
      <c r="N188" s="192"/>
      <c r="O188" s="192"/>
      <c r="P188" s="1044" t="s">
        <v>48</v>
      </c>
      <c r="Q188" s="193"/>
      <c r="R188" s="193"/>
      <c r="S188" s="377"/>
      <c r="X188" s="35"/>
      <c r="Y188" s="35"/>
      <c r="Z188" s="26"/>
      <c r="AA188" s="120"/>
      <c r="AB188" s="26"/>
      <c r="AC188" s="20"/>
      <c r="AD188" s="20"/>
      <c r="AE188" s="20"/>
      <c r="AF188" s="20"/>
      <c r="AG188" s="20"/>
      <c r="AH188" s="20"/>
      <c r="AI188" s="20"/>
    </row>
    <row r="189" spans="2:35" ht="12.75" hidden="1" customHeight="1">
      <c r="C189" s="17" t="s">
        <v>12</v>
      </c>
      <c r="D189" s="14"/>
      <c r="E189" s="44">
        <v>6000</v>
      </c>
      <c r="G189" s="514"/>
      <c r="H189" s="514"/>
      <c r="I189" s="26"/>
      <c r="L189" s="60"/>
      <c r="M189" s="1042"/>
      <c r="N189" s="192" t="s">
        <v>52</v>
      </c>
      <c r="O189" s="192"/>
      <c r="P189" s="1044"/>
      <c r="Q189" s="193" t="s">
        <v>43</v>
      </c>
      <c r="R189" s="193" t="s">
        <v>53</v>
      </c>
      <c r="S189" s="377"/>
      <c r="X189" s="118"/>
      <c r="Y189" s="111"/>
      <c r="Z189" s="117"/>
      <c r="AA189" s="89"/>
      <c r="AB189" s="90"/>
      <c r="AC189" s="20"/>
      <c r="AD189" s="41"/>
      <c r="AE189" s="20"/>
      <c r="AF189" s="20"/>
      <c r="AG189" s="20"/>
      <c r="AH189" s="20"/>
      <c r="AI189" s="20"/>
    </row>
    <row r="190" spans="2:35" hidden="1">
      <c r="C190" s="17"/>
      <c r="D190" s="14" t="s">
        <v>24</v>
      </c>
      <c r="E190" s="44">
        <f>'[2]JULY ''11'!$C$37</f>
        <v>676.23</v>
      </c>
      <c r="G190" s="30"/>
      <c r="H190" s="30"/>
      <c r="I190" s="26"/>
      <c r="L190" s="46" t="s">
        <v>55</v>
      </c>
      <c r="M190" s="26">
        <f>$M$185</f>
        <v>2192.672374000007</v>
      </c>
      <c r="N190" s="71">
        <f>M190</f>
        <v>2192.672374000007</v>
      </c>
      <c r="O190" s="26"/>
      <c r="P190" s="26">
        <f>$Q$174</f>
        <v>-9773.1072784810094</v>
      </c>
      <c r="Q190" s="71">
        <f>P190</f>
        <v>-9773.1072784810094</v>
      </c>
      <c r="R190" s="45">
        <f t="shared" ref="R190:R206" si="25">10050+Q190</f>
        <v>276.89272151899058</v>
      </c>
      <c r="S190" s="382"/>
      <c r="T190" s="29"/>
      <c r="X190" s="91"/>
      <c r="Y190" s="111"/>
      <c r="Z190" s="26"/>
      <c r="AA190" s="120"/>
      <c r="AB190" s="26"/>
      <c r="AC190" s="20"/>
      <c r="AD190" s="92"/>
      <c r="AE190" s="93"/>
      <c r="AF190" s="20"/>
      <c r="AG190" s="20"/>
      <c r="AH190" s="20"/>
      <c r="AI190" s="20"/>
    </row>
    <row r="191" spans="2:35" hidden="1">
      <c r="C191" s="17"/>
      <c r="D191" s="143" t="s">
        <v>110</v>
      </c>
      <c r="E191" s="15"/>
      <c r="G191"/>
      <c r="I191" s="26"/>
      <c r="L191" s="101" t="s">
        <v>147</v>
      </c>
      <c r="M191" s="133">
        <v>-777.49</v>
      </c>
      <c r="N191" s="69">
        <f t="shared" ref="N191:N206" si="26">N190+M191</f>
        <v>1415.182374000007</v>
      </c>
      <c r="O191" s="65"/>
      <c r="P191" s="131">
        <v>-250</v>
      </c>
      <c r="Q191" s="72">
        <f>Q190+P191</f>
        <v>-10023.107278481009</v>
      </c>
      <c r="R191" s="45">
        <f t="shared" si="25"/>
        <v>26.892721518990584</v>
      </c>
      <c r="S191" s="373" t="s">
        <v>149</v>
      </c>
      <c r="X191" s="20"/>
      <c r="Y191" s="112"/>
      <c r="Z191" s="43"/>
      <c r="AA191" s="94"/>
      <c r="AB191" s="95"/>
      <c r="AC191" s="20"/>
      <c r="AD191" s="41"/>
      <c r="AE191" s="93"/>
      <c r="AF191" s="20"/>
      <c r="AG191" s="20"/>
      <c r="AH191" s="20"/>
      <c r="AI191" s="20"/>
    </row>
    <row r="192" spans="2:35" ht="12.75" hidden="1" customHeight="1">
      <c r="C192" s="18" t="s">
        <v>5</v>
      </c>
      <c r="D192" s="14"/>
      <c r="E192" s="14">
        <f>SUM(E189:E191)</f>
        <v>6676.23</v>
      </c>
      <c r="G192" s="518" t="s">
        <v>121</v>
      </c>
      <c r="H192" s="518"/>
      <c r="I192" s="518"/>
      <c r="J192" s="20"/>
      <c r="K192" s="256"/>
      <c r="L192" s="101" t="s">
        <v>102</v>
      </c>
      <c r="M192" s="133">
        <v>-1250</v>
      </c>
      <c r="N192" s="69">
        <f t="shared" si="26"/>
        <v>165.18237400000703</v>
      </c>
      <c r="O192" s="65"/>
      <c r="P192" s="131">
        <f>-M192</f>
        <v>1250</v>
      </c>
      <c r="Q192" s="72">
        <f>Q191+P192</f>
        <v>-8773.1072784810094</v>
      </c>
      <c r="R192" s="45">
        <f t="shared" si="25"/>
        <v>1276.8927215189906</v>
      </c>
      <c r="S192" s="373" t="s">
        <v>66</v>
      </c>
      <c r="X192" s="20"/>
      <c r="Y192" s="112"/>
      <c r="Z192" s="43"/>
      <c r="AA192" s="94"/>
      <c r="AB192" s="26"/>
      <c r="AC192" s="20"/>
      <c r="AD192" s="92"/>
      <c r="AE192" s="93"/>
      <c r="AF192" s="20"/>
      <c r="AG192" s="20"/>
      <c r="AH192" s="20"/>
      <c r="AI192" s="20"/>
    </row>
    <row r="193" spans="3:35" ht="12.75" hidden="1" customHeight="1">
      <c r="G193"/>
      <c r="H193" s="23" t="s">
        <v>10</v>
      </c>
      <c r="I193" s="44">
        <v>175.44</v>
      </c>
      <c r="J193" s="54"/>
      <c r="K193" s="256"/>
      <c r="L193" s="184" t="s">
        <v>51</v>
      </c>
      <c r="M193" s="146">
        <v>1000</v>
      </c>
      <c r="N193" s="69">
        <f t="shared" si="26"/>
        <v>1165.182374000007</v>
      </c>
      <c r="O193" s="48"/>
      <c r="P193" s="131">
        <v>-330.25</v>
      </c>
      <c r="Q193" s="72">
        <f>Q192+P193</f>
        <v>-9103.3572784810094</v>
      </c>
      <c r="R193" s="45">
        <f t="shared" si="25"/>
        <v>946.64272151899058</v>
      </c>
      <c r="S193" s="373" t="s">
        <v>116</v>
      </c>
      <c r="X193" s="91"/>
      <c r="Y193" s="112"/>
      <c r="Z193" s="43"/>
      <c r="AA193" s="94"/>
      <c r="AB193" s="26"/>
      <c r="AC193" s="20"/>
      <c r="AD193" s="92"/>
      <c r="AE193" s="93"/>
      <c r="AF193" s="20"/>
      <c r="AG193" s="20"/>
      <c r="AH193" s="20"/>
      <c r="AI193" s="20"/>
    </row>
    <row r="194" spans="3:35" hidden="1">
      <c r="C194" s="17" t="s">
        <v>7</v>
      </c>
      <c r="G194"/>
      <c r="H194" s="23" t="s">
        <v>18</v>
      </c>
      <c r="I194" s="44">
        <f>4.39+4.08</f>
        <v>8.4699999999999989</v>
      </c>
      <c r="J194" s="20"/>
      <c r="K194" s="256"/>
      <c r="L194" s="79" t="s">
        <v>148</v>
      </c>
      <c r="M194" s="175">
        <v>0</v>
      </c>
      <c r="N194" s="69">
        <f t="shared" si="26"/>
        <v>1165.182374000007</v>
      </c>
      <c r="O194" s="48"/>
      <c r="P194" s="131">
        <v>1011.5</v>
      </c>
      <c r="Q194" s="72">
        <f t="shared" ref="Q194:Q206" si="27">Q193+P194</f>
        <v>-8091.8572784810094</v>
      </c>
      <c r="R194" s="45">
        <f t="shared" si="25"/>
        <v>1958.1427215189906</v>
      </c>
      <c r="S194" s="373" t="s">
        <v>150</v>
      </c>
      <c r="T194" s="20"/>
      <c r="U194" s="20"/>
      <c r="V194" s="103"/>
      <c r="W194" s="103"/>
      <c r="X194" s="20"/>
      <c r="Y194" s="112"/>
      <c r="Z194" s="43"/>
      <c r="AA194" s="94"/>
      <c r="AB194" s="95"/>
      <c r="AC194" s="20"/>
      <c r="AD194" s="96"/>
      <c r="AE194" s="93"/>
      <c r="AF194" s="20"/>
      <c r="AG194" s="20"/>
      <c r="AH194" s="20"/>
      <c r="AI194" s="20"/>
    </row>
    <row r="195" spans="3:35" hidden="1">
      <c r="D195" t="s">
        <v>8</v>
      </c>
      <c r="E195" s="14">
        <f>1204/2</f>
        <v>602</v>
      </c>
      <c r="G195" s="36"/>
      <c r="H195" s="23" t="s">
        <v>20</v>
      </c>
      <c r="I195" s="44">
        <v>7.45</v>
      </c>
      <c r="J195" s="20"/>
      <c r="K195" s="256"/>
      <c r="L195" s="183" t="s">
        <v>51</v>
      </c>
      <c r="M195" s="134">
        <f>E205-M193</f>
        <v>3953.8</v>
      </c>
      <c r="N195" s="69">
        <f t="shared" si="26"/>
        <v>5118.9823740000074</v>
      </c>
      <c r="O195" s="49"/>
      <c r="P195" s="133">
        <v>-139.38999999999999</v>
      </c>
      <c r="Q195" s="72">
        <f t="shared" si="27"/>
        <v>-8231.2472784810088</v>
      </c>
      <c r="R195" s="45">
        <f t="shared" si="25"/>
        <v>1818.7527215189912</v>
      </c>
      <c r="S195" s="373" t="s">
        <v>49</v>
      </c>
      <c r="T195" s="20"/>
      <c r="U195" s="20"/>
      <c r="V195" s="20"/>
      <c r="W195" s="20"/>
      <c r="X195" s="20"/>
      <c r="Y195" s="112"/>
      <c r="Z195" s="43"/>
      <c r="AA195" s="94"/>
      <c r="AB195" s="26"/>
      <c r="AC195" s="20"/>
      <c r="AD195" s="41"/>
      <c r="AE195" s="93"/>
      <c r="AF195" s="20"/>
      <c r="AG195" s="20"/>
      <c r="AH195" s="20"/>
      <c r="AI195" s="20"/>
    </row>
    <row r="196" spans="3:35" hidden="1">
      <c r="D196" t="s">
        <v>9</v>
      </c>
      <c r="E196" s="44"/>
      <c r="F196" s="37" t="s">
        <v>15</v>
      </c>
      <c r="G196"/>
      <c r="H196" s="23" t="s">
        <v>19</v>
      </c>
      <c r="I196" s="44">
        <v>43.86</v>
      </c>
      <c r="J196" s="20"/>
      <c r="K196" s="256"/>
      <c r="L196" s="183" t="s">
        <v>126</v>
      </c>
      <c r="M196" s="134">
        <v>-700</v>
      </c>
      <c r="N196" s="69">
        <f t="shared" si="26"/>
        <v>4418.9823740000074</v>
      </c>
      <c r="O196" s="49"/>
      <c r="P196" s="131">
        <v>-205.03</v>
      </c>
      <c r="Q196" s="72">
        <f t="shared" si="27"/>
        <v>-8436.2772784810095</v>
      </c>
      <c r="R196" s="45">
        <f t="shared" si="25"/>
        <v>1613.7227215189905</v>
      </c>
      <c r="S196" s="373" t="s">
        <v>50</v>
      </c>
      <c r="T196" s="20"/>
      <c r="U196" s="20"/>
      <c r="V196" s="20"/>
      <c r="W196" s="20"/>
      <c r="X196" s="20"/>
      <c r="Y196" s="112"/>
      <c r="Z196" s="43"/>
      <c r="AA196" s="94"/>
      <c r="AB196" s="26"/>
      <c r="AC196" s="20"/>
      <c r="AD196" s="92"/>
      <c r="AE196" s="93"/>
      <c r="AF196" s="20"/>
      <c r="AG196" s="20"/>
      <c r="AH196" s="20"/>
      <c r="AI196" s="20"/>
    </row>
    <row r="197" spans="3:35" hidden="1">
      <c r="D197" t="s">
        <v>10</v>
      </c>
      <c r="E197" s="19">
        <f>I201</f>
        <v>315.75999999999993</v>
      </c>
      <c r="F197" s="37" t="s">
        <v>15</v>
      </c>
      <c r="G197"/>
      <c r="H197" s="23" t="s">
        <v>21</v>
      </c>
      <c r="I197" s="44">
        <v>3.51</v>
      </c>
      <c r="J197" s="20"/>
      <c r="K197" s="256"/>
      <c r="L197" s="184" t="s">
        <v>61</v>
      </c>
      <c r="M197" s="45">
        <v>-248.74</v>
      </c>
      <c r="N197" s="69">
        <f t="shared" si="26"/>
        <v>4170.2423740000077</v>
      </c>
      <c r="O197" s="49"/>
      <c r="P197" s="45">
        <v>-511.5</v>
      </c>
      <c r="Q197" s="72">
        <f t="shared" si="27"/>
        <v>-8947.7772784810095</v>
      </c>
      <c r="R197" s="45">
        <f t="shared" si="25"/>
        <v>1102.2227215189905</v>
      </c>
      <c r="S197" s="373" t="s">
        <v>151</v>
      </c>
      <c r="T197" s="50"/>
      <c r="U197" s="20"/>
      <c r="V197" s="26"/>
      <c r="W197" s="26"/>
      <c r="X197" s="20"/>
      <c r="Y197" s="112"/>
      <c r="Z197" s="43"/>
      <c r="AA197" s="94"/>
      <c r="AB197" s="95"/>
      <c r="AC197" s="20"/>
      <c r="AD197" s="92"/>
      <c r="AE197" s="93"/>
      <c r="AF197" s="20"/>
      <c r="AG197" s="20"/>
      <c r="AH197" s="20"/>
      <c r="AI197" s="20"/>
    </row>
    <row r="198" spans="3:35" hidden="1">
      <c r="D198" t="s">
        <v>22</v>
      </c>
      <c r="E198" s="15"/>
      <c r="F198" s="38"/>
      <c r="G198"/>
      <c r="H198" s="23" t="s">
        <v>26</v>
      </c>
      <c r="I198" s="52">
        <f>244.46</f>
        <v>244.46</v>
      </c>
      <c r="J198" s="20"/>
      <c r="K198" s="256"/>
      <c r="L198" s="185" t="s">
        <v>63</v>
      </c>
      <c r="M198" s="135">
        <f>-3.9+M197*1.37%</f>
        <v>-7.3077380000000005</v>
      </c>
      <c r="N198" s="69">
        <f t="shared" si="26"/>
        <v>4162.9346360000072</v>
      </c>
      <c r="O198" s="39"/>
      <c r="P198" s="45">
        <f>2558.2-2068</f>
        <v>490.19999999999982</v>
      </c>
      <c r="Q198" s="72">
        <f t="shared" si="27"/>
        <v>-8457.5772784810106</v>
      </c>
      <c r="R198" s="45">
        <f t="shared" si="25"/>
        <v>1592.4227215189894</v>
      </c>
      <c r="S198" s="373" t="s">
        <v>152</v>
      </c>
      <c r="T198" s="50"/>
      <c r="U198" s="20"/>
      <c r="V198" s="26"/>
      <c r="W198" s="26"/>
      <c r="X198" s="20"/>
      <c r="Y198" s="112"/>
      <c r="Z198" s="43"/>
      <c r="AA198" s="94"/>
      <c r="AB198" s="26"/>
      <c r="AC198" s="20"/>
      <c r="AD198" s="92"/>
      <c r="AE198" s="97"/>
      <c r="AF198" s="20"/>
      <c r="AG198" s="20"/>
      <c r="AH198" s="20"/>
      <c r="AI198" s="20"/>
    </row>
    <row r="199" spans="3:35" ht="12.75" hidden="1" customHeight="1">
      <c r="C199" s="18" t="s">
        <v>5</v>
      </c>
      <c r="E199" s="19">
        <f>SUM(E195:E198)</f>
        <v>917.76</v>
      </c>
      <c r="G199"/>
      <c r="H199" s="116" t="s">
        <v>105</v>
      </c>
      <c r="I199" s="44">
        <f>SUM(I193:I198)</f>
        <v>483.18999999999994</v>
      </c>
      <c r="J199" s="20"/>
      <c r="K199" s="256"/>
      <c r="L199" s="186" t="s">
        <v>23</v>
      </c>
      <c r="M199" s="136">
        <v>-165.38</v>
      </c>
      <c r="N199" s="69">
        <f t="shared" si="26"/>
        <v>3997.5546360000071</v>
      </c>
      <c r="O199" s="39"/>
      <c r="P199" s="45">
        <v>-72.91</v>
      </c>
      <c r="Q199" s="72">
        <f t="shared" si="27"/>
        <v>-8530.4872784810104</v>
      </c>
      <c r="R199" s="45">
        <f t="shared" si="25"/>
        <v>1519.5127215189896</v>
      </c>
      <c r="S199" s="373" t="s">
        <v>50</v>
      </c>
      <c r="T199" s="80"/>
      <c r="U199" s="74"/>
      <c r="V199" s="26"/>
      <c r="W199" s="26"/>
      <c r="X199" s="20"/>
      <c r="Y199" s="112"/>
      <c r="Z199" s="43"/>
      <c r="AA199" s="94"/>
      <c r="AB199" s="26"/>
      <c r="AC199" s="20"/>
      <c r="AD199" s="20"/>
      <c r="AE199" s="93"/>
      <c r="AF199" s="20"/>
      <c r="AG199" s="20"/>
      <c r="AH199" s="20"/>
      <c r="AI199" s="20"/>
    </row>
    <row r="200" spans="3:35" ht="12.75" hidden="1" customHeight="1">
      <c r="C200" s="18"/>
      <c r="G200"/>
      <c r="H200" s="46" t="s">
        <v>27</v>
      </c>
      <c r="I200" s="45">
        <f>-110.27-57.16</f>
        <v>-167.43</v>
      </c>
      <c r="J200" s="20"/>
      <c r="K200" s="256"/>
      <c r="L200" s="185" t="s">
        <v>63</v>
      </c>
      <c r="M200" s="135">
        <f>-3.9+M199*1.37%</f>
        <v>-6.1657060000000001</v>
      </c>
      <c r="N200" s="69">
        <f t="shared" si="26"/>
        <v>3991.3889300000073</v>
      </c>
      <c r="O200" s="39"/>
      <c r="P200" s="45">
        <v>-402.71</v>
      </c>
      <c r="Q200" s="72">
        <f t="shared" si="27"/>
        <v>-8933.1972784810096</v>
      </c>
      <c r="R200" s="45">
        <f t="shared" si="25"/>
        <v>1116.8027215189904</v>
      </c>
      <c r="S200" s="373" t="s">
        <v>116</v>
      </c>
      <c r="T200" s="50"/>
      <c r="U200" s="74"/>
      <c r="V200" s="26"/>
      <c r="W200" s="26"/>
      <c r="X200" s="91"/>
      <c r="Y200" s="20"/>
      <c r="Z200" s="43"/>
      <c r="AA200" s="94"/>
      <c r="AB200" s="95"/>
      <c r="AC200" s="20"/>
      <c r="AD200" s="98"/>
      <c r="AE200" s="93"/>
      <c r="AF200" s="120"/>
      <c r="AG200" s="20"/>
      <c r="AH200" s="20"/>
      <c r="AI200" s="20"/>
    </row>
    <row r="201" spans="3:35" ht="13.5" hidden="1" thickBot="1">
      <c r="D201" s="16" t="s">
        <v>67</v>
      </c>
      <c r="E201" s="27">
        <f>E192-E199</f>
        <v>5758.4699999999993</v>
      </c>
      <c r="G201"/>
      <c r="H201" s="116" t="s">
        <v>5</v>
      </c>
      <c r="I201" s="53">
        <f>SUM(I199:I200)</f>
        <v>315.75999999999993</v>
      </c>
      <c r="J201" s="20"/>
      <c r="K201" s="256"/>
      <c r="L201" s="187" t="s">
        <v>16</v>
      </c>
      <c r="M201" s="133">
        <v>-483.99</v>
      </c>
      <c r="N201" s="69">
        <f t="shared" si="26"/>
        <v>3507.3989300000076</v>
      </c>
      <c r="O201" s="39"/>
      <c r="P201" s="132">
        <v>-154.4</v>
      </c>
      <c r="Q201" s="72">
        <f t="shared" si="27"/>
        <v>-9087.5972784810092</v>
      </c>
      <c r="R201" s="45">
        <f t="shared" si="25"/>
        <v>962.4027215189908</v>
      </c>
      <c r="S201" s="373" t="s">
        <v>153</v>
      </c>
      <c r="T201" s="66"/>
      <c r="U201" s="65"/>
      <c r="V201" s="26"/>
      <c r="W201" s="26"/>
      <c r="X201" s="35"/>
      <c r="Y201" s="20"/>
      <c r="Z201" s="43"/>
      <c r="AA201" s="94"/>
      <c r="AB201" s="26"/>
      <c r="AC201" s="20"/>
      <c r="AD201" s="20"/>
      <c r="AE201" s="20"/>
      <c r="AF201" s="99"/>
      <c r="AG201" s="20"/>
      <c r="AH201" s="20"/>
      <c r="AI201" s="20"/>
    </row>
    <row r="202" spans="3:35" hidden="1">
      <c r="D202" s="17"/>
      <c r="E202" s="40"/>
      <c r="G202"/>
      <c r="H202" s="23"/>
      <c r="I202" s="161"/>
      <c r="J202" s="20"/>
      <c r="K202" s="256"/>
      <c r="L202" s="188" t="s">
        <v>63</v>
      </c>
      <c r="M202" s="135">
        <f>-3.9+M201*1.37%</f>
        <v>-10.530663000000001</v>
      </c>
      <c r="N202" s="69">
        <f t="shared" si="26"/>
        <v>3496.8682670000076</v>
      </c>
      <c r="O202" s="39"/>
      <c r="P202" s="132">
        <v>-501.71</v>
      </c>
      <c r="Q202" s="72">
        <f t="shared" si="27"/>
        <v>-9589.3072784810083</v>
      </c>
      <c r="R202" s="45">
        <f t="shared" si="25"/>
        <v>460.69272151899168</v>
      </c>
      <c r="S202" s="373" t="s">
        <v>50</v>
      </c>
      <c r="T202" s="191"/>
      <c r="U202" s="65"/>
      <c r="V202" s="20"/>
      <c r="W202" s="20"/>
      <c r="X202" s="20"/>
      <c r="Y202" s="111"/>
      <c r="Z202" s="43"/>
      <c r="AA202" s="94"/>
      <c r="AB202" s="26"/>
      <c r="AC202" s="20"/>
      <c r="AD202" s="20"/>
      <c r="AE202" s="20"/>
      <c r="AF202" s="20"/>
      <c r="AG202" s="20"/>
      <c r="AH202" s="20"/>
      <c r="AI202" s="20"/>
    </row>
    <row r="203" spans="3:35" hidden="1">
      <c r="D203" s="17"/>
      <c r="E203" s="40"/>
      <c r="G203"/>
      <c r="H203" s="23"/>
      <c r="I203" s="45"/>
      <c r="J203" s="20"/>
      <c r="K203" s="256"/>
      <c r="L203" s="189" t="s">
        <v>56</v>
      </c>
      <c r="M203" s="137">
        <v>-505</v>
      </c>
      <c r="N203" s="69">
        <f t="shared" si="26"/>
        <v>2991.8682670000076</v>
      </c>
      <c r="O203" s="39"/>
      <c r="P203" s="131">
        <v>-258.75</v>
      </c>
      <c r="Q203" s="72">
        <f t="shared" si="27"/>
        <v>-9848.0572784810083</v>
      </c>
      <c r="R203" s="45">
        <f t="shared" si="25"/>
        <v>201.94272151899168</v>
      </c>
      <c r="S203" s="373" t="s">
        <v>101</v>
      </c>
      <c r="T203" s="191"/>
      <c r="U203" s="65"/>
      <c r="V203" s="20"/>
      <c r="W203" s="20"/>
      <c r="X203" s="91"/>
      <c r="Y203" s="111"/>
      <c r="Z203" s="43"/>
      <c r="AA203" s="94"/>
      <c r="AB203" s="95"/>
      <c r="AC203" s="20"/>
      <c r="AD203" s="20"/>
      <c r="AE203" s="20"/>
      <c r="AF203" s="20"/>
      <c r="AG203" s="20"/>
      <c r="AH203" s="20"/>
      <c r="AI203" s="20"/>
    </row>
    <row r="204" spans="3:35" hidden="1">
      <c r="C204" s="81" t="s">
        <v>17</v>
      </c>
      <c r="E204" s="42"/>
      <c r="G204"/>
      <c r="H204" s="23"/>
      <c r="I204" s="14"/>
      <c r="J204" s="20"/>
      <c r="K204" s="256"/>
      <c r="L204" s="185" t="s">
        <v>63</v>
      </c>
      <c r="M204" s="135">
        <f>-3.9+M203*1.37%</f>
        <v>-10.8185</v>
      </c>
      <c r="N204" s="69">
        <f t="shared" si="26"/>
        <v>2981.0497670000077</v>
      </c>
      <c r="O204" s="42"/>
      <c r="P204" s="132">
        <v>-82.98</v>
      </c>
      <c r="Q204" s="72">
        <f t="shared" si="27"/>
        <v>-9931.0372784810079</v>
      </c>
      <c r="R204" s="45">
        <f t="shared" si="25"/>
        <v>118.96272151899211</v>
      </c>
      <c r="S204" s="379" t="s">
        <v>157</v>
      </c>
      <c r="T204" s="191"/>
      <c r="U204" s="65"/>
      <c r="V204" s="20"/>
      <c r="W204" s="20"/>
      <c r="X204" s="20"/>
      <c r="Y204" s="111"/>
      <c r="Z204" s="43"/>
      <c r="AA204" s="94"/>
      <c r="AB204" s="26"/>
      <c r="AC204" s="20"/>
      <c r="AD204" s="20"/>
      <c r="AE204" s="20"/>
      <c r="AF204" s="20"/>
      <c r="AG204" s="120"/>
      <c r="AH204" s="20"/>
      <c r="AI204" s="20"/>
    </row>
    <row r="205" spans="3:35" hidden="1">
      <c r="D205" s="20" t="s">
        <v>14</v>
      </c>
      <c r="E205" s="42">
        <v>4953.8</v>
      </c>
      <c r="F205" s="20"/>
      <c r="G205" s="20"/>
      <c r="H205" s="46"/>
      <c r="L205" s="190" t="s">
        <v>130</v>
      </c>
      <c r="M205" s="137">
        <v>-50</v>
      </c>
      <c r="N205" s="69">
        <f t="shared" si="26"/>
        <v>2931.0497670000077</v>
      </c>
      <c r="O205" s="26"/>
      <c r="P205" s="132">
        <v>-183.36</v>
      </c>
      <c r="Q205" s="72">
        <f t="shared" si="27"/>
        <v>-10114.397278481008</v>
      </c>
      <c r="R205" s="45">
        <f t="shared" si="25"/>
        <v>-64.39727848100847</v>
      </c>
      <c r="S205" s="379" t="s">
        <v>50</v>
      </c>
      <c r="T205" s="191"/>
      <c r="U205" s="83"/>
      <c r="V205" s="20"/>
      <c r="W205" s="20"/>
      <c r="X205" s="20"/>
      <c r="Y205" s="111"/>
      <c r="Z205" s="43"/>
      <c r="AA205" s="94"/>
      <c r="AB205" s="26"/>
      <c r="AC205" s="20"/>
      <c r="AD205" s="20"/>
      <c r="AE205" s="20"/>
      <c r="AF205" s="20"/>
      <c r="AG205" s="20"/>
      <c r="AH205" s="20"/>
      <c r="AI205" s="20"/>
    </row>
    <row r="206" spans="3:35" ht="12.75" hidden="1" customHeight="1">
      <c r="D206" s="78" t="s">
        <v>13</v>
      </c>
      <c r="E206" s="15">
        <f>E201-E205-E207</f>
        <v>804.66999999999916</v>
      </c>
      <c r="F206" s="78"/>
      <c r="G206" s="516">
        <f>SUM(E205:E206)</f>
        <v>5758.4699999999993</v>
      </c>
      <c r="H206" s="516"/>
      <c r="L206" s="185" t="s">
        <v>63</v>
      </c>
      <c r="M206" s="135">
        <f>-3.9+M205*1.37%</f>
        <v>-4.585</v>
      </c>
      <c r="N206" s="70">
        <f t="shared" si="26"/>
        <v>2926.4647670000077</v>
      </c>
      <c r="O206" s="26"/>
      <c r="P206" s="49">
        <f>E206</f>
        <v>804.66999999999916</v>
      </c>
      <c r="Q206" s="73">
        <f t="shared" si="27"/>
        <v>-9309.7272784810084</v>
      </c>
      <c r="R206" s="105">
        <f t="shared" si="25"/>
        <v>740.2727215189916</v>
      </c>
      <c r="S206" s="383" t="s">
        <v>64</v>
      </c>
      <c r="T206" s="191"/>
      <c r="U206" s="84"/>
      <c r="V206" s="26"/>
      <c r="W206" s="26"/>
      <c r="X206" s="91"/>
      <c r="Y206" s="20"/>
      <c r="Z206" s="43"/>
      <c r="AA206" s="94"/>
      <c r="AB206" s="26"/>
      <c r="AC206" s="20"/>
      <c r="AD206" s="20"/>
      <c r="AE206" s="20"/>
      <c r="AF206" s="20"/>
      <c r="AG206" s="20"/>
      <c r="AH206" s="20"/>
      <c r="AI206" s="20"/>
    </row>
    <row r="207" spans="3:35" ht="12.75" hidden="1" customHeight="1">
      <c r="D207" s="20"/>
      <c r="E207" s="26"/>
      <c r="F207" s="122"/>
      <c r="G207" s="515"/>
      <c r="H207" s="515"/>
      <c r="L207" s="23"/>
      <c r="M207" s="168">
        <f>SUM(M190:M206)</f>
        <v>2926.4647670000077</v>
      </c>
      <c r="O207" s="26"/>
      <c r="P207" s="64">
        <f>SUM(P190:P206)</f>
        <v>-9309.7272784810084</v>
      </c>
      <c r="Q207" s="63"/>
      <c r="R207" s="63"/>
      <c r="S207" s="377"/>
      <c r="T207" s="191"/>
      <c r="U207" s="84"/>
      <c r="V207" s="26"/>
      <c r="W207" s="26"/>
      <c r="X207" s="35"/>
      <c r="Y207" s="20"/>
      <c r="Z207" s="43"/>
      <c r="AA207" s="94"/>
      <c r="AB207" s="26"/>
      <c r="AC207" s="20"/>
      <c r="AD207" s="20"/>
      <c r="AE207" s="20"/>
      <c r="AF207" s="20"/>
      <c r="AG207" s="20"/>
      <c r="AH207" s="20"/>
      <c r="AI207" s="20"/>
    </row>
    <row r="208" spans="3:35" s="78" customFormat="1" hidden="1">
      <c r="E208" s="15"/>
      <c r="G208" s="129"/>
      <c r="K208" s="257"/>
      <c r="M208" s="15"/>
      <c r="P208" s="15"/>
      <c r="Q208" s="15"/>
      <c r="R208" s="15"/>
      <c r="S208" s="385"/>
      <c r="Z208" s="15"/>
      <c r="AA208" s="130"/>
      <c r="AB208" s="15"/>
    </row>
    <row r="209" spans="2:35" hidden="1"/>
    <row r="210" spans="2:35" hidden="1">
      <c r="B210" s="1045" t="s">
        <v>154</v>
      </c>
      <c r="C210" s="1045"/>
      <c r="D210" s="1045"/>
      <c r="E210" s="1045"/>
      <c r="G210" s="31"/>
      <c r="H210" s="31"/>
      <c r="I210" s="26"/>
      <c r="L210" s="59"/>
      <c r="M210" s="1042" t="s">
        <v>54</v>
      </c>
      <c r="N210" s="198"/>
      <c r="O210" s="198"/>
      <c r="P210" s="1044" t="s">
        <v>48</v>
      </c>
      <c r="Q210" s="199"/>
      <c r="R210" s="199"/>
      <c r="S210" s="377"/>
      <c r="X210" s="35"/>
      <c r="Y210" s="35"/>
      <c r="Z210" s="26"/>
      <c r="AA210" s="120"/>
      <c r="AB210" s="26"/>
      <c r="AC210" s="20"/>
      <c r="AD210" s="20"/>
      <c r="AE210" s="20"/>
      <c r="AF210" s="20"/>
      <c r="AG210" s="20"/>
      <c r="AH210" s="20"/>
      <c r="AI210" s="20"/>
    </row>
    <row r="211" spans="2:35" ht="12.75" hidden="1" customHeight="1">
      <c r="C211" s="17" t="s">
        <v>12</v>
      </c>
      <c r="D211" s="14"/>
      <c r="E211" s="44">
        <v>6000</v>
      </c>
      <c r="G211" s="514"/>
      <c r="H211" s="514"/>
      <c r="I211" s="26"/>
      <c r="L211" s="60"/>
      <c r="M211" s="1042"/>
      <c r="N211" s="198" t="s">
        <v>52</v>
      </c>
      <c r="O211" s="198"/>
      <c r="P211" s="1044"/>
      <c r="Q211" s="199" t="s">
        <v>43</v>
      </c>
      <c r="R211" s="199" t="s">
        <v>53</v>
      </c>
      <c r="S211" s="377"/>
      <c r="X211" s="118"/>
      <c r="Y211" s="111"/>
      <c r="Z211" s="117"/>
      <c r="AA211" s="89"/>
      <c r="AB211" s="90"/>
      <c r="AC211" s="20"/>
      <c r="AD211" s="41"/>
      <c r="AE211" s="20"/>
      <c r="AF211" s="20"/>
      <c r="AG211" s="20"/>
      <c r="AH211" s="20"/>
      <c r="AI211" s="20"/>
    </row>
    <row r="212" spans="2:35" hidden="1">
      <c r="C212" s="17"/>
      <c r="D212" s="14" t="s">
        <v>24</v>
      </c>
      <c r="E212" s="44">
        <f>'[2]AUGUST ''11'!$C$51+75</f>
        <v>1255.78</v>
      </c>
      <c r="G212" s="30"/>
      <c r="H212" s="30"/>
      <c r="I212" s="26"/>
      <c r="L212" s="46" t="s">
        <v>55</v>
      </c>
      <c r="M212" s="26">
        <f>$M$207</f>
        <v>2926.4647670000077</v>
      </c>
      <c r="N212" s="71">
        <f>M212</f>
        <v>2926.4647670000077</v>
      </c>
      <c r="O212" s="26"/>
      <c r="P212" s="45">
        <f>$Q$206</f>
        <v>-9309.7272784810084</v>
      </c>
      <c r="Q212" s="71">
        <f>P212</f>
        <v>-9309.7272784810084</v>
      </c>
      <c r="R212" s="45">
        <f t="shared" ref="R212:R224" si="28">10050+Q212</f>
        <v>740.2727215189916</v>
      </c>
      <c r="S212" s="382"/>
      <c r="T212" s="29"/>
      <c r="X212" s="91"/>
      <c r="Y212" s="111"/>
      <c r="Z212" s="26"/>
      <c r="AA212" s="120"/>
      <c r="AB212" s="26"/>
      <c r="AC212" s="20"/>
      <c r="AD212" s="92"/>
      <c r="AE212" s="93"/>
      <c r="AF212" s="20"/>
      <c r="AG212" s="20"/>
      <c r="AH212" s="20"/>
      <c r="AI212" s="20"/>
    </row>
    <row r="213" spans="2:35" hidden="1">
      <c r="C213" s="17"/>
      <c r="D213" s="143" t="s">
        <v>110</v>
      </c>
      <c r="E213" s="15"/>
      <c r="G213"/>
      <c r="I213" s="26"/>
      <c r="L213" s="101" t="s">
        <v>102</v>
      </c>
      <c r="M213" s="133">
        <v>-2750.01</v>
      </c>
      <c r="N213" s="69">
        <f t="shared" ref="N213:N226" si="29">N212+M213</f>
        <v>176.45476700000745</v>
      </c>
      <c r="O213" s="65"/>
      <c r="P213" s="131">
        <v>2750</v>
      </c>
      <c r="Q213" s="72">
        <f>Q212+P213</f>
        <v>-6559.7272784810084</v>
      </c>
      <c r="R213" s="45">
        <f t="shared" si="28"/>
        <v>3490.2727215189916</v>
      </c>
      <c r="S213" s="373" t="s">
        <v>155</v>
      </c>
      <c r="X213" s="20"/>
      <c r="Y213" s="112"/>
      <c r="Z213" s="43"/>
      <c r="AA213" s="94"/>
      <c r="AB213" s="95"/>
      <c r="AC213" s="20"/>
      <c r="AD213" s="41"/>
      <c r="AE213" s="93"/>
      <c r="AF213" s="20"/>
      <c r="AG213" s="20"/>
      <c r="AH213" s="20"/>
      <c r="AI213" s="20"/>
    </row>
    <row r="214" spans="2:35" ht="12.75" hidden="1" customHeight="1">
      <c r="C214" s="18" t="s">
        <v>5</v>
      </c>
      <c r="D214" s="14"/>
      <c r="E214" s="14">
        <f>SUM(E211:E213)</f>
        <v>7255.78</v>
      </c>
      <c r="G214" s="518" t="s">
        <v>161</v>
      </c>
      <c r="H214" s="518"/>
      <c r="I214" s="518"/>
      <c r="J214" s="20"/>
      <c r="K214" s="256"/>
      <c r="L214" s="79" t="s">
        <v>148</v>
      </c>
      <c r="M214" s="175">
        <v>200</v>
      </c>
      <c r="N214" s="69">
        <f t="shared" si="29"/>
        <v>376.45476700000745</v>
      </c>
      <c r="O214" s="65"/>
      <c r="P214" s="131">
        <v>-97.02</v>
      </c>
      <c r="Q214" s="72">
        <f>Q213+P214</f>
        <v>-6656.7472784810088</v>
      </c>
      <c r="R214" s="196">
        <f t="shared" si="28"/>
        <v>3393.2527215189912</v>
      </c>
      <c r="S214" s="373" t="s">
        <v>156</v>
      </c>
      <c r="X214" s="20"/>
      <c r="Y214" s="112"/>
      <c r="Z214" s="43"/>
      <c r="AA214" s="94"/>
      <c r="AB214" s="26"/>
      <c r="AC214" s="20"/>
      <c r="AD214" s="92"/>
      <c r="AE214" s="93"/>
      <c r="AF214" s="20"/>
      <c r="AG214" s="20"/>
      <c r="AH214" s="20"/>
      <c r="AI214" s="20"/>
    </row>
    <row r="215" spans="2:35" ht="12.75" hidden="1" customHeight="1">
      <c r="G215"/>
      <c r="H215" s="23" t="s">
        <v>10</v>
      </c>
      <c r="I215" s="44">
        <v>175.44</v>
      </c>
      <c r="J215" s="54"/>
      <c r="K215" s="256"/>
      <c r="L215" s="183" t="s">
        <v>51</v>
      </c>
      <c r="M215" s="134">
        <f>E227-2000</f>
        <v>2953.8</v>
      </c>
      <c r="N215" s="69">
        <f t="shared" si="29"/>
        <v>3330.2547670000076</v>
      </c>
      <c r="O215" s="48"/>
      <c r="P215" s="131">
        <v>-511.5</v>
      </c>
      <c r="Q215" s="72">
        <f>Q214+P215</f>
        <v>-7168.2472784810088</v>
      </c>
      <c r="R215" s="45">
        <f t="shared" si="28"/>
        <v>2881.7527215189912</v>
      </c>
      <c r="S215" s="373" t="s">
        <v>100</v>
      </c>
      <c r="T215" s="194"/>
      <c r="X215" s="91"/>
      <c r="Y215" s="112"/>
      <c r="Z215" s="43"/>
      <c r="AA215" s="94"/>
      <c r="AB215" s="26"/>
      <c r="AC215" s="20"/>
      <c r="AD215" s="92"/>
      <c r="AE215" s="93"/>
      <c r="AF215" s="20"/>
      <c r="AG215" s="20"/>
      <c r="AH215" s="20"/>
      <c r="AI215" s="20"/>
    </row>
    <row r="216" spans="2:35" hidden="1">
      <c r="C216" s="17" t="s">
        <v>7</v>
      </c>
      <c r="G216"/>
      <c r="H216" s="23" t="s">
        <v>18</v>
      </c>
      <c r="I216" s="44">
        <f>4.39+4.08</f>
        <v>8.4699999999999989</v>
      </c>
      <c r="J216" s="20"/>
      <c r="K216" s="256"/>
      <c r="L216" s="200" t="s">
        <v>126</v>
      </c>
      <c r="M216" s="203">
        <v>-700</v>
      </c>
      <c r="N216" s="69">
        <f t="shared" si="29"/>
        <v>2630.2547670000076</v>
      </c>
      <c r="O216" s="48"/>
      <c r="P216" s="131">
        <v>-61.9</v>
      </c>
      <c r="Q216" s="72">
        <f t="shared" ref="Q216:Q224" si="30">Q215+P216</f>
        <v>-7230.1472784810085</v>
      </c>
      <c r="R216" s="45">
        <f t="shared" si="28"/>
        <v>2819.8527215189915</v>
      </c>
      <c r="S216" s="373" t="s">
        <v>101</v>
      </c>
      <c r="T216" s="20"/>
      <c r="U216" s="20"/>
      <c r="V216" s="103"/>
      <c r="W216" s="103"/>
      <c r="X216" s="20"/>
      <c r="Y216" s="112"/>
      <c r="Z216" s="43"/>
      <c r="AA216" s="94"/>
      <c r="AB216" s="95"/>
      <c r="AC216" s="20"/>
      <c r="AD216" s="96"/>
      <c r="AE216" s="93"/>
      <c r="AF216" s="20"/>
      <c r="AG216" s="20"/>
      <c r="AH216" s="20"/>
      <c r="AI216" s="20"/>
    </row>
    <row r="217" spans="2:35" hidden="1">
      <c r="D217" t="s">
        <v>8</v>
      </c>
      <c r="E217" s="14">
        <f>1204/2</f>
        <v>602</v>
      </c>
      <c r="G217" s="36"/>
      <c r="H217" s="23" t="s">
        <v>20</v>
      </c>
      <c r="I217" s="44">
        <v>7.45</v>
      </c>
      <c r="J217" s="20"/>
      <c r="K217" s="256"/>
      <c r="L217" s="184" t="s">
        <v>61</v>
      </c>
      <c r="M217" s="45">
        <v>-203.5</v>
      </c>
      <c r="N217" s="69">
        <f t="shared" si="29"/>
        <v>2426.7547670000076</v>
      </c>
      <c r="O217" s="49"/>
      <c r="P217" s="133">
        <v>-411.5</v>
      </c>
      <c r="Q217" s="72">
        <f t="shared" si="30"/>
        <v>-7641.6472784810085</v>
      </c>
      <c r="R217" s="45">
        <f t="shared" si="28"/>
        <v>2408.3527215189915</v>
      </c>
      <c r="S217" s="373" t="s">
        <v>100</v>
      </c>
      <c r="T217" s="20"/>
      <c r="U217" s="20"/>
      <c r="V217" s="20"/>
      <c r="W217" s="20"/>
      <c r="X217" s="20"/>
      <c r="Y217" s="112"/>
      <c r="Z217" s="43"/>
      <c r="AA217" s="94"/>
      <c r="AB217" s="26"/>
      <c r="AC217" s="20"/>
      <c r="AD217" s="41"/>
      <c r="AE217" s="93"/>
      <c r="AF217" s="20"/>
      <c r="AG217" s="20"/>
      <c r="AH217" s="20"/>
      <c r="AI217" s="20"/>
    </row>
    <row r="218" spans="2:35" hidden="1">
      <c r="D218" t="s">
        <v>9</v>
      </c>
      <c r="E218" s="44"/>
      <c r="F218" s="37" t="s">
        <v>15</v>
      </c>
      <c r="G218"/>
      <c r="H218" s="23" t="s">
        <v>19</v>
      </c>
      <c r="I218" s="44">
        <v>43.86</v>
      </c>
      <c r="J218" s="20"/>
      <c r="K218" s="256"/>
      <c r="L218" s="185" t="s">
        <v>63</v>
      </c>
      <c r="M218" s="135">
        <f>-3.9+M217*1.37%</f>
        <v>-6.6879499999999998</v>
      </c>
      <c r="N218" s="69">
        <f t="shared" si="29"/>
        <v>2420.0668170000076</v>
      </c>
      <c r="O218" s="49"/>
      <c r="P218" s="131">
        <v>-26.8</v>
      </c>
      <c r="Q218" s="72">
        <f t="shared" si="30"/>
        <v>-7668.4472784810087</v>
      </c>
      <c r="R218" s="45">
        <f t="shared" si="28"/>
        <v>2381.5527215189913</v>
      </c>
      <c r="S218" s="373" t="s">
        <v>158</v>
      </c>
      <c r="T218" s="20"/>
      <c r="U218" s="20"/>
      <c r="V218" s="20"/>
      <c r="W218" s="20"/>
      <c r="X218" s="20"/>
      <c r="Y218" s="112"/>
      <c r="Z218" s="43"/>
      <c r="AA218" s="94"/>
      <c r="AB218" s="26"/>
      <c r="AC218" s="20"/>
      <c r="AD218" s="92"/>
      <c r="AE218" s="93"/>
      <c r="AF218" s="20"/>
      <c r="AG218" s="20"/>
      <c r="AH218" s="20"/>
      <c r="AI218" s="20"/>
    </row>
    <row r="219" spans="2:35" hidden="1">
      <c r="D219" t="s">
        <v>10</v>
      </c>
      <c r="E219" s="19">
        <f>I223</f>
        <v>328.36999999999989</v>
      </c>
      <c r="F219" s="37" t="s">
        <v>15</v>
      </c>
      <c r="G219"/>
      <c r="H219" s="23" t="s">
        <v>21</v>
      </c>
      <c r="I219" s="44">
        <v>3.51</v>
      </c>
      <c r="J219" s="20"/>
      <c r="K219" s="256"/>
      <c r="L219" s="202" t="s">
        <v>164</v>
      </c>
      <c r="M219" s="204">
        <v>-300</v>
      </c>
      <c r="N219" s="69">
        <f t="shared" si="29"/>
        <v>2120.0668170000076</v>
      </c>
      <c r="O219" s="49"/>
      <c r="P219" s="45">
        <v>-171.4</v>
      </c>
      <c r="Q219" s="72">
        <f t="shared" si="30"/>
        <v>-7839.8472784810083</v>
      </c>
      <c r="R219" s="45">
        <f t="shared" si="28"/>
        <v>2210.1527215189917</v>
      </c>
      <c r="S219" s="373" t="s">
        <v>57</v>
      </c>
      <c r="T219" s="50"/>
      <c r="U219" s="20"/>
      <c r="V219" s="26"/>
      <c r="W219" s="26"/>
      <c r="X219" s="20"/>
      <c r="Y219" s="112"/>
      <c r="Z219" s="43"/>
      <c r="AA219" s="94"/>
      <c r="AB219" s="95"/>
      <c r="AC219" s="20"/>
      <c r="AD219" s="92"/>
      <c r="AE219" s="93"/>
      <c r="AF219" s="20"/>
      <c r="AG219" s="20"/>
      <c r="AH219" s="20"/>
      <c r="AI219" s="20"/>
    </row>
    <row r="220" spans="2:35" hidden="1">
      <c r="D220" t="s">
        <v>22</v>
      </c>
      <c r="E220" s="15"/>
      <c r="F220" s="38"/>
      <c r="G220"/>
      <c r="H220" s="23" t="s">
        <v>26</v>
      </c>
      <c r="I220" s="52">
        <v>192.23</v>
      </c>
      <c r="J220" s="20"/>
      <c r="K220" s="256"/>
      <c r="L220" s="186" t="s">
        <v>23</v>
      </c>
      <c r="M220" s="136">
        <v>-198.8</v>
      </c>
      <c r="N220" s="69">
        <f t="shared" si="29"/>
        <v>1921.2668170000077</v>
      </c>
      <c r="O220" s="39"/>
      <c r="P220" s="45">
        <v>-473.9</v>
      </c>
      <c r="Q220" s="72">
        <f t="shared" si="30"/>
        <v>-8313.7472784810088</v>
      </c>
      <c r="R220" s="45">
        <f t="shared" si="28"/>
        <v>1736.2527215189912</v>
      </c>
      <c r="S220" s="373" t="s">
        <v>101</v>
      </c>
      <c r="T220" s="50"/>
      <c r="U220" s="20"/>
      <c r="V220" s="26"/>
      <c r="W220" s="26"/>
      <c r="X220" s="20"/>
      <c r="Y220" s="112"/>
      <c r="Z220" s="43"/>
      <c r="AA220" s="94"/>
      <c r="AB220" s="26"/>
      <c r="AC220" s="20"/>
      <c r="AD220" s="92"/>
      <c r="AE220" s="97"/>
      <c r="AF220" s="20"/>
      <c r="AG220" s="20"/>
      <c r="AH220" s="20"/>
      <c r="AI220" s="20"/>
    </row>
    <row r="221" spans="2:35" ht="12.75" hidden="1" customHeight="1">
      <c r="C221" s="18" t="s">
        <v>5</v>
      </c>
      <c r="E221" s="19">
        <f>SUM(E217:E220)</f>
        <v>930.36999999999989</v>
      </c>
      <c r="G221"/>
      <c r="H221" s="116" t="s">
        <v>105</v>
      </c>
      <c r="I221" s="44">
        <f>SUM(I215:I220)</f>
        <v>430.95999999999992</v>
      </c>
      <c r="J221" s="20"/>
      <c r="K221" s="256"/>
      <c r="L221" s="185" t="s">
        <v>63</v>
      </c>
      <c r="M221" s="135">
        <f>-3.9+M220*1.37%</f>
        <v>-6.6235600000000003</v>
      </c>
      <c r="N221" s="69">
        <f t="shared" si="29"/>
        <v>1914.6432570000077</v>
      </c>
      <c r="O221" s="39"/>
      <c r="P221" s="45">
        <v>-489.59</v>
      </c>
      <c r="Q221" s="72">
        <f t="shared" si="30"/>
        <v>-8803.337278481009</v>
      </c>
      <c r="R221" s="196">
        <f t="shared" si="28"/>
        <v>1246.662721518991</v>
      </c>
      <c r="S221" s="373" t="s">
        <v>150</v>
      </c>
      <c r="T221" s="80"/>
      <c r="U221" s="74"/>
      <c r="V221" s="26"/>
      <c r="W221" s="26"/>
      <c r="X221" s="20"/>
      <c r="Y221" s="112"/>
      <c r="Z221" s="43"/>
      <c r="AA221" s="94"/>
      <c r="AB221" s="26"/>
      <c r="AC221" s="20"/>
      <c r="AD221" s="20"/>
      <c r="AE221" s="93"/>
      <c r="AF221" s="20"/>
      <c r="AG221" s="20"/>
      <c r="AH221" s="20"/>
      <c r="AI221" s="20"/>
    </row>
    <row r="222" spans="2:35" ht="12.75" hidden="1" customHeight="1">
      <c r="C222" s="18"/>
      <c r="G222"/>
      <c r="H222" s="46" t="s">
        <v>27</v>
      </c>
      <c r="I222" s="45">
        <f>-55.3-38.08-9.21</f>
        <v>-102.59</v>
      </c>
      <c r="J222" s="20"/>
      <c r="K222" s="256"/>
      <c r="L222" s="187" t="s">
        <v>16</v>
      </c>
      <c r="M222" s="133">
        <v>-483.99</v>
      </c>
      <c r="N222" s="69">
        <f t="shared" si="29"/>
        <v>1430.6532570000077</v>
      </c>
      <c r="O222" s="39"/>
      <c r="P222" s="45">
        <v>-511.5</v>
      </c>
      <c r="Q222" s="72">
        <f t="shared" si="30"/>
        <v>-9314.837278481009</v>
      </c>
      <c r="R222" s="45">
        <f t="shared" si="28"/>
        <v>735.16272151899102</v>
      </c>
      <c r="S222" s="373" t="s">
        <v>100</v>
      </c>
      <c r="T222" s="50"/>
      <c r="U222" s="74"/>
      <c r="V222" s="26"/>
      <c r="W222" s="26"/>
      <c r="X222" s="91"/>
      <c r="Y222" s="20"/>
      <c r="Z222" s="43"/>
      <c r="AA222" s="94"/>
      <c r="AB222" s="95"/>
      <c r="AC222" s="20"/>
      <c r="AD222" s="98"/>
      <c r="AE222" s="93"/>
      <c r="AF222" s="120"/>
      <c r="AG222" s="20"/>
      <c r="AH222" s="20"/>
      <c r="AI222" s="20"/>
    </row>
    <row r="223" spans="2:35" ht="13.5" hidden="1" thickBot="1">
      <c r="D223" s="16" t="s">
        <v>67</v>
      </c>
      <c r="E223" s="27">
        <f>E214-E221</f>
        <v>6325.41</v>
      </c>
      <c r="G223"/>
      <c r="H223" s="116" t="s">
        <v>5</v>
      </c>
      <c r="I223" s="53">
        <f>SUM(I221:I222)</f>
        <v>328.36999999999989</v>
      </c>
      <c r="J223" s="20"/>
      <c r="K223" s="256"/>
      <c r="L223" s="188" t="s">
        <v>63</v>
      </c>
      <c r="M223" s="135">
        <f>-3.9+M222*1.37%</f>
        <v>-10.530663000000001</v>
      </c>
      <c r="N223" s="69">
        <f t="shared" si="29"/>
        <v>1420.1225940000077</v>
      </c>
      <c r="O223" s="39"/>
      <c r="P223" s="45">
        <v>-120</v>
      </c>
      <c r="Q223" s="72">
        <f t="shared" si="30"/>
        <v>-9434.837278481009</v>
      </c>
      <c r="R223" s="45">
        <f t="shared" si="28"/>
        <v>615.16272151899102</v>
      </c>
      <c r="S223" s="373" t="s">
        <v>163</v>
      </c>
      <c r="T223" s="197"/>
      <c r="U223" s="65"/>
      <c r="V223" s="26"/>
      <c r="W223" s="26"/>
      <c r="X223" s="35"/>
      <c r="Y223" s="20"/>
      <c r="Z223" s="43"/>
      <c r="AA223" s="94"/>
      <c r="AB223" s="26"/>
      <c r="AC223" s="20"/>
      <c r="AD223" s="20"/>
      <c r="AE223" s="20"/>
      <c r="AF223" s="99"/>
      <c r="AG223" s="20"/>
      <c r="AH223" s="20"/>
      <c r="AI223" s="20"/>
    </row>
    <row r="224" spans="2:35" hidden="1">
      <c r="D224" s="17"/>
      <c r="E224" s="40"/>
      <c r="G224"/>
      <c r="H224" s="23"/>
      <c r="I224" s="161"/>
      <c r="J224" s="20"/>
      <c r="K224" s="256"/>
      <c r="L224" s="189" t="s">
        <v>56</v>
      </c>
      <c r="M224" s="137">
        <v>-525</v>
      </c>
      <c r="N224" s="69">
        <f t="shared" si="29"/>
        <v>895.12259400000767</v>
      </c>
      <c r="O224" s="39"/>
      <c r="P224" s="49">
        <f>E228</f>
        <v>1371.6099999999997</v>
      </c>
      <c r="Q224" s="73">
        <f t="shared" si="30"/>
        <v>-8063.2272784810093</v>
      </c>
      <c r="R224" s="105">
        <f t="shared" si="28"/>
        <v>1986.7727215189907</v>
      </c>
      <c r="S224" s="383" t="s">
        <v>64</v>
      </c>
      <c r="T224" s="197"/>
      <c r="U224" s="65"/>
      <c r="V224" s="20"/>
      <c r="W224" s="20"/>
      <c r="X224" s="20"/>
      <c r="Y224" s="111"/>
      <c r="Z224" s="43"/>
      <c r="AA224" s="94"/>
      <c r="AB224" s="26"/>
      <c r="AC224" s="20"/>
      <c r="AD224" s="20"/>
      <c r="AE224" s="20"/>
      <c r="AF224" s="20"/>
      <c r="AG224" s="20"/>
      <c r="AH224" s="20"/>
      <c r="AI224" s="20"/>
    </row>
    <row r="225" spans="2:35" hidden="1">
      <c r="D225" s="17"/>
      <c r="E225" s="40"/>
      <c r="G225"/>
      <c r="H225" s="23"/>
      <c r="I225" s="45"/>
      <c r="J225" s="20"/>
      <c r="K225" s="256"/>
      <c r="L225" s="185" t="s">
        <v>63</v>
      </c>
      <c r="M225" s="135">
        <f>-3.9+M224*1.37%</f>
        <v>-11.092499999999999</v>
      </c>
      <c r="N225" s="69">
        <f t="shared" si="29"/>
        <v>884.03009400000769</v>
      </c>
      <c r="O225" s="39"/>
      <c r="P225" s="64">
        <f>SUM(P212:P224)</f>
        <v>-8063.2272784810093</v>
      </c>
      <c r="Q225" s="63"/>
      <c r="R225" s="63"/>
      <c r="S225" s="377"/>
      <c r="T225" s="197"/>
      <c r="U225" s="65"/>
      <c r="V225" s="20"/>
      <c r="W225" s="20"/>
      <c r="X225" s="91"/>
      <c r="Y225" s="111"/>
      <c r="Z225" s="43"/>
      <c r="AA225" s="94"/>
      <c r="AB225" s="95"/>
      <c r="AC225" s="20"/>
      <c r="AD225" s="20"/>
      <c r="AE225" s="20"/>
      <c r="AF225" s="20"/>
      <c r="AG225" s="20"/>
      <c r="AH225" s="20"/>
      <c r="AI225" s="20"/>
    </row>
    <row r="226" spans="2:35" hidden="1">
      <c r="C226" s="81" t="s">
        <v>17</v>
      </c>
      <c r="E226" s="42"/>
      <c r="G226"/>
      <c r="H226" s="23"/>
      <c r="I226" s="14"/>
      <c r="J226" s="20"/>
      <c r="K226" s="256"/>
      <c r="L226" s="190" t="s">
        <v>51</v>
      </c>
      <c r="M226" s="205">
        <v>2000</v>
      </c>
      <c r="N226" s="70">
        <f t="shared" si="29"/>
        <v>2884.0300940000079</v>
      </c>
      <c r="O226" s="42"/>
      <c r="P226" s="68"/>
      <c r="Q226" s="63"/>
      <c r="R226" s="63"/>
      <c r="S226" s="377"/>
      <c r="T226" s="197"/>
      <c r="U226" s="65"/>
      <c r="V226" s="20"/>
      <c r="W226" s="20"/>
      <c r="X226" s="20"/>
      <c r="Y226" s="111"/>
      <c r="Z226" s="43"/>
      <c r="AA226" s="94"/>
      <c r="AB226" s="26"/>
      <c r="AC226" s="20"/>
      <c r="AD226" s="20"/>
      <c r="AE226" s="20"/>
      <c r="AF226" s="20"/>
      <c r="AG226" s="120"/>
      <c r="AH226" s="20"/>
      <c r="AI226" s="20"/>
    </row>
    <row r="227" spans="2:35" hidden="1">
      <c r="D227" s="20" t="s">
        <v>14</v>
      </c>
      <c r="E227" s="42">
        <v>4953.8</v>
      </c>
      <c r="F227" s="20"/>
      <c r="G227" s="20"/>
      <c r="H227" s="46"/>
      <c r="L227" s="23"/>
      <c r="M227" s="168">
        <f>SUM(M212:M226)</f>
        <v>2884.0300940000079</v>
      </c>
      <c r="O227" s="26"/>
      <c r="P227" s="68"/>
      <c r="Q227" s="63"/>
      <c r="R227" s="63"/>
      <c r="S227" s="377"/>
      <c r="T227" s="197"/>
      <c r="U227" s="83"/>
      <c r="V227" s="20"/>
      <c r="W227" s="20"/>
      <c r="X227" s="20"/>
      <c r="Y227" s="111"/>
      <c r="Z227" s="43"/>
      <c r="AA227" s="94"/>
      <c r="AB227" s="26"/>
      <c r="AC227" s="20"/>
      <c r="AD227" s="20"/>
      <c r="AE227" s="20"/>
      <c r="AF227" s="20"/>
      <c r="AG227" s="20"/>
      <c r="AH227" s="20"/>
      <c r="AI227" s="20"/>
    </row>
    <row r="228" spans="2:35" ht="12.75" hidden="1" customHeight="1">
      <c r="D228" s="78" t="s">
        <v>13</v>
      </c>
      <c r="E228" s="15">
        <f>E223-E227</f>
        <v>1371.6099999999997</v>
      </c>
      <c r="F228" s="78"/>
      <c r="G228" s="516">
        <f>SUM(E227:E228)</f>
        <v>6325.41</v>
      </c>
      <c r="H228" s="516"/>
      <c r="M228" s="26"/>
      <c r="O228" s="26"/>
      <c r="P228" s="68"/>
      <c r="Q228" s="63"/>
      <c r="R228" s="63"/>
      <c r="S228" s="377"/>
      <c r="T228" s="197"/>
      <c r="U228" s="84"/>
      <c r="V228" s="26"/>
      <c r="W228" s="26"/>
      <c r="X228" s="91"/>
      <c r="Y228" s="20"/>
      <c r="Z228" s="43"/>
      <c r="AA228" s="94"/>
      <c r="AB228" s="26"/>
      <c r="AC228" s="20"/>
      <c r="AD228" s="20"/>
      <c r="AE228" s="20"/>
      <c r="AF228" s="20"/>
      <c r="AG228" s="20"/>
      <c r="AH228" s="20"/>
      <c r="AI228" s="20"/>
    </row>
    <row r="229" spans="2:35" s="78" customFormat="1" hidden="1">
      <c r="E229" s="15"/>
      <c r="G229" s="129"/>
      <c r="K229" s="257"/>
      <c r="M229" s="15"/>
      <c r="P229" s="15"/>
      <c r="Q229" s="15"/>
      <c r="R229" s="15"/>
      <c r="S229" s="385"/>
      <c r="Z229" s="15"/>
      <c r="AA229" s="130"/>
      <c r="AB229" s="15"/>
    </row>
    <row r="230" spans="2:35" hidden="1"/>
    <row r="231" spans="2:35" hidden="1">
      <c r="B231" s="1045" t="s">
        <v>160</v>
      </c>
      <c r="C231" s="1045"/>
      <c r="D231" s="1045"/>
      <c r="E231" s="1045"/>
      <c r="G231" s="31"/>
      <c r="H231" s="31"/>
      <c r="I231" s="26"/>
      <c r="L231" s="59"/>
      <c r="M231" s="1042" t="s">
        <v>54</v>
      </c>
      <c r="N231" s="214"/>
      <c r="O231" s="214"/>
      <c r="P231" s="1044" t="s">
        <v>48</v>
      </c>
      <c r="Q231" s="215"/>
      <c r="R231" s="215"/>
      <c r="S231" s="377"/>
      <c r="X231" s="35"/>
      <c r="Y231" s="35"/>
      <c r="Z231" s="26"/>
      <c r="AA231" s="120"/>
      <c r="AB231" s="26"/>
      <c r="AC231" s="20"/>
      <c r="AD231" s="20"/>
      <c r="AE231" s="20"/>
      <c r="AF231" s="20"/>
      <c r="AG231" s="20"/>
      <c r="AH231" s="20"/>
      <c r="AI231" s="20"/>
    </row>
    <row r="232" spans="2:35" ht="12.75" hidden="1" customHeight="1">
      <c r="C232" s="17" t="s">
        <v>12</v>
      </c>
      <c r="D232" s="14"/>
      <c r="E232" s="44">
        <v>6000</v>
      </c>
      <c r="G232" s="514"/>
      <c r="H232" s="514"/>
      <c r="I232" s="26"/>
      <c r="L232" s="60"/>
      <c r="M232" s="1042"/>
      <c r="N232" s="214" t="s">
        <v>52</v>
      </c>
      <c r="O232" s="214"/>
      <c r="P232" s="1044"/>
      <c r="Q232" s="215" t="s">
        <v>43</v>
      </c>
      <c r="R232" s="215" t="s">
        <v>53</v>
      </c>
      <c r="S232" s="377"/>
      <c r="X232" s="118"/>
      <c r="Y232" s="111"/>
      <c r="Z232" s="117"/>
      <c r="AA232" s="89"/>
      <c r="AB232" s="90"/>
      <c r="AC232" s="20"/>
      <c r="AD232" s="41"/>
      <c r="AE232" s="20"/>
      <c r="AF232" s="20"/>
      <c r="AG232" s="20"/>
      <c r="AH232" s="20"/>
      <c r="AI232" s="20"/>
    </row>
    <row r="233" spans="2:35" hidden="1">
      <c r="C233" s="17"/>
      <c r="D233" s="14" t="s">
        <v>24</v>
      </c>
      <c r="E233" s="44">
        <f>'[2]SEPTEMBER ''11'!$C$70</f>
        <v>284.16000000000003</v>
      </c>
      <c r="G233" s="30"/>
      <c r="H233" s="30"/>
      <c r="I233" s="26"/>
      <c r="L233" s="46" t="s">
        <v>55</v>
      </c>
      <c r="M233" s="26">
        <f>$M$227</f>
        <v>2884.0300940000079</v>
      </c>
      <c r="N233" s="71">
        <f>M233</f>
        <v>2884.0300940000079</v>
      </c>
      <c r="O233" s="26"/>
      <c r="P233" s="26">
        <f>$Q$224</f>
        <v>-8063.2272784810093</v>
      </c>
      <c r="Q233" s="71">
        <f>P233</f>
        <v>-8063.2272784810093</v>
      </c>
      <c r="R233" s="45">
        <f t="shared" ref="R233:R249" si="31">10050+Q233</f>
        <v>1986.7727215189907</v>
      </c>
      <c r="S233" s="382"/>
      <c r="T233" s="29"/>
      <c r="X233" s="91"/>
      <c r="Y233" s="111"/>
      <c r="Z233" s="26"/>
      <c r="AA233" s="120"/>
      <c r="AB233" s="26"/>
      <c r="AC233" s="20"/>
      <c r="AD233" s="92"/>
      <c r="AE233" s="93"/>
      <c r="AF233" s="20"/>
      <c r="AG233" s="20"/>
      <c r="AH233" s="20"/>
      <c r="AI233" s="20"/>
    </row>
    <row r="234" spans="2:35" hidden="1">
      <c r="C234" s="17"/>
      <c r="D234" s="143" t="s">
        <v>110</v>
      </c>
      <c r="E234" s="15"/>
      <c r="G234"/>
      <c r="I234" s="26"/>
      <c r="L234" s="101" t="s">
        <v>102</v>
      </c>
      <c r="M234" s="133">
        <v>-2600</v>
      </c>
      <c r="N234" s="69">
        <f t="shared" ref="N234:N247" si="32">N233+M234</f>
        <v>284.03009400000792</v>
      </c>
      <c r="O234" s="65"/>
      <c r="P234" s="131">
        <f>-M234</f>
        <v>2600</v>
      </c>
      <c r="Q234" s="72">
        <f>Q233+P234</f>
        <v>-5463.2272784810093</v>
      </c>
      <c r="R234" s="45">
        <f t="shared" si="31"/>
        <v>4586.7727215189907</v>
      </c>
      <c r="S234" s="373" t="s">
        <v>66</v>
      </c>
      <c r="X234" s="20"/>
      <c r="Y234" s="112"/>
      <c r="Z234" s="43"/>
      <c r="AA234" s="94"/>
      <c r="AB234" s="95"/>
      <c r="AC234" s="20"/>
      <c r="AD234" s="41"/>
      <c r="AE234" s="93"/>
      <c r="AF234" s="20"/>
      <c r="AG234" s="20"/>
      <c r="AH234" s="20"/>
      <c r="AI234" s="20"/>
    </row>
    <row r="235" spans="2:35" ht="12.75" hidden="1" customHeight="1">
      <c r="C235" s="18" t="s">
        <v>5</v>
      </c>
      <c r="D235" s="14"/>
      <c r="E235" s="14">
        <f>SUM(E232:E234)</f>
        <v>6284.16</v>
      </c>
      <c r="G235" s="518" t="s">
        <v>162</v>
      </c>
      <c r="H235" s="518"/>
      <c r="I235" s="518"/>
      <c r="J235" s="20"/>
      <c r="K235" s="256"/>
      <c r="L235" s="201" t="s">
        <v>159</v>
      </c>
      <c r="M235" s="135">
        <v>-100</v>
      </c>
      <c r="N235" s="69">
        <f t="shared" si="32"/>
        <v>184.03009400000792</v>
      </c>
      <c r="O235" s="65"/>
      <c r="P235" s="131">
        <v>-153.83000000000001</v>
      </c>
      <c r="Q235" s="72">
        <f t="shared" ref="Q235:Q249" si="33">Q234+P235</f>
        <v>-5617.0572784810092</v>
      </c>
      <c r="R235" s="45">
        <f t="shared" si="31"/>
        <v>4432.9427215189908</v>
      </c>
      <c r="S235" s="373" t="s">
        <v>49</v>
      </c>
      <c r="X235" s="20"/>
      <c r="Y235" s="112"/>
      <c r="Z235" s="43"/>
      <c r="AA235" s="94"/>
      <c r="AB235" s="26"/>
      <c r="AC235" s="20"/>
      <c r="AD235" s="92"/>
      <c r="AE235" s="93"/>
      <c r="AF235" s="20"/>
      <c r="AG235" s="20"/>
      <c r="AH235" s="20"/>
      <c r="AI235" s="20"/>
    </row>
    <row r="236" spans="2:35" ht="12.75" hidden="1" customHeight="1">
      <c r="G236"/>
      <c r="H236" s="23" t="s">
        <v>10</v>
      </c>
      <c r="I236" s="44">
        <v>175.44</v>
      </c>
      <c r="J236" s="54"/>
      <c r="K236" s="256"/>
      <c r="L236" s="144" t="s">
        <v>24</v>
      </c>
      <c r="M236" s="147">
        <v>200</v>
      </c>
      <c r="N236" s="69">
        <f t="shared" si="32"/>
        <v>384.03009400000792</v>
      </c>
      <c r="O236" s="48"/>
      <c r="P236" s="131">
        <v>-3144</v>
      </c>
      <c r="Q236" s="72">
        <f t="shared" si="33"/>
        <v>-8761.0572784810101</v>
      </c>
      <c r="R236" s="45">
        <f t="shared" si="31"/>
        <v>1288.9427215189899</v>
      </c>
      <c r="S236" s="373" t="s">
        <v>165</v>
      </c>
      <c r="T236" s="194"/>
      <c r="X236" s="91"/>
      <c r="Y236" s="112"/>
      <c r="Z236" s="43"/>
      <c r="AA236" s="94"/>
      <c r="AB236" s="26"/>
      <c r="AC236" s="20"/>
      <c r="AD236" s="92"/>
      <c r="AE236" s="93"/>
      <c r="AF236" s="20"/>
      <c r="AG236" s="20"/>
      <c r="AH236" s="20"/>
      <c r="AI236" s="20"/>
    </row>
    <row r="237" spans="2:35" hidden="1">
      <c r="C237" s="17" t="s">
        <v>7</v>
      </c>
      <c r="G237"/>
      <c r="H237" s="23" t="s">
        <v>18</v>
      </c>
      <c r="I237" s="44">
        <f>4.39+4.08</f>
        <v>8.4699999999999989</v>
      </c>
      <c r="J237" s="20"/>
      <c r="K237" s="256"/>
      <c r="L237" s="79" t="s">
        <v>148</v>
      </c>
      <c r="M237" s="175">
        <v>200</v>
      </c>
      <c r="N237" s="69">
        <f t="shared" si="32"/>
        <v>584.03009400000792</v>
      </c>
      <c r="O237" s="49"/>
      <c r="P237" s="133">
        <v>-465.94</v>
      </c>
      <c r="Q237" s="72">
        <f t="shared" si="33"/>
        <v>-9226.9972784810107</v>
      </c>
      <c r="R237" s="45">
        <f t="shared" si="31"/>
        <v>823.00272151898935</v>
      </c>
      <c r="S237" s="373" t="s">
        <v>50</v>
      </c>
      <c r="T237" s="20"/>
      <c r="U237" s="20"/>
      <c r="V237" s="103"/>
      <c r="W237" s="103"/>
      <c r="X237" s="20"/>
      <c r="Y237" s="112"/>
      <c r="Z237" s="43"/>
      <c r="AA237" s="94"/>
      <c r="AB237" s="95"/>
      <c r="AC237" s="20"/>
      <c r="AD237" s="96"/>
      <c r="AE237" s="93"/>
      <c r="AF237" s="20"/>
      <c r="AG237" s="20"/>
      <c r="AH237" s="20"/>
      <c r="AI237" s="20"/>
    </row>
    <row r="238" spans="2:35" hidden="1">
      <c r="D238" t="s">
        <v>8</v>
      </c>
      <c r="E238" s="14">
        <f>1204/2</f>
        <v>602</v>
      </c>
      <c r="G238" s="36"/>
      <c r="H238" s="23" t="s">
        <v>20</v>
      </c>
      <c r="I238" s="44">
        <v>7.45</v>
      </c>
      <c r="J238" s="20"/>
      <c r="K238" s="256"/>
      <c r="L238" s="183" t="s">
        <v>51</v>
      </c>
      <c r="M238" s="134">
        <f>E248</f>
        <v>4953.8</v>
      </c>
      <c r="N238" s="69">
        <f t="shared" si="32"/>
        <v>5537.8300940000081</v>
      </c>
      <c r="O238" s="49"/>
      <c r="P238" s="131">
        <v>-76.290000000000006</v>
      </c>
      <c r="Q238" s="72">
        <f t="shared" si="33"/>
        <v>-9303.2872784810115</v>
      </c>
      <c r="R238" s="45">
        <f t="shared" si="31"/>
        <v>746.71272151898847</v>
      </c>
      <c r="S238" s="373" t="s">
        <v>71</v>
      </c>
      <c r="T238" s="20"/>
      <c r="U238" s="20"/>
      <c r="V238" s="20"/>
      <c r="W238" s="20"/>
      <c r="X238" s="20"/>
      <c r="Y238" s="112"/>
      <c r="Z238" s="43"/>
      <c r="AA238" s="94"/>
      <c r="AB238" s="26"/>
      <c r="AC238" s="20"/>
      <c r="AD238" s="41"/>
      <c r="AE238" s="93"/>
      <c r="AF238" s="20"/>
      <c r="AG238" s="20"/>
      <c r="AH238" s="20"/>
      <c r="AI238" s="20"/>
    </row>
    <row r="239" spans="2:35" hidden="1">
      <c r="D239" t="s">
        <v>9</v>
      </c>
      <c r="E239" s="44"/>
      <c r="F239" s="37" t="s">
        <v>15</v>
      </c>
      <c r="G239"/>
      <c r="H239" s="23" t="s">
        <v>19</v>
      </c>
      <c r="I239" s="44">
        <v>43.86</v>
      </c>
      <c r="J239" s="20"/>
      <c r="K239" s="256"/>
      <c r="L239" s="200" t="s">
        <v>126</v>
      </c>
      <c r="M239" s="203">
        <v>-700</v>
      </c>
      <c r="N239" s="69">
        <f t="shared" si="32"/>
        <v>4837.8300940000081</v>
      </c>
      <c r="O239" s="49"/>
      <c r="P239" s="45">
        <v>-341.22</v>
      </c>
      <c r="Q239" s="72">
        <f t="shared" si="33"/>
        <v>-9644.5072784810109</v>
      </c>
      <c r="R239" s="45">
        <f t="shared" si="31"/>
        <v>405.49272151898913</v>
      </c>
      <c r="S239" s="373" t="s">
        <v>50</v>
      </c>
      <c r="T239" s="20"/>
      <c r="U239" s="20"/>
      <c r="V239" s="20"/>
      <c r="W239" s="20"/>
      <c r="X239" s="20"/>
      <c r="Y239" s="112"/>
      <c r="Z239" s="43"/>
      <c r="AA239" s="94"/>
      <c r="AB239" s="26"/>
      <c r="AC239" s="20"/>
      <c r="AD239" s="92"/>
      <c r="AE239" s="93"/>
      <c r="AF239" s="20"/>
      <c r="AG239" s="20"/>
      <c r="AH239" s="20"/>
      <c r="AI239" s="20"/>
    </row>
    <row r="240" spans="2:35" hidden="1">
      <c r="D240" t="s">
        <v>10</v>
      </c>
      <c r="E240" s="19">
        <f>I244</f>
        <v>391.98</v>
      </c>
      <c r="F240" s="37" t="s">
        <v>15</v>
      </c>
      <c r="G240"/>
      <c r="H240" s="23" t="s">
        <v>21</v>
      </c>
      <c r="I240" s="44">
        <v>3.51</v>
      </c>
      <c r="J240" s="20"/>
      <c r="K240" s="256"/>
      <c r="L240" s="184" t="s">
        <v>61</v>
      </c>
      <c r="M240" s="45">
        <v>-203.5</v>
      </c>
      <c r="N240" s="69">
        <f t="shared" si="32"/>
        <v>4634.3300940000081</v>
      </c>
      <c r="O240" s="39"/>
      <c r="P240" s="45">
        <v>-411.5</v>
      </c>
      <c r="Q240" s="72">
        <f t="shared" si="33"/>
        <v>-10056.007278481011</v>
      </c>
      <c r="R240" s="45">
        <f t="shared" si="31"/>
        <v>-6.0072784810108715</v>
      </c>
      <c r="S240" s="373" t="s">
        <v>124</v>
      </c>
      <c r="T240" s="50"/>
      <c r="U240" s="20"/>
      <c r="V240" s="26"/>
      <c r="W240" s="26"/>
      <c r="X240" s="20"/>
      <c r="Y240" s="112"/>
      <c r="Z240" s="43"/>
      <c r="AA240" s="94"/>
      <c r="AB240" s="95"/>
      <c r="AC240" s="20"/>
      <c r="AD240" s="92"/>
      <c r="AE240" s="93"/>
      <c r="AF240" s="20"/>
      <c r="AG240" s="20"/>
      <c r="AH240" s="20"/>
      <c r="AI240" s="20"/>
    </row>
    <row r="241" spans="2:35" hidden="1">
      <c r="D241" t="s">
        <v>22</v>
      </c>
      <c r="E241" s="15"/>
      <c r="F241" s="38"/>
      <c r="G241"/>
      <c r="H241" s="23" t="s">
        <v>26</v>
      </c>
      <c r="I241" s="52">
        <f>446.99</f>
        <v>446.99</v>
      </c>
      <c r="J241" s="20"/>
      <c r="K241" s="256"/>
      <c r="L241" s="185" t="s">
        <v>63</v>
      </c>
      <c r="M241" s="210">
        <v>0</v>
      </c>
      <c r="N241" s="69">
        <f t="shared" si="32"/>
        <v>4634.3300940000081</v>
      </c>
      <c r="O241" s="39"/>
      <c r="P241" s="45">
        <v>3144</v>
      </c>
      <c r="Q241" s="72">
        <f t="shared" si="33"/>
        <v>-6912.0072784810109</v>
      </c>
      <c r="R241" s="196">
        <f t="shared" si="31"/>
        <v>3137.9927215189891</v>
      </c>
      <c r="S241" s="373" t="s">
        <v>165</v>
      </c>
      <c r="T241" s="50"/>
      <c r="U241" s="20"/>
      <c r="V241" s="26"/>
      <c r="W241" s="26"/>
      <c r="X241" s="20"/>
      <c r="Y241" s="112"/>
      <c r="Z241" s="43"/>
      <c r="AA241" s="94"/>
      <c r="AB241" s="26"/>
      <c r="AC241" s="20"/>
      <c r="AD241" s="92"/>
      <c r="AE241" s="97"/>
      <c r="AF241" s="20"/>
      <c r="AG241" s="20"/>
      <c r="AH241" s="20"/>
      <c r="AI241" s="20"/>
    </row>
    <row r="242" spans="2:35" ht="12.75" hidden="1" customHeight="1">
      <c r="C242" s="18" t="s">
        <v>5</v>
      </c>
      <c r="E242" s="19">
        <f>SUM(E238:E241)</f>
        <v>993.98</v>
      </c>
      <c r="G242"/>
      <c r="H242" s="116" t="s">
        <v>105</v>
      </c>
      <c r="I242" s="44">
        <f>SUM(I236:I241)</f>
        <v>685.72</v>
      </c>
      <c r="J242" s="20"/>
      <c r="K242" s="256"/>
      <c r="L242" s="186" t="s">
        <v>23</v>
      </c>
      <c r="M242" s="136">
        <v>-235.45</v>
      </c>
      <c r="N242" s="69">
        <f t="shared" si="32"/>
        <v>4398.8800940000083</v>
      </c>
      <c r="O242" s="39"/>
      <c r="P242" s="132">
        <v>-118.9</v>
      </c>
      <c r="Q242" s="72">
        <f t="shared" si="33"/>
        <v>-7030.9072784810105</v>
      </c>
      <c r="R242" s="45">
        <f t="shared" si="31"/>
        <v>3019.0927215189895</v>
      </c>
      <c r="S242" s="373" t="s">
        <v>101</v>
      </c>
      <c r="T242" s="80"/>
      <c r="U242" s="74"/>
      <c r="V242" s="26"/>
      <c r="W242" s="26"/>
      <c r="X242" s="20"/>
      <c r="Y242" s="112"/>
      <c r="Z242" s="43"/>
      <c r="AA242" s="94"/>
      <c r="AB242" s="26"/>
      <c r="AC242" s="20"/>
      <c r="AD242" s="20"/>
      <c r="AE242" s="93"/>
      <c r="AF242" s="20"/>
      <c r="AG242" s="20"/>
      <c r="AH242" s="20"/>
      <c r="AI242" s="20"/>
    </row>
    <row r="243" spans="2:35" ht="12.75" hidden="1" customHeight="1">
      <c r="C243" s="18"/>
      <c r="G243"/>
      <c r="H243" s="46" t="s">
        <v>27</v>
      </c>
      <c r="I243" s="45">
        <f>-253.77-39.97</f>
        <v>-293.74</v>
      </c>
      <c r="J243" s="20"/>
      <c r="K243" s="256"/>
      <c r="L243" s="185" t="s">
        <v>63</v>
      </c>
      <c r="M243" s="210">
        <v>0</v>
      </c>
      <c r="N243" s="69">
        <f t="shared" si="32"/>
        <v>4398.8800940000083</v>
      </c>
      <c r="O243" s="39"/>
      <c r="P243" s="132">
        <v>-25.99</v>
      </c>
      <c r="Q243" s="72">
        <f t="shared" si="33"/>
        <v>-7056.8972784810103</v>
      </c>
      <c r="R243" s="45">
        <f t="shared" si="31"/>
        <v>2993.1027215189897</v>
      </c>
      <c r="S243" s="373" t="s">
        <v>50</v>
      </c>
      <c r="T243" s="50"/>
      <c r="U243" s="74"/>
      <c r="V243" s="26"/>
      <c r="W243" s="26"/>
      <c r="X243" s="91"/>
      <c r="Y243" s="20"/>
      <c r="Z243" s="43"/>
      <c r="AA243" s="94"/>
      <c r="AB243" s="95"/>
      <c r="AC243" s="20"/>
      <c r="AD243" s="98"/>
      <c r="AE243" s="93"/>
      <c r="AF243" s="120"/>
      <c r="AG243" s="20"/>
      <c r="AH243" s="20"/>
      <c r="AI243" s="20"/>
    </row>
    <row r="244" spans="2:35" ht="13.5" hidden="1" thickBot="1">
      <c r="D244" s="16" t="s">
        <v>67</v>
      </c>
      <c r="E244" s="27">
        <f>E235-E242</f>
        <v>5290.18</v>
      </c>
      <c r="G244"/>
      <c r="H244" s="116" t="s">
        <v>5</v>
      </c>
      <c r="I244" s="53">
        <f>SUM(I242:I243)</f>
        <v>391.98</v>
      </c>
      <c r="J244" s="20"/>
      <c r="K244" s="256"/>
      <c r="L244" s="187" t="s">
        <v>16</v>
      </c>
      <c r="M244" s="133">
        <v>-503.99</v>
      </c>
      <c r="N244" s="69">
        <f t="shared" si="32"/>
        <v>3894.8900940000085</v>
      </c>
      <c r="O244" s="39"/>
      <c r="P244" s="132">
        <v>-39.950000000000003</v>
      </c>
      <c r="Q244" s="72">
        <f t="shared" si="33"/>
        <v>-7096.8472784810101</v>
      </c>
      <c r="R244" s="45">
        <f t="shared" si="31"/>
        <v>2953.1527215189899</v>
      </c>
      <c r="S244" s="373" t="s">
        <v>169</v>
      </c>
      <c r="T244" s="66"/>
      <c r="U244" s="65"/>
      <c r="V244" s="26"/>
      <c r="W244" s="26"/>
      <c r="X244" s="35"/>
      <c r="Y244" s="20"/>
      <c r="Z244" s="43"/>
      <c r="AA244" s="94"/>
      <c r="AB244" s="26"/>
      <c r="AC244" s="20"/>
      <c r="AD244" s="20"/>
      <c r="AE244" s="20"/>
      <c r="AF244" s="99"/>
      <c r="AG244" s="20"/>
      <c r="AH244" s="20"/>
      <c r="AI244" s="20"/>
    </row>
    <row r="245" spans="2:35" hidden="1">
      <c r="D245" s="17"/>
      <c r="E245" s="40"/>
      <c r="G245"/>
      <c r="H245" s="23"/>
      <c r="I245" s="161"/>
      <c r="J245" s="20"/>
      <c r="K245" s="256"/>
      <c r="L245" s="188" t="s">
        <v>63</v>
      </c>
      <c r="M245" s="210">
        <v>0</v>
      </c>
      <c r="N245" s="69">
        <f t="shared" si="32"/>
        <v>3894.8900940000085</v>
      </c>
      <c r="O245" s="39"/>
      <c r="P245" s="132">
        <v>-160.27000000000001</v>
      </c>
      <c r="Q245" s="72">
        <f t="shared" si="33"/>
        <v>-7257.1172784810105</v>
      </c>
      <c r="R245" s="45">
        <f t="shared" si="31"/>
        <v>2792.8827215189895</v>
      </c>
      <c r="S245" s="379" t="s">
        <v>50</v>
      </c>
      <c r="T245" s="212"/>
      <c r="U245" s="65"/>
      <c r="V245" s="20"/>
      <c r="W245" s="20"/>
      <c r="X245" s="20"/>
      <c r="Y245" s="111"/>
      <c r="Z245" s="43"/>
      <c r="AA245" s="94"/>
      <c r="AB245" s="26"/>
      <c r="AC245" s="20"/>
      <c r="AD245" s="20"/>
      <c r="AE245" s="20"/>
      <c r="AF245" s="20"/>
      <c r="AG245" s="20"/>
      <c r="AH245" s="20"/>
      <c r="AI245" s="20"/>
    </row>
    <row r="246" spans="2:35" hidden="1">
      <c r="D246" s="17"/>
      <c r="E246" s="40"/>
      <c r="G246"/>
      <c r="H246" s="23"/>
      <c r="I246" s="45"/>
      <c r="J246" s="20"/>
      <c r="K246" s="256"/>
      <c r="L246" s="189" t="s">
        <v>56</v>
      </c>
      <c r="M246" s="137">
        <v>-525</v>
      </c>
      <c r="N246" s="69">
        <f t="shared" si="32"/>
        <v>3369.8900940000085</v>
      </c>
      <c r="O246" s="42"/>
      <c r="P246" s="132">
        <v>-49.48</v>
      </c>
      <c r="Q246" s="72">
        <f t="shared" si="33"/>
        <v>-7306.5972784810101</v>
      </c>
      <c r="R246" s="45">
        <f t="shared" si="31"/>
        <v>2743.4027215189899</v>
      </c>
      <c r="S246" s="379" t="s">
        <v>71</v>
      </c>
      <c r="T246" s="212"/>
      <c r="U246" s="65"/>
      <c r="V246" s="20"/>
      <c r="W246" s="20"/>
      <c r="X246" s="91"/>
      <c r="Y246" s="111"/>
      <c r="Z246" s="43"/>
      <c r="AA246" s="94"/>
      <c r="AB246" s="95"/>
      <c r="AC246" s="20"/>
      <c r="AD246" s="20"/>
      <c r="AE246" s="20"/>
      <c r="AF246" s="20"/>
      <c r="AG246" s="20"/>
      <c r="AH246" s="20"/>
      <c r="AI246" s="20"/>
    </row>
    <row r="247" spans="2:35" hidden="1">
      <c r="C247" s="81" t="s">
        <v>17</v>
      </c>
      <c r="E247" s="42"/>
      <c r="G247"/>
      <c r="H247" s="23"/>
      <c r="I247" s="14"/>
      <c r="J247" s="20"/>
      <c r="K247" s="256"/>
      <c r="L247" s="185" t="s">
        <v>63</v>
      </c>
      <c r="M247" s="210">
        <v>0</v>
      </c>
      <c r="N247" s="70">
        <f t="shared" si="32"/>
        <v>3369.8900940000085</v>
      </c>
      <c r="O247" s="26"/>
      <c r="P247" s="132">
        <v>-43.78</v>
      </c>
      <c r="Q247" s="72">
        <f t="shared" si="33"/>
        <v>-7350.3772784810099</v>
      </c>
      <c r="R247" s="45">
        <f t="shared" si="31"/>
        <v>2699.6227215189901</v>
      </c>
      <c r="S247" s="379" t="s">
        <v>141</v>
      </c>
      <c r="T247" s="212"/>
      <c r="U247" s="65"/>
      <c r="V247" s="20"/>
      <c r="W247" s="20"/>
      <c r="X247" s="20"/>
      <c r="Y247" s="111"/>
      <c r="Z247" s="43"/>
      <c r="AA247" s="94"/>
      <c r="AB247" s="26"/>
      <c r="AC247" s="20"/>
      <c r="AD247" s="20"/>
      <c r="AE247" s="20"/>
      <c r="AF247" s="20"/>
      <c r="AG247" s="120"/>
      <c r="AH247" s="20"/>
      <c r="AI247" s="20"/>
    </row>
    <row r="248" spans="2:35" hidden="1">
      <c r="D248" s="20" t="s">
        <v>14</v>
      </c>
      <c r="E248" s="42">
        <v>4953.8</v>
      </c>
      <c r="F248" s="20"/>
      <c r="G248" s="20"/>
      <c r="H248" s="46"/>
      <c r="L248" s="23"/>
      <c r="M248" s="168">
        <f>SUM(M233:M247)</f>
        <v>3369.8900940000085</v>
      </c>
      <c r="O248" s="26"/>
      <c r="P248" s="132">
        <v>-1011.5</v>
      </c>
      <c r="Q248" s="72">
        <f t="shared" si="33"/>
        <v>-8361.8772784810099</v>
      </c>
      <c r="R248" s="45">
        <f t="shared" si="31"/>
        <v>1688.1227215189901</v>
      </c>
      <c r="S248" s="379" t="s">
        <v>172</v>
      </c>
      <c r="T248" s="212"/>
      <c r="U248" s="83"/>
      <c r="V248" s="20"/>
      <c r="W248" s="20"/>
      <c r="X248" s="20"/>
      <c r="Y248" s="111"/>
      <c r="Z248" s="43"/>
      <c r="AA248" s="94"/>
      <c r="AB248" s="26"/>
      <c r="AC248" s="20"/>
      <c r="AD248" s="20"/>
      <c r="AE248" s="20"/>
      <c r="AF248" s="20"/>
      <c r="AG248" s="20"/>
      <c r="AH248" s="20"/>
      <c r="AI248" s="20"/>
    </row>
    <row r="249" spans="2:35" ht="12.75" hidden="1" customHeight="1">
      <c r="D249" s="78" t="s">
        <v>13</v>
      </c>
      <c r="E249" s="15">
        <f>E244-E248</f>
        <v>336.38000000000011</v>
      </c>
      <c r="F249" s="78"/>
      <c r="G249" s="516">
        <f>SUM(E248:E249)</f>
        <v>5290.18</v>
      </c>
      <c r="H249" s="516"/>
      <c r="M249" s="26"/>
      <c r="N249" s="29"/>
      <c r="O249" s="26"/>
      <c r="P249" s="49">
        <f>E249+100</f>
        <v>436.38000000000011</v>
      </c>
      <c r="Q249" s="73">
        <f t="shared" si="33"/>
        <v>-7925.4972784810097</v>
      </c>
      <c r="R249" s="105">
        <f t="shared" si="31"/>
        <v>2124.5027215189903</v>
      </c>
      <c r="S249" s="383" t="s">
        <v>64</v>
      </c>
      <c r="T249" s="212"/>
      <c r="U249" s="84"/>
      <c r="V249" s="26"/>
      <c r="W249" s="26"/>
      <c r="X249" s="91"/>
      <c r="Y249" s="20"/>
      <c r="Z249" s="43"/>
      <c r="AA249" s="94"/>
      <c r="AB249" s="26"/>
      <c r="AC249" s="20"/>
      <c r="AD249" s="20"/>
      <c r="AE249" s="20"/>
      <c r="AF249" s="20"/>
      <c r="AG249" s="20"/>
      <c r="AH249" s="20"/>
      <c r="AI249" s="20"/>
    </row>
    <row r="250" spans="2:35" hidden="1">
      <c r="D250" s="20"/>
      <c r="E250" s="26"/>
      <c r="F250" s="20"/>
      <c r="G250" s="217"/>
      <c r="H250" s="217"/>
      <c r="M250" s="26"/>
      <c r="N250" s="29"/>
      <c r="O250" s="26"/>
      <c r="P250" s="64">
        <f>SUM(P233:P249)</f>
        <v>-7925.4972784810097</v>
      </c>
      <c r="Q250" s="63"/>
      <c r="R250" s="63"/>
      <c r="S250" s="377"/>
      <c r="T250" s="216"/>
      <c r="U250" s="84"/>
      <c r="V250" s="26"/>
      <c r="W250" s="26"/>
      <c r="X250" s="91"/>
      <c r="Y250" s="20"/>
      <c r="Z250" s="43"/>
      <c r="AA250" s="94"/>
      <c r="AB250" s="26"/>
      <c r="AC250" s="20"/>
      <c r="AD250" s="20"/>
      <c r="AE250" s="20"/>
      <c r="AF250" s="20"/>
      <c r="AG250" s="20"/>
      <c r="AH250" s="20"/>
      <c r="AI250" s="20"/>
    </row>
    <row r="251" spans="2:35" s="78" customFormat="1" hidden="1">
      <c r="C251" s="154"/>
      <c r="D251" s="15"/>
      <c r="E251" s="52"/>
      <c r="F251" s="88"/>
      <c r="G251" s="213"/>
      <c r="H251" s="213"/>
      <c r="K251" s="257"/>
      <c r="M251" s="15"/>
      <c r="O251" s="15"/>
      <c r="P251" s="113"/>
      <c r="Q251" s="156"/>
      <c r="R251" s="157"/>
      <c r="S251" s="386"/>
      <c r="T251" s="211"/>
      <c r="V251" s="15"/>
      <c r="W251" s="15"/>
      <c r="X251" s="158"/>
      <c r="Z251" s="159"/>
      <c r="AA251" s="160"/>
      <c r="AB251" s="15"/>
    </row>
    <row r="252" spans="2:35" hidden="1"/>
    <row r="253" spans="2:35" hidden="1">
      <c r="B253" s="1045" t="s">
        <v>167</v>
      </c>
      <c r="C253" s="1045"/>
      <c r="D253" s="1045"/>
      <c r="E253" s="1045"/>
      <c r="G253" s="31"/>
      <c r="H253" s="31"/>
      <c r="I253" s="26"/>
      <c r="L253" s="59"/>
      <c r="M253" s="1042" t="s">
        <v>54</v>
      </c>
      <c r="N253" s="222"/>
      <c r="O253" s="222"/>
      <c r="P253" s="1044" t="s">
        <v>48</v>
      </c>
      <c r="Q253" s="223"/>
      <c r="R253" s="223"/>
      <c r="S253" s="377"/>
      <c r="X253" s="35"/>
      <c r="Y253" s="35"/>
      <c r="Z253" s="26"/>
      <c r="AA253" s="120"/>
      <c r="AB253" s="26"/>
      <c r="AC253" s="20"/>
      <c r="AD253" s="20"/>
      <c r="AE253" s="20"/>
      <c r="AF253" s="20"/>
      <c r="AG253" s="20"/>
      <c r="AH253" s="20"/>
      <c r="AI253" s="20"/>
    </row>
    <row r="254" spans="2:35" ht="12.75" hidden="1" customHeight="1">
      <c r="C254" s="17" t="s">
        <v>12</v>
      </c>
      <c r="D254" s="14"/>
      <c r="E254" s="44">
        <v>6000</v>
      </c>
      <c r="G254" s="514"/>
      <c r="H254" s="514"/>
      <c r="I254" s="26"/>
      <c r="L254" s="60"/>
      <c r="M254" s="1042"/>
      <c r="N254" s="222" t="s">
        <v>52</v>
      </c>
      <c r="O254" s="222"/>
      <c r="P254" s="1044"/>
      <c r="Q254" s="223" t="s">
        <v>43</v>
      </c>
      <c r="R254" s="223" t="s">
        <v>53</v>
      </c>
      <c r="S254" s="377"/>
      <c r="X254" s="118"/>
      <c r="Y254" s="111"/>
      <c r="Z254" s="117"/>
      <c r="AA254" s="89"/>
      <c r="AB254" s="90"/>
      <c r="AC254" s="20"/>
      <c r="AD254" s="41"/>
      <c r="AE254" s="20"/>
      <c r="AF254" s="20"/>
      <c r="AG254" s="20"/>
      <c r="AH254" s="20"/>
      <c r="AI254" s="20"/>
    </row>
    <row r="255" spans="2:35" hidden="1">
      <c r="C255" s="17"/>
      <c r="D255" s="14" t="s">
        <v>24</v>
      </c>
      <c r="E255" s="44">
        <f>'[2]OCTOBER ''11'!$C$94</f>
        <v>818</v>
      </c>
      <c r="G255" s="30"/>
      <c r="H255" s="30"/>
      <c r="I255" s="26"/>
      <c r="L255" s="46" t="s">
        <v>55</v>
      </c>
      <c r="M255" s="26">
        <f>$M$248</f>
        <v>3369.8900940000085</v>
      </c>
      <c r="N255" s="71">
        <f>M255</f>
        <v>3369.8900940000085</v>
      </c>
      <c r="O255" s="26"/>
      <c r="P255" s="26">
        <f>$Q$249</f>
        <v>-7925.4972784810097</v>
      </c>
      <c r="Q255" s="71">
        <f>P255</f>
        <v>-7925.4972784810097</v>
      </c>
      <c r="R255" s="45">
        <f t="shared" ref="R255:R268" si="34">10050+Q255</f>
        <v>2124.5027215189903</v>
      </c>
      <c r="S255" s="382"/>
      <c r="T255" s="29"/>
      <c r="X255" s="91"/>
      <c r="Y255" s="111"/>
      <c r="Z255" s="26"/>
      <c r="AA255" s="120"/>
      <c r="AB255" s="26"/>
      <c r="AC255" s="20"/>
      <c r="AD255" s="92"/>
      <c r="AE255" s="93"/>
      <c r="AF255" s="20"/>
      <c r="AG255" s="20"/>
      <c r="AH255" s="20"/>
      <c r="AI255" s="20"/>
    </row>
    <row r="256" spans="2:35" hidden="1">
      <c r="C256" s="17"/>
      <c r="D256" s="143" t="s">
        <v>110</v>
      </c>
      <c r="E256" s="15"/>
      <c r="G256"/>
      <c r="I256" s="26"/>
      <c r="L256" s="101" t="s">
        <v>102</v>
      </c>
      <c r="M256" s="133">
        <v>-3000</v>
      </c>
      <c r="N256" s="69">
        <f t="shared" ref="N256:N265" si="35">N255+M256</f>
        <v>369.8900940000085</v>
      </c>
      <c r="O256" s="65"/>
      <c r="P256" s="131">
        <v>-920</v>
      </c>
      <c r="Q256" s="72">
        <f>Q255+P256</f>
        <v>-8845.4972784810088</v>
      </c>
      <c r="R256" s="45">
        <f t="shared" si="34"/>
        <v>1204.5027215189912</v>
      </c>
      <c r="S256" s="373" t="s">
        <v>170</v>
      </c>
      <c r="X256" s="20"/>
      <c r="Y256" s="112"/>
      <c r="Z256" s="43"/>
      <c r="AA256" s="94"/>
      <c r="AB256" s="95"/>
      <c r="AC256" s="20"/>
      <c r="AD256" s="41"/>
      <c r="AE256" s="93"/>
      <c r="AF256" s="20"/>
      <c r="AG256" s="20"/>
      <c r="AH256" s="20"/>
      <c r="AI256" s="20"/>
    </row>
    <row r="257" spans="3:35" ht="12.75" hidden="1" customHeight="1">
      <c r="C257" s="18" t="s">
        <v>5</v>
      </c>
      <c r="D257" s="14"/>
      <c r="E257" s="14">
        <f>SUM(E254:E256)</f>
        <v>6818</v>
      </c>
      <c r="G257" s="518" t="s">
        <v>168</v>
      </c>
      <c r="H257" s="518"/>
      <c r="I257" s="518"/>
      <c r="J257" s="20"/>
      <c r="K257" s="256"/>
      <c r="L257" s="201" t="s">
        <v>159</v>
      </c>
      <c r="M257" s="135">
        <v>-100</v>
      </c>
      <c r="N257" s="69">
        <f t="shared" si="35"/>
        <v>269.8900940000085</v>
      </c>
      <c r="O257" s="65"/>
      <c r="P257" s="131">
        <v>-390.4</v>
      </c>
      <c r="Q257" s="72">
        <f>Q256+P257</f>
        <v>-9235.8972784810085</v>
      </c>
      <c r="R257" s="45">
        <f t="shared" si="34"/>
        <v>814.10272151899153</v>
      </c>
      <c r="S257" s="373" t="s">
        <v>171</v>
      </c>
      <c r="X257" s="20"/>
      <c r="Y257" s="112"/>
      <c r="Z257" s="43"/>
      <c r="AA257" s="94"/>
      <c r="AB257" s="26"/>
      <c r="AC257" s="20"/>
      <c r="AD257" s="92"/>
      <c r="AE257" s="93"/>
      <c r="AF257" s="20"/>
      <c r="AG257" s="20"/>
      <c r="AH257" s="20"/>
      <c r="AI257" s="20"/>
    </row>
    <row r="258" spans="3:35" ht="12.75" hidden="1" customHeight="1">
      <c r="G258"/>
      <c r="H258" s="23" t="s">
        <v>10</v>
      </c>
      <c r="I258" s="44">
        <v>175.44</v>
      </c>
      <c r="J258" s="54"/>
      <c r="K258" s="256"/>
      <c r="L258" s="79" t="s">
        <v>148</v>
      </c>
      <c r="M258" s="175">
        <v>200</v>
      </c>
      <c r="N258" s="69">
        <f t="shared" si="35"/>
        <v>469.8900940000085</v>
      </c>
      <c r="O258" s="48"/>
      <c r="P258" s="133">
        <v>3000</v>
      </c>
      <c r="Q258" s="72">
        <f t="shared" ref="Q258:Q268" si="36">Q257+P258</f>
        <v>-6235.8972784810085</v>
      </c>
      <c r="R258" s="45">
        <f t="shared" si="34"/>
        <v>3814.1027215189915</v>
      </c>
      <c r="S258" s="373" t="s">
        <v>66</v>
      </c>
      <c r="T258" s="194"/>
      <c r="X258" s="91"/>
      <c r="Y258" s="112"/>
      <c r="Z258" s="43"/>
      <c r="AA258" s="94"/>
      <c r="AB258" s="26"/>
      <c r="AC258" s="20"/>
      <c r="AD258" s="92"/>
      <c r="AE258" s="93"/>
      <c r="AF258" s="20"/>
      <c r="AG258" s="20"/>
      <c r="AH258" s="20"/>
      <c r="AI258" s="20"/>
    </row>
    <row r="259" spans="3:35" hidden="1">
      <c r="C259" s="17" t="s">
        <v>7</v>
      </c>
      <c r="G259"/>
      <c r="H259" s="23" t="s">
        <v>18</v>
      </c>
      <c r="I259" s="44">
        <f>4.39+4.08</f>
        <v>8.4699999999999989</v>
      </c>
      <c r="J259" s="20"/>
      <c r="K259" s="256"/>
      <c r="L259" s="183" t="s">
        <v>51</v>
      </c>
      <c r="M259" s="134">
        <f>E270</f>
        <v>4953.8</v>
      </c>
      <c r="N259" s="69">
        <f t="shared" si="35"/>
        <v>5423.6900940000087</v>
      </c>
      <c r="O259" s="49"/>
      <c r="P259" s="133">
        <v>-98.24</v>
      </c>
      <c r="Q259" s="72">
        <f t="shared" si="36"/>
        <v>-6334.1372784810083</v>
      </c>
      <c r="R259" s="45">
        <f t="shared" si="34"/>
        <v>3715.8627215189917</v>
      </c>
      <c r="S259" s="373" t="s">
        <v>174</v>
      </c>
      <c r="T259" s="20"/>
      <c r="U259" s="20"/>
      <c r="V259" s="103"/>
      <c r="W259" s="103"/>
      <c r="X259" s="20"/>
      <c r="Y259" s="112"/>
      <c r="Z259" s="43"/>
      <c r="AA259" s="94"/>
      <c r="AB259" s="95"/>
      <c r="AC259" s="20"/>
      <c r="AD259" s="96"/>
      <c r="AE259" s="93"/>
      <c r="AF259" s="20"/>
      <c r="AG259" s="20"/>
      <c r="AH259" s="20"/>
      <c r="AI259" s="20"/>
    </row>
    <row r="260" spans="3:35" hidden="1">
      <c r="D260" t="s">
        <v>8</v>
      </c>
      <c r="E260" s="14">
        <f>1204/2</f>
        <v>602</v>
      </c>
      <c r="G260" s="36"/>
      <c r="H260" s="23" t="s">
        <v>20</v>
      </c>
      <c r="I260" s="44">
        <v>7.45</v>
      </c>
      <c r="J260" s="20"/>
      <c r="K260" s="256"/>
      <c r="L260" s="200" t="s">
        <v>126</v>
      </c>
      <c r="M260" s="203">
        <v>-700</v>
      </c>
      <c r="N260" s="69">
        <f t="shared" si="35"/>
        <v>4723.6900940000087</v>
      </c>
      <c r="O260" s="49"/>
      <c r="P260" s="131">
        <v>-239.3</v>
      </c>
      <c r="Q260" s="72">
        <f t="shared" si="36"/>
        <v>-6573.4372784810084</v>
      </c>
      <c r="R260" s="45">
        <f t="shared" si="34"/>
        <v>3476.5627215189916</v>
      </c>
      <c r="S260" s="373" t="s">
        <v>175</v>
      </c>
      <c r="T260" s="20"/>
      <c r="U260" s="20"/>
      <c r="V260" s="20"/>
      <c r="W260" s="20"/>
      <c r="X260" s="20"/>
      <c r="Y260" s="112"/>
      <c r="Z260" s="43"/>
      <c r="AA260" s="94"/>
      <c r="AB260" s="26"/>
      <c r="AC260" s="20"/>
      <c r="AD260" s="41"/>
      <c r="AE260" s="93"/>
      <c r="AF260" s="20"/>
      <c r="AG260" s="20"/>
      <c r="AH260" s="20"/>
      <c r="AI260" s="20"/>
    </row>
    <row r="261" spans="3:35" hidden="1">
      <c r="D261" t="s">
        <v>9</v>
      </c>
      <c r="E261" s="44"/>
      <c r="F261" s="37" t="s">
        <v>15</v>
      </c>
      <c r="G261"/>
      <c r="H261" s="23" t="s">
        <v>19</v>
      </c>
      <c r="I261" s="44">
        <v>43.86</v>
      </c>
      <c r="J261" s="20"/>
      <c r="K261" s="256"/>
      <c r="L261" s="184" t="s">
        <v>180</v>
      </c>
      <c r="M261" s="45">
        <v>-95</v>
      </c>
      <c r="N261" s="69">
        <f t="shared" si="35"/>
        <v>4628.6900940000087</v>
      </c>
      <c r="O261" s="49"/>
      <c r="P261" s="45">
        <v>1011.5</v>
      </c>
      <c r="Q261" s="72">
        <f t="shared" si="36"/>
        <v>-5561.9372784810084</v>
      </c>
      <c r="R261" s="45">
        <f t="shared" si="34"/>
        <v>4488.0627215189916</v>
      </c>
      <c r="S261" s="373" t="s">
        <v>150</v>
      </c>
      <c r="T261" s="20"/>
      <c r="U261" s="20"/>
      <c r="V261" s="20"/>
      <c r="W261" s="20"/>
      <c r="X261" s="20"/>
      <c r="Y261" s="112"/>
      <c r="Z261" s="43"/>
      <c r="AA261" s="94"/>
      <c r="AB261" s="26"/>
      <c r="AC261" s="20"/>
      <c r="AD261" s="92"/>
      <c r="AE261" s="93"/>
      <c r="AF261" s="20"/>
      <c r="AG261" s="20"/>
      <c r="AH261" s="20"/>
      <c r="AI261" s="20"/>
    </row>
    <row r="262" spans="3:35" hidden="1">
      <c r="D262" t="s">
        <v>10</v>
      </c>
      <c r="E262" s="19">
        <f>I266</f>
        <v>296.49999999999994</v>
      </c>
      <c r="F262" s="37" t="s">
        <v>15</v>
      </c>
      <c r="G262"/>
      <c r="H262" s="23" t="s">
        <v>21</v>
      </c>
      <c r="I262" s="44">
        <v>3.51</v>
      </c>
      <c r="J262" s="20"/>
      <c r="K262" s="256"/>
      <c r="L262" s="184" t="s">
        <v>61</v>
      </c>
      <c r="M262" s="45">
        <v>-203.5</v>
      </c>
      <c r="N262" s="69">
        <f t="shared" si="35"/>
        <v>4425.1900940000087</v>
      </c>
      <c r="O262" s="39"/>
      <c r="P262" s="45">
        <v>-42.53</v>
      </c>
      <c r="Q262" s="72">
        <f t="shared" si="36"/>
        <v>-5604.4672784810082</v>
      </c>
      <c r="R262" s="45">
        <f t="shared" si="34"/>
        <v>4445.5327215189918</v>
      </c>
      <c r="S262" s="373" t="s">
        <v>49</v>
      </c>
      <c r="T262" s="50"/>
      <c r="U262" s="20"/>
      <c r="V262" s="26"/>
      <c r="W262" s="26"/>
      <c r="X262" s="20"/>
      <c r="Y262" s="112"/>
      <c r="Z262" s="43"/>
      <c r="AA262" s="94"/>
      <c r="AB262" s="95"/>
      <c r="AC262" s="20"/>
      <c r="AD262" s="92"/>
      <c r="AE262" s="93"/>
      <c r="AF262" s="20"/>
      <c r="AG262" s="20"/>
      <c r="AH262" s="20"/>
      <c r="AI262" s="20"/>
    </row>
    <row r="263" spans="3:35" hidden="1">
      <c r="D263" t="s">
        <v>22</v>
      </c>
      <c r="E263" s="15"/>
      <c r="F263" s="38"/>
      <c r="G263"/>
      <c r="H263" s="23" t="s">
        <v>26</v>
      </c>
      <c r="I263" s="52">
        <v>271.64999999999998</v>
      </c>
      <c r="J263" s="20"/>
      <c r="K263" s="256"/>
      <c r="L263" s="184" t="s">
        <v>23</v>
      </c>
      <c r="M263" s="146">
        <v>-221.9</v>
      </c>
      <c r="N263" s="69">
        <f t="shared" si="35"/>
        <v>4203.290094000009</v>
      </c>
      <c r="O263" s="39"/>
      <c r="P263" s="45">
        <v>-611.5</v>
      </c>
      <c r="Q263" s="72">
        <f t="shared" si="36"/>
        <v>-6215.9672784810082</v>
      </c>
      <c r="R263" s="196">
        <f t="shared" si="34"/>
        <v>3834.0327215189918</v>
      </c>
      <c r="S263" s="373" t="s">
        <v>124</v>
      </c>
      <c r="T263" s="50"/>
      <c r="U263" s="20"/>
      <c r="V263" s="26"/>
      <c r="W263" s="26"/>
      <c r="X263" s="20"/>
      <c r="Y263" s="112"/>
      <c r="Z263" s="43"/>
      <c r="AA263" s="94"/>
      <c r="AB263" s="26"/>
      <c r="AC263" s="20"/>
      <c r="AD263" s="92"/>
      <c r="AE263" s="97"/>
      <c r="AF263" s="20"/>
      <c r="AG263" s="20"/>
      <c r="AH263" s="20"/>
      <c r="AI263" s="20"/>
    </row>
    <row r="264" spans="3:35" ht="12.75" hidden="1" customHeight="1">
      <c r="C264" s="18" t="s">
        <v>5</v>
      </c>
      <c r="E264" s="19">
        <f>SUM(E260:E263)</f>
        <v>898.5</v>
      </c>
      <c r="G264"/>
      <c r="H264" s="116" t="s">
        <v>105</v>
      </c>
      <c r="I264" s="44">
        <f>SUM(I258:I263)</f>
        <v>510.37999999999994</v>
      </c>
      <c r="J264" s="20"/>
      <c r="K264" s="256"/>
      <c r="L264" s="187" t="s">
        <v>16</v>
      </c>
      <c r="M264" s="175">
        <v>-483.99</v>
      </c>
      <c r="N264" s="69">
        <f t="shared" si="35"/>
        <v>3719.3000940000093</v>
      </c>
      <c r="O264" s="39"/>
      <c r="P264" s="132">
        <v>-333.4</v>
      </c>
      <c r="Q264" s="72">
        <f t="shared" si="36"/>
        <v>-6549.3672784810078</v>
      </c>
      <c r="R264" s="45">
        <f t="shared" si="34"/>
        <v>3500.6327215189922</v>
      </c>
      <c r="S264" s="373" t="s">
        <v>150</v>
      </c>
      <c r="T264" s="80"/>
      <c r="U264" s="74"/>
      <c r="V264" s="26"/>
      <c r="W264" s="26"/>
      <c r="X264" s="20"/>
      <c r="Y264" s="112"/>
      <c r="Z264" s="43"/>
      <c r="AA264" s="94"/>
      <c r="AB264" s="26"/>
      <c r="AC264" s="20"/>
      <c r="AD264" s="20"/>
      <c r="AE264" s="93"/>
      <c r="AF264" s="20"/>
      <c r="AG264" s="20"/>
      <c r="AH264" s="20"/>
      <c r="AI264" s="20"/>
    </row>
    <row r="265" spans="3:35" ht="12.75" hidden="1" customHeight="1">
      <c r="C265" s="18"/>
      <c r="G265"/>
      <c r="H265" s="46" t="s">
        <v>27</v>
      </c>
      <c r="I265" s="45">
        <f>-142.21-21.67-50</f>
        <v>-213.88</v>
      </c>
      <c r="J265" s="20"/>
      <c r="K265" s="256"/>
      <c r="L265" s="218" t="s">
        <v>56</v>
      </c>
      <c r="M265" s="147">
        <v>-595</v>
      </c>
      <c r="N265" s="70">
        <f t="shared" si="35"/>
        <v>3124.3000940000093</v>
      </c>
      <c r="O265" s="39"/>
      <c r="P265" s="132">
        <v>-278.26</v>
      </c>
      <c r="Q265" s="72">
        <f t="shared" si="36"/>
        <v>-6827.627278481008</v>
      </c>
      <c r="R265" s="45">
        <f t="shared" si="34"/>
        <v>3222.372721518992</v>
      </c>
      <c r="S265" s="373" t="s">
        <v>50</v>
      </c>
      <c r="T265" s="50"/>
      <c r="U265" s="74"/>
      <c r="V265" s="26"/>
      <c r="W265" s="26"/>
      <c r="X265" s="91"/>
      <c r="Y265" s="20"/>
      <c r="Z265" s="43"/>
      <c r="AA265" s="94"/>
      <c r="AB265" s="95"/>
      <c r="AC265" s="20"/>
      <c r="AD265" s="98"/>
      <c r="AE265" s="93"/>
      <c r="AF265" s="120"/>
      <c r="AG265" s="20"/>
      <c r="AH265" s="20"/>
      <c r="AI265" s="20"/>
    </row>
    <row r="266" spans="3:35" ht="13.5" hidden="1" thickBot="1">
      <c r="D266" s="16" t="s">
        <v>67</v>
      </c>
      <c r="E266" s="27">
        <f>E257-E264</f>
        <v>5919.5</v>
      </c>
      <c r="G266"/>
      <c r="H266" s="116" t="s">
        <v>5</v>
      </c>
      <c r="I266" s="53">
        <f>SUM(I264:I265)</f>
        <v>296.49999999999994</v>
      </c>
      <c r="J266" s="20"/>
      <c r="K266" s="256"/>
      <c r="L266" s="23"/>
      <c r="M266" s="168">
        <f>SUM(M255:M265)</f>
        <v>3124.3000940000093</v>
      </c>
      <c r="O266" s="49"/>
      <c r="P266" s="132">
        <v>-323.22000000000003</v>
      </c>
      <c r="Q266" s="72">
        <f t="shared" si="36"/>
        <v>-7150.8472784810083</v>
      </c>
      <c r="R266" s="45">
        <f t="shared" si="34"/>
        <v>2899.1527215189917</v>
      </c>
      <c r="S266" s="373" t="s">
        <v>176</v>
      </c>
      <c r="T266" s="219"/>
      <c r="U266" s="65"/>
      <c r="V266" s="26"/>
      <c r="W266" s="26"/>
      <c r="X266" s="35"/>
      <c r="Y266" s="20"/>
      <c r="Z266" s="43"/>
      <c r="AA266" s="94"/>
      <c r="AB266" s="26"/>
      <c r="AC266" s="20"/>
      <c r="AD266" s="20"/>
      <c r="AE266" s="20"/>
      <c r="AF266" s="99"/>
      <c r="AG266" s="20"/>
      <c r="AH266" s="20"/>
      <c r="AI266" s="20"/>
    </row>
    <row r="267" spans="3:35" hidden="1">
      <c r="D267" s="17"/>
      <c r="E267" s="40"/>
      <c r="G267"/>
      <c r="H267" s="23"/>
      <c r="I267" s="161"/>
      <c r="J267" s="20"/>
      <c r="K267" s="256"/>
      <c r="M267" s="26"/>
      <c r="N267" s="29"/>
      <c r="O267" s="49"/>
      <c r="P267" s="132">
        <v>-69.989999999999995</v>
      </c>
      <c r="Q267" s="72">
        <f t="shared" si="36"/>
        <v>-7220.8372784810081</v>
      </c>
      <c r="R267" s="45">
        <f t="shared" si="34"/>
        <v>2829.1627215189919</v>
      </c>
      <c r="S267" s="379" t="s">
        <v>178</v>
      </c>
      <c r="T267" s="221"/>
      <c r="U267" s="65"/>
      <c r="V267" s="20"/>
      <c r="W267" s="20"/>
      <c r="X267" s="20"/>
      <c r="Y267" s="111"/>
      <c r="Z267" s="43"/>
      <c r="AA267" s="94"/>
      <c r="AB267" s="26"/>
      <c r="AC267" s="20"/>
      <c r="AD267" s="20"/>
      <c r="AE267" s="20"/>
      <c r="AF267" s="20"/>
      <c r="AG267" s="20"/>
      <c r="AH267" s="20"/>
      <c r="AI267" s="20"/>
    </row>
    <row r="268" spans="3:35" hidden="1">
      <c r="D268" s="17"/>
      <c r="E268" s="40"/>
      <c r="G268"/>
      <c r="H268" s="23"/>
      <c r="I268" s="45"/>
      <c r="J268" s="20"/>
      <c r="K268" s="256"/>
      <c r="M268" s="26"/>
      <c r="N268" s="29"/>
      <c r="O268" s="45"/>
      <c r="P268" s="49">
        <f>E271</f>
        <v>965.69999999999982</v>
      </c>
      <c r="Q268" s="73">
        <f t="shared" si="36"/>
        <v>-6255.1372784810083</v>
      </c>
      <c r="R268" s="105">
        <f t="shared" si="34"/>
        <v>3794.8627215189917</v>
      </c>
      <c r="S268" s="383" t="s">
        <v>64</v>
      </c>
      <c r="T268" s="221"/>
      <c r="U268" s="65"/>
      <c r="V268" s="20"/>
      <c r="W268" s="20"/>
      <c r="X268" s="91"/>
      <c r="Y268" s="111"/>
      <c r="Z268" s="43"/>
      <c r="AA268" s="94"/>
      <c r="AB268" s="95"/>
      <c r="AC268" s="20"/>
      <c r="AD268" s="20"/>
      <c r="AE268" s="20"/>
      <c r="AF268" s="20"/>
      <c r="AG268" s="20"/>
      <c r="AH268" s="20"/>
      <c r="AI268" s="20"/>
    </row>
    <row r="269" spans="3:35" hidden="1">
      <c r="C269" s="81" t="s">
        <v>17</v>
      </c>
      <c r="E269" s="42"/>
      <c r="G269"/>
      <c r="H269" s="23"/>
      <c r="I269" s="14"/>
      <c r="J269" s="20"/>
      <c r="K269" s="256"/>
      <c r="M269" s="26"/>
      <c r="N269" s="29"/>
      <c r="O269" s="26"/>
      <c r="P269" s="64">
        <f>SUM(P255:P268)</f>
        <v>-6255.1372784810083</v>
      </c>
      <c r="Q269" s="63"/>
      <c r="R269" s="63"/>
      <c r="S269" s="377"/>
      <c r="T269" s="221"/>
      <c r="U269" s="65"/>
      <c r="V269" s="20"/>
      <c r="W269" s="20"/>
      <c r="X269" s="20"/>
      <c r="Y269" s="111"/>
      <c r="Z269" s="43"/>
      <c r="AA269" s="94"/>
      <c r="AB269" s="26"/>
      <c r="AC269" s="20"/>
      <c r="AD269" s="20"/>
      <c r="AE269" s="20"/>
      <c r="AF269" s="20"/>
      <c r="AG269" s="120"/>
      <c r="AH269" s="20"/>
      <c r="AI269" s="20"/>
    </row>
    <row r="270" spans="3:35" hidden="1">
      <c r="D270" s="20" t="s">
        <v>14</v>
      </c>
      <c r="E270" s="42">
        <v>4953.8</v>
      </c>
      <c r="F270" s="20"/>
      <c r="G270" s="20"/>
      <c r="H270" s="46"/>
      <c r="M270" s="26"/>
      <c r="N270" s="29"/>
      <c r="O270" s="26"/>
      <c r="P270" s="68"/>
      <c r="Q270" s="100"/>
      <c r="R270" s="107"/>
      <c r="S270" s="377"/>
      <c r="T270" s="221"/>
      <c r="U270" s="83"/>
      <c r="V270" s="20"/>
      <c r="W270" s="20"/>
      <c r="X270" s="20"/>
      <c r="Y270" s="111"/>
      <c r="Z270" s="43"/>
      <c r="AA270" s="94"/>
      <c r="AB270" s="26"/>
      <c r="AC270" s="20"/>
      <c r="AD270" s="20"/>
      <c r="AE270" s="20"/>
      <c r="AF270" s="20"/>
      <c r="AG270" s="20"/>
      <c r="AH270" s="20"/>
      <c r="AI270" s="20"/>
    </row>
    <row r="271" spans="3:35" ht="12.75" hidden="1" customHeight="1">
      <c r="D271" s="78" t="s">
        <v>13</v>
      </c>
      <c r="E271" s="15">
        <f>E266-E270-E272</f>
        <v>965.69999999999982</v>
      </c>
      <c r="F271" s="78"/>
      <c r="G271" s="516">
        <f>SUM(E270:E271)</f>
        <v>5919.5</v>
      </c>
      <c r="H271" s="516"/>
      <c r="M271" s="26"/>
      <c r="N271" s="29"/>
      <c r="O271" s="26"/>
      <c r="P271" s="68"/>
      <c r="Q271" s="100"/>
      <c r="R271" s="102"/>
      <c r="S271" s="377"/>
      <c r="T271" s="221"/>
      <c r="U271" s="84"/>
      <c r="V271" s="26"/>
      <c r="W271" s="26"/>
      <c r="X271" s="91"/>
      <c r="Y271" s="20"/>
      <c r="Z271" s="43"/>
      <c r="AA271" s="94"/>
      <c r="AB271" s="26"/>
      <c r="AC271" s="20"/>
      <c r="AD271" s="20"/>
      <c r="AE271" s="20"/>
      <c r="AF271" s="20"/>
      <c r="AG271" s="20"/>
      <c r="AH271" s="20"/>
      <c r="AI271" s="20"/>
    </row>
    <row r="272" spans="3:35" s="78" customFormat="1" ht="12.75" hidden="1" customHeight="1">
      <c r="E272" s="15"/>
      <c r="F272" s="88"/>
      <c r="G272" s="516"/>
      <c r="H272" s="516"/>
      <c r="K272" s="257"/>
      <c r="M272" s="15"/>
      <c r="N272" s="224"/>
      <c r="O272" s="15"/>
      <c r="P272" s="155"/>
      <c r="Q272" s="156"/>
      <c r="R272" s="157"/>
      <c r="S272" s="386"/>
      <c r="T272" s="220"/>
      <c r="U272" s="225"/>
      <c r="V272" s="15"/>
      <c r="W272" s="15"/>
      <c r="X272" s="154"/>
      <c r="Z272" s="159"/>
      <c r="AA272" s="160"/>
      <c r="AB272" s="15"/>
    </row>
    <row r="273" spans="2:35" ht="12.75" hidden="1" customHeight="1">
      <c r="D273" s="20"/>
      <c r="E273" s="26"/>
      <c r="F273" s="122"/>
      <c r="G273" s="515"/>
      <c r="H273" s="515"/>
      <c r="M273" s="26"/>
      <c r="N273" s="29"/>
      <c r="O273" s="26"/>
      <c r="P273" s="68"/>
      <c r="Q273" s="100"/>
      <c r="R273" s="102"/>
      <c r="S273" s="377"/>
      <c r="T273" s="221"/>
      <c r="U273" s="20"/>
      <c r="V273" s="26"/>
      <c r="W273" s="26"/>
      <c r="X273" s="20"/>
      <c r="Y273" s="20"/>
      <c r="Z273" s="43"/>
      <c r="AA273" s="94"/>
      <c r="AB273" s="26"/>
      <c r="AC273" s="20"/>
      <c r="AD273" s="20"/>
      <c r="AE273" s="20"/>
      <c r="AF273" s="20"/>
      <c r="AG273" s="20"/>
      <c r="AH273" s="20"/>
      <c r="AI273" s="20"/>
    </row>
    <row r="274" spans="2:35" hidden="1">
      <c r="B274" s="1045" t="s">
        <v>177</v>
      </c>
      <c r="C274" s="1045"/>
      <c r="D274" s="1045"/>
      <c r="E274" s="1045"/>
      <c r="G274" s="31"/>
      <c r="H274" s="31"/>
      <c r="I274" s="26"/>
      <c r="L274" s="59"/>
      <c r="M274" s="1042" t="s">
        <v>54</v>
      </c>
      <c r="N274" s="228"/>
      <c r="O274" s="228"/>
      <c r="P274" s="1044" t="s">
        <v>48</v>
      </c>
      <c r="Q274" s="229"/>
      <c r="R274" s="229"/>
      <c r="S274" s="377"/>
      <c r="X274" s="35"/>
      <c r="Y274" s="35"/>
      <c r="Z274" s="26"/>
      <c r="AA274" s="120"/>
      <c r="AB274" s="26"/>
      <c r="AC274" s="20"/>
      <c r="AD274" s="20"/>
      <c r="AE274" s="20"/>
      <c r="AF274" s="20"/>
      <c r="AG274" s="20"/>
      <c r="AH274" s="20"/>
      <c r="AI274" s="20"/>
    </row>
    <row r="275" spans="2:35" ht="12.75" hidden="1" customHeight="1">
      <c r="C275" s="17" t="s">
        <v>12</v>
      </c>
      <c r="D275" s="14"/>
      <c r="E275" s="44">
        <v>6000</v>
      </c>
      <c r="G275" s="514"/>
      <c r="H275" s="514"/>
      <c r="I275" s="26"/>
      <c r="L275" s="60"/>
      <c r="M275" s="1042"/>
      <c r="N275" s="228" t="s">
        <v>52</v>
      </c>
      <c r="O275" s="228"/>
      <c r="P275" s="1044"/>
      <c r="Q275" s="229" t="s">
        <v>43</v>
      </c>
      <c r="R275" s="229" t="s">
        <v>53</v>
      </c>
      <c r="S275" s="377"/>
      <c r="X275" s="118"/>
      <c r="Y275" s="111"/>
      <c r="Z275" s="117"/>
      <c r="AA275" s="89"/>
      <c r="AB275" s="90"/>
      <c r="AC275" s="20"/>
      <c r="AD275" s="41"/>
      <c r="AE275" s="20"/>
      <c r="AF275" s="20"/>
      <c r="AG275" s="20"/>
      <c r="AH275" s="20"/>
      <c r="AI275" s="20"/>
    </row>
    <row r="276" spans="2:35" hidden="1">
      <c r="C276" s="17"/>
      <c r="D276" s="14" t="s">
        <v>24</v>
      </c>
      <c r="E276" s="44">
        <f>'[2]NOVEMBER ''11'!$C$139</f>
        <v>1565.6200000000001</v>
      </c>
      <c r="G276" s="30"/>
      <c r="H276" s="30"/>
      <c r="I276" s="26"/>
      <c r="L276" s="46" t="s">
        <v>55</v>
      </c>
      <c r="M276" s="26">
        <f>$M$266</f>
        <v>3124.3000940000093</v>
      </c>
      <c r="N276" s="71">
        <f>M276</f>
        <v>3124.3000940000093</v>
      </c>
      <c r="O276" s="26"/>
      <c r="P276" s="26">
        <f>$Q$268</f>
        <v>-6255.1372784810083</v>
      </c>
      <c r="Q276" s="71">
        <f>P276</f>
        <v>-6255.1372784810083</v>
      </c>
      <c r="R276" s="45">
        <f t="shared" ref="R276:R292" si="37">10050+Q276</f>
        <v>3794.8627215189917</v>
      </c>
      <c r="S276" s="382"/>
      <c r="T276" s="29"/>
      <c r="X276" s="91"/>
      <c r="Y276" s="111"/>
      <c r="Z276" s="26"/>
      <c r="AA276" s="120"/>
      <c r="AB276" s="26"/>
      <c r="AC276" s="20"/>
      <c r="AD276" s="92"/>
      <c r="AE276" s="93"/>
      <c r="AF276" s="20"/>
      <c r="AG276" s="20"/>
      <c r="AH276" s="20"/>
      <c r="AI276" s="20"/>
    </row>
    <row r="277" spans="2:35" hidden="1">
      <c r="C277" s="17"/>
      <c r="D277" s="143" t="s">
        <v>110</v>
      </c>
      <c r="E277" s="15">
        <f>'[2]OCTOBER ''11'!$C$97</f>
        <v>125.29000000000002</v>
      </c>
      <c r="G277"/>
      <c r="I277" s="26"/>
      <c r="L277" s="101" t="s">
        <v>102</v>
      </c>
      <c r="M277" s="133">
        <v>-3000</v>
      </c>
      <c r="N277" s="69">
        <f t="shared" ref="N277:N289" si="38">N276+M277</f>
        <v>124.30009400000927</v>
      </c>
      <c r="O277" s="65"/>
      <c r="P277" s="133">
        <f>-M277</f>
        <v>3000</v>
      </c>
      <c r="Q277" s="72">
        <f>Q276+P277</f>
        <v>-3255.1372784810083</v>
      </c>
      <c r="R277" s="45">
        <f t="shared" si="37"/>
        <v>6794.8627215189917</v>
      </c>
      <c r="S277" s="373" t="s">
        <v>66</v>
      </c>
      <c r="X277" s="20"/>
      <c r="Y277" s="112"/>
      <c r="Z277" s="230"/>
      <c r="AA277" s="94"/>
      <c r="AB277" s="95"/>
      <c r="AC277" s="20"/>
      <c r="AD277" s="41"/>
      <c r="AE277" s="93"/>
      <c r="AF277" s="20"/>
      <c r="AG277" s="20"/>
      <c r="AH277" s="20"/>
      <c r="AI277" s="20"/>
    </row>
    <row r="278" spans="2:35" ht="12.75" hidden="1" customHeight="1">
      <c r="C278" s="18" t="s">
        <v>5</v>
      </c>
      <c r="D278" s="14"/>
      <c r="E278" s="14">
        <f>SUM(E275:E277)</f>
        <v>7690.91</v>
      </c>
      <c r="G278" s="518" t="s">
        <v>168</v>
      </c>
      <c r="H278" s="518"/>
      <c r="I278" s="518"/>
      <c r="J278" s="20"/>
      <c r="K278" s="256"/>
      <c r="L278" s="202" t="s">
        <v>24</v>
      </c>
      <c r="M278" s="204">
        <v>300</v>
      </c>
      <c r="N278" s="69">
        <f t="shared" si="38"/>
        <v>424.30009400000927</v>
      </c>
      <c r="O278" s="65"/>
      <c r="P278" s="131">
        <v>-17</v>
      </c>
      <c r="Q278" s="72">
        <f>Q277+P278</f>
        <v>-3272.1372784810083</v>
      </c>
      <c r="R278" s="45">
        <f t="shared" si="37"/>
        <v>6777.8627215189917</v>
      </c>
      <c r="S278" s="373" t="s">
        <v>179</v>
      </c>
      <c r="X278" s="20"/>
      <c r="Y278" s="112"/>
      <c r="Z278" s="230"/>
      <c r="AA278" s="94"/>
      <c r="AB278" s="26"/>
      <c r="AC278" s="20"/>
      <c r="AD278" s="92"/>
      <c r="AE278" s="93"/>
      <c r="AF278" s="20"/>
      <c r="AG278" s="20"/>
      <c r="AH278" s="20"/>
      <c r="AI278" s="20"/>
    </row>
    <row r="279" spans="2:35" ht="12.75" hidden="1" customHeight="1">
      <c r="G279"/>
      <c r="H279" s="23" t="s">
        <v>10</v>
      </c>
      <c r="I279" s="44">
        <v>175.44</v>
      </c>
      <c r="J279" s="54"/>
      <c r="K279" s="256"/>
      <c r="L279" s="79" t="s">
        <v>181</v>
      </c>
      <c r="M279" s="175">
        <v>-250</v>
      </c>
      <c r="N279" s="175">
        <f t="shared" si="38"/>
        <v>174.30009400000927</v>
      </c>
      <c r="O279" s="48"/>
      <c r="P279" s="133">
        <v>-109.5</v>
      </c>
      <c r="Q279" s="72">
        <f t="shared" ref="Q279:Q292" si="39">Q278+P279</f>
        <v>-3381.6372784810083</v>
      </c>
      <c r="R279" s="45">
        <f t="shared" si="37"/>
        <v>6668.3627215189917</v>
      </c>
      <c r="S279" s="373" t="s">
        <v>179</v>
      </c>
      <c r="T279" s="194"/>
      <c r="X279" s="91"/>
      <c r="Y279" s="112"/>
      <c r="Z279" s="230"/>
      <c r="AA279" s="94"/>
      <c r="AB279" s="26"/>
      <c r="AC279" s="20"/>
      <c r="AD279" s="92"/>
      <c r="AE279" s="93"/>
      <c r="AF279" s="20"/>
      <c r="AG279" s="20"/>
      <c r="AH279" s="20"/>
      <c r="AI279" s="20"/>
    </row>
    <row r="280" spans="2:35" hidden="1">
      <c r="C280" s="17" t="s">
        <v>7</v>
      </c>
      <c r="G280"/>
      <c r="H280" s="23" t="s">
        <v>18</v>
      </c>
      <c r="I280" s="44">
        <f>4.39+4.08</f>
        <v>8.4699999999999989</v>
      </c>
      <c r="J280" s="20"/>
      <c r="K280" s="256"/>
      <c r="L280" s="144" t="s">
        <v>24</v>
      </c>
      <c r="M280" s="147">
        <v>200</v>
      </c>
      <c r="N280" s="69">
        <f t="shared" si="38"/>
        <v>374.30009400000927</v>
      </c>
      <c r="O280" s="49"/>
      <c r="P280" s="133">
        <f>-1011.5</f>
        <v>-1011.5</v>
      </c>
      <c r="Q280" s="72">
        <f t="shared" si="39"/>
        <v>-4393.1372784810083</v>
      </c>
      <c r="R280" s="45">
        <f t="shared" si="37"/>
        <v>5656.8627215189917</v>
      </c>
      <c r="S280" s="373" t="s">
        <v>124</v>
      </c>
      <c r="T280" s="20"/>
      <c r="U280" s="20"/>
      <c r="V280" s="103"/>
      <c r="W280" s="103"/>
      <c r="X280" s="20"/>
      <c r="Y280" s="112"/>
      <c r="Z280" s="230"/>
      <c r="AA280" s="94"/>
      <c r="AB280" s="95"/>
      <c r="AC280" s="20"/>
      <c r="AD280" s="96"/>
      <c r="AE280" s="93"/>
      <c r="AF280" s="20"/>
      <c r="AG280" s="20"/>
      <c r="AH280" s="20"/>
      <c r="AI280" s="20"/>
    </row>
    <row r="281" spans="2:35" hidden="1">
      <c r="D281" t="s">
        <v>8</v>
      </c>
      <c r="E281" s="14">
        <f>1204/2</f>
        <v>602</v>
      </c>
      <c r="G281" s="36"/>
      <c r="H281" s="23" t="s">
        <v>20</v>
      </c>
      <c r="I281" s="44">
        <v>7.45</v>
      </c>
      <c r="J281" s="20"/>
      <c r="K281" s="256"/>
      <c r="L281" s="79" t="s">
        <v>148</v>
      </c>
      <c r="M281" s="175">
        <v>0</v>
      </c>
      <c r="N281" s="69">
        <f t="shared" si="38"/>
        <v>374.30009400000927</v>
      </c>
      <c r="O281" s="49"/>
      <c r="P281" s="131">
        <v>-11.39</v>
      </c>
      <c r="Q281" s="72">
        <f t="shared" si="39"/>
        <v>-4404.5272784810086</v>
      </c>
      <c r="R281" s="45">
        <f t="shared" si="37"/>
        <v>5645.4727215189914</v>
      </c>
      <c r="S281" s="373" t="s">
        <v>49</v>
      </c>
      <c r="T281" s="20"/>
      <c r="U281" s="20"/>
      <c r="V281" s="20"/>
      <c r="W281" s="20"/>
      <c r="X281" s="20"/>
      <c r="Y281" s="112"/>
      <c r="Z281" s="230"/>
      <c r="AA281" s="94"/>
      <c r="AB281" s="26"/>
      <c r="AC281" s="20"/>
      <c r="AD281" s="41"/>
      <c r="AE281" s="93"/>
      <c r="AF281" s="20"/>
      <c r="AG281" s="20"/>
      <c r="AH281" s="20"/>
      <c r="AI281" s="20"/>
    </row>
    <row r="282" spans="2:35" hidden="1">
      <c r="D282" t="s">
        <v>9</v>
      </c>
      <c r="E282" s="44"/>
      <c r="F282" s="37" t="s">
        <v>15</v>
      </c>
      <c r="G282"/>
      <c r="H282" s="23" t="s">
        <v>19</v>
      </c>
      <c r="I282" s="44">
        <v>43.86</v>
      </c>
      <c r="J282" s="20"/>
      <c r="K282" s="256"/>
      <c r="L282" s="183" t="s">
        <v>51</v>
      </c>
      <c r="M282" s="134">
        <f>E291</f>
        <v>4953.8</v>
      </c>
      <c r="N282" s="69">
        <f t="shared" si="38"/>
        <v>5328.1000940000094</v>
      </c>
      <c r="O282" s="49"/>
      <c r="P282" s="45">
        <v>-160</v>
      </c>
      <c r="Q282" s="72">
        <f t="shared" si="39"/>
        <v>-4564.5272784810086</v>
      </c>
      <c r="R282" s="45">
        <f t="shared" si="37"/>
        <v>5485.4727215189914</v>
      </c>
      <c r="S282" s="373" t="s">
        <v>165</v>
      </c>
      <c r="T282" s="20"/>
      <c r="U282" s="20"/>
      <c r="V282" s="20"/>
      <c r="W282" s="20"/>
      <c r="X282" s="20"/>
      <c r="Y282" s="112"/>
      <c r="Z282" s="230"/>
      <c r="AA282" s="94"/>
      <c r="AB282" s="26"/>
      <c r="AC282" s="20"/>
      <c r="AD282" s="92"/>
      <c r="AE282" s="93"/>
      <c r="AF282" s="20"/>
      <c r="AG282" s="20"/>
      <c r="AH282" s="20"/>
      <c r="AI282" s="20"/>
    </row>
    <row r="283" spans="2:35" hidden="1">
      <c r="D283" t="s">
        <v>10</v>
      </c>
      <c r="E283" s="19">
        <f>I287</f>
        <v>300.17999999999995</v>
      </c>
      <c r="F283" s="37" t="s">
        <v>15</v>
      </c>
      <c r="G283"/>
      <c r="H283" s="23" t="s">
        <v>21</v>
      </c>
      <c r="I283" s="44">
        <v>3.51</v>
      </c>
      <c r="J283" s="20"/>
      <c r="K283" s="256"/>
      <c r="L283" s="186" t="s">
        <v>191</v>
      </c>
      <c r="M283" s="136">
        <v>-45</v>
      </c>
      <c r="N283" s="69">
        <f t="shared" si="38"/>
        <v>5283.1000940000094</v>
      </c>
      <c r="O283" s="39"/>
      <c r="P283" s="45">
        <v>-532.20000000000005</v>
      </c>
      <c r="Q283" s="72">
        <f t="shared" si="39"/>
        <v>-5096.7272784810084</v>
      </c>
      <c r="R283" s="45">
        <f t="shared" si="37"/>
        <v>4953.2727215189916</v>
      </c>
      <c r="S283" s="373" t="s">
        <v>171</v>
      </c>
      <c r="T283" s="50"/>
      <c r="U283" s="20"/>
      <c r="V283" s="26"/>
      <c r="W283" s="26"/>
      <c r="X283" s="20"/>
      <c r="Y283" s="112"/>
      <c r="Z283" s="230"/>
      <c r="AA283" s="94"/>
      <c r="AB283" s="95"/>
      <c r="AC283" s="20"/>
      <c r="AD283" s="92"/>
      <c r="AE283" s="93"/>
      <c r="AF283" s="20"/>
      <c r="AG283" s="20"/>
      <c r="AH283" s="20"/>
      <c r="AI283" s="20"/>
    </row>
    <row r="284" spans="2:35" hidden="1">
      <c r="D284" t="s">
        <v>22</v>
      </c>
      <c r="E284" s="15"/>
      <c r="F284" s="38"/>
      <c r="G284"/>
      <c r="H284" s="23" t="s">
        <v>26</v>
      </c>
      <c r="I284" s="52">
        <v>129.57</v>
      </c>
      <c r="J284" s="20"/>
      <c r="K284" s="256"/>
      <c r="L284" s="183" t="s">
        <v>126</v>
      </c>
      <c r="M284" s="134">
        <v>-700</v>
      </c>
      <c r="N284" s="69">
        <f t="shared" si="38"/>
        <v>4583.1000940000094</v>
      </c>
      <c r="O284" s="39"/>
      <c r="P284" s="45">
        <v>-245</v>
      </c>
      <c r="Q284" s="72">
        <f t="shared" si="39"/>
        <v>-5341.7272784810084</v>
      </c>
      <c r="R284" s="196">
        <f t="shared" si="37"/>
        <v>4708.2727215189916</v>
      </c>
      <c r="S284" s="373" t="s">
        <v>182</v>
      </c>
      <c r="T284" s="50"/>
      <c r="U284" s="20"/>
      <c r="V284" s="26"/>
      <c r="W284" s="26"/>
      <c r="X284" s="20"/>
      <c r="Y284" s="112"/>
      <c r="Z284" s="230"/>
      <c r="AA284" s="94"/>
      <c r="AB284" s="26"/>
      <c r="AC284" s="20"/>
      <c r="AD284" s="92"/>
      <c r="AE284" s="97"/>
      <c r="AF284" s="20"/>
      <c r="AG284" s="20"/>
      <c r="AH284" s="20"/>
      <c r="AI284" s="20"/>
    </row>
    <row r="285" spans="2:35" ht="12.75" hidden="1" customHeight="1">
      <c r="C285" s="18" t="s">
        <v>5</v>
      </c>
      <c r="E285" s="19">
        <f>SUM(E281:E284)</f>
        <v>902.18</v>
      </c>
      <c r="G285"/>
      <c r="H285" s="116" t="s">
        <v>105</v>
      </c>
      <c r="I285" s="44">
        <f>SUM(I279:I284)</f>
        <v>368.29999999999995</v>
      </c>
      <c r="J285" s="20"/>
      <c r="K285" s="256"/>
      <c r="L285" s="184" t="s">
        <v>180</v>
      </c>
      <c r="M285" s="45">
        <v>-95</v>
      </c>
      <c r="N285" s="69">
        <f t="shared" si="38"/>
        <v>4488.1000940000094</v>
      </c>
      <c r="O285" s="39"/>
      <c r="P285" s="132">
        <v>-79</v>
      </c>
      <c r="Q285" s="72">
        <f t="shared" si="39"/>
        <v>-5420.7272784810084</v>
      </c>
      <c r="R285" s="45">
        <f t="shared" si="37"/>
        <v>4629.2727215189916</v>
      </c>
      <c r="S285" s="373" t="s">
        <v>183</v>
      </c>
      <c r="T285" s="80"/>
      <c r="U285" s="74"/>
      <c r="V285" s="26"/>
      <c r="W285" s="26"/>
      <c r="X285" s="20"/>
      <c r="Y285" s="112"/>
      <c r="Z285" s="230"/>
      <c r="AA285" s="94"/>
      <c r="AB285" s="26"/>
      <c r="AC285" s="20"/>
      <c r="AD285" s="20"/>
      <c r="AE285" s="93"/>
      <c r="AF285" s="20"/>
      <c r="AG285" s="20"/>
      <c r="AH285" s="20"/>
      <c r="AI285" s="20"/>
    </row>
    <row r="286" spans="2:35" ht="12.75" hidden="1" customHeight="1">
      <c r="C286" s="18"/>
      <c r="G286"/>
      <c r="H286" s="46" t="s">
        <v>27</v>
      </c>
      <c r="I286" s="45">
        <f>-58.03-10.09</f>
        <v>-68.12</v>
      </c>
      <c r="J286" s="20"/>
      <c r="K286" s="256"/>
      <c r="L286" s="184" t="s">
        <v>61</v>
      </c>
      <c r="M286" s="45">
        <v>-203.5</v>
      </c>
      <c r="N286" s="69">
        <f t="shared" si="38"/>
        <v>4284.6000940000094</v>
      </c>
      <c r="O286" s="39"/>
      <c r="P286" s="132">
        <v>-764.25</v>
      </c>
      <c r="Q286" s="72">
        <f t="shared" si="39"/>
        <v>-6184.9772784810084</v>
      </c>
      <c r="R286" s="45">
        <f t="shared" si="37"/>
        <v>3865.0227215189916</v>
      </c>
      <c r="S286" s="373" t="s">
        <v>50</v>
      </c>
      <c r="T286" s="50"/>
      <c r="U286" s="74"/>
      <c r="V286" s="26"/>
      <c r="W286" s="26"/>
      <c r="X286" s="91"/>
      <c r="Y286" s="20"/>
      <c r="Z286" s="230"/>
      <c r="AA286" s="94"/>
      <c r="AB286" s="95"/>
      <c r="AC286" s="20"/>
      <c r="AD286" s="98"/>
      <c r="AE286" s="93"/>
      <c r="AF286" s="120"/>
      <c r="AG286" s="20"/>
      <c r="AH286" s="20"/>
      <c r="AI286" s="20"/>
    </row>
    <row r="287" spans="2:35" ht="13.5" hidden="1" thickBot="1">
      <c r="D287" s="16" t="s">
        <v>67</v>
      </c>
      <c r="E287" s="27">
        <f>E278-E285</f>
        <v>6788.73</v>
      </c>
      <c r="G287"/>
      <c r="H287" s="116" t="s">
        <v>5</v>
      </c>
      <c r="I287" s="53">
        <f>SUM(I285:I286)</f>
        <v>300.17999999999995</v>
      </c>
      <c r="J287" s="20"/>
      <c r="K287" s="256"/>
      <c r="L287" s="184" t="s">
        <v>23</v>
      </c>
      <c r="M287" s="146">
        <v>-209.25</v>
      </c>
      <c r="N287" s="69">
        <f t="shared" si="38"/>
        <v>4075.3500940000094</v>
      </c>
      <c r="O287" s="39"/>
      <c r="P287" s="132">
        <v>-65.34</v>
      </c>
      <c r="Q287" s="72">
        <f t="shared" si="39"/>
        <v>-6250.3172784810085</v>
      </c>
      <c r="R287" s="45">
        <f t="shared" si="37"/>
        <v>3799.6827215189915</v>
      </c>
      <c r="S287" s="373" t="s">
        <v>184</v>
      </c>
      <c r="T287" s="219"/>
      <c r="U287" s="65"/>
      <c r="V287" s="26"/>
      <c r="W287" s="26"/>
      <c r="X287" s="35"/>
      <c r="Y287" s="20"/>
      <c r="Z287" s="230"/>
      <c r="AA287" s="94"/>
      <c r="AB287" s="26"/>
      <c r="AC287" s="20"/>
      <c r="AD287" s="20"/>
      <c r="AE287" s="20"/>
      <c r="AF287" s="99"/>
      <c r="AG287" s="20"/>
      <c r="AH287" s="20"/>
      <c r="AI287" s="20"/>
    </row>
    <row r="288" spans="2:35" hidden="1">
      <c r="D288" s="17"/>
      <c r="E288" s="40"/>
      <c r="G288"/>
      <c r="H288" s="23"/>
      <c r="I288" s="161"/>
      <c r="J288" s="20"/>
      <c r="K288" s="256"/>
      <c r="L288" s="187" t="s">
        <v>16</v>
      </c>
      <c r="M288" s="175">
        <v>-233.71</v>
      </c>
      <c r="N288" s="69">
        <f t="shared" si="38"/>
        <v>3841.6400940000094</v>
      </c>
      <c r="O288" s="39"/>
      <c r="P288" s="132">
        <v>-38.1</v>
      </c>
      <c r="Q288" s="72">
        <f t="shared" si="39"/>
        <v>-6288.4172784810089</v>
      </c>
      <c r="R288" s="45">
        <f t="shared" si="37"/>
        <v>3761.5827215189911</v>
      </c>
      <c r="S288" s="379" t="s">
        <v>185</v>
      </c>
      <c r="T288" s="227"/>
      <c r="U288" s="65"/>
      <c r="V288" s="20"/>
      <c r="W288" s="20"/>
      <c r="X288" s="20"/>
      <c r="Y288" s="111"/>
      <c r="Z288" s="230"/>
      <c r="AA288" s="94"/>
      <c r="AB288" s="26"/>
      <c r="AC288" s="20"/>
      <c r="AD288" s="20"/>
      <c r="AE288" s="20"/>
      <c r="AF288" s="20"/>
      <c r="AG288" s="20"/>
      <c r="AH288" s="20"/>
      <c r="AI288" s="20"/>
    </row>
    <row r="289" spans="2:35" hidden="1">
      <c r="D289" s="17"/>
      <c r="E289" s="40"/>
      <c r="G289"/>
      <c r="H289" s="23"/>
      <c r="I289" s="45"/>
      <c r="J289" s="20"/>
      <c r="K289" s="256"/>
      <c r="L289" s="218" t="s">
        <v>56</v>
      </c>
      <c r="M289" s="147">
        <v>-595</v>
      </c>
      <c r="N289" s="70">
        <f t="shared" si="38"/>
        <v>3246.6400940000094</v>
      </c>
      <c r="O289" s="39"/>
      <c r="P289" s="132">
        <f>-'[2]NOVEMBER ''11'!$I$105</f>
        <v>-456.15</v>
      </c>
      <c r="Q289" s="72">
        <f t="shared" si="39"/>
        <v>-6744.5672784810085</v>
      </c>
      <c r="R289" s="45">
        <f t="shared" si="37"/>
        <v>3305.4327215189915</v>
      </c>
      <c r="S289" s="379" t="s">
        <v>171</v>
      </c>
      <c r="T289" s="227"/>
      <c r="U289" s="65"/>
      <c r="V289" s="20"/>
      <c r="W289" s="20"/>
      <c r="X289" s="91"/>
      <c r="Y289" s="111"/>
      <c r="Z289" s="230"/>
      <c r="AA289" s="94"/>
      <c r="AB289" s="95"/>
      <c r="AC289" s="20"/>
      <c r="AD289" s="20"/>
      <c r="AE289" s="20"/>
      <c r="AF289" s="20"/>
      <c r="AG289" s="20"/>
      <c r="AH289" s="20"/>
      <c r="AI289" s="20"/>
    </row>
    <row r="290" spans="2:35" hidden="1">
      <c r="C290" s="81" t="s">
        <v>17</v>
      </c>
      <c r="E290" s="42"/>
      <c r="G290"/>
      <c r="H290" s="23"/>
      <c r="I290" s="14"/>
      <c r="J290" s="20"/>
      <c r="K290" s="256"/>
      <c r="L290" s="23"/>
      <c r="M290" s="168">
        <f>SUM(M276:M289)</f>
        <v>3246.6400940000094</v>
      </c>
      <c r="O290" s="39"/>
      <c r="P290" s="132">
        <v>-161.22999999999999</v>
      </c>
      <c r="Q290" s="72">
        <f t="shared" si="39"/>
        <v>-6905.7972784810081</v>
      </c>
      <c r="R290" s="45">
        <f t="shared" si="37"/>
        <v>3144.2027215189919</v>
      </c>
      <c r="S290" s="379" t="s">
        <v>171</v>
      </c>
      <c r="T290" s="227"/>
      <c r="U290" s="65"/>
      <c r="V290" s="20"/>
      <c r="W290" s="20"/>
      <c r="X290" s="20"/>
      <c r="Y290" s="111"/>
      <c r="Z290" s="230"/>
      <c r="AA290" s="94"/>
      <c r="AB290" s="26"/>
      <c r="AC290" s="20"/>
      <c r="AD290" s="20"/>
      <c r="AE290" s="20"/>
      <c r="AF290" s="20"/>
      <c r="AG290" s="120"/>
      <c r="AH290" s="20"/>
      <c r="AI290" s="20"/>
    </row>
    <row r="291" spans="2:35" hidden="1">
      <c r="D291" s="20" t="s">
        <v>14</v>
      </c>
      <c r="E291" s="42">
        <v>4953.8</v>
      </c>
      <c r="F291" s="20"/>
      <c r="G291" s="20"/>
      <c r="H291" s="46"/>
      <c r="M291" s="26"/>
      <c r="O291" s="39"/>
      <c r="P291" s="132">
        <v>-511.5</v>
      </c>
      <c r="Q291" s="72">
        <f t="shared" si="39"/>
        <v>-7417.2972784810081</v>
      </c>
      <c r="R291" s="45">
        <f t="shared" si="37"/>
        <v>2632.7027215189919</v>
      </c>
      <c r="S291" s="379" t="s">
        <v>124</v>
      </c>
      <c r="T291" s="227"/>
      <c r="U291" s="83"/>
      <c r="V291" s="20"/>
      <c r="W291" s="20"/>
      <c r="X291" s="20"/>
      <c r="Y291" s="111"/>
      <c r="Z291" s="230"/>
      <c r="AA291" s="94"/>
      <c r="AB291" s="26"/>
      <c r="AC291" s="20"/>
      <c r="AD291" s="20"/>
      <c r="AE291" s="20"/>
      <c r="AF291" s="20"/>
      <c r="AG291" s="20"/>
      <c r="AH291" s="20"/>
      <c r="AI291" s="20"/>
    </row>
    <row r="292" spans="2:35" ht="12.75" hidden="1" customHeight="1">
      <c r="D292" s="78" t="s">
        <v>13</v>
      </c>
      <c r="E292" s="15">
        <f>E287-E291-E293</f>
        <v>1834.9299999999994</v>
      </c>
      <c r="F292" s="78"/>
      <c r="G292" s="516">
        <f>SUM(E291:E292)</f>
        <v>6788.73</v>
      </c>
      <c r="H292" s="516"/>
      <c r="M292" s="26"/>
      <c r="O292" s="42"/>
      <c r="P292" s="49">
        <f>E292</f>
        <v>1834.9299999999994</v>
      </c>
      <c r="Q292" s="73">
        <f t="shared" si="39"/>
        <v>-5582.3672784810087</v>
      </c>
      <c r="R292" s="52">
        <f t="shared" si="37"/>
        <v>4467.6327215189913</v>
      </c>
      <c r="S292" s="383" t="s">
        <v>64</v>
      </c>
      <c r="T292" s="227"/>
      <c r="U292" s="84"/>
      <c r="V292" s="26"/>
      <c r="W292" s="26"/>
      <c r="X292" s="91"/>
      <c r="Y292" s="20"/>
      <c r="Z292" s="230"/>
      <c r="AA292" s="94"/>
      <c r="AB292" s="26"/>
      <c r="AC292" s="20"/>
      <c r="AD292" s="20"/>
      <c r="AE292" s="20"/>
      <c r="AF292" s="20"/>
      <c r="AG292" s="20"/>
      <c r="AH292" s="20"/>
      <c r="AI292" s="20"/>
    </row>
    <row r="293" spans="2:35" ht="12.75" hidden="1" customHeight="1">
      <c r="D293" s="20"/>
      <c r="E293" s="26"/>
      <c r="F293" s="122"/>
      <c r="G293" s="515"/>
      <c r="H293" s="515"/>
      <c r="M293" s="26"/>
      <c r="N293" s="29"/>
      <c r="O293" s="26"/>
      <c r="P293" s="64">
        <f>SUM(P276:P292)</f>
        <v>-5582.3672784810087</v>
      </c>
      <c r="Q293" s="63"/>
      <c r="R293" s="63"/>
      <c r="S293" s="377"/>
      <c r="T293" s="227"/>
      <c r="U293" s="84"/>
      <c r="V293" s="26"/>
      <c r="W293" s="26"/>
      <c r="X293" s="35"/>
      <c r="Y293" s="20"/>
      <c r="Z293" s="230"/>
      <c r="AA293" s="94"/>
      <c r="AB293" s="26"/>
      <c r="AC293" s="20"/>
      <c r="AD293" s="20"/>
      <c r="AE293" s="20"/>
      <c r="AF293" s="20"/>
      <c r="AG293" s="20"/>
      <c r="AH293" s="20"/>
      <c r="AI293" s="20"/>
    </row>
    <row r="294" spans="2:35" s="78" customFormat="1" hidden="1">
      <c r="E294" s="15"/>
      <c r="G294" s="129"/>
      <c r="K294" s="257"/>
      <c r="M294" s="15"/>
      <c r="P294" s="15"/>
      <c r="Q294" s="15"/>
      <c r="R294" s="15"/>
      <c r="S294" s="385"/>
      <c r="Z294" s="15"/>
      <c r="AA294" s="130"/>
      <c r="AB294" s="15"/>
    </row>
    <row r="295" spans="2:35" hidden="1"/>
    <row r="296" spans="2:35" hidden="1">
      <c r="B296" s="1045" t="s">
        <v>187</v>
      </c>
      <c r="C296" s="1045"/>
      <c r="D296" s="1045"/>
      <c r="E296" s="1045"/>
      <c r="G296" s="31"/>
      <c r="H296" s="31"/>
      <c r="I296" s="26"/>
      <c r="L296" s="59"/>
      <c r="M296" s="1042" t="s">
        <v>54</v>
      </c>
      <c r="N296" s="249"/>
      <c r="O296" s="249"/>
      <c r="P296" s="1044" t="s">
        <v>48</v>
      </c>
      <c r="Q296" s="246"/>
      <c r="R296" s="246"/>
      <c r="S296" s="377"/>
      <c r="X296" s="35"/>
      <c r="Y296" s="35"/>
      <c r="Z296" s="26"/>
      <c r="AA296" s="120"/>
      <c r="AB296" s="26"/>
      <c r="AC296" s="20"/>
      <c r="AD296" s="20"/>
      <c r="AE296" s="20"/>
      <c r="AF296" s="20"/>
      <c r="AG296" s="20"/>
      <c r="AH296" s="20"/>
      <c r="AI296" s="20"/>
    </row>
    <row r="297" spans="2:35" ht="12.75" hidden="1" customHeight="1">
      <c r="C297" s="17" t="s">
        <v>12</v>
      </c>
      <c r="D297" s="14"/>
      <c r="E297" s="44">
        <v>6000</v>
      </c>
      <c r="G297" s="514"/>
      <c r="H297" s="514"/>
      <c r="I297" s="26"/>
      <c r="L297" s="60"/>
      <c r="M297" s="1042"/>
      <c r="N297" s="249" t="s">
        <v>52</v>
      </c>
      <c r="O297" s="249"/>
      <c r="P297" s="1044"/>
      <c r="Q297" s="246" t="s">
        <v>43</v>
      </c>
      <c r="R297" s="246" t="s">
        <v>53</v>
      </c>
      <c r="S297" s="377"/>
      <c r="X297" s="118"/>
      <c r="Y297" s="111"/>
      <c r="Z297" s="117"/>
      <c r="AA297" s="89"/>
      <c r="AB297" s="90"/>
      <c r="AC297" s="20"/>
      <c r="AD297" s="41"/>
      <c r="AE297" s="20"/>
      <c r="AF297" s="20"/>
      <c r="AG297" s="20"/>
      <c r="AH297" s="20"/>
      <c r="AI297" s="20"/>
    </row>
    <row r="298" spans="2:35" hidden="1">
      <c r="C298" s="17"/>
      <c r="D298" s="14" t="s">
        <v>24</v>
      </c>
      <c r="E298" s="44">
        <f>'[2]DECEMBER ''11'!$C$77</f>
        <v>272.31</v>
      </c>
      <c r="G298" s="30"/>
      <c r="H298" s="30"/>
      <c r="I298" s="26"/>
      <c r="L298" s="46" t="s">
        <v>55</v>
      </c>
      <c r="M298" s="26">
        <f>$M$290</f>
        <v>3246.6400940000094</v>
      </c>
      <c r="N298" s="71">
        <f>M298</f>
        <v>3246.6400940000094</v>
      </c>
      <c r="O298" s="26"/>
      <c r="P298" s="26">
        <f>$Q$292</f>
        <v>-5582.3672784810087</v>
      </c>
      <c r="Q298" s="71">
        <f>P298</f>
        <v>-5582.3672784810087</v>
      </c>
      <c r="R298" s="45">
        <f t="shared" ref="R298:R330" si="40">10050+Q298</f>
        <v>4467.6327215189913</v>
      </c>
      <c r="S298" s="382"/>
      <c r="T298" s="29"/>
      <c r="X298" s="91"/>
      <c r="Y298" s="111"/>
      <c r="Z298" s="26"/>
      <c r="AA298" s="120"/>
      <c r="AB298" s="26"/>
      <c r="AC298" s="20"/>
      <c r="AD298" s="92"/>
      <c r="AE298" s="93"/>
      <c r="AF298" s="20"/>
      <c r="AG298" s="20"/>
      <c r="AH298" s="20"/>
      <c r="AI298" s="20"/>
    </row>
    <row r="299" spans="2:35" hidden="1">
      <c r="C299" s="17"/>
      <c r="D299" s="143" t="s">
        <v>110</v>
      </c>
      <c r="E299" s="15"/>
      <c r="G299"/>
      <c r="I299" s="26"/>
      <c r="L299" s="101" t="s">
        <v>102</v>
      </c>
      <c r="M299" s="133">
        <v>-700</v>
      </c>
      <c r="N299" s="69">
        <f t="shared" ref="N299:N312" si="41">N298+M299</f>
        <v>2546.6400940000094</v>
      </c>
      <c r="O299" s="65"/>
      <c r="P299" s="133">
        <v>-383.85</v>
      </c>
      <c r="Q299" s="72">
        <f>Q298+P299</f>
        <v>-5966.2172784810091</v>
      </c>
      <c r="R299" s="45">
        <f t="shared" si="40"/>
        <v>4083.7827215189909</v>
      </c>
      <c r="S299" s="373" t="s">
        <v>193</v>
      </c>
      <c r="X299" s="20"/>
      <c r="Y299" s="112"/>
      <c r="Z299" s="239"/>
      <c r="AA299" s="94"/>
      <c r="AB299" s="95"/>
      <c r="AC299" s="20"/>
      <c r="AD299" s="41"/>
      <c r="AE299" s="93"/>
      <c r="AF299" s="20"/>
      <c r="AG299" s="20"/>
      <c r="AH299" s="20"/>
      <c r="AI299" s="20"/>
    </row>
    <row r="300" spans="2:35" ht="12.75" hidden="1" customHeight="1">
      <c r="C300" s="18" t="s">
        <v>5</v>
      </c>
      <c r="D300" s="14"/>
      <c r="E300" s="14">
        <f>SUM(E297:E299)</f>
        <v>6272.31</v>
      </c>
      <c r="G300" s="242"/>
      <c r="H300" s="242"/>
      <c r="I300" s="242"/>
      <c r="J300" s="20"/>
      <c r="K300" s="256"/>
      <c r="L300" s="202" t="s">
        <v>197</v>
      </c>
      <c r="M300" s="204">
        <v>-20</v>
      </c>
      <c r="N300" s="69">
        <f t="shared" si="41"/>
        <v>2526.6400940000094</v>
      </c>
      <c r="O300" s="65"/>
      <c r="P300" s="133">
        <v>-189</v>
      </c>
      <c r="Q300" s="72">
        <f>Q299+P300</f>
        <v>-6155.2172784810091</v>
      </c>
      <c r="R300" s="45">
        <f t="shared" si="40"/>
        <v>3894.7827215189909</v>
      </c>
      <c r="S300" s="373" t="s">
        <v>192</v>
      </c>
      <c r="U300" s="111"/>
      <c r="V300" s="20"/>
      <c r="W300" s="20"/>
      <c r="X300" s="20"/>
      <c r="Y300" s="112"/>
      <c r="Z300" s="239"/>
      <c r="AA300" s="94"/>
      <c r="AB300" s="26"/>
      <c r="AC300" s="20"/>
      <c r="AD300" s="92"/>
      <c r="AE300" s="93"/>
      <c r="AF300" s="20"/>
      <c r="AG300" s="20"/>
      <c r="AH300" s="20"/>
      <c r="AI300" s="20"/>
    </row>
    <row r="301" spans="2:35" ht="12.75" hidden="1" customHeight="1">
      <c r="G301" s="20"/>
      <c r="H301" s="46"/>
      <c r="I301" s="45"/>
      <c r="J301" s="54"/>
      <c r="K301" s="256"/>
      <c r="L301" s="79" t="s">
        <v>199</v>
      </c>
      <c r="M301" s="175">
        <v>-740</v>
      </c>
      <c r="N301" s="69">
        <f t="shared" si="41"/>
        <v>1786.6400940000094</v>
      </c>
      <c r="O301" s="48"/>
      <c r="P301" s="133">
        <f>-M299</f>
        <v>700</v>
      </c>
      <c r="Q301" s="72">
        <f t="shared" ref="Q301:Q330" si="42">Q300+P301</f>
        <v>-5455.2172784810091</v>
      </c>
      <c r="R301" s="45">
        <f t="shared" si="40"/>
        <v>4594.7827215189909</v>
      </c>
      <c r="S301" s="373" t="s">
        <v>66</v>
      </c>
      <c r="T301" s="194"/>
      <c r="U301" s="20"/>
      <c r="V301" s="45"/>
      <c r="W301" s="20"/>
      <c r="X301" s="91"/>
      <c r="Y301" s="112"/>
      <c r="Z301" s="239"/>
      <c r="AA301" s="94"/>
      <c r="AB301" s="26"/>
      <c r="AC301" s="20"/>
      <c r="AD301" s="92"/>
      <c r="AE301" s="93"/>
      <c r="AF301" s="20"/>
      <c r="AG301" s="20"/>
      <c r="AH301" s="20"/>
      <c r="AI301" s="20"/>
    </row>
    <row r="302" spans="2:35" hidden="1">
      <c r="C302" s="17" t="s">
        <v>7</v>
      </c>
      <c r="G302" s="20"/>
      <c r="H302" s="46"/>
      <c r="I302" s="45"/>
      <c r="J302" s="20"/>
      <c r="K302" s="256"/>
      <c r="L302" s="79" t="s">
        <v>207</v>
      </c>
      <c r="M302" s="175">
        <v>100.1</v>
      </c>
      <c r="N302" s="69">
        <f t="shared" si="41"/>
        <v>1886.7400940000093</v>
      </c>
      <c r="O302" s="49"/>
      <c r="P302" s="133">
        <f>-28.17-11.5</f>
        <v>-39.67</v>
      </c>
      <c r="Q302" s="72">
        <f t="shared" si="42"/>
        <v>-5494.8872784810092</v>
      </c>
      <c r="R302" s="45">
        <f t="shared" si="40"/>
        <v>4555.1127215189908</v>
      </c>
      <c r="S302" s="373" t="s">
        <v>49</v>
      </c>
      <c r="T302" s="20"/>
      <c r="U302" s="20"/>
      <c r="V302" s="45"/>
      <c r="W302" s="103"/>
      <c r="X302" s="20"/>
      <c r="Y302" s="112"/>
      <c r="Z302" s="239"/>
      <c r="AA302" s="94"/>
      <c r="AB302" s="95"/>
      <c r="AC302" s="20"/>
      <c r="AD302" s="96"/>
      <c r="AE302" s="93"/>
      <c r="AF302" s="20"/>
      <c r="AG302" s="20"/>
      <c r="AH302" s="20"/>
      <c r="AI302" s="20"/>
    </row>
    <row r="303" spans="2:35" hidden="1">
      <c r="D303" t="s">
        <v>8</v>
      </c>
      <c r="E303" s="14">
        <f>1204/2</f>
        <v>602</v>
      </c>
      <c r="G303" s="241"/>
      <c r="H303" s="46"/>
      <c r="I303" s="45"/>
      <c r="J303" s="20"/>
      <c r="K303" s="256"/>
      <c r="L303" s="79" t="s">
        <v>217</v>
      </c>
      <c r="M303" s="175">
        <v>-200</v>
      </c>
      <c r="N303" s="69">
        <f t="shared" si="41"/>
        <v>1686.7400940000093</v>
      </c>
      <c r="O303" s="49"/>
      <c r="P303" s="131">
        <v>-89.61</v>
      </c>
      <c r="Q303" s="72">
        <f t="shared" si="42"/>
        <v>-5584.4972784810088</v>
      </c>
      <c r="R303" s="45">
        <f t="shared" si="40"/>
        <v>4465.5027215189912</v>
      </c>
      <c r="S303" s="373" t="s">
        <v>71</v>
      </c>
      <c r="T303" s="20"/>
      <c r="U303" s="20"/>
      <c r="V303" s="45"/>
      <c r="W303" s="20"/>
      <c r="X303" s="20"/>
      <c r="Y303" s="112"/>
      <c r="Z303" s="239"/>
      <c r="AA303" s="94"/>
      <c r="AB303" s="26"/>
      <c r="AC303" s="20"/>
      <c r="AD303" s="41"/>
      <c r="AE303" s="93"/>
      <c r="AF303" s="20"/>
      <c r="AG303" s="20"/>
      <c r="AH303" s="20"/>
      <c r="AI303" s="20"/>
    </row>
    <row r="304" spans="2:35" hidden="1">
      <c r="D304" s="115" t="s">
        <v>208</v>
      </c>
      <c r="E304" s="14">
        <f>-$E$283/2</f>
        <v>-150.08999999999997</v>
      </c>
      <c r="G304" s="241"/>
      <c r="H304" s="46"/>
      <c r="I304" s="45"/>
      <c r="J304" s="20"/>
      <c r="K304" s="256"/>
      <c r="L304" s="184" t="s">
        <v>51</v>
      </c>
      <c r="M304" s="146">
        <f>E312</f>
        <v>4953.8</v>
      </c>
      <c r="N304" s="69">
        <f t="shared" si="41"/>
        <v>6640.540094000009</v>
      </c>
      <c r="O304" s="49"/>
      <c r="P304" s="45">
        <v>-611.5</v>
      </c>
      <c r="Q304" s="72">
        <f t="shared" si="42"/>
        <v>-6195.9972784810088</v>
      </c>
      <c r="R304" s="45">
        <f t="shared" si="40"/>
        <v>3854.0027215189912</v>
      </c>
      <c r="S304" s="373" t="s">
        <v>124</v>
      </c>
      <c r="T304" s="20"/>
      <c r="U304" s="20"/>
      <c r="V304" s="133"/>
      <c r="W304" s="20"/>
      <c r="X304" s="20"/>
      <c r="Y304" s="112"/>
      <c r="Z304" s="239"/>
      <c r="AA304" s="94"/>
      <c r="AB304" s="26"/>
      <c r="AC304" s="20"/>
      <c r="AD304" s="92"/>
      <c r="AE304" s="93"/>
      <c r="AF304" s="20"/>
      <c r="AG304" s="20"/>
      <c r="AH304" s="20"/>
      <c r="AI304" s="20"/>
    </row>
    <row r="305" spans="2:35" hidden="1">
      <c r="D305" t="s">
        <v>22</v>
      </c>
      <c r="E305" s="15"/>
      <c r="F305" s="38"/>
      <c r="G305" s="20"/>
      <c r="H305" s="46"/>
      <c r="I305" s="108"/>
      <c r="J305" s="20"/>
      <c r="K305" s="256"/>
      <c r="L305" s="184" t="s">
        <v>126</v>
      </c>
      <c r="M305" s="146">
        <v>-700</v>
      </c>
      <c r="N305" s="69">
        <f t="shared" si="41"/>
        <v>5940.540094000009</v>
      </c>
      <c r="O305" s="39"/>
      <c r="P305" s="45">
        <v>-353.72</v>
      </c>
      <c r="Q305" s="72">
        <f t="shared" si="42"/>
        <v>-6549.7172784810091</v>
      </c>
      <c r="R305" s="45">
        <f t="shared" si="40"/>
        <v>3500.2827215189909</v>
      </c>
      <c r="S305" s="373" t="s">
        <v>198</v>
      </c>
      <c r="T305" s="50"/>
      <c r="U305" s="20"/>
      <c r="V305" s="45"/>
      <c r="W305" s="26"/>
      <c r="X305" s="20"/>
      <c r="Y305" s="112"/>
      <c r="Z305" s="239"/>
      <c r="AA305" s="94"/>
      <c r="AB305" s="95"/>
      <c r="AC305" s="20"/>
      <c r="AD305" s="92"/>
      <c r="AE305" s="93"/>
      <c r="AF305" s="20"/>
      <c r="AG305" s="20"/>
      <c r="AH305" s="20"/>
      <c r="AI305" s="20"/>
    </row>
    <row r="306" spans="2:35" hidden="1">
      <c r="C306" s="18" t="s">
        <v>5</v>
      </c>
      <c r="E306" s="19">
        <f>SUM(E303:E305)</f>
        <v>451.91</v>
      </c>
      <c r="G306" s="20"/>
      <c r="H306" s="235"/>
      <c r="I306" s="45"/>
      <c r="J306" s="20"/>
      <c r="K306" s="256"/>
      <c r="L306" s="184" t="s">
        <v>180</v>
      </c>
      <c r="M306" s="45">
        <v>-95</v>
      </c>
      <c r="N306" s="69">
        <f t="shared" si="41"/>
        <v>5845.540094000009</v>
      </c>
      <c r="O306" s="39"/>
      <c r="P306" s="45">
        <v>-399.95</v>
      </c>
      <c r="Q306" s="72">
        <f t="shared" si="42"/>
        <v>-6949.6672784810089</v>
      </c>
      <c r="R306" s="45">
        <f t="shared" si="40"/>
        <v>3100.3327215189911</v>
      </c>
      <c r="S306" s="373" t="s">
        <v>200</v>
      </c>
      <c r="T306" s="50"/>
      <c r="U306" s="20"/>
      <c r="V306" s="45"/>
      <c r="W306" s="26"/>
      <c r="X306" s="20"/>
      <c r="Y306" s="112"/>
      <c r="Z306" s="239"/>
      <c r="AA306" s="94"/>
      <c r="AB306" s="26"/>
      <c r="AC306" s="20"/>
      <c r="AD306" s="92"/>
      <c r="AE306" s="97"/>
      <c r="AF306" s="20"/>
      <c r="AG306" s="20"/>
      <c r="AH306" s="20"/>
      <c r="AI306" s="20"/>
    </row>
    <row r="307" spans="2:35" ht="12.75" hidden="1" customHeight="1">
      <c r="C307" s="18"/>
      <c r="G307" s="20"/>
      <c r="H307" s="46"/>
      <c r="I307" s="108"/>
      <c r="J307" s="20"/>
      <c r="K307" s="256"/>
      <c r="L307" s="184" t="s">
        <v>61</v>
      </c>
      <c r="M307" s="45">
        <v>-203.5</v>
      </c>
      <c r="N307" s="69">
        <f t="shared" si="41"/>
        <v>5642.040094000009</v>
      </c>
      <c r="O307" s="39"/>
      <c r="P307" s="132">
        <v>-665.8</v>
      </c>
      <c r="Q307" s="72">
        <f t="shared" si="42"/>
        <v>-7615.4672784810091</v>
      </c>
      <c r="R307" s="45">
        <f t="shared" si="40"/>
        <v>2434.5327215189909</v>
      </c>
      <c r="S307" s="373" t="s">
        <v>171</v>
      </c>
      <c r="T307" s="80"/>
      <c r="U307" s="74"/>
      <c r="V307" s="45"/>
      <c r="W307" s="26"/>
      <c r="X307" s="20"/>
      <c r="Y307" s="112"/>
      <c r="Z307" s="239"/>
      <c r="AA307" s="94"/>
      <c r="AB307" s="26"/>
      <c r="AC307" s="20"/>
      <c r="AD307" s="20"/>
      <c r="AE307" s="93"/>
      <c r="AF307" s="20"/>
      <c r="AG307" s="20"/>
      <c r="AH307" s="20"/>
      <c r="AI307" s="20"/>
    </row>
    <row r="308" spans="2:35" ht="13.5" hidden="1" customHeight="1" thickBot="1">
      <c r="D308" s="16" t="s">
        <v>67</v>
      </c>
      <c r="E308" s="27">
        <f>E300-E306</f>
        <v>5820.4000000000005</v>
      </c>
      <c r="G308" s="20"/>
      <c r="H308" s="235"/>
      <c r="I308" s="45"/>
      <c r="J308" s="252"/>
      <c r="K308" s="256"/>
      <c r="L308" s="184" t="s">
        <v>220</v>
      </c>
      <c r="M308" s="45">
        <v>-482.27</v>
      </c>
      <c r="N308" s="69">
        <f t="shared" si="41"/>
        <v>5159.7700940000086</v>
      </c>
      <c r="O308" s="39"/>
      <c r="P308" s="132">
        <f>-SUM(P306:P307)</f>
        <v>1065.75</v>
      </c>
      <c r="Q308" s="72">
        <f t="shared" si="42"/>
        <v>-6549.7172784810091</v>
      </c>
      <c r="R308" s="45">
        <f t="shared" si="40"/>
        <v>3500.2827215189909</v>
      </c>
      <c r="S308" s="373" t="s">
        <v>117</v>
      </c>
      <c r="T308" s="50"/>
      <c r="U308" s="74"/>
      <c r="V308" s="26"/>
      <c r="W308" s="26"/>
      <c r="X308" s="91"/>
      <c r="Y308" s="20"/>
      <c r="Z308" s="239"/>
      <c r="AA308" s="94"/>
      <c r="AB308" s="95"/>
      <c r="AC308" s="20"/>
      <c r="AD308" s="98"/>
      <c r="AE308" s="93"/>
      <c r="AF308" s="120"/>
      <c r="AG308" s="20"/>
      <c r="AH308" s="20"/>
      <c r="AI308" s="20"/>
    </row>
    <row r="309" spans="2:35" hidden="1">
      <c r="D309" s="17"/>
      <c r="E309" s="40"/>
      <c r="G309"/>
      <c r="H309" s="23"/>
      <c r="I309" s="45"/>
      <c r="J309" s="20"/>
      <c r="K309" s="256"/>
      <c r="L309" s="184" t="s">
        <v>196</v>
      </c>
      <c r="M309" s="253">
        <v>0</v>
      </c>
      <c r="N309" s="69">
        <f t="shared" si="41"/>
        <v>5159.7700940000086</v>
      </c>
      <c r="O309" s="39"/>
      <c r="P309" s="132">
        <v>-70</v>
      </c>
      <c r="Q309" s="72">
        <f t="shared" si="42"/>
        <v>-6619.7172784810091</v>
      </c>
      <c r="R309" s="45">
        <f t="shared" si="40"/>
        <v>3430.2827215189909</v>
      </c>
      <c r="S309" s="373" t="s">
        <v>201</v>
      </c>
      <c r="T309" s="219"/>
      <c r="U309" s="65"/>
      <c r="V309" s="26"/>
      <c r="W309" s="26"/>
      <c r="X309" s="35"/>
      <c r="Y309" s="20"/>
      <c r="Z309" s="239"/>
      <c r="AA309" s="94"/>
      <c r="AB309" s="26"/>
      <c r="AC309" s="20"/>
      <c r="AD309" s="20"/>
      <c r="AE309" s="20"/>
      <c r="AF309" s="99"/>
      <c r="AG309" s="20"/>
      <c r="AH309" s="20"/>
      <c r="AI309" s="20"/>
    </row>
    <row r="310" spans="2:35" hidden="1">
      <c r="D310" s="17"/>
      <c r="E310" s="40"/>
      <c r="G310"/>
      <c r="H310" s="23"/>
      <c r="I310" s="45"/>
      <c r="J310" s="20"/>
      <c r="L310" s="184" t="s">
        <v>23</v>
      </c>
      <c r="M310" s="146">
        <v>-197.2</v>
      </c>
      <c r="N310" s="69">
        <f t="shared" si="41"/>
        <v>4962.5700940000088</v>
      </c>
      <c r="O310" s="39"/>
      <c r="P310" s="263">
        <v>6500</v>
      </c>
      <c r="Q310" s="72">
        <f t="shared" si="42"/>
        <v>-119.71727848100909</v>
      </c>
      <c r="R310" s="45">
        <f t="shared" si="40"/>
        <v>9930.28272151899</v>
      </c>
      <c r="S310" s="373" t="s">
        <v>194</v>
      </c>
      <c r="T310" s="243"/>
      <c r="U310" s="65"/>
      <c r="V310" s="20"/>
      <c r="W310" s="20"/>
      <c r="X310" s="20"/>
      <c r="Y310" s="111"/>
      <c r="Z310" s="239"/>
      <c r="AA310" s="94"/>
      <c r="AB310" s="26"/>
      <c r="AC310" s="20"/>
      <c r="AD310" s="20"/>
      <c r="AE310" s="20"/>
      <c r="AF310" s="20"/>
      <c r="AG310" s="20"/>
      <c r="AH310" s="20"/>
      <c r="AI310" s="20"/>
    </row>
    <row r="311" spans="2:35" hidden="1">
      <c r="C311" s="81" t="s">
        <v>17</v>
      </c>
      <c r="E311" s="42"/>
      <c r="G311"/>
      <c r="H311" s="23"/>
      <c r="I311" s="14"/>
      <c r="L311" s="187" t="s">
        <v>16</v>
      </c>
      <c r="M311" s="175">
        <v>-103.99</v>
      </c>
      <c r="N311" s="69">
        <f t="shared" si="41"/>
        <v>4858.580094000009</v>
      </c>
      <c r="O311" s="39"/>
      <c r="P311" s="132">
        <v>-99.99</v>
      </c>
      <c r="Q311" s="72">
        <f t="shared" si="42"/>
        <v>-219.7072784810091</v>
      </c>
      <c r="R311" s="45">
        <f t="shared" si="40"/>
        <v>9830.2927215189902</v>
      </c>
      <c r="S311" s="379" t="s">
        <v>202</v>
      </c>
      <c r="T311" s="243"/>
      <c r="U311" s="65"/>
      <c r="V311" s="20"/>
      <c r="W311" s="20"/>
      <c r="X311" s="91"/>
      <c r="Y311" s="111"/>
      <c r="Z311" s="239"/>
      <c r="AA311" s="94"/>
      <c r="AB311" s="95"/>
      <c r="AC311" s="20"/>
      <c r="AD311" s="20"/>
      <c r="AE311" s="20"/>
      <c r="AF311" s="20"/>
      <c r="AG311" s="20"/>
      <c r="AH311" s="20"/>
      <c r="AI311" s="20"/>
    </row>
    <row r="312" spans="2:35" hidden="1">
      <c r="D312" s="20" t="s">
        <v>14</v>
      </c>
      <c r="E312" s="42">
        <v>4953.8</v>
      </c>
      <c r="F312" s="20"/>
      <c r="G312" s="20"/>
      <c r="H312" s="46"/>
      <c r="L312" s="218" t="s">
        <v>56</v>
      </c>
      <c r="M312" s="147">
        <v>-605</v>
      </c>
      <c r="N312" s="70">
        <f t="shared" si="41"/>
        <v>4253.580094000009</v>
      </c>
      <c r="O312" s="39"/>
      <c r="P312" s="132">
        <v>-126.8</v>
      </c>
      <c r="Q312" s="72">
        <f t="shared" si="42"/>
        <v>-346.50727848100911</v>
      </c>
      <c r="R312" s="45">
        <f t="shared" si="40"/>
        <v>9703.4927215189909</v>
      </c>
      <c r="S312" s="373" t="s">
        <v>203</v>
      </c>
      <c r="T312" s="243"/>
      <c r="U312" s="65"/>
      <c r="V312" s="20"/>
      <c r="W312" s="20"/>
      <c r="X312" s="20"/>
      <c r="Y312" s="111"/>
      <c r="Z312" s="239"/>
      <c r="AA312" s="94"/>
      <c r="AB312" s="26"/>
      <c r="AC312" s="20"/>
      <c r="AD312" s="20"/>
      <c r="AE312" s="20"/>
      <c r="AF312" s="20"/>
      <c r="AG312" s="120"/>
      <c r="AH312" s="20"/>
      <c r="AI312" s="20"/>
    </row>
    <row r="313" spans="2:35" ht="12.75" hidden="1" customHeight="1">
      <c r="D313" s="78" t="s">
        <v>13</v>
      </c>
      <c r="E313" s="15">
        <f>E308-E312-E314</f>
        <v>866.60000000000036</v>
      </c>
      <c r="F313" s="78"/>
      <c r="G313" s="516">
        <f>SUM(E312:E313)</f>
        <v>5820.4000000000005</v>
      </c>
      <c r="H313" s="516"/>
      <c r="L313" s="23"/>
      <c r="M313" s="168">
        <f>SUM(M298:M312)</f>
        <v>4253.580094000009</v>
      </c>
      <c r="O313" s="39"/>
      <c r="P313" s="132">
        <v>-187.9</v>
      </c>
      <c r="Q313" s="72">
        <f t="shared" si="42"/>
        <v>-534.40727848100914</v>
      </c>
      <c r="R313" s="45">
        <f t="shared" si="40"/>
        <v>9515.5927215189913</v>
      </c>
      <c r="S313" s="379" t="s">
        <v>205</v>
      </c>
      <c r="T313" s="243"/>
      <c r="U313" s="83"/>
      <c r="V313" s="20"/>
      <c r="W313" s="20"/>
      <c r="X313" s="20"/>
      <c r="Y313" s="111"/>
      <c r="Z313" s="239"/>
      <c r="AA313" s="94"/>
      <c r="AB313" s="26"/>
      <c r="AC313" s="20"/>
      <c r="AD313" s="20"/>
      <c r="AE313" s="20"/>
      <c r="AF313" s="20"/>
      <c r="AG313" s="20"/>
      <c r="AH313" s="20"/>
      <c r="AI313" s="20"/>
    </row>
    <row r="314" spans="2:35" ht="12.75" hidden="1" customHeight="1">
      <c r="D314" s="20"/>
      <c r="E314" s="26"/>
      <c r="F314" s="122"/>
      <c r="G314" s="515"/>
      <c r="H314" s="515"/>
      <c r="M314" s="26"/>
      <c r="O314" s="42"/>
      <c r="P314" s="132">
        <v>-89</v>
      </c>
      <c r="Q314" s="72">
        <f t="shared" si="42"/>
        <v>-623.40727848100914</v>
      </c>
      <c r="R314" s="45">
        <f t="shared" si="40"/>
        <v>9426.5927215189913</v>
      </c>
      <c r="S314" s="379" t="s">
        <v>204</v>
      </c>
      <c r="T314" s="243"/>
      <c r="U314" s="84"/>
      <c r="V314" s="26"/>
      <c r="W314" s="26"/>
      <c r="X314" s="91"/>
      <c r="Y314" s="20"/>
      <c r="Z314" s="239"/>
      <c r="AA314" s="94"/>
      <c r="AB314" s="26"/>
      <c r="AC314" s="20"/>
      <c r="AD314" s="20"/>
      <c r="AE314" s="20"/>
      <c r="AF314" s="20"/>
      <c r="AG314" s="20"/>
      <c r="AH314" s="20"/>
      <c r="AI314" s="20"/>
    </row>
    <row r="315" spans="2:35" ht="12.75" hidden="1" customHeight="1">
      <c r="D315" s="20"/>
      <c r="E315" s="26"/>
      <c r="F315" s="122"/>
      <c r="G315" s="515"/>
      <c r="H315" s="515"/>
      <c r="M315" s="26"/>
      <c r="O315" s="26"/>
      <c r="P315" s="132">
        <v>-272.3</v>
      </c>
      <c r="Q315" s="72">
        <f t="shared" si="42"/>
        <v>-895.7072784810091</v>
      </c>
      <c r="R315" s="45">
        <f t="shared" si="40"/>
        <v>9154.2927215189902</v>
      </c>
      <c r="S315" s="373" t="s">
        <v>50</v>
      </c>
      <c r="T315" s="243"/>
      <c r="U315" s="84"/>
      <c r="V315" s="26"/>
      <c r="W315" s="26"/>
      <c r="X315" s="35"/>
      <c r="Y315" s="20"/>
      <c r="Z315" s="239"/>
      <c r="AA315" s="94"/>
      <c r="AB315" s="26"/>
      <c r="AC315" s="20"/>
      <c r="AD315" s="20"/>
      <c r="AE315" s="20"/>
      <c r="AF315" s="20"/>
      <c r="AG315" s="20"/>
      <c r="AH315" s="20"/>
      <c r="AI315" s="20"/>
    </row>
    <row r="316" spans="2:35" hidden="1">
      <c r="D316" s="20"/>
      <c r="E316" s="26"/>
      <c r="F316" s="122"/>
      <c r="G316" s="248"/>
      <c r="H316" s="248"/>
      <c r="M316" s="26"/>
      <c r="N316" s="29"/>
      <c r="O316" s="26"/>
      <c r="P316" s="132">
        <v>-150.19999999999999</v>
      </c>
      <c r="Q316" s="72">
        <f t="shared" si="42"/>
        <v>-1045.9072784810091</v>
      </c>
      <c r="R316" s="45">
        <f t="shared" si="40"/>
        <v>9004.0927215189913</v>
      </c>
      <c r="S316" s="373" t="s">
        <v>206</v>
      </c>
      <c r="T316" s="243"/>
      <c r="U316" s="20"/>
      <c r="V316" s="26"/>
      <c r="W316" s="26"/>
      <c r="X316" s="20"/>
      <c r="Y316" s="20"/>
      <c r="Z316" s="239"/>
      <c r="AA316" s="94"/>
      <c r="AB316" s="26"/>
      <c r="AC316" s="20"/>
      <c r="AD316" s="20"/>
      <c r="AE316" s="20"/>
      <c r="AF316" s="20"/>
      <c r="AG316" s="20"/>
      <c r="AH316" s="20"/>
      <c r="AI316" s="20"/>
    </row>
    <row r="317" spans="2:35" ht="15" hidden="1">
      <c r="B317" s="20"/>
      <c r="C317" s="35"/>
      <c r="D317" s="206"/>
      <c r="E317" s="45"/>
      <c r="F317" s="209"/>
      <c r="G317" s="262"/>
      <c r="H317" s="262"/>
      <c r="I317" s="20"/>
      <c r="L317" s="91"/>
      <c r="M317" s="26"/>
      <c r="N317" s="234"/>
      <c r="O317" s="26"/>
      <c r="P317" s="132">
        <v>-999.95</v>
      </c>
      <c r="Q317" s="72">
        <f t="shared" si="42"/>
        <v>-2045.8572784810092</v>
      </c>
      <c r="R317" s="45">
        <f t="shared" si="40"/>
        <v>8004.1427215189906</v>
      </c>
      <c r="S317" s="373" t="s">
        <v>209</v>
      </c>
      <c r="T317" s="243"/>
      <c r="U317" s="20"/>
      <c r="V317" s="26"/>
      <c r="W317" s="26"/>
      <c r="X317" s="91"/>
      <c r="Y317" s="20"/>
      <c r="Z317" s="239"/>
      <c r="AA317" s="94"/>
      <c r="AB317" s="26"/>
      <c r="AC317" s="20"/>
      <c r="AD317" s="20"/>
      <c r="AE317" s="20"/>
      <c r="AF317" s="20"/>
      <c r="AG317" s="20"/>
      <c r="AH317" s="20"/>
      <c r="AI317" s="20"/>
    </row>
    <row r="318" spans="2:35" hidden="1">
      <c r="B318" s="20"/>
      <c r="C318" s="35"/>
      <c r="D318" s="207"/>
      <c r="E318" s="45"/>
      <c r="F318" s="122"/>
      <c r="G318" s="208"/>
      <c r="H318" s="262"/>
      <c r="I318" s="20"/>
      <c r="L318" s="235"/>
      <c r="M318" s="26"/>
      <c r="N318" s="236"/>
      <c r="O318" s="26"/>
      <c r="P318" s="132">
        <v>-59.99</v>
      </c>
      <c r="Q318" s="72">
        <f t="shared" si="42"/>
        <v>-2105.8472784810092</v>
      </c>
      <c r="R318" s="45">
        <f t="shared" si="40"/>
        <v>7944.1527215189908</v>
      </c>
      <c r="S318" s="373" t="s">
        <v>178</v>
      </c>
      <c r="T318" s="243"/>
      <c r="U318" s="20"/>
      <c r="V318" s="26"/>
      <c r="W318" s="26"/>
      <c r="X318" s="91"/>
      <c r="Y318" s="20"/>
      <c r="Z318" s="239"/>
      <c r="AA318" s="94"/>
      <c r="AB318" s="26"/>
      <c r="AC318" s="20"/>
      <c r="AD318" s="20"/>
      <c r="AE318" s="20"/>
      <c r="AF318" s="20"/>
      <c r="AG318" s="20"/>
      <c r="AH318" s="20"/>
      <c r="AI318" s="20"/>
    </row>
    <row r="319" spans="2:35" hidden="1">
      <c r="B319" s="20"/>
      <c r="C319" s="35"/>
      <c r="D319" s="207"/>
      <c r="E319" s="45"/>
      <c r="F319" s="122"/>
      <c r="G319" s="208"/>
      <c r="H319" s="262"/>
      <c r="I319" s="20"/>
      <c r="L319" s="235"/>
      <c r="M319" s="26"/>
      <c r="N319" s="236"/>
      <c r="O319" s="26"/>
      <c r="P319" s="132">
        <v>-99.95</v>
      </c>
      <c r="Q319" s="72">
        <f t="shared" si="42"/>
        <v>-2205.797278481009</v>
      </c>
      <c r="R319" s="45">
        <f t="shared" si="40"/>
        <v>7844.202721518991</v>
      </c>
      <c r="S319" s="373" t="s">
        <v>210</v>
      </c>
      <c r="T319" s="243"/>
      <c r="U319" s="20"/>
      <c r="V319" s="26"/>
      <c r="W319" s="26"/>
      <c r="X319" s="91"/>
      <c r="Y319" s="20"/>
      <c r="Z319" s="239"/>
      <c r="AA319" s="94"/>
      <c r="AB319" s="26"/>
      <c r="AC319" s="20"/>
      <c r="AD319" s="20"/>
      <c r="AE319" s="20"/>
      <c r="AF319" s="20"/>
      <c r="AG319" s="20"/>
      <c r="AH319" s="20"/>
      <c r="AI319" s="20"/>
    </row>
    <row r="320" spans="2:35" hidden="1">
      <c r="B320" s="20"/>
      <c r="C320" s="35"/>
      <c r="D320" s="26"/>
      <c r="E320" s="45"/>
      <c r="F320" s="122"/>
      <c r="G320" s="262"/>
      <c r="H320" s="262"/>
      <c r="I320" s="20"/>
      <c r="L320" s="20"/>
      <c r="M320" s="26"/>
      <c r="N320" s="20"/>
      <c r="O320" s="239"/>
      <c r="P320" s="132">
        <v>-90.27</v>
      </c>
      <c r="Q320" s="72">
        <f t="shared" si="42"/>
        <v>-2296.067278481009</v>
      </c>
      <c r="R320" s="45">
        <f t="shared" si="40"/>
        <v>7753.9327215189915</v>
      </c>
      <c r="S320" s="373" t="s">
        <v>50</v>
      </c>
      <c r="T320" s="243"/>
      <c r="U320" s="20"/>
      <c r="V320" s="26"/>
      <c r="W320" s="26"/>
      <c r="X320" s="91"/>
      <c r="Y320" s="20"/>
      <c r="Z320" s="239"/>
      <c r="AA320" s="94"/>
      <c r="AB320" s="26"/>
      <c r="AC320" s="20"/>
      <c r="AD320" s="20"/>
      <c r="AE320" s="20"/>
      <c r="AF320" s="20"/>
      <c r="AG320" s="20"/>
      <c r="AH320" s="20"/>
      <c r="AI320" s="20"/>
    </row>
    <row r="321" spans="2:35" hidden="1">
      <c r="B321" s="20"/>
      <c r="C321" s="35"/>
      <c r="D321" s="26"/>
      <c r="E321" s="45"/>
      <c r="F321" s="122"/>
      <c r="G321" s="262"/>
      <c r="H321" s="262"/>
      <c r="I321" s="20"/>
      <c r="L321" s="91"/>
      <c r="M321" s="26"/>
      <c r="N321" s="111"/>
      <c r="O321" s="240"/>
      <c r="P321" s="132">
        <v>-190.9</v>
      </c>
      <c r="Q321" s="72">
        <f t="shared" si="42"/>
        <v>-2486.9672784810091</v>
      </c>
      <c r="R321" s="45">
        <f t="shared" si="40"/>
        <v>7563.0327215189909</v>
      </c>
      <c r="S321" s="373" t="s">
        <v>101</v>
      </c>
      <c r="T321" s="243"/>
      <c r="U321" s="20"/>
      <c r="V321" s="26"/>
      <c r="W321" s="26"/>
      <c r="X321" s="91"/>
      <c r="Y321" s="20"/>
      <c r="Z321" s="239"/>
      <c r="AA321" s="94"/>
      <c r="AB321" s="26"/>
      <c r="AC321" s="20"/>
      <c r="AD321" s="20"/>
      <c r="AE321" s="20"/>
      <c r="AF321" s="20"/>
      <c r="AG321" s="20"/>
      <c r="AH321" s="20"/>
      <c r="AI321" s="20"/>
    </row>
    <row r="322" spans="2:35" hidden="1">
      <c r="B322" s="20"/>
      <c r="C322" s="35"/>
      <c r="D322" s="26"/>
      <c r="E322" s="45"/>
      <c r="F322" s="122"/>
      <c r="G322" s="262"/>
      <c r="H322" s="262"/>
      <c r="I322" s="20"/>
      <c r="L322" s="235"/>
      <c r="M322" s="26"/>
      <c r="N322" s="236"/>
      <c r="O322" s="26"/>
      <c r="P322" s="132">
        <v>-91.05</v>
      </c>
      <c r="Q322" s="72">
        <f t="shared" si="42"/>
        <v>-2578.0172784810093</v>
      </c>
      <c r="R322" s="45">
        <f t="shared" si="40"/>
        <v>7471.9827215189907</v>
      </c>
      <c r="S322" s="373" t="s">
        <v>211</v>
      </c>
      <c r="T322" s="243"/>
      <c r="U322" s="20"/>
      <c r="V322" s="26"/>
      <c r="W322" s="26"/>
      <c r="X322" s="91"/>
      <c r="Y322" s="20"/>
      <c r="Z322" s="239"/>
      <c r="AA322" s="94"/>
      <c r="AB322" s="26"/>
      <c r="AC322" s="20"/>
      <c r="AD322" s="20"/>
      <c r="AE322" s="20"/>
      <c r="AF322" s="20"/>
      <c r="AG322" s="20"/>
      <c r="AH322" s="20"/>
      <c r="AI322" s="20"/>
    </row>
    <row r="323" spans="2:35" hidden="1">
      <c r="E323"/>
      <c r="G323"/>
      <c r="L323" s="235"/>
      <c r="M323" s="26"/>
      <c r="N323" s="236"/>
      <c r="O323" s="26"/>
      <c r="P323" s="132">
        <v>-52.95</v>
      </c>
      <c r="Q323" s="72">
        <f t="shared" si="42"/>
        <v>-2630.9672784810091</v>
      </c>
      <c r="R323" s="45">
        <f t="shared" si="40"/>
        <v>7419.0327215189909</v>
      </c>
      <c r="S323" s="373" t="s">
        <v>205</v>
      </c>
      <c r="T323" s="243"/>
      <c r="U323" s="20"/>
      <c r="V323" s="26"/>
      <c r="W323" s="26"/>
      <c r="X323" s="91"/>
      <c r="Y323" s="20"/>
      <c r="Z323" s="239"/>
      <c r="AA323" s="94"/>
      <c r="AB323" s="26"/>
      <c r="AC323" s="20"/>
      <c r="AD323" s="20"/>
      <c r="AE323" s="20"/>
      <c r="AF323" s="20"/>
      <c r="AG323" s="20"/>
      <c r="AH323" s="20"/>
      <c r="AI323" s="20"/>
    </row>
    <row r="324" spans="2:35" hidden="1">
      <c r="E324"/>
      <c r="G324"/>
      <c r="L324" s="20"/>
      <c r="M324" s="26"/>
      <c r="N324" s="20"/>
      <c r="O324" s="239"/>
      <c r="P324" s="132">
        <v>-437.45</v>
      </c>
      <c r="Q324" s="72">
        <f t="shared" si="42"/>
        <v>-3068.4172784810089</v>
      </c>
      <c r="R324" s="45">
        <f t="shared" si="40"/>
        <v>6981.5827215189911</v>
      </c>
      <c r="S324" s="373" t="s">
        <v>212</v>
      </c>
      <c r="T324" s="243"/>
      <c r="U324" s="20"/>
      <c r="V324" s="26"/>
      <c r="W324" s="26"/>
      <c r="X324" s="91"/>
      <c r="Y324" s="20"/>
      <c r="Z324" s="239"/>
      <c r="AA324" s="94"/>
      <c r="AB324" s="26"/>
      <c r="AC324" s="20"/>
      <c r="AD324" s="20"/>
      <c r="AE324" s="20"/>
      <c r="AF324" s="20"/>
      <c r="AG324" s="20"/>
      <c r="AH324" s="20"/>
      <c r="AI324" s="20"/>
    </row>
    <row r="325" spans="2:35" hidden="1">
      <c r="B325" s="20"/>
      <c r="C325" s="35"/>
      <c r="D325" s="26"/>
      <c r="E325" s="45"/>
      <c r="F325" s="122"/>
      <c r="G325" s="248"/>
      <c r="H325" s="248"/>
      <c r="M325" s="26"/>
      <c r="O325" s="240"/>
      <c r="P325" s="132">
        <v>-240</v>
      </c>
      <c r="Q325" s="72">
        <f t="shared" si="42"/>
        <v>-3308.4172784810089</v>
      </c>
      <c r="R325" s="45">
        <f t="shared" si="40"/>
        <v>6741.5827215189911</v>
      </c>
      <c r="S325" s="373" t="s">
        <v>213</v>
      </c>
      <c r="T325" s="243"/>
      <c r="U325" s="20"/>
      <c r="V325" s="26"/>
      <c r="W325" s="26"/>
      <c r="X325" s="91"/>
      <c r="Y325" s="20"/>
      <c r="Z325" s="239"/>
      <c r="AA325" s="94"/>
      <c r="AB325" s="26"/>
      <c r="AC325" s="20"/>
      <c r="AD325" s="20"/>
      <c r="AE325" s="20"/>
      <c r="AF325" s="20"/>
      <c r="AG325" s="20"/>
      <c r="AH325" s="20"/>
      <c r="AI325" s="20"/>
    </row>
    <row r="326" spans="2:35" ht="12.75" hidden="1" customHeight="1">
      <c r="B326" s="20"/>
      <c r="C326" s="1047"/>
      <c r="D326" s="1047"/>
      <c r="E326" s="549"/>
      <c r="F326" s="550"/>
      <c r="G326" s="248"/>
      <c r="H326" s="248"/>
      <c r="M326" s="26"/>
      <c r="O326" s="243"/>
      <c r="P326" s="132">
        <v>-384.6</v>
      </c>
      <c r="Q326" s="72">
        <f t="shared" si="42"/>
        <v>-3693.0172784810088</v>
      </c>
      <c r="R326" s="45">
        <f t="shared" si="40"/>
        <v>6356.9827215189907</v>
      </c>
      <c r="S326" s="373" t="s">
        <v>139</v>
      </c>
      <c r="T326" s="243"/>
      <c r="U326" s="20"/>
      <c r="V326" s="26"/>
      <c r="W326" s="26"/>
      <c r="X326" s="91"/>
      <c r="Y326" s="20"/>
      <c r="Z326" s="239"/>
      <c r="AA326" s="94"/>
      <c r="AB326" s="26"/>
      <c r="AC326" s="20"/>
      <c r="AD326" s="20"/>
      <c r="AE326" s="20"/>
      <c r="AF326" s="20"/>
      <c r="AG326" s="20"/>
      <c r="AH326" s="20"/>
      <c r="AI326" s="20"/>
    </row>
    <row r="327" spans="2:35" hidden="1">
      <c r="B327" s="20"/>
      <c r="C327" s="22"/>
      <c r="D327" s="22"/>
      <c r="E327" s="22"/>
      <c r="F327" s="22"/>
      <c r="G327" s="248"/>
      <c r="H327" s="248"/>
      <c r="M327" s="26"/>
      <c r="O327" s="243"/>
      <c r="P327" s="132">
        <v>-187.8</v>
      </c>
      <c r="Q327" s="72">
        <f t="shared" si="42"/>
        <v>-3880.817278481009</v>
      </c>
      <c r="R327" s="45">
        <f t="shared" si="40"/>
        <v>6169.1827215189915</v>
      </c>
      <c r="S327" s="373" t="s">
        <v>214</v>
      </c>
      <c r="T327" s="243"/>
      <c r="U327" s="20"/>
      <c r="V327" s="26"/>
      <c r="W327" s="26"/>
      <c r="X327" s="91"/>
      <c r="Y327" s="20"/>
      <c r="Z327" s="239"/>
      <c r="AA327" s="94"/>
      <c r="AB327" s="26"/>
      <c r="AC327" s="20"/>
      <c r="AD327" s="20"/>
      <c r="AE327" s="20"/>
      <c r="AF327" s="20"/>
      <c r="AG327" s="20"/>
      <c r="AH327" s="20"/>
      <c r="AI327" s="20"/>
    </row>
    <row r="328" spans="2:35" hidden="1">
      <c r="B328" s="20"/>
      <c r="C328" s="1046"/>
      <c r="D328" s="1046"/>
      <c r="E328" s="245"/>
      <c r="F328" s="22"/>
      <c r="G328" s="248"/>
      <c r="H328" s="248"/>
      <c r="M328" s="26"/>
      <c r="O328" s="251" t="s">
        <v>219</v>
      </c>
      <c r="P328" s="106"/>
      <c r="Q328" s="72">
        <f t="shared" si="42"/>
        <v>-3880.817278481009</v>
      </c>
      <c r="R328" s="45">
        <f t="shared" si="40"/>
        <v>6169.1827215189915</v>
      </c>
      <c r="S328" s="373" t="s">
        <v>215</v>
      </c>
      <c r="T328" s="243"/>
      <c r="U328" s="20"/>
      <c r="V328" s="26"/>
      <c r="W328" s="26"/>
      <c r="X328" s="91"/>
      <c r="Y328" s="20"/>
      <c r="Z328" s="239"/>
      <c r="AA328" s="94"/>
      <c r="AB328" s="26"/>
      <c r="AC328" s="20"/>
      <c r="AD328" s="20"/>
      <c r="AE328" s="20"/>
      <c r="AF328" s="20"/>
      <c r="AG328" s="20"/>
      <c r="AH328" s="20"/>
      <c r="AI328" s="20"/>
    </row>
    <row r="329" spans="2:35" hidden="1">
      <c r="B329" s="20"/>
      <c r="C329" s="1046"/>
      <c r="D329" s="1046"/>
      <c r="E329" s="231"/>
      <c r="F329" s="22"/>
      <c r="G329" s="248"/>
      <c r="H329" s="248"/>
      <c r="M329" s="26"/>
      <c r="O329" s="22"/>
      <c r="P329" s="237">
        <v>91.05</v>
      </c>
      <c r="Q329" s="72">
        <f t="shared" si="42"/>
        <v>-3789.7672784810088</v>
      </c>
      <c r="R329" s="45">
        <f t="shared" si="40"/>
        <v>6260.2327215189907</v>
      </c>
      <c r="S329" s="379" t="s">
        <v>216</v>
      </c>
      <c r="T329" s="243"/>
      <c r="U329" s="20"/>
      <c r="V329" s="26"/>
      <c r="W329" s="26"/>
      <c r="X329" s="91"/>
      <c r="Y329" s="20"/>
      <c r="Z329" s="239"/>
      <c r="AA329" s="94"/>
      <c r="AB329" s="26"/>
      <c r="AC329" s="20"/>
      <c r="AD329" s="20"/>
      <c r="AE329" s="20"/>
      <c r="AF329" s="20"/>
      <c r="AG329" s="20"/>
      <c r="AH329" s="20"/>
      <c r="AI329" s="20"/>
    </row>
    <row r="330" spans="2:35" hidden="1">
      <c r="B330" s="20"/>
      <c r="C330" s="22"/>
      <c r="D330" s="22"/>
      <c r="E330" s="232"/>
      <c r="F330" s="22"/>
      <c r="G330" s="248"/>
      <c r="H330" s="248"/>
      <c r="M330" s="26"/>
      <c r="O330" s="22"/>
      <c r="P330" s="77">
        <f>E313</f>
        <v>866.60000000000036</v>
      </c>
      <c r="Q330" s="73">
        <f t="shared" si="42"/>
        <v>-2923.1672784810085</v>
      </c>
      <c r="R330" s="52">
        <f t="shared" si="40"/>
        <v>7126.8327215189911</v>
      </c>
      <c r="S330" s="379"/>
      <c r="T330" s="243"/>
      <c r="U330" s="20"/>
      <c r="V330" s="26"/>
      <c r="W330" s="26"/>
      <c r="X330" s="91"/>
      <c r="Y330" s="20"/>
      <c r="Z330" s="239"/>
      <c r="AA330" s="94"/>
      <c r="AB330" s="26"/>
      <c r="AC330" s="20"/>
      <c r="AD330" s="20"/>
      <c r="AE330" s="20"/>
      <c r="AF330" s="20"/>
      <c r="AG330" s="20"/>
      <c r="AH330" s="20"/>
      <c r="AI330" s="20"/>
    </row>
    <row r="331" spans="2:35" ht="12.75" hidden="1" customHeight="1">
      <c r="B331" s="20"/>
      <c r="C331" s="22"/>
      <c r="D331" s="114"/>
      <c r="E331" s="551"/>
      <c r="F331" s="551"/>
      <c r="G331" s="248"/>
      <c r="H331" s="248"/>
      <c r="M331" s="26"/>
      <c r="O331" s="245"/>
      <c r="P331" s="64">
        <f>SUM(P298:P330)</f>
        <v>-2923.1672784810085</v>
      </c>
      <c r="Q331" s="63"/>
      <c r="R331" s="63"/>
      <c r="S331" s="380"/>
      <c r="T331" s="243"/>
      <c r="U331" s="20"/>
      <c r="V331" s="26"/>
      <c r="W331" s="26"/>
      <c r="X331" s="91"/>
      <c r="Y331" s="20"/>
      <c r="Z331" s="239"/>
      <c r="AA331" s="94"/>
      <c r="AB331" s="26"/>
      <c r="AC331" s="20"/>
      <c r="AD331" s="20"/>
      <c r="AE331" s="20"/>
      <c r="AF331" s="20"/>
      <c r="AG331" s="20"/>
      <c r="AH331" s="20"/>
      <c r="AI331" s="20"/>
    </row>
    <row r="332" spans="2:35" s="78" customFormat="1" hidden="1">
      <c r="E332" s="15"/>
      <c r="F332" s="88"/>
      <c r="G332" s="247"/>
      <c r="H332" s="247"/>
      <c r="K332" s="257"/>
      <c r="M332" s="15"/>
      <c r="O332" s="15"/>
      <c r="P332" s="155"/>
      <c r="Q332" s="250"/>
      <c r="R332" s="250"/>
      <c r="S332" s="387"/>
      <c r="T332" s="244"/>
      <c r="V332" s="15"/>
      <c r="W332" s="15"/>
      <c r="X332" s="158"/>
      <c r="Z332" s="159"/>
      <c r="AA332" s="160"/>
      <c r="AB332" s="15"/>
    </row>
    <row r="333" spans="2:35" hidden="1"/>
    <row r="334" spans="2:35" hidden="1">
      <c r="B334" s="1045" t="s">
        <v>188</v>
      </c>
      <c r="C334" s="1045"/>
      <c r="D334" s="1045"/>
      <c r="E334" s="1045"/>
      <c r="G334" s="261"/>
      <c r="H334" s="261"/>
      <c r="I334" s="26"/>
      <c r="K334" s="258"/>
      <c r="L334" s="100"/>
      <c r="M334" s="1031" t="s">
        <v>54</v>
      </c>
      <c r="N334" s="282"/>
      <c r="O334" s="278"/>
      <c r="P334" s="1033" t="s">
        <v>48</v>
      </c>
      <c r="Q334" s="279"/>
      <c r="R334" s="279"/>
      <c r="S334" s="377"/>
      <c r="X334" s="35"/>
      <c r="Y334" s="35"/>
      <c r="Z334" s="26"/>
      <c r="AA334" s="283"/>
      <c r="AB334" s="26"/>
      <c r="AC334" s="20"/>
      <c r="AD334" s="20"/>
      <c r="AE334" s="20"/>
      <c r="AF334" s="20"/>
      <c r="AG334" s="20"/>
      <c r="AH334" s="20"/>
      <c r="AI334" s="20"/>
    </row>
    <row r="335" spans="2:35" ht="12.75" hidden="1" customHeight="1">
      <c r="C335" s="17" t="s">
        <v>12</v>
      </c>
      <c r="D335" s="14"/>
      <c r="E335" s="44">
        <v>9000</v>
      </c>
      <c r="G335" s="514"/>
      <c r="H335" s="514"/>
      <c r="I335" s="26"/>
      <c r="K335" s="260" t="s">
        <v>221</v>
      </c>
      <c r="L335" s="156"/>
      <c r="M335" s="1032"/>
      <c r="N335" s="282" t="s">
        <v>43</v>
      </c>
      <c r="O335" s="278"/>
      <c r="P335" s="1034"/>
      <c r="Q335" s="280" t="s">
        <v>43</v>
      </c>
      <c r="R335" s="281" t="s">
        <v>53</v>
      </c>
      <c r="S335" s="377"/>
      <c r="X335" s="118"/>
      <c r="Y335" s="111"/>
      <c r="Z335" s="117"/>
      <c r="AA335" s="89"/>
      <c r="AB335" s="90"/>
      <c r="AC335" s="20"/>
      <c r="AD335" s="41"/>
      <c r="AE335" s="20"/>
      <c r="AF335" s="20"/>
      <c r="AG335" s="20"/>
      <c r="AH335" s="20"/>
      <c r="AI335" s="20"/>
    </row>
    <row r="336" spans="2:35" hidden="1">
      <c r="C336" s="17"/>
      <c r="D336" s="14" t="s">
        <v>24</v>
      </c>
      <c r="E336" s="44">
        <f>'[2]JANUARY ''12'!$C$72</f>
        <v>1905.0500000000002</v>
      </c>
      <c r="G336" s="30"/>
      <c r="H336" s="30"/>
      <c r="I336" s="26"/>
      <c r="K336" s="273"/>
      <c r="L336" s="235" t="s">
        <v>226</v>
      </c>
      <c r="M336" s="26">
        <f>$M$313</f>
        <v>4253.580094000009</v>
      </c>
      <c r="N336" s="71">
        <f>M336</f>
        <v>4253.580094000009</v>
      </c>
      <c r="O336" s="26"/>
      <c r="P336" s="45">
        <f>$Q$330</f>
        <v>-2923.1672784810085</v>
      </c>
      <c r="Q336" s="71">
        <f>P336</f>
        <v>-2923.1672784810085</v>
      </c>
      <c r="R336" s="45">
        <f t="shared" ref="R336:R359" si="43">10050+Q336</f>
        <v>7126.8327215189911</v>
      </c>
      <c r="S336" s="382"/>
      <c r="T336" s="29"/>
      <c r="X336" s="91"/>
      <c r="Y336" s="111"/>
      <c r="Z336" s="26"/>
      <c r="AA336" s="283"/>
      <c r="AB336" s="26"/>
      <c r="AC336" s="20"/>
      <c r="AD336" s="92"/>
      <c r="AE336" s="93"/>
      <c r="AF336" s="20"/>
      <c r="AG336" s="20"/>
      <c r="AH336" s="20"/>
      <c r="AI336" s="20"/>
    </row>
    <row r="337" spans="3:35" hidden="1">
      <c r="C337" s="17"/>
      <c r="D337" s="143" t="s">
        <v>225</v>
      </c>
      <c r="E337" s="15"/>
      <c r="G337"/>
      <c r="I337" s="26"/>
      <c r="K337" s="255" t="s">
        <v>223</v>
      </c>
      <c r="L337" s="101" t="s">
        <v>227</v>
      </c>
      <c r="M337" s="133">
        <v>-513.32000000000005</v>
      </c>
      <c r="N337" s="69">
        <f t="shared" ref="N337:N351" si="44">N336+M337</f>
        <v>3740.2600940000088</v>
      </c>
      <c r="O337" s="65"/>
      <c r="P337" s="133">
        <v>-361.31</v>
      </c>
      <c r="Q337" s="72">
        <f>Q336+P337</f>
        <v>-3284.4772784810084</v>
      </c>
      <c r="R337" s="45">
        <f t="shared" si="43"/>
        <v>6765.5227215189916</v>
      </c>
      <c r="S337" s="373" t="s">
        <v>50</v>
      </c>
      <c r="X337" s="20"/>
      <c r="Y337" s="112"/>
      <c r="Z337" s="239"/>
      <c r="AA337" s="94"/>
      <c r="AB337" s="95"/>
      <c r="AC337" s="20"/>
      <c r="AD337" s="41"/>
      <c r="AE337" s="93"/>
      <c r="AF337" s="20"/>
      <c r="AG337" s="20"/>
      <c r="AH337" s="20"/>
      <c r="AI337" s="20"/>
    </row>
    <row r="338" spans="3:35" ht="12.75" hidden="1" customHeight="1">
      <c r="C338" s="18" t="s">
        <v>5</v>
      </c>
      <c r="D338" s="14"/>
      <c r="E338" s="14">
        <f>SUM(E335:E337)</f>
        <v>10905.05</v>
      </c>
      <c r="G338" s="242"/>
      <c r="H338" s="242"/>
      <c r="I338" s="242"/>
      <c r="J338" s="20"/>
      <c r="K338" s="256"/>
      <c r="L338" s="101" t="s">
        <v>217</v>
      </c>
      <c r="M338" s="133">
        <v>-2000</v>
      </c>
      <c r="N338" s="69">
        <f t="shared" si="44"/>
        <v>1740.2600940000088</v>
      </c>
      <c r="O338" s="65"/>
      <c r="P338" s="133">
        <v>-304.58999999999997</v>
      </c>
      <c r="Q338" s="72">
        <f>Q337+P338</f>
        <v>-3589.0672784810085</v>
      </c>
      <c r="R338" s="45">
        <f t="shared" si="43"/>
        <v>6460.9327215189915</v>
      </c>
      <c r="S338" s="373" t="s">
        <v>198</v>
      </c>
      <c r="U338" s="111"/>
      <c r="V338" s="20"/>
      <c r="W338" s="20"/>
      <c r="X338" s="20"/>
      <c r="Y338" s="112"/>
      <c r="Z338" s="239"/>
      <c r="AA338" s="94"/>
      <c r="AB338" s="26"/>
      <c r="AC338" s="20"/>
      <c r="AD338" s="92"/>
      <c r="AE338" s="93"/>
      <c r="AF338" s="20"/>
      <c r="AG338" s="20"/>
      <c r="AH338" s="20"/>
      <c r="AI338" s="20"/>
    </row>
    <row r="339" spans="3:35" ht="12.75" hidden="1" customHeight="1">
      <c r="G339" s="20"/>
      <c r="H339" s="46"/>
      <c r="I339" s="45"/>
      <c r="J339" s="54"/>
      <c r="K339" s="256"/>
      <c r="L339" s="79" t="s">
        <v>102</v>
      </c>
      <c r="M339" s="175">
        <v>2000</v>
      </c>
      <c r="N339" s="69">
        <f t="shared" si="44"/>
        <v>3740.2600940000088</v>
      </c>
      <c r="O339" s="48"/>
      <c r="P339" s="133">
        <v>-11.33</v>
      </c>
      <c r="Q339" s="72">
        <f t="shared" ref="Q339:Q359" si="45">Q338+P339</f>
        <v>-3600.3972784810085</v>
      </c>
      <c r="R339" s="45">
        <f t="shared" si="43"/>
        <v>6449.6027215189915</v>
      </c>
      <c r="S339" s="373" t="s">
        <v>49</v>
      </c>
      <c r="T339" s="194"/>
      <c r="U339" s="20"/>
      <c r="V339" s="45"/>
      <c r="W339" s="20"/>
      <c r="X339" s="91"/>
      <c r="Y339" s="112"/>
      <c r="Z339" s="239"/>
      <c r="AA339" s="94"/>
      <c r="AB339" s="26"/>
      <c r="AC339" s="20"/>
      <c r="AD339" s="92"/>
      <c r="AE339" s="93"/>
      <c r="AF339" s="20"/>
      <c r="AG339" s="20"/>
      <c r="AH339" s="20"/>
      <c r="AI339" s="20"/>
    </row>
    <row r="340" spans="3:35" hidden="1">
      <c r="C340" s="17" t="s">
        <v>7</v>
      </c>
      <c r="G340" s="20"/>
      <c r="H340" s="46"/>
      <c r="I340" s="45"/>
      <c r="J340" s="20"/>
      <c r="K340" s="256"/>
      <c r="L340" s="79" t="s">
        <v>235</v>
      </c>
      <c r="M340" s="175">
        <v>-5</v>
      </c>
      <c r="N340" s="69">
        <f t="shared" si="44"/>
        <v>3735.2600940000088</v>
      </c>
      <c r="O340" s="49"/>
      <c r="P340" s="133">
        <v>-0.5</v>
      </c>
      <c r="Q340" s="72">
        <f t="shared" si="45"/>
        <v>-3600.8972784810085</v>
      </c>
      <c r="R340" s="45">
        <f t="shared" si="43"/>
        <v>6449.1027215189915</v>
      </c>
      <c r="S340" s="373" t="s">
        <v>218</v>
      </c>
      <c r="T340" s="20"/>
      <c r="U340" s="20"/>
      <c r="V340" s="45"/>
      <c r="W340" s="103"/>
      <c r="X340" s="20"/>
      <c r="Y340" s="112"/>
      <c r="Z340" s="239"/>
      <c r="AA340" s="94"/>
      <c r="AB340" s="95"/>
      <c r="AC340" s="20"/>
      <c r="AD340" s="96"/>
      <c r="AE340" s="93"/>
      <c r="AF340" s="20"/>
      <c r="AG340" s="20"/>
      <c r="AH340" s="20"/>
      <c r="AI340" s="20"/>
    </row>
    <row r="341" spans="3:35" hidden="1">
      <c r="D341" t="s">
        <v>8</v>
      </c>
      <c r="E341" s="14">
        <f>1312/2</f>
        <v>656</v>
      </c>
      <c r="G341" s="241"/>
      <c r="H341" s="46"/>
      <c r="I341" s="45"/>
      <c r="J341" s="20"/>
      <c r="K341" s="257"/>
      <c r="L341" s="144" t="s">
        <v>234</v>
      </c>
      <c r="M341" s="147">
        <v>-1900</v>
      </c>
      <c r="N341" s="69">
        <f t="shared" si="44"/>
        <v>1835.2600940000088</v>
      </c>
      <c r="O341" s="49"/>
      <c r="P341" s="131">
        <v>-280.8</v>
      </c>
      <c r="Q341" s="72">
        <f t="shared" si="45"/>
        <v>-3881.6972784810087</v>
      </c>
      <c r="R341" s="45">
        <f t="shared" si="43"/>
        <v>6168.3027215189913</v>
      </c>
      <c r="S341" s="373" t="s">
        <v>101</v>
      </c>
      <c r="T341" s="20"/>
      <c r="U341" s="20"/>
      <c r="V341" s="45"/>
      <c r="W341" s="20"/>
      <c r="X341" s="20"/>
      <c r="Y341" s="112"/>
      <c r="Z341" s="239"/>
      <c r="AA341" s="94"/>
      <c r="AB341" s="26"/>
      <c r="AC341" s="20"/>
      <c r="AD341" s="41"/>
      <c r="AE341" s="93"/>
      <c r="AF341" s="20"/>
      <c r="AG341" s="20"/>
      <c r="AH341" s="20"/>
      <c r="AI341" s="20"/>
    </row>
    <row r="342" spans="3:35" hidden="1">
      <c r="D342" s="115" t="s">
        <v>10</v>
      </c>
      <c r="G342" s="241"/>
      <c r="H342" s="46"/>
      <c r="I342" s="45"/>
      <c r="J342" s="20"/>
      <c r="K342" s="256"/>
      <c r="L342" s="265" t="s">
        <v>148</v>
      </c>
      <c r="M342" s="175">
        <v>0</v>
      </c>
      <c r="N342" s="69">
        <f t="shared" si="44"/>
        <v>1835.2600940000088</v>
      </c>
      <c r="O342" s="49"/>
      <c r="P342" s="132">
        <v>-1012</v>
      </c>
      <c r="Q342" s="72">
        <f t="shared" si="45"/>
        <v>-4893.6972784810087</v>
      </c>
      <c r="R342" s="45">
        <f t="shared" si="43"/>
        <v>5156.3027215189913</v>
      </c>
      <c r="S342" s="379" t="s">
        <v>124</v>
      </c>
      <c r="T342" s="20"/>
      <c r="U342" s="20"/>
      <c r="V342" s="133"/>
      <c r="W342" s="20"/>
      <c r="X342" s="20"/>
      <c r="Y342" s="112"/>
      <c r="Z342" s="239"/>
      <c r="AA342" s="94"/>
      <c r="AB342" s="26"/>
      <c r="AC342" s="20"/>
      <c r="AD342" s="92"/>
      <c r="AE342" s="93"/>
      <c r="AF342" s="20"/>
      <c r="AG342" s="20"/>
      <c r="AH342" s="20"/>
      <c r="AI342" s="20"/>
    </row>
    <row r="343" spans="3:35" hidden="1">
      <c r="D343" t="s">
        <v>22</v>
      </c>
      <c r="E343" s="15"/>
      <c r="F343" s="38"/>
      <c r="G343" s="20"/>
      <c r="H343" s="46"/>
      <c r="I343" s="108"/>
      <c r="J343" s="20"/>
      <c r="K343" s="258" t="s">
        <v>222</v>
      </c>
      <c r="L343" s="266" t="s">
        <v>51</v>
      </c>
      <c r="M343" s="146">
        <f>E350</f>
        <v>7648.33</v>
      </c>
      <c r="N343" s="69">
        <f t="shared" si="44"/>
        <v>9483.5900940000083</v>
      </c>
      <c r="O343" s="39"/>
      <c r="P343" s="132">
        <v>-1012</v>
      </c>
      <c r="Q343" s="72">
        <f t="shared" si="45"/>
        <v>-5905.6972784810087</v>
      </c>
      <c r="R343" s="45">
        <f t="shared" si="43"/>
        <v>4144.3027215189913</v>
      </c>
      <c r="S343" s="379" t="s">
        <v>124</v>
      </c>
      <c r="T343" s="50"/>
      <c r="U343" s="20"/>
      <c r="V343" s="45"/>
      <c r="W343" s="26"/>
      <c r="X343" s="20"/>
      <c r="Y343" s="112"/>
      <c r="Z343" s="239"/>
      <c r="AA343" s="94"/>
      <c r="AB343" s="95"/>
      <c r="AC343" s="20"/>
      <c r="AD343" s="92"/>
      <c r="AE343" s="93"/>
      <c r="AF343" s="20"/>
      <c r="AG343" s="20"/>
      <c r="AH343" s="20"/>
      <c r="AI343" s="20"/>
    </row>
    <row r="344" spans="3:35" hidden="1">
      <c r="C344" s="18" t="s">
        <v>5</v>
      </c>
      <c r="E344" s="19">
        <f>SUM(E341:E343)</f>
        <v>656</v>
      </c>
      <c r="G344" s="20"/>
      <c r="H344" s="235"/>
      <c r="I344" s="45"/>
      <c r="J344" s="20"/>
      <c r="K344" s="258" t="s">
        <v>222</v>
      </c>
      <c r="L344" s="266" t="s">
        <v>126</v>
      </c>
      <c r="M344" s="146">
        <v>-700</v>
      </c>
      <c r="N344" s="69">
        <f t="shared" si="44"/>
        <v>8783.5900940000083</v>
      </c>
      <c r="O344" s="39"/>
      <c r="P344" s="132">
        <v>-875.3</v>
      </c>
      <c r="Q344" s="72">
        <f t="shared" si="45"/>
        <v>-6780.9972784810088</v>
      </c>
      <c r="R344" s="45">
        <f t="shared" si="43"/>
        <v>3269.0027215189912</v>
      </c>
      <c r="S344" s="373" t="s">
        <v>228</v>
      </c>
      <c r="T344" s="50"/>
      <c r="U344" s="20"/>
      <c r="V344" s="45"/>
      <c r="W344" s="26"/>
      <c r="X344" s="20"/>
      <c r="Y344" s="112"/>
      <c r="Z344" s="239"/>
      <c r="AA344" s="94"/>
      <c r="AB344" s="26"/>
      <c r="AC344" s="20"/>
      <c r="AD344" s="92"/>
      <c r="AE344" s="97"/>
      <c r="AF344" s="20"/>
      <c r="AG344" s="20"/>
      <c r="AH344" s="20"/>
      <c r="AI344" s="20"/>
    </row>
    <row r="345" spans="3:35" ht="12.75" hidden="1" customHeight="1">
      <c r="C345" s="18"/>
      <c r="G345" s="20"/>
      <c r="H345" s="46"/>
      <c r="I345" s="108"/>
      <c r="J345" s="20"/>
      <c r="K345" s="258" t="s">
        <v>222</v>
      </c>
      <c r="L345" s="266" t="s">
        <v>195</v>
      </c>
      <c r="M345" s="45">
        <v>-1738</v>
      </c>
      <c r="N345" s="69">
        <f t="shared" si="44"/>
        <v>7045.5900940000083</v>
      </c>
      <c r="O345" s="39"/>
      <c r="P345" s="132">
        <v>1000</v>
      </c>
      <c r="Q345" s="72">
        <f t="shared" si="45"/>
        <v>-5780.9972784810088</v>
      </c>
      <c r="R345" s="45">
        <f t="shared" si="43"/>
        <v>4269.0027215189912</v>
      </c>
      <c r="S345" s="373" t="s">
        <v>117</v>
      </c>
      <c r="T345" s="80"/>
      <c r="U345" s="74"/>
      <c r="V345" s="45"/>
      <c r="W345" s="26"/>
      <c r="X345" s="20"/>
      <c r="Y345" s="112"/>
      <c r="Z345" s="239"/>
      <c r="AA345" s="94"/>
      <c r="AB345" s="26"/>
      <c r="AC345" s="20"/>
      <c r="AD345" s="20"/>
      <c r="AE345" s="93"/>
      <c r="AF345" s="20"/>
      <c r="AG345" s="20"/>
      <c r="AH345" s="20"/>
      <c r="AI345" s="20"/>
    </row>
    <row r="346" spans="3:35" ht="13.5" hidden="1" customHeight="1" thickBot="1">
      <c r="D346" s="16" t="s">
        <v>67</v>
      </c>
      <c r="E346" s="27">
        <f>E338-E344</f>
        <v>10249.049999999999</v>
      </c>
      <c r="G346" s="20"/>
      <c r="H346" s="235"/>
      <c r="I346" s="45"/>
      <c r="J346" s="20"/>
      <c r="K346" s="258" t="s">
        <v>222</v>
      </c>
      <c r="L346" s="266" t="s">
        <v>180</v>
      </c>
      <c r="M346" s="45">
        <v>-95</v>
      </c>
      <c r="N346" s="69">
        <f t="shared" si="44"/>
        <v>6950.5900940000083</v>
      </c>
      <c r="O346" s="39"/>
      <c r="P346" s="132">
        <v>-1012</v>
      </c>
      <c r="Q346" s="72">
        <f t="shared" si="45"/>
        <v>-6792.9972784810088</v>
      </c>
      <c r="R346" s="45">
        <f t="shared" si="43"/>
        <v>3257.0027215189912</v>
      </c>
      <c r="S346" s="373" t="s">
        <v>124</v>
      </c>
      <c r="T346" s="50"/>
      <c r="U346" s="74"/>
      <c r="V346" s="26"/>
      <c r="W346" s="26"/>
      <c r="X346" s="91"/>
      <c r="Y346" s="20"/>
      <c r="Z346" s="239"/>
      <c r="AA346" s="94"/>
      <c r="AB346" s="95"/>
      <c r="AC346" s="20"/>
      <c r="AD346" s="98"/>
      <c r="AE346" s="93"/>
      <c r="AF346" s="283"/>
      <c r="AG346" s="20"/>
      <c r="AH346" s="20"/>
      <c r="AI346" s="20"/>
    </row>
    <row r="347" spans="3:35" hidden="1">
      <c r="D347" s="17"/>
      <c r="E347" s="40"/>
      <c r="G347"/>
      <c r="H347" s="23"/>
      <c r="I347" s="45"/>
      <c r="J347" s="20"/>
      <c r="K347" s="258" t="s">
        <v>222</v>
      </c>
      <c r="L347" s="266" t="s">
        <v>61</v>
      </c>
      <c r="M347" s="45">
        <v>-203.5</v>
      </c>
      <c r="N347" s="69">
        <f t="shared" si="44"/>
        <v>6747.0900940000083</v>
      </c>
      <c r="O347" s="39"/>
      <c r="P347" s="132">
        <v>-223.84</v>
      </c>
      <c r="Q347" s="72">
        <f t="shared" si="45"/>
        <v>-7016.837278481009</v>
      </c>
      <c r="R347" s="45">
        <f t="shared" si="43"/>
        <v>3033.162721518991</v>
      </c>
      <c r="S347" s="373" t="s">
        <v>215</v>
      </c>
      <c r="T347" s="276"/>
      <c r="U347" s="65"/>
      <c r="V347" s="26"/>
      <c r="W347" s="26"/>
      <c r="X347" s="35"/>
      <c r="Y347" s="20"/>
      <c r="Z347" s="239"/>
      <c r="AA347" s="94"/>
      <c r="AB347" s="26"/>
      <c r="AC347" s="20"/>
      <c r="AD347" s="20"/>
      <c r="AE347" s="20"/>
      <c r="AF347" s="99"/>
      <c r="AG347" s="20"/>
      <c r="AH347" s="20"/>
      <c r="AI347" s="20"/>
    </row>
    <row r="348" spans="3:35" hidden="1">
      <c r="D348" s="17"/>
      <c r="E348" s="40"/>
      <c r="G348"/>
      <c r="H348" s="23"/>
      <c r="I348" s="45"/>
      <c r="J348" s="20"/>
      <c r="K348" s="258" t="s">
        <v>222</v>
      </c>
      <c r="L348" s="266" t="s">
        <v>224</v>
      </c>
      <c r="M348" s="45">
        <v>-533.94000000000005</v>
      </c>
      <c r="N348" s="69">
        <f t="shared" si="44"/>
        <v>6213.1500940000078</v>
      </c>
      <c r="O348" s="39"/>
      <c r="P348" s="132">
        <v>500</v>
      </c>
      <c r="Q348" s="72">
        <f t="shared" si="45"/>
        <v>-6516.837278481009</v>
      </c>
      <c r="R348" s="45">
        <f t="shared" si="43"/>
        <v>3533.162721518991</v>
      </c>
      <c r="S348" s="373" t="s">
        <v>229</v>
      </c>
      <c r="T348" s="275"/>
      <c r="U348" s="65"/>
      <c r="V348" s="20"/>
      <c r="W348" s="20"/>
      <c r="X348" s="20"/>
      <c r="Y348" s="111"/>
      <c r="Z348" s="239"/>
      <c r="AA348" s="94"/>
      <c r="AB348" s="26"/>
      <c r="AC348" s="20"/>
      <c r="AD348" s="20"/>
      <c r="AE348" s="20"/>
      <c r="AF348" s="20"/>
      <c r="AG348" s="20"/>
      <c r="AH348" s="20"/>
      <c r="AI348" s="20"/>
    </row>
    <row r="349" spans="3:35" hidden="1">
      <c r="C349" s="81" t="s">
        <v>17</v>
      </c>
      <c r="E349" s="42"/>
      <c r="G349"/>
      <c r="H349" s="23"/>
      <c r="I349" s="14"/>
      <c r="J349" s="20"/>
      <c r="K349" s="258" t="s">
        <v>189</v>
      </c>
      <c r="L349" s="267" t="s">
        <v>16</v>
      </c>
      <c r="M349" s="175">
        <v>-103.99</v>
      </c>
      <c r="N349" s="69">
        <f t="shared" si="44"/>
        <v>6109.160094000008</v>
      </c>
      <c r="O349" s="39"/>
      <c r="P349" s="132">
        <v>1000</v>
      </c>
      <c r="Q349" s="72">
        <f t="shared" si="45"/>
        <v>-5516.837278481009</v>
      </c>
      <c r="R349" s="45">
        <f t="shared" si="43"/>
        <v>4533.162721518991</v>
      </c>
      <c r="S349" s="373" t="s">
        <v>117</v>
      </c>
      <c r="T349" s="275"/>
      <c r="U349" s="65"/>
      <c r="V349" s="20"/>
      <c r="W349" s="20"/>
      <c r="X349" s="91"/>
      <c r="Y349" s="111"/>
      <c r="Z349" s="239"/>
      <c r="AA349" s="94"/>
      <c r="AB349" s="95"/>
      <c r="AC349" s="20"/>
      <c r="AD349" s="20"/>
      <c r="AE349" s="20"/>
      <c r="AF349" s="20"/>
      <c r="AG349" s="20"/>
      <c r="AH349" s="20"/>
      <c r="AI349" s="20"/>
    </row>
    <row r="350" spans="3:35" hidden="1">
      <c r="D350" s="20" t="s">
        <v>14</v>
      </c>
      <c r="E350" s="42">
        <v>7648.33</v>
      </c>
      <c r="F350" s="20"/>
      <c r="G350" s="20"/>
      <c r="H350" s="46"/>
      <c r="K350" s="258" t="s">
        <v>189</v>
      </c>
      <c r="L350" s="268" t="s">
        <v>23</v>
      </c>
      <c r="M350" s="175">
        <v>-223.9</v>
      </c>
      <c r="N350" s="69">
        <f t="shared" si="44"/>
        <v>5885.2600940000084</v>
      </c>
      <c r="O350" s="39"/>
      <c r="P350" s="132">
        <v>-275.2</v>
      </c>
      <c r="Q350" s="72">
        <f t="shared" si="45"/>
        <v>-5792.0372784810088</v>
      </c>
      <c r="R350" s="45">
        <f t="shared" si="43"/>
        <v>4257.9627215189912</v>
      </c>
      <c r="S350" s="373" t="s">
        <v>117</v>
      </c>
      <c r="T350" s="275"/>
      <c r="U350" s="65"/>
      <c r="V350" s="20"/>
      <c r="W350" s="20"/>
      <c r="X350" s="20"/>
      <c r="Y350" s="111"/>
      <c r="Z350" s="239"/>
      <c r="AA350" s="94"/>
      <c r="AB350" s="26"/>
      <c r="AC350" s="20"/>
      <c r="AD350" s="20"/>
      <c r="AE350" s="20"/>
      <c r="AF350" s="20"/>
      <c r="AG350" s="283"/>
      <c r="AH350" s="20"/>
      <c r="AI350" s="20"/>
    </row>
    <row r="351" spans="3:35" ht="12.75" hidden="1" customHeight="1">
      <c r="D351" s="78" t="s">
        <v>13</v>
      </c>
      <c r="E351" s="15">
        <f>E346-E350-E352</f>
        <v>2600.7199999999993</v>
      </c>
      <c r="F351" s="78"/>
      <c r="G351" s="516">
        <f>SUM(E350:E351)</f>
        <v>10249.049999999999</v>
      </c>
      <c r="H351" s="516"/>
      <c r="K351" s="264" t="s">
        <v>190</v>
      </c>
      <c r="L351" s="269" t="s">
        <v>56</v>
      </c>
      <c r="M351" s="147">
        <v>-605</v>
      </c>
      <c r="N351" s="70">
        <f t="shared" si="44"/>
        <v>5280.2600940000084</v>
      </c>
      <c r="O351" s="39"/>
      <c r="P351" s="132">
        <v>-132.6</v>
      </c>
      <c r="Q351" s="72">
        <f t="shared" si="45"/>
        <v>-5924.6372784810092</v>
      </c>
      <c r="R351" s="45">
        <f t="shared" si="43"/>
        <v>4125.3627215189908</v>
      </c>
      <c r="S351" s="373" t="s">
        <v>117</v>
      </c>
      <c r="T351" s="275"/>
      <c r="U351" s="83"/>
      <c r="V351" s="20"/>
      <c r="W351" s="20"/>
      <c r="X351" s="20"/>
      <c r="Y351" s="111"/>
      <c r="Z351" s="239"/>
      <c r="AA351" s="94"/>
      <c r="AB351" s="26"/>
      <c r="AC351" s="20"/>
      <c r="AD351" s="20"/>
      <c r="AE351" s="20"/>
      <c r="AF351" s="20"/>
      <c r="AG351" s="20"/>
      <c r="AH351" s="20"/>
      <c r="AI351" s="20"/>
    </row>
    <row r="352" spans="3:35" ht="12.75" hidden="1" customHeight="1">
      <c r="D352" s="20"/>
      <c r="E352" s="26"/>
      <c r="F352" s="122"/>
      <c r="G352" s="515"/>
      <c r="H352" s="515"/>
      <c r="L352" s="23"/>
      <c r="M352" s="168">
        <f>SUM(M336:M351)</f>
        <v>5280.2600940000084</v>
      </c>
      <c r="O352" s="42"/>
      <c r="P352" s="132">
        <v>-381.16</v>
      </c>
      <c r="Q352" s="72">
        <f t="shared" si="45"/>
        <v>-6305.797278481009</v>
      </c>
      <c r="R352" s="45">
        <f t="shared" si="43"/>
        <v>3744.202721518991</v>
      </c>
      <c r="S352" s="373" t="s">
        <v>50</v>
      </c>
      <c r="T352" s="275"/>
      <c r="U352" s="84"/>
      <c r="V352" s="26"/>
      <c r="W352" s="26"/>
      <c r="X352" s="91"/>
      <c r="Y352" s="20"/>
      <c r="Z352" s="239"/>
      <c r="AA352" s="94"/>
      <c r="AB352" s="26"/>
      <c r="AC352" s="20"/>
      <c r="AD352" s="20"/>
      <c r="AE352" s="20"/>
      <c r="AF352" s="20"/>
      <c r="AG352" s="20"/>
      <c r="AH352" s="20"/>
      <c r="AI352" s="20"/>
    </row>
    <row r="353" spans="2:35" ht="12.75" hidden="1" customHeight="1">
      <c r="D353" s="20"/>
      <c r="E353" s="26"/>
      <c r="F353" s="122"/>
      <c r="G353" s="515"/>
      <c r="H353" s="515"/>
      <c r="M353" s="26"/>
      <c r="O353" s="26"/>
      <c r="P353" s="132">
        <v>-155.36000000000001</v>
      </c>
      <c r="Q353" s="72">
        <f t="shared" si="45"/>
        <v>-6461.1572784810087</v>
      </c>
      <c r="R353" s="45">
        <f t="shared" si="43"/>
        <v>3588.8427215189913</v>
      </c>
      <c r="S353" s="373" t="s">
        <v>50</v>
      </c>
      <c r="T353" s="275"/>
      <c r="U353" s="84"/>
      <c r="V353" s="26"/>
      <c r="W353" s="26"/>
      <c r="X353" s="35"/>
      <c r="Y353" s="20"/>
      <c r="Z353" s="239"/>
      <c r="AA353" s="94"/>
      <c r="AB353" s="26"/>
      <c r="AC353" s="20"/>
      <c r="AD353" s="20"/>
      <c r="AE353" s="20"/>
      <c r="AF353" s="20"/>
      <c r="AG353" s="20"/>
      <c r="AH353" s="20"/>
      <c r="AI353" s="20"/>
    </row>
    <row r="354" spans="2:35" hidden="1">
      <c r="D354" s="20"/>
      <c r="E354" s="26"/>
      <c r="F354" s="122"/>
      <c r="G354" s="277"/>
      <c r="H354" s="277"/>
      <c r="L354" s="184"/>
      <c r="M354" s="233"/>
      <c r="O354" s="26"/>
      <c r="P354" s="132">
        <v>-234.25</v>
      </c>
      <c r="Q354" s="72">
        <f t="shared" si="45"/>
        <v>-6695.4072784810087</v>
      </c>
      <c r="R354" s="45">
        <f t="shared" si="43"/>
        <v>3354.5927215189913</v>
      </c>
      <c r="S354" s="373" t="s">
        <v>50</v>
      </c>
      <c r="T354" s="275"/>
      <c r="U354" s="20"/>
      <c r="V354" s="26"/>
      <c r="W354" s="26"/>
      <c r="X354" s="20"/>
      <c r="Y354" s="20"/>
      <c r="Z354" s="239"/>
      <c r="AA354" s="94"/>
      <c r="AB354" s="26"/>
      <c r="AC354" s="20"/>
      <c r="AD354" s="20"/>
      <c r="AE354" s="20"/>
      <c r="AF354" s="20"/>
      <c r="AG354" s="20"/>
      <c r="AH354" s="20"/>
      <c r="AI354" s="20"/>
    </row>
    <row r="355" spans="2:35" ht="15" hidden="1">
      <c r="B355" s="20"/>
      <c r="C355" s="35"/>
      <c r="D355" s="206"/>
      <c r="E355" s="45"/>
      <c r="F355" s="209"/>
      <c r="G355" s="277"/>
      <c r="H355" s="277"/>
      <c r="I355" s="20"/>
      <c r="M355" s="26"/>
      <c r="N355" s="29"/>
      <c r="O355" s="26"/>
      <c r="P355" s="132">
        <v>-294.89999999999998</v>
      </c>
      <c r="Q355" s="72">
        <f t="shared" si="45"/>
        <v>-6990.3072784810083</v>
      </c>
      <c r="R355" s="45">
        <f t="shared" si="43"/>
        <v>3059.6927215189917</v>
      </c>
      <c r="S355" s="379" t="s">
        <v>193</v>
      </c>
      <c r="T355" s="275"/>
      <c r="U355" s="20"/>
      <c r="V355" s="26"/>
      <c r="W355" s="26"/>
      <c r="X355" s="91"/>
      <c r="Y355" s="20"/>
      <c r="Z355" s="239"/>
      <c r="AA355" s="94"/>
      <c r="AB355" s="26"/>
      <c r="AC355" s="20"/>
      <c r="AD355" s="20"/>
      <c r="AE355" s="20"/>
      <c r="AF355" s="20"/>
      <c r="AG355" s="20"/>
      <c r="AH355" s="20"/>
      <c r="AI355" s="20"/>
    </row>
    <row r="356" spans="2:35" hidden="1">
      <c r="B356" s="20"/>
      <c r="C356" s="35"/>
      <c r="D356" s="207"/>
      <c r="E356" s="45"/>
      <c r="F356" s="122"/>
      <c r="G356" s="208"/>
      <c r="H356" s="277"/>
      <c r="I356" s="20"/>
      <c r="L356" s="91"/>
      <c r="M356" s="26"/>
      <c r="N356" s="234"/>
      <c r="O356" s="26"/>
      <c r="P356" s="132">
        <v>-2000</v>
      </c>
      <c r="Q356" s="72">
        <f t="shared" si="45"/>
        <v>-8990.3072784810083</v>
      </c>
      <c r="R356" s="45">
        <f t="shared" si="43"/>
        <v>1059.6927215189917</v>
      </c>
      <c r="S356" s="379" t="s">
        <v>66</v>
      </c>
      <c r="T356" s="275"/>
      <c r="U356" s="20"/>
      <c r="V356" s="26"/>
      <c r="W356" s="26"/>
      <c r="X356" s="91"/>
      <c r="Y356" s="20"/>
      <c r="Z356" s="239"/>
      <c r="AA356" s="94"/>
      <c r="AB356" s="26"/>
      <c r="AC356" s="20"/>
      <c r="AD356" s="20"/>
      <c r="AE356" s="20"/>
      <c r="AF356" s="20"/>
      <c r="AG356" s="20"/>
      <c r="AH356" s="20"/>
      <c r="AI356" s="20"/>
    </row>
    <row r="357" spans="2:35" hidden="1">
      <c r="B357" s="20"/>
      <c r="C357" s="35"/>
      <c r="D357" s="207"/>
      <c r="E357" s="45"/>
      <c r="F357" s="122"/>
      <c r="G357" s="208"/>
      <c r="H357" s="277"/>
      <c r="I357" s="20"/>
      <c r="L357" s="91"/>
      <c r="M357" s="26"/>
      <c r="N357" s="234"/>
      <c r="O357" s="26"/>
      <c r="P357" s="132">
        <v>-278.85000000000002</v>
      </c>
      <c r="Q357" s="72">
        <f t="shared" si="45"/>
        <v>-9269.1572784810087</v>
      </c>
      <c r="R357" s="45">
        <f t="shared" si="43"/>
        <v>780.84272151899131</v>
      </c>
      <c r="S357" s="379" t="s">
        <v>117</v>
      </c>
      <c r="T357" s="275"/>
      <c r="U357" s="20"/>
      <c r="V357" s="26"/>
      <c r="W357" s="26"/>
      <c r="X357" s="91"/>
      <c r="Y357" s="20"/>
      <c r="Z357" s="239"/>
      <c r="AA357" s="94"/>
      <c r="AB357" s="26"/>
      <c r="AC357" s="20"/>
      <c r="AD357" s="20"/>
      <c r="AE357" s="20"/>
      <c r="AF357" s="20"/>
      <c r="AG357" s="20"/>
      <c r="AH357" s="20"/>
      <c r="AI357" s="20"/>
    </row>
    <row r="358" spans="2:35" hidden="1">
      <c r="B358" s="20"/>
      <c r="C358" s="35"/>
      <c r="D358" s="26"/>
      <c r="E358" s="45"/>
      <c r="F358" s="122"/>
      <c r="G358" s="277"/>
      <c r="H358" s="277"/>
      <c r="L358" s="20"/>
      <c r="M358" s="26"/>
      <c r="N358" s="20"/>
      <c r="O358" s="26"/>
      <c r="P358" s="132">
        <v>-712</v>
      </c>
      <c r="Q358" s="72">
        <f t="shared" si="45"/>
        <v>-9981.1572784810087</v>
      </c>
      <c r="R358" s="45">
        <f t="shared" si="43"/>
        <v>68.842721518991311</v>
      </c>
      <c r="S358" s="379" t="s">
        <v>124</v>
      </c>
      <c r="T358" s="275"/>
      <c r="U358" s="20"/>
      <c r="V358" s="26"/>
      <c r="W358" s="26"/>
      <c r="X358" s="91"/>
      <c r="Y358" s="20"/>
      <c r="Z358" s="239"/>
      <c r="AA358" s="94"/>
      <c r="AB358" s="26"/>
      <c r="AC358" s="20"/>
      <c r="AD358" s="20"/>
      <c r="AE358" s="20"/>
      <c r="AF358" s="20"/>
      <c r="AG358" s="20"/>
      <c r="AH358" s="20"/>
      <c r="AI358" s="20"/>
    </row>
    <row r="359" spans="2:35" hidden="1">
      <c r="E359"/>
      <c r="G359"/>
      <c r="L359" s="91"/>
      <c r="M359" s="26"/>
      <c r="N359" s="111"/>
      <c r="O359" s="284"/>
      <c r="P359" s="132">
        <v>-280</v>
      </c>
      <c r="Q359" s="72">
        <f t="shared" si="45"/>
        <v>-10261.157278481009</v>
      </c>
      <c r="R359" s="45">
        <f t="shared" si="43"/>
        <v>-211.15727848100869</v>
      </c>
      <c r="S359" s="379" t="s">
        <v>236</v>
      </c>
      <c r="T359" s="275"/>
      <c r="U359" s="20"/>
      <c r="V359" s="26"/>
      <c r="W359" s="26"/>
      <c r="X359" s="91"/>
      <c r="Y359" s="20"/>
      <c r="Z359" s="239"/>
      <c r="AA359" s="94"/>
      <c r="AB359" s="26"/>
      <c r="AC359" s="20"/>
      <c r="AD359" s="20"/>
      <c r="AE359" s="20"/>
      <c r="AF359" s="20"/>
      <c r="AG359" s="20"/>
      <c r="AH359" s="20"/>
      <c r="AI359" s="20"/>
    </row>
    <row r="360" spans="2:35" hidden="1">
      <c r="B360" s="20"/>
      <c r="C360" s="35"/>
      <c r="D360" s="26"/>
      <c r="E360" s="45"/>
      <c r="F360" s="122"/>
      <c r="G360" s="277"/>
      <c r="H360" s="277"/>
      <c r="L360" s="235"/>
      <c r="M360" s="26"/>
      <c r="N360" s="236"/>
      <c r="O360" s="240"/>
      <c r="P360" s="77">
        <f>E351</f>
        <v>2600.7199999999993</v>
      </c>
      <c r="Q360" s="73">
        <f>Q359+P360</f>
        <v>-7660.4372784810093</v>
      </c>
      <c r="R360" s="52">
        <f>10050+Q360</f>
        <v>2389.5627215189907</v>
      </c>
      <c r="S360" s="380"/>
      <c r="T360" s="275"/>
      <c r="U360" s="20"/>
      <c r="V360" s="26"/>
      <c r="W360" s="26"/>
      <c r="X360" s="91"/>
      <c r="Y360" s="20"/>
      <c r="Z360" s="239"/>
      <c r="AA360" s="94"/>
      <c r="AB360" s="26"/>
      <c r="AC360" s="20"/>
      <c r="AD360" s="20"/>
      <c r="AE360" s="20"/>
      <c r="AF360" s="20"/>
      <c r="AG360" s="20"/>
      <c r="AH360" s="20"/>
      <c r="AI360" s="20"/>
    </row>
    <row r="361" spans="2:35" ht="12.75" hidden="1" customHeight="1">
      <c r="B361" s="20"/>
      <c r="C361" s="1047"/>
      <c r="D361" s="1047"/>
      <c r="E361" s="549"/>
      <c r="F361" s="550"/>
      <c r="G361" s="277"/>
      <c r="H361" s="277"/>
      <c r="L361" s="20"/>
      <c r="M361" s="26"/>
      <c r="N361" s="20"/>
      <c r="O361" s="275"/>
      <c r="P361" s="64">
        <f>SUM(P336:P360)</f>
        <v>-7660.4372784810093</v>
      </c>
      <c r="Q361" s="63"/>
      <c r="R361" s="63"/>
      <c r="S361" s="380"/>
      <c r="T361" s="275"/>
      <c r="U361" s="20"/>
      <c r="V361" s="26"/>
      <c r="W361" s="26"/>
      <c r="X361" s="91"/>
      <c r="Y361" s="20"/>
      <c r="Z361" s="239"/>
      <c r="AA361" s="94"/>
      <c r="AB361" s="26"/>
      <c r="AC361" s="20"/>
      <c r="AD361" s="20"/>
      <c r="AE361" s="20"/>
      <c r="AF361" s="20"/>
      <c r="AG361" s="20"/>
      <c r="AH361" s="20"/>
      <c r="AI361" s="20"/>
    </row>
    <row r="362" spans="2:35" s="78" customFormat="1" hidden="1">
      <c r="E362" s="15"/>
      <c r="G362" s="129"/>
      <c r="K362" s="257"/>
      <c r="M362" s="15"/>
      <c r="P362" s="15"/>
      <c r="Q362" s="15"/>
      <c r="R362" s="15"/>
      <c r="S362" s="385"/>
      <c r="Z362" s="15"/>
      <c r="AA362" s="130"/>
      <c r="AB362" s="15"/>
    </row>
    <row r="363" spans="2:35" hidden="1"/>
    <row r="364" spans="2:35" hidden="1">
      <c r="B364" s="1045" t="s">
        <v>237</v>
      </c>
      <c r="C364" s="1045"/>
      <c r="D364" s="1045"/>
      <c r="E364" s="1045"/>
      <c r="G364" s="261"/>
      <c r="H364" s="261"/>
      <c r="I364" s="26"/>
      <c r="K364" s="258"/>
      <c r="L364" s="100"/>
      <c r="M364" s="1031" t="s">
        <v>54</v>
      </c>
      <c r="N364" s="294"/>
      <c r="O364" s="290"/>
      <c r="P364" s="1033" t="s">
        <v>48</v>
      </c>
      <c r="Q364" s="1035" t="s">
        <v>242</v>
      </c>
      <c r="R364" s="1035"/>
      <c r="S364" s="377"/>
      <c r="X364" s="35"/>
      <c r="Y364" s="35"/>
      <c r="Z364" s="26"/>
      <c r="AA364" s="291"/>
      <c r="AB364" s="26"/>
      <c r="AC364" s="20"/>
      <c r="AD364" s="20"/>
      <c r="AE364" s="20"/>
      <c r="AF364" s="20"/>
      <c r="AG364" s="20"/>
      <c r="AH364" s="20"/>
      <c r="AI364" s="20"/>
    </row>
    <row r="365" spans="2:35" ht="12.75" hidden="1" customHeight="1">
      <c r="C365" s="17" t="s">
        <v>12</v>
      </c>
      <c r="D365" s="14"/>
      <c r="E365" s="44">
        <v>9000</v>
      </c>
      <c r="G365" s="514"/>
      <c r="H365" s="514"/>
      <c r="I365" s="26"/>
      <c r="K365" s="260" t="s">
        <v>221</v>
      </c>
      <c r="L365" s="156"/>
      <c r="M365" s="1032"/>
      <c r="N365" s="294" t="s">
        <v>43</v>
      </c>
      <c r="O365" s="290"/>
      <c r="P365" s="1034"/>
      <c r="Q365" s="292" t="s">
        <v>43</v>
      </c>
      <c r="R365" s="293" t="s">
        <v>53</v>
      </c>
      <c r="S365" s="377"/>
      <c r="X365" s="118"/>
      <c r="Y365" s="111"/>
      <c r="Z365" s="117"/>
      <c r="AA365" s="89"/>
      <c r="AB365" s="90"/>
      <c r="AC365" s="20"/>
      <c r="AD365" s="41"/>
      <c r="AE365" s="20"/>
      <c r="AF365" s="20"/>
      <c r="AG365" s="20"/>
      <c r="AH365" s="20"/>
      <c r="AI365" s="20"/>
    </row>
    <row r="366" spans="2:35" hidden="1">
      <c r="C366" s="17"/>
      <c r="D366" s="14" t="s">
        <v>24</v>
      </c>
      <c r="E366" s="44">
        <f>'[2]FEBRUARY ''12'!$C$75</f>
        <v>962.94</v>
      </c>
      <c r="G366" s="30"/>
      <c r="H366" s="30"/>
      <c r="I366" s="26"/>
      <c r="K366" s="273"/>
      <c r="L366" s="235" t="s">
        <v>226</v>
      </c>
      <c r="M366" s="26">
        <f>$M$352</f>
        <v>5280.2600940000084</v>
      </c>
      <c r="N366" s="286">
        <f>M366</f>
        <v>5280.2600940000084</v>
      </c>
      <c r="O366" s="26"/>
      <c r="P366" s="45">
        <f>$Q$360</f>
        <v>-7660.4372784810093</v>
      </c>
      <c r="Q366" s="71">
        <f>P366</f>
        <v>-7660.4372784810093</v>
      </c>
      <c r="R366" s="45">
        <f t="shared" ref="R366:R377" si="46">15550+Q366</f>
        <v>7889.5627215189907</v>
      </c>
      <c r="S366" s="382"/>
      <c r="T366" s="29"/>
      <c r="X366" s="91"/>
      <c r="Y366" s="111"/>
      <c r="Z366" s="26"/>
      <c r="AA366" s="291"/>
      <c r="AB366" s="26"/>
      <c r="AC366" s="20"/>
      <c r="AD366" s="92"/>
      <c r="AE366" s="93"/>
      <c r="AF366" s="20"/>
      <c r="AG366" s="20"/>
      <c r="AH366" s="20"/>
      <c r="AI366" s="20"/>
    </row>
    <row r="367" spans="2:35" hidden="1">
      <c r="C367" s="17"/>
      <c r="D367" s="143" t="s">
        <v>225</v>
      </c>
      <c r="E367" s="15">
        <f>'[2]JANUARY ''12'!$C$64</f>
        <v>84.11999999999999</v>
      </c>
      <c r="G367"/>
      <c r="I367" s="26"/>
      <c r="K367" s="255" t="s">
        <v>223</v>
      </c>
      <c r="L367" s="101" t="s">
        <v>227</v>
      </c>
      <c r="M367" s="133">
        <v>-308</v>
      </c>
      <c r="N367" s="69">
        <f>N366+M367</f>
        <v>4972.2600940000084</v>
      </c>
      <c r="O367" s="65"/>
      <c r="P367" s="133">
        <v>-107.78</v>
      </c>
      <c r="Q367" s="72">
        <f>Q366+P367</f>
        <v>-7768.2172784810091</v>
      </c>
      <c r="R367" s="45">
        <f t="shared" si="46"/>
        <v>7781.7827215189909</v>
      </c>
      <c r="S367" s="373" t="s">
        <v>238</v>
      </c>
      <c r="X367" s="20"/>
      <c r="Y367" s="112"/>
      <c r="Z367" s="239"/>
      <c r="AA367" s="94"/>
      <c r="AB367" s="95"/>
      <c r="AC367" s="20"/>
      <c r="AD367" s="41"/>
      <c r="AE367" s="93"/>
      <c r="AF367" s="20"/>
      <c r="AG367" s="20"/>
      <c r="AH367" s="20"/>
      <c r="AI367" s="20"/>
    </row>
    <row r="368" spans="2:35" ht="12.75" hidden="1" customHeight="1">
      <c r="C368" s="18" t="s">
        <v>5</v>
      </c>
      <c r="D368" s="14"/>
      <c r="E368" s="14">
        <f>SUM(E365:E367)</f>
        <v>10047.060000000001</v>
      </c>
      <c r="G368" s="242"/>
      <c r="H368" s="242"/>
      <c r="I368" s="242"/>
      <c r="J368" s="20"/>
      <c r="K368" s="255"/>
      <c r="L368" s="101" t="s">
        <v>240</v>
      </c>
      <c r="M368" s="133">
        <v>-3107.28</v>
      </c>
      <c r="N368" s="69">
        <f>N367+M368</f>
        <v>1864.9800940000082</v>
      </c>
      <c r="O368" s="65"/>
      <c r="P368" s="133">
        <v>-512</v>
      </c>
      <c r="Q368" s="72">
        <f>Q367+P368</f>
        <v>-8280.21727848101</v>
      </c>
      <c r="R368" s="45">
        <f t="shared" si="46"/>
        <v>7269.78272151899</v>
      </c>
      <c r="S368" s="373" t="s">
        <v>239</v>
      </c>
      <c r="U368" s="111"/>
      <c r="V368" s="20"/>
      <c r="W368" s="20"/>
      <c r="X368" s="20"/>
      <c r="Y368" s="112"/>
      <c r="Z368" s="239"/>
      <c r="AA368" s="94"/>
      <c r="AB368" s="26"/>
      <c r="AC368" s="20"/>
      <c r="AD368" s="92"/>
      <c r="AE368" s="93"/>
      <c r="AF368" s="20"/>
      <c r="AG368" s="20"/>
      <c r="AH368" s="20"/>
      <c r="AI368" s="20"/>
    </row>
    <row r="369" spans="2:35" ht="12.75" hidden="1" customHeight="1">
      <c r="G369" s="20"/>
      <c r="H369" s="46"/>
      <c r="I369" s="45"/>
      <c r="J369" s="54"/>
      <c r="K369" s="256"/>
      <c r="L369" s="79" t="s">
        <v>241</v>
      </c>
      <c r="M369" s="175">
        <v>400</v>
      </c>
      <c r="N369" s="69">
        <f>N368+M369</f>
        <v>2264.9800940000082</v>
      </c>
      <c r="O369" s="48"/>
      <c r="P369" s="133">
        <v>-32.49</v>
      </c>
      <c r="Q369" s="72">
        <f t="shared" ref="Q369:Q377" si="47">Q368+P369</f>
        <v>-8312.7072784810098</v>
      </c>
      <c r="R369" s="45">
        <f t="shared" si="46"/>
        <v>7237.2927215189902</v>
      </c>
      <c r="S369" s="373" t="s">
        <v>49</v>
      </c>
      <c r="T369" s="194"/>
      <c r="U369" s="20"/>
      <c r="V369" s="45"/>
      <c r="W369" s="20"/>
      <c r="X369" s="91"/>
      <c r="Y369" s="112"/>
      <c r="Z369" s="239"/>
      <c r="AA369" s="94"/>
      <c r="AB369" s="26"/>
      <c r="AC369" s="20"/>
      <c r="AD369" s="92"/>
      <c r="AE369" s="93"/>
      <c r="AF369" s="20"/>
      <c r="AG369" s="20"/>
      <c r="AH369" s="20"/>
      <c r="AI369" s="20"/>
    </row>
    <row r="370" spans="2:35" hidden="1">
      <c r="C370" s="17" t="s">
        <v>7</v>
      </c>
      <c r="G370" s="20"/>
      <c r="H370" s="46"/>
      <c r="I370" s="45"/>
      <c r="J370" s="20"/>
      <c r="K370" s="258" t="s">
        <v>248</v>
      </c>
      <c r="L370" s="266" t="s">
        <v>51</v>
      </c>
      <c r="M370" s="175">
        <v>2000</v>
      </c>
      <c r="N370" s="69">
        <f t="shared" ref="N370:N378" si="48">N369+M370</f>
        <v>4264.9800940000077</v>
      </c>
      <c r="O370" s="49"/>
      <c r="P370" s="133">
        <v>-408.29</v>
      </c>
      <c r="Q370" s="72">
        <f t="shared" si="47"/>
        <v>-8720.9972784810107</v>
      </c>
      <c r="R370" s="45">
        <f t="shared" si="46"/>
        <v>6829.0027215189893</v>
      </c>
      <c r="S370" s="373" t="s">
        <v>50</v>
      </c>
      <c r="T370" s="20"/>
      <c r="U370" s="20"/>
      <c r="V370" s="45"/>
      <c r="W370" s="103"/>
      <c r="X370" s="20"/>
      <c r="Y370" s="112"/>
      <c r="Z370" s="239"/>
      <c r="AA370" s="94"/>
      <c r="AB370" s="95"/>
      <c r="AC370" s="20"/>
      <c r="AD370" s="96"/>
      <c r="AE370" s="93"/>
      <c r="AF370" s="20"/>
      <c r="AG370" s="20"/>
      <c r="AH370" s="20"/>
      <c r="AI370" s="20"/>
    </row>
    <row r="371" spans="2:35" hidden="1">
      <c r="D371" t="s">
        <v>8</v>
      </c>
      <c r="E371" s="14">
        <f>1312/2</f>
        <v>656</v>
      </c>
      <c r="G371" s="241"/>
      <c r="H371" s="46"/>
      <c r="I371" s="45"/>
      <c r="J371" s="20"/>
      <c r="K371" s="258" t="s">
        <v>248</v>
      </c>
      <c r="L371" s="266" t="s">
        <v>195</v>
      </c>
      <c r="M371" s="45">
        <v>-1738</v>
      </c>
      <c r="N371" s="69">
        <f t="shared" si="48"/>
        <v>2526.9800940000077</v>
      </c>
      <c r="O371" s="49"/>
      <c r="P371" s="132">
        <v>-512</v>
      </c>
      <c r="Q371" s="72">
        <f t="shared" si="47"/>
        <v>-9232.9972784810107</v>
      </c>
      <c r="R371" s="45">
        <f t="shared" si="46"/>
        <v>6317.0027215189893</v>
      </c>
      <c r="S371" s="379" t="s">
        <v>239</v>
      </c>
      <c r="T371" s="20"/>
      <c r="U371" s="20"/>
      <c r="V371" s="45"/>
      <c r="W371" s="20"/>
      <c r="X371" s="20"/>
      <c r="Y371" s="112"/>
      <c r="Z371" s="239"/>
      <c r="AA371" s="94"/>
      <c r="AB371" s="26"/>
      <c r="AC371" s="20"/>
      <c r="AD371" s="41"/>
      <c r="AE371" s="93"/>
      <c r="AF371" s="20"/>
      <c r="AG371" s="20"/>
      <c r="AH371" s="20"/>
      <c r="AI371" s="20"/>
    </row>
    <row r="372" spans="2:35" hidden="1">
      <c r="D372" s="115" t="s">
        <v>10</v>
      </c>
      <c r="G372" s="241"/>
      <c r="H372" s="46"/>
      <c r="I372" s="45"/>
      <c r="J372" s="20"/>
      <c r="K372" s="258" t="s">
        <v>249</v>
      </c>
      <c r="L372" s="266" t="s">
        <v>51</v>
      </c>
      <c r="M372" s="146">
        <f>E380-M370</f>
        <v>5648.33</v>
      </c>
      <c r="N372" s="69">
        <f t="shared" si="48"/>
        <v>8175.3100940000077</v>
      </c>
      <c r="O372" s="49"/>
      <c r="P372" s="132">
        <v>49.58</v>
      </c>
      <c r="Q372" s="72">
        <f t="shared" si="47"/>
        <v>-9183.4172784810107</v>
      </c>
      <c r="R372" s="45">
        <f t="shared" si="46"/>
        <v>6366.5827215189893</v>
      </c>
      <c r="S372" s="379" t="s">
        <v>238</v>
      </c>
      <c r="T372" s="20"/>
      <c r="U372" s="20"/>
      <c r="V372" s="133"/>
      <c r="W372" s="20"/>
      <c r="X372" s="20"/>
      <c r="Y372" s="112"/>
      <c r="Z372" s="239"/>
      <c r="AA372" s="94"/>
      <c r="AB372" s="26"/>
      <c r="AC372" s="20"/>
      <c r="AD372" s="92"/>
      <c r="AE372" s="93"/>
      <c r="AF372" s="20"/>
      <c r="AG372" s="20"/>
      <c r="AH372" s="20"/>
      <c r="AI372" s="20"/>
    </row>
    <row r="373" spans="2:35" hidden="1">
      <c r="D373" t="s">
        <v>22</v>
      </c>
      <c r="E373" s="15"/>
      <c r="F373" s="38"/>
      <c r="G373" s="20"/>
      <c r="H373" s="46"/>
      <c r="I373" s="108"/>
      <c r="J373" s="20"/>
      <c r="K373" s="258" t="s">
        <v>249</v>
      </c>
      <c r="L373" s="266" t="s">
        <v>126</v>
      </c>
      <c r="M373" s="146">
        <v>-700</v>
      </c>
      <c r="N373" s="69">
        <f t="shared" si="48"/>
        <v>7475.3100940000077</v>
      </c>
      <c r="O373" s="39"/>
      <c r="P373" s="132">
        <v>-512</v>
      </c>
      <c r="Q373" s="72">
        <f t="shared" si="47"/>
        <v>-9695.4172784810107</v>
      </c>
      <c r="R373" s="45">
        <f t="shared" si="46"/>
        <v>5854.5827215189893</v>
      </c>
      <c r="S373" s="379" t="s">
        <v>239</v>
      </c>
      <c r="T373" s="50"/>
      <c r="U373" s="20"/>
      <c r="V373" s="45"/>
      <c r="W373" s="26"/>
      <c r="X373" s="20"/>
      <c r="Y373" s="112"/>
      <c r="Z373" s="239"/>
      <c r="AA373" s="94"/>
      <c r="AB373" s="95"/>
      <c r="AC373" s="20"/>
      <c r="AD373" s="92"/>
      <c r="AE373" s="93"/>
      <c r="AF373" s="20"/>
      <c r="AG373" s="20"/>
      <c r="AH373" s="20"/>
      <c r="AI373" s="20"/>
    </row>
    <row r="374" spans="2:35" hidden="1">
      <c r="C374" s="18" t="s">
        <v>5</v>
      </c>
      <c r="E374" s="19">
        <f>SUM(E371:E373)</f>
        <v>656</v>
      </c>
      <c r="G374" s="20"/>
      <c r="H374" s="235"/>
      <c r="I374" s="45"/>
      <c r="J374" s="20"/>
      <c r="K374" s="258" t="s">
        <v>249</v>
      </c>
      <c r="L374" s="266" t="s">
        <v>180</v>
      </c>
      <c r="M374" s="45">
        <v>-95</v>
      </c>
      <c r="N374" s="69">
        <f t="shared" si="48"/>
        <v>7380.3100940000077</v>
      </c>
      <c r="O374" s="39"/>
      <c r="P374" s="132">
        <v>1000</v>
      </c>
      <c r="Q374" s="72">
        <f t="shared" si="47"/>
        <v>-8695.4172784810107</v>
      </c>
      <c r="R374" s="45">
        <f t="shared" si="46"/>
        <v>6854.5827215189893</v>
      </c>
      <c r="S374" s="373" t="s">
        <v>150</v>
      </c>
      <c r="T374" s="50"/>
      <c r="U374" s="20"/>
      <c r="V374" s="45"/>
      <c r="W374" s="26"/>
      <c r="X374" s="20"/>
      <c r="Y374" s="112"/>
      <c r="Z374" s="239"/>
      <c r="AA374" s="94"/>
      <c r="AB374" s="26"/>
      <c r="AC374" s="20"/>
      <c r="AD374" s="92"/>
      <c r="AE374" s="97"/>
      <c r="AF374" s="20"/>
      <c r="AG374" s="20"/>
      <c r="AH374" s="20"/>
      <c r="AI374" s="20"/>
    </row>
    <row r="375" spans="2:35" ht="12.75" hidden="1" customHeight="1">
      <c r="C375" s="18"/>
      <c r="G375" s="20"/>
      <c r="H375" s="46"/>
      <c r="I375" s="108"/>
      <c r="J375" s="20"/>
      <c r="K375" s="258" t="s">
        <v>249</v>
      </c>
      <c r="L375" s="266" t="s">
        <v>61</v>
      </c>
      <c r="M375" s="45">
        <v>-203.5</v>
      </c>
      <c r="N375" s="69">
        <f t="shared" si="48"/>
        <v>7176.8100940000077</v>
      </c>
      <c r="O375" s="39"/>
      <c r="P375" s="132">
        <v>-53</v>
      </c>
      <c r="Q375" s="72">
        <f t="shared" si="47"/>
        <v>-8748.4172784810107</v>
      </c>
      <c r="R375" s="45">
        <f t="shared" si="46"/>
        <v>6801.5827215189893</v>
      </c>
      <c r="S375" s="373" t="s">
        <v>244</v>
      </c>
      <c r="T375" s="80"/>
      <c r="U375" s="74"/>
      <c r="V375" s="45"/>
      <c r="W375" s="26"/>
      <c r="X375" s="20"/>
      <c r="Y375" s="112"/>
      <c r="Z375" s="239"/>
      <c r="AA375" s="94"/>
      <c r="AB375" s="26"/>
      <c r="AC375" s="20"/>
      <c r="AD375" s="20"/>
      <c r="AE375" s="93"/>
      <c r="AF375" s="20"/>
      <c r="AG375" s="20"/>
      <c r="AH375" s="20"/>
      <c r="AI375" s="20"/>
    </row>
    <row r="376" spans="2:35" ht="13.5" hidden="1" customHeight="1" thickBot="1">
      <c r="D376" s="16" t="s">
        <v>67</v>
      </c>
      <c r="E376" s="27">
        <f>E368-E374</f>
        <v>9391.0600000000013</v>
      </c>
      <c r="G376" s="20"/>
      <c r="H376" s="235"/>
      <c r="I376" s="45"/>
      <c r="J376" s="20"/>
      <c r="K376" s="258" t="s">
        <v>249</v>
      </c>
      <c r="L376" s="266" t="s">
        <v>224</v>
      </c>
      <c r="M376" s="45">
        <v>-533.94000000000005</v>
      </c>
      <c r="N376" s="69">
        <f t="shared" si="48"/>
        <v>6642.8700940000072</v>
      </c>
      <c r="O376" s="39"/>
      <c r="P376" s="132">
        <v>-5130</v>
      </c>
      <c r="Q376" s="72">
        <f t="shared" si="47"/>
        <v>-13878.417278481011</v>
      </c>
      <c r="R376" s="45">
        <f t="shared" si="46"/>
        <v>1671.5827215189893</v>
      </c>
      <c r="S376" s="373" t="s">
        <v>245</v>
      </c>
      <c r="T376" s="50"/>
      <c r="U376" s="74"/>
      <c r="V376" s="26"/>
      <c r="W376" s="26"/>
      <c r="X376" s="91"/>
      <c r="Y376" s="20"/>
      <c r="Z376" s="239"/>
      <c r="AA376" s="94"/>
      <c r="AB376" s="95"/>
      <c r="AC376" s="20"/>
      <c r="AD376" s="98"/>
      <c r="AE376" s="93"/>
      <c r="AF376" s="291"/>
      <c r="AG376" s="20"/>
      <c r="AH376" s="20"/>
      <c r="AI376" s="20"/>
    </row>
    <row r="377" spans="2:35" hidden="1">
      <c r="D377" s="17"/>
      <c r="E377" s="40"/>
      <c r="G377"/>
      <c r="H377" s="23"/>
      <c r="I377" s="45"/>
      <c r="J377" s="20"/>
      <c r="K377" s="258" t="s">
        <v>189</v>
      </c>
      <c r="L377" s="267" t="s">
        <v>16</v>
      </c>
      <c r="M377" s="175">
        <v>-103.99</v>
      </c>
      <c r="N377" s="69">
        <f t="shared" si="48"/>
        <v>6538.8800940000074</v>
      </c>
      <c r="O377" s="39"/>
      <c r="P377" s="132">
        <v>-61.75</v>
      </c>
      <c r="Q377" s="72">
        <f t="shared" si="47"/>
        <v>-13940.167278481011</v>
      </c>
      <c r="R377" s="45">
        <f t="shared" si="46"/>
        <v>1609.8327215189893</v>
      </c>
      <c r="S377" s="373" t="s">
        <v>57</v>
      </c>
      <c r="T377" s="289"/>
      <c r="U377" s="65"/>
      <c r="V377" s="26"/>
      <c r="W377" s="26"/>
      <c r="X377" s="35"/>
      <c r="Y377" s="20"/>
      <c r="Z377" s="239"/>
      <c r="AA377" s="94"/>
      <c r="AB377" s="26"/>
      <c r="AC377" s="20"/>
      <c r="AD377" s="20"/>
      <c r="AE377" s="20"/>
      <c r="AF377" s="99"/>
      <c r="AG377" s="20"/>
      <c r="AH377" s="20"/>
      <c r="AI377" s="20"/>
    </row>
    <row r="378" spans="2:35" hidden="1">
      <c r="D378" s="17"/>
      <c r="E378" s="40"/>
      <c r="G378"/>
      <c r="H378" s="23"/>
      <c r="I378" s="45"/>
      <c r="J378" s="20"/>
      <c r="K378" s="258" t="s">
        <v>189</v>
      </c>
      <c r="L378" s="268" t="s">
        <v>56</v>
      </c>
      <c r="M378" s="175">
        <v>-605</v>
      </c>
      <c r="N378" s="69">
        <f t="shared" si="48"/>
        <v>5933.8800940000074</v>
      </c>
      <c r="O378" s="39"/>
      <c r="P378" s="49">
        <f>E381</f>
        <v>1742.7300000000014</v>
      </c>
      <c r="Q378" s="73">
        <f>Q377+P378</f>
        <v>-12197.437278481009</v>
      </c>
      <c r="R378" s="52">
        <f>15550+Q378</f>
        <v>3352.5627215189907</v>
      </c>
      <c r="S378" s="373" t="s">
        <v>250</v>
      </c>
      <c r="T378" s="288"/>
      <c r="U378" s="65"/>
      <c r="V378" s="20"/>
      <c r="W378" s="20"/>
      <c r="X378" s="20"/>
      <c r="Y378" s="111"/>
      <c r="Z378" s="239"/>
      <c r="AA378" s="94"/>
      <c r="AB378" s="26"/>
      <c r="AC378" s="20"/>
      <c r="AD378" s="20"/>
      <c r="AE378" s="20"/>
      <c r="AF378" s="20"/>
      <c r="AG378" s="20"/>
      <c r="AH378" s="20"/>
      <c r="AI378" s="20"/>
    </row>
    <row r="379" spans="2:35" hidden="1">
      <c r="C379" s="81" t="s">
        <v>17</v>
      </c>
      <c r="E379" s="42"/>
      <c r="G379"/>
      <c r="H379" s="23"/>
      <c r="I379" s="14"/>
      <c r="J379" s="20"/>
      <c r="K379" s="295" t="s">
        <v>189</v>
      </c>
      <c r="L379" s="269" t="s">
        <v>23</v>
      </c>
      <c r="M379" s="147">
        <v>-211.13</v>
      </c>
      <c r="N379" s="70">
        <f>N378+M379</f>
        <v>5722.7500940000073</v>
      </c>
      <c r="O379" s="39"/>
      <c r="P379" s="64">
        <f>SUM(P366:P378)</f>
        <v>-12197.437278481009</v>
      </c>
      <c r="Q379" s="287" t="s">
        <v>243</v>
      </c>
      <c r="R379" s="63"/>
      <c r="S379" s="373"/>
      <c r="T379" s="288"/>
      <c r="U379" s="65"/>
      <c r="V379" s="20"/>
      <c r="W379" s="20"/>
      <c r="X379" s="91"/>
      <c r="Y379" s="111"/>
      <c r="Z379" s="239"/>
      <c r="AA379" s="94"/>
      <c r="AB379" s="95"/>
      <c r="AC379" s="20"/>
      <c r="AD379" s="20"/>
      <c r="AE379" s="20"/>
      <c r="AF379" s="20"/>
      <c r="AG379" s="20"/>
      <c r="AH379" s="20"/>
      <c r="AI379" s="20"/>
    </row>
    <row r="380" spans="2:35" hidden="1">
      <c r="D380" s="20" t="s">
        <v>14</v>
      </c>
      <c r="E380" s="42">
        <v>7648.33</v>
      </c>
      <c r="F380" s="20"/>
      <c r="G380" s="20"/>
      <c r="H380" s="46"/>
      <c r="L380" s="23"/>
      <c r="M380" s="168">
        <f>SUM(M366:M379)</f>
        <v>5722.7500940000073</v>
      </c>
      <c r="O380" s="39"/>
      <c r="P380" s="68"/>
      <c r="Q380" s="287"/>
      <c r="R380" s="63"/>
      <c r="S380" s="373"/>
      <c r="T380" s="288"/>
      <c r="U380" s="65"/>
      <c r="V380" s="20"/>
      <c r="W380" s="20"/>
      <c r="X380" s="20"/>
      <c r="Y380" s="111"/>
      <c r="Z380" s="239"/>
      <c r="AA380" s="94"/>
      <c r="AB380" s="26"/>
      <c r="AC380" s="20"/>
      <c r="AD380" s="20"/>
      <c r="AE380" s="20"/>
      <c r="AF380" s="20"/>
      <c r="AG380" s="291"/>
      <c r="AH380" s="20"/>
      <c r="AI380" s="20"/>
    </row>
    <row r="381" spans="2:35" ht="12.75" hidden="1" customHeight="1">
      <c r="D381" s="78" t="s">
        <v>13</v>
      </c>
      <c r="E381" s="15">
        <f>E376-E380</f>
        <v>1742.7300000000014</v>
      </c>
      <c r="F381" s="78"/>
      <c r="G381" s="516">
        <f>SUM(E380:E381)</f>
        <v>9391.0600000000013</v>
      </c>
      <c r="H381" s="516"/>
      <c r="M381" s="26"/>
      <c r="N381" s="296"/>
      <c r="O381" s="39"/>
      <c r="P381" s="68"/>
      <c r="Q381" s="287"/>
      <c r="R381" s="63"/>
      <c r="S381" s="373"/>
      <c r="T381" s="288"/>
      <c r="U381" s="83"/>
      <c r="V381" s="20"/>
      <c r="W381" s="20"/>
      <c r="X381" s="20"/>
      <c r="Y381" s="111"/>
      <c r="Z381" s="239"/>
      <c r="AA381" s="94"/>
      <c r="AB381" s="26"/>
      <c r="AC381" s="20"/>
      <c r="AD381" s="20"/>
      <c r="AE381" s="20"/>
      <c r="AF381" s="20"/>
      <c r="AG381" s="20"/>
      <c r="AH381" s="20"/>
      <c r="AI381" s="20"/>
    </row>
    <row r="382" spans="2:35" s="78" customFormat="1" hidden="1">
      <c r="E382" s="15"/>
      <c r="G382" s="129"/>
      <c r="K382" s="257"/>
      <c r="M382" s="15"/>
      <c r="P382" s="15"/>
      <c r="Q382" s="15"/>
      <c r="R382" s="15"/>
      <c r="S382" s="385"/>
      <c r="Z382" s="15"/>
      <c r="AA382" s="130"/>
      <c r="AB382" s="15"/>
    </row>
    <row r="383" spans="2:35" hidden="1"/>
    <row r="384" spans="2:35" hidden="1">
      <c r="B384" s="1045" t="s">
        <v>246</v>
      </c>
      <c r="C384" s="1045"/>
      <c r="D384" s="1045"/>
      <c r="E384" s="1045"/>
      <c r="G384" s="261"/>
      <c r="H384" s="261"/>
      <c r="I384" s="26"/>
      <c r="K384" s="258"/>
      <c r="L384" s="100"/>
      <c r="M384" s="1031" t="s">
        <v>54</v>
      </c>
      <c r="N384" s="307"/>
      <c r="O384" s="311"/>
      <c r="P384" s="1033" t="s">
        <v>48</v>
      </c>
      <c r="Q384" s="1035" t="s">
        <v>242</v>
      </c>
      <c r="R384" s="1035"/>
      <c r="S384" s="377"/>
      <c r="X384" s="35"/>
      <c r="Y384" s="35"/>
      <c r="Z384" s="26"/>
      <c r="AA384" s="312"/>
      <c r="AB384" s="26"/>
      <c r="AC384" s="20"/>
      <c r="AD384" s="20"/>
      <c r="AE384" s="20"/>
      <c r="AF384" s="20"/>
      <c r="AG384" s="20"/>
      <c r="AH384" s="20"/>
      <c r="AI384" s="20"/>
    </row>
    <row r="385" spans="3:35" hidden="1">
      <c r="C385" s="17" t="s">
        <v>12</v>
      </c>
      <c r="D385" s="14"/>
      <c r="E385" s="44">
        <v>9000</v>
      </c>
      <c r="G385" s="514"/>
      <c r="H385" s="514"/>
      <c r="I385" s="26"/>
      <c r="K385" s="260" t="s">
        <v>221</v>
      </c>
      <c r="L385" s="156"/>
      <c r="M385" s="1032"/>
      <c r="N385" s="307" t="s">
        <v>43</v>
      </c>
      <c r="O385" s="311"/>
      <c r="P385" s="1034"/>
      <c r="Q385" s="308" t="s">
        <v>43</v>
      </c>
      <c r="R385" s="309" t="s">
        <v>53</v>
      </c>
      <c r="S385" s="377"/>
      <c r="X385" s="118"/>
      <c r="Y385" s="111"/>
      <c r="Z385" s="117"/>
      <c r="AA385" s="89"/>
      <c r="AB385" s="90"/>
      <c r="AC385" s="20"/>
      <c r="AD385" s="41"/>
      <c r="AE385" s="20"/>
      <c r="AF385" s="20"/>
      <c r="AG385" s="20"/>
      <c r="AH385" s="20"/>
      <c r="AI385" s="20"/>
    </row>
    <row r="386" spans="3:35" hidden="1">
      <c r="C386" s="17"/>
      <c r="D386" s="14" t="s">
        <v>24</v>
      </c>
      <c r="E386" s="44">
        <f>'[2]MARCH ''12'!$C$79</f>
        <v>214.92000000000002</v>
      </c>
      <c r="G386" s="30"/>
      <c r="H386" s="30"/>
      <c r="I386" s="26"/>
      <c r="K386" s="273"/>
      <c r="L386" s="235" t="s">
        <v>226</v>
      </c>
      <c r="M386" s="26">
        <f>$M$380</f>
        <v>5722.7500940000073</v>
      </c>
      <c r="N386" s="286">
        <f>M386</f>
        <v>5722.7500940000073</v>
      </c>
      <c r="O386" s="26"/>
      <c r="P386" s="45">
        <f>$Q$378</f>
        <v>-12197.437278481009</v>
      </c>
      <c r="Q386" s="71">
        <f>P386</f>
        <v>-12197.437278481009</v>
      </c>
      <c r="R386" s="45">
        <f t="shared" ref="R386:R405" si="49">15550+Q386</f>
        <v>3352.5627215189907</v>
      </c>
      <c r="S386" s="382"/>
      <c r="T386" s="29"/>
      <c r="X386" s="91"/>
      <c r="Y386" s="111"/>
      <c r="Z386" s="26"/>
      <c r="AA386" s="312"/>
      <c r="AB386" s="26"/>
      <c r="AC386" s="20"/>
      <c r="AD386" s="92"/>
      <c r="AE386" s="93"/>
      <c r="AF386" s="20"/>
      <c r="AG386" s="20"/>
      <c r="AH386" s="20"/>
      <c r="AI386" s="20"/>
    </row>
    <row r="387" spans="3:35" hidden="1">
      <c r="C387" s="17"/>
      <c r="D387" s="143" t="s">
        <v>225</v>
      </c>
      <c r="E387" s="15"/>
      <c r="G387"/>
      <c r="I387" s="26"/>
      <c r="K387" s="297" t="s">
        <v>252</v>
      </c>
      <c r="L387" s="79" t="s">
        <v>102</v>
      </c>
      <c r="M387" s="175">
        <v>-2500</v>
      </c>
      <c r="N387" s="69">
        <f t="shared" ref="N387:N403" si="50">N386+M387</f>
        <v>3222.7500940000073</v>
      </c>
      <c r="O387" s="65"/>
      <c r="P387" s="133">
        <v>-972.65</v>
      </c>
      <c r="Q387" s="72">
        <f>Q386+P387</f>
        <v>-13170.087278481009</v>
      </c>
      <c r="R387" s="45">
        <f t="shared" si="49"/>
        <v>2379.912721518991</v>
      </c>
      <c r="S387" s="373" t="s">
        <v>251</v>
      </c>
      <c r="X387" s="20"/>
      <c r="Y387" s="112"/>
      <c r="Z387" s="239"/>
      <c r="AA387" s="94"/>
      <c r="AB387" s="95"/>
      <c r="AC387" s="20"/>
      <c r="AD387" s="41"/>
      <c r="AE387" s="93"/>
      <c r="AF387" s="20"/>
      <c r="AG387" s="20"/>
      <c r="AH387" s="20"/>
      <c r="AI387" s="20"/>
    </row>
    <row r="388" spans="3:35" ht="12.75" hidden="1" customHeight="1">
      <c r="C388" s="18" t="s">
        <v>5</v>
      </c>
      <c r="D388" s="14"/>
      <c r="E388" s="14">
        <f>SUM(E385:E387)</f>
        <v>9214.92</v>
      </c>
      <c r="G388" s="242"/>
      <c r="H388" s="242"/>
      <c r="I388" s="242"/>
      <c r="J388" s="20"/>
      <c r="K388" s="255" t="s">
        <v>223</v>
      </c>
      <c r="L388" s="101" t="s">
        <v>227</v>
      </c>
      <c r="M388" s="133">
        <v>-308</v>
      </c>
      <c r="N388" s="69">
        <f t="shared" si="50"/>
        <v>2914.7500940000073</v>
      </c>
      <c r="O388" s="65"/>
      <c r="P388" s="133">
        <f>-M387</f>
        <v>2500</v>
      </c>
      <c r="Q388" s="72">
        <f>Q387+P388</f>
        <v>-10670.087278481009</v>
      </c>
      <c r="R388" s="45">
        <f t="shared" si="49"/>
        <v>4879.912721518991</v>
      </c>
      <c r="S388" s="373" t="s">
        <v>247</v>
      </c>
      <c r="U388" s="111"/>
      <c r="V388" s="20"/>
      <c r="W388" s="20"/>
      <c r="X388" s="20"/>
      <c r="Y388" s="112"/>
      <c r="Z388" s="239"/>
      <c r="AA388" s="94"/>
      <c r="AB388" s="26"/>
      <c r="AC388" s="20"/>
      <c r="AD388" s="92"/>
      <c r="AE388" s="93"/>
      <c r="AF388" s="20"/>
      <c r="AG388" s="20"/>
      <c r="AH388" s="20"/>
      <c r="AI388" s="20"/>
    </row>
    <row r="389" spans="3:35" ht="12.75" hidden="1" customHeight="1">
      <c r="G389" s="20"/>
      <c r="H389" s="46"/>
      <c r="I389" s="45"/>
      <c r="J389" s="54"/>
      <c r="K389" s="299" t="s">
        <v>257</v>
      </c>
      <c r="L389" s="79" t="s">
        <v>256</v>
      </c>
      <c r="M389" s="175">
        <v>-650.13</v>
      </c>
      <c r="N389" s="69">
        <f t="shared" si="50"/>
        <v>2264.6200940000072</v>
      </c>
      <c r="O389" s="48"/>
      <c r="P389" s="133">
        <v>-167.47</v>
      </c>
      <c r="Q389" s="72">
        <f t="shared" ref="Q389:Q405" si="51">Q388+P389</f>
        <v>-10837.557278481008</v>
      </c>
      <c r="R389" s="45">
        <f t="shared" si="49"/>
        <v>4712.4427215189917</v>
      </c>
      <c r="S389" s="373" t="s">
        <v>253</v>
      </c>
      <c r="T389" s="194"/>
      <c r="U389" s="20"/>
      <c r="V389" s="45"/>
      <c r="W389" s="20"/>
      <c r="X389" s="91"/>
      <c r="Y389" s="112"/>
      <c r="Z389" s="239"/>
      <c r="AA389" s="94"/>
      <c r="AB389" s="26"/>
      <c r="AC389" s="20"/>
      <c r="AD389" s="92"/>
      <c r="AE389" s="93"/>
      <c r="AF389" s="20"/>
      <c r="AG389" s="20"/>
      <c r="AH389" s="20"/>
      <c r="AI389" s="20"/>
    </row>
    <row r="390" spans="3:35" hidden="1">
      <c r="C390" s="17" t="s">
        <v>7</v>
      </c>
      <c r="G390" s="20"/>
      <c r="H390" s="46"/>
      <c r="I390" s="45"/>
      <c r="J390" s="20"/>
      <c r="K390" s="258" t="s">
        <v>260</v>
      </c>
      <c r="L390" s="79" t="s">
        <v>261</v>
      </c>
      <c r="M390" s="175">
        <v>-694.36</v>
      </c>
      <c r="N390" s="69">
        <f t="shared" si="50"/>
        <v>1570.260094000007</v>
      </c>
      <c r="O390" s="49"/>
      <c r="P390" s="133">
        <v>-99.95</v>
      </c>
      <c r="Q390" s="72">
        <f t="shared" si="51"/>
        <v>-10937.507278481009</v>
      </c>
      <c r="R390" s="45">
        <f t="shared" si="49"/>
        <v>4612.4927215189909</v>
      </c>
      <c r="S390" s="373" t="s">
        <v>254</v>
      </c>
      <c r="T390" s="20"/>
      <c r="U390" s="20"/>
      <c r="V390" s="45"/>
      <c r="W390" s="103"/>
      <c r="X390" s="20"/>
      <c r="Y390" s="112"/>
      <c r="Z390" s="239"/>
      <c r="AA390" s="94"/>
      <c r="AB390" s="95"/>
      <c r="AC390" s="20"/>
      <c r="AD390" s="96"/>
      <c r="AE390" s="93"/>
      <c r="AF390" s="20"/>
      <c r="AG390" s="20"/>
      <c r="AH390" s="20"/>
      <c r="AI390" s="20"/>
    </row>
    <row r="391" spans="3:35" hidden="1">
      <c r="D391" t="s">
        <v>8</v>
      </c>
      <c r="E391" s="14">
        <f>1312/2</f>
        <v>656</v>
      </c>
      <c r="G391" s="241"/>
      <c r="H391" s="46"/>
      <c r="I391" s="45"/>
      <c r="J391" s="20"/>
      <c r="K391" s="258" t="s">
        <v>263</v>
      </c>
      <c r="L391" s="79" t="s">
        <v>262</v>
      </c>
      <c r="M391" s="175">
        <v>2500</v>
      </c>
      <c r="N391" s="69">
        <f t="shared" si="50"/>
        <v>4070.260094000007</v>
      </c>
      <c r="O391" s="49"/>
      <c r="P391" s="132">
        <v>-1775.35</v>
      </c>
      <c r="Q391" s="72">
        <f t="shared" si="51"/>
        <v>-12712.857278481009</v>
      </c>
      <c r="R391" s="45">
        <f t="shared" si="49"/>
        <v>2837.1427215189906</v>
      </c>
      <c r="S391" s="379" t="s">
        <v>255</v>
      </c>
      <c r="T391" s="20"/>
      <c r="U391" s="20"/>
      <c r="V391" s="45"/>
      <c r="W391" s="20"/>
      <c r="X391" s="20"/>
      <c r="Y391" s="112"/>
      <c r="Z391" s="239"/>
      <c r="AA391" s="94"/>
      <c r="AB391" s="26"/>
      <c r="AC391" s="20"/>
      <c r="AD391" s="41"/>
      <c r="AE391" s="93"/>
      <c r="AF391" s="20"/>
      <c r="AG391" s="20"/>
      <c r="AH391" s="20"/>
      <c r="AI391" s="20"/>
    </row>
    <row r="392" spans="3:35" hidden="1">
      <c r="D392" t="s">
        <v>22</v>
      </c>
      <c r="E392" s="15"/>
      <c r="F392" s="38"/>
      <c r="G392" s="20"/>
      <c r="H392" s="46"/>
      <c r="I392" s="108"/>
      <c r="J392" s="20"/>
      <c r="K392" s="258" t="s">
        <v>263</v>
      </c>
      <c r="L392" s="79" t="s">
        <v>261</v>
      </c>
      <c r="M392" s="175">
        <v>-2337.44</v>
      </c>
      <c r="N392" s="69">
        <f t="shared" si="50"/>
        <v>1732.820094000007</v>
      </c>
      <c r="O392" s="49"/>
      <c r="P392" s="132">
        <v>-511.62</v>
      </c>
      <c r="Q392" s="72">
        <f t="shared" si="51"/>
        <v>-13224.47727848101</v>
      </c>
      <c r="R392" s="45">
        <f t="shared" si="49"/>
        <v>2325.5227215189898</v>
      </c>
      <c r="S392" s="379" t="s">
        <v>258</v>
      </c>
      <c r="T392" s="20"/>
      <c r="U392" s="20"/>
      <c r="V392" s="133"/>
      <c r="W392" s="20"/>
      <c r="X392" s="20"/>
      <c r="Y392" s="112"/>
      <c r="Z392" s="239"/>
      <c r="AA392" s="94"/>
      <c r="AB392" s="26"/>
      <c r="AC392" s="20"/>
      <c r="AD392" s="92"/>
      <c r="AE392" s="93"/>
      <c r="AF392" s="20"/>
      <c r="AG392" s="20"/>
      <c r="AH392" s="20"/>
      <c r="AI392" s="20"/>
    </row>
    <row r="393" spans="3:35" hidden="1">
      <c r="C393" s="18" t="s">
        <v>5</v>
      </c>
      <c r="E393" s="19">
        <f>SUM(E391:E392)</f>
        <v>656</v>
      </c>
      <c r="G393" s="20"/>
      <c r="H393" s="235"/>
      <c r="I393" s="45"/>
      <c r="J393" s="20"/>
      <c r="K393" s="258"/>
      <c r="L393" s="79" t="s">
        <v>269</v>
      </c>
      <c r="M393" s="175">
        <v>500</v>
      </c>
      <c r="N393" s="69">
        <f t="shared" si="50"/>
        <v>2232.820094000007</v>
      </c>
      <c r="O393" s="39"/>
      <c r="P393" s="132">
        <v>-136.80000000000001</v>
      </c>
      <c r="Q393" s="72">
        <f t="shared" si="51"/>
        <v>-13361.277278481009</v>
      </c>
      <c r="R393" s="45">
        <f t="shared" si="49"/>
        <v>2188.7227215189905</v>
      </c>
      <c r="S393" s="379" t="s">
        <v>259</v>
      </c>
      <c r="T393" s="50"/>
      <c r="U393" s="20"/>
      <c r="V393" s="45"/>
      <c r="W393" s="26"/>
      <c r="X393" s="20"/>
      <c r="Y393" s="112"/>
      <c r="Z393" s="239"/>
      <c r="AA393" s="94"/>
      <c r="AB393" s="95"/>
      <c r="AC393" s="20"/>
      <c r="AD393" s="92"/>
      <c r="AE393" s="93"/>
      <c r="AF393" s="20"/>
      <c r="AG393" s="20"/>
      <c r="AH393" s="20"/>
      <c r="AI393" s="20"/>
    </row>
    <row r="394" spans="3:35" hidden="1">
      <c r="C394" s="18"/>
      <c r="G394" s="20"/>
      <c r="H394" s="46"/>
      <c r="I394" s="315"/>
      <c r="J394" s="315"/>
      <c r="K394" s="257"/>
      <c r="L394" s="144" t="s">
        <v>102</v>
      </c>
      <c r="M394" s="147">
        <v>700</v>
      </c>
      <c r="N394" s="69">
        <f t="shared" si="50"/>
        <v>2932.820094000007</v>
      </c>
      <c r="O394" s="39"/>
      <c r="P394" s="132">
        <v>-52.8</v>
      </c>
      <c r="Q394" s="72">
        <f t="shared" si="51"/>
        <v>-13414.077278481009</v>
      </c>
      <c r="R394" s="45">
        <f t="shared" si="49"/>
        <v>2135.9227215189912</v>
      </c>
      <c r="S394" s="373" t="s">
        <v>264</v>
      </c>
      <c r="T394" s="50"/>
      <c r="U394" s="20"/>
      <c r="V394" s="45"/>
      <c r="W394" s="26"/>
      <c r="X394" s="20"/>
      <c r="Y394" s="112"/>
      <c r="Z394" s="239"/>
      <c r="AA394" s="94"/>
      <c r="AB394" s="26"/>
      <c r="AC394" s="20"/>
      <c r="AD394" s="92"/>
      <c r="AE394" s="97"/>
      <c r="AF394" s="20"/>
      <c r="AG394" s="20"/>
      <c r="AH394" s="20"/>
      <c r="AI394" s="20"/>
    </row>
    <row r="395" spans="3:35" ht="13.5" hidden="1" customHeight="1" thickBot="1">
      <c r="D395" s="16" t="s">
        <v>67</v>
      </c>
      <c r="E395" s="27">
        <f>E388-E393</f>
        <v>8558.92</v>
      </c>
      <c r="G395" s="20"/>
      <c r="H395" s="235"/>
      <c r="I395" s="315"/>
      <c r="J395" s="315"/>
      <c r="K395" s="258" t="s">
        <v>222</v>
      </c>
      <c r="L395" s="266" t="s">
        <v>51</v>
      </c>
      <c r="M395" s="146">
        <f>E399</f>
        <v>7648.33</v>
      </c>
      <c r="N395" s="69">
        <f t="shared" si="50"/>
        <v>10581.150094000008</v>
      </c>
      <c r="O395" s="39"/>
      <c r="P395" s="132">
        <v>-37.67</v>
      </c>
      <c r="Q395" s="72">
        <f t="shared" si="51"/>
        <v>-13451.747278481009</v>
      </c>
      <c r="R395" s="45">
        <f t="shared" si="49"/>
        <v>2098.2527215189912</v>
      </c>
      <c r="S395" s="373" t="s">
        <v>265</v>
      </c>
      <c r="T395" s="80"/>
      <c r="U395" s="74"/>
      <c r="V395" s="45"/>
      <c r="W395" s="26"/>
      <c r="X395" s="20"/>
      <c r="Y395" s="112"/>
      <c r="Z395" s="239"/>
      <c r="AA395" s="94"/>
      <c r="AB395" s="26"/>
      <c r="AC395" s="20"/>
      <c r="AD395" s="20"/>
      <c r="AE395" s="93"/>
      <c r="AF395" s="20"/>
      <c r="AG395" s="20"/>
      <c r="AH395" s="20"/>
      <c r="AI395" s="20"/>
    </row>
    <row r="396" spans="3:35" ht="12.75" hidden="1" customHeight="1">
      <c r="D396" s="17"/>
      <c r="E396" s="40"/>
      <c r="G396"/>
      <c r="H396" s="23"/>
      <c r="I396" s="315"/>
      <c r="J396" s="315"/>
      <c r="K396" s="258" t="s">
        <v>222</v>
      </c>
      <c r="L396" s="266" t="s">
        <v>126</v>
      </c>
      <c r="M396" s="146">
        <v>-700</v>
      </c>
      <c r="N396" s="69">
        <f t="shared" si="50"/>
        <v>9881.1500940000078</v>
      </c>
      <c r="O396" s="39"/>
      <c r="P396" s="132">
        <v>-104.44</v>
      </c>
      <c r="Q396" s="72">
        <f t="shared" si="51"/>
        <v>-13556.187278481009</v>
      </c>
      <c r="R396" s="45">
        <f t="shared" si="49"/>
        <v>1993.8127215189907</v>
      </c>
      <c r="S396" s="373" t="s">
        <v>259</v>
      </c>
      <c r="T396" s="50"/>
      <c r="U396" s="74"/>
      <c r="V396" s="26"/>
      <c r="W396" s="26"/>
      <c r="X396" s="91"/>
      <c r="Y396" s="20"/>
      <c r="Z396" s="239"/>
      <c r="AA396" s="94"/>
      <c r="AB396" s="95"/>
      <c r="AC396" s="20"/>
      <c r="AD396" s="98"/>
      <c r="AE396" s="93"/>
      <c r="AF396" s="312"/>
      <c r="AG396" s="20"/>
      <c r="AH396" s="20"/>
      <c r="AI396" s="20"/>
    </row>
    <row r="397" spans="3:35" hidden="1">
      <c r="D397" s="17"/>
      <c r="E397" s="40"/>
      <c r="G397"/>
      <c r="H397" s="23"/>
      <c r="I397" s="315"/>
      <c r="J397" s="315"/>
      <c r="K397" s="258" t="s">
        <v>222</v>
      </c>
      <c r="L397" s="266" t="s">
        <v>180</v>
      </c>
      <c r="M397" s="45">
        <v>-95</v>
      </c>
      <c r="N397" s="69">
        <f t="shared" si="50"/>
        <v>9786.1500940000078</v>
      </c>
      <c r="O397" s="39"/>
      <c r="P397" s="133">
        <v>-114.13</v>
      </c>
      <c r="Q397" s="72">
        <f t="shared" si="51"/>
        <v>-13670.317278481009</v>
      </c>
      <c r="R397" s="45">
        <f t="shared" si="49"/>
        <v>1879.6827215189915</v>
      </c>
      <c r="S397" s="373" t="s">
        <v>267</v>
      </c>
      <c r="T397" s="305"/>
      <c r="U397" s="65"/>
      <c r="V397" s="26"/>
      <c r="W397" s="26"/>
      <c r="X397" s="35"/>
      <c r="Y397" s="20"/>
      <c r="Z397" s="239"/>
      <c r="AA397" s="94"/>
      <c r="AB397" s="26"/>
      <c r="AC397" s="20"/>
      <c r="AD397" s="20"/>
      <c r="AE397" s="20"/>
      <c r="AF397" s="99"/>
      <c r="AG397" s="20"/>
      <c r="AH397" s="20"/>
      <c r="AI397" s="20"/>
    </row>
    <row r="398" spans="3:35" hidden="1">
      <c r="C398" s="81" t="s">
        <v>17</v>
      </c>
      <c r="E398" s="42"/>
      <c r="G398"/>
      <c r="H398" s="23"/>
      <c r="I398" s="14"/>
      <c r="J398" s="20"/>
      <c r="K398" s="258" t="s">
        <v>222</v>
      </c>
      <c r="L398" s="266" t="s">
        <v>61</v>
      </c>
      <c r="M398" s="45">
        <v>-203.5</v>
      </c>
      <c r="N398" s="69">
        <f t="shared" si="50"/>
        <v>9582.6500940000078</v>
      </c>
      <c r="O398" s="39"/>
      <c r="P398" s="132">
        <v>-512</v>
      </c>
      <c r="Q398" s="72">
        <f t="shared" si="51"/>
        <v>-14182.317278481009</v>
      </c>
      <c r="R398" s="45">
        <f t="shared" si="49"/>
        <v>1367.6827215189915</v>
      </c>
      <c r="S398" s="373" t="s">
        <v>268</v>
      </c>
      <c r="T398" s="303"/>
      <c r="U398" s="65"/>
      <c r="V398" s="20"/>
      <c r="W398" s="20"/>
      <c r="X398" s="20"/>
      <c r="Y398" s="111"/>
      <c r="Z398" s="239"/>
      <c r="AA398" s="94"/>
      <c r="AB398" s="26"/>
      <c r="AC398" s="20"/>
      <c r="AD398" s="20"/>
      <c r="AE398" s="20"/>
      <c r="AF398" s="20"/>
      <c r="AG398" s="20"/>
      <c r="AH398" s="20"/>
      <c r="AI398" s="20"/>
    </row>
    <row r="399" spans="3:35" hidden="1">
      <c r="D399" s="20" t="s">
        <v>14</v>
      </c>
      <c r="E399" s="42">
        <v>7648.33</v>
      </c>
      <c r="F399" s="20"/>
      <c r="G399" s="20"/>
      <c r="H399" s="46"/>
      <c r="K399" s="258" t="s">
        <v>222</v>
      </c>
      <c r="L399" s="266" t="s">
        <v>195</v>
      </c>
      <c r="M399" s="45">
        <v>-1738</v>
      </c>
      <c r="N399" s="69">
        <f t="shared" si="50"/>
        <v>7844.6500940000078</v>
      </c>
      <c r="O399" s="39"/>
      <c r="P399" s="132">
        <v>-124.75</v>
      </c>
      <c r="Q399" s="72">
        <f t="shared" si="51"/>
        <v>-14307.067278481009</v>
      </c>
      <c r="R399" s="45">
        <f t="shared" si="49"/>
        <v>1242.9327215189915</v>
      </c>
      <c r="S399" s="373" t="s">
        <v>270</v>
      </c>
      <c r="T399" s="303"/>
      <c r="U399" s="65"/>
      <c r="V399" s="20"/>
      <c r="W399" s="20"/>
      <c r="X399" s="91"/>
      <c r="Y399" s="111"/>
      <c r="Z399" s="239"/>
      <c r="AA399" s="94"/>
      <c r="AB399" s="95"/>
      <c r="AC399" s="20"/>
      <c r="AD399" s="20"/>
      <c r="AE399" s="20"/>
      <c r="AF399" s="20"/>
      <c r="AG399" s="20"/>
      <c r="AH399" s="20"/>
      <c r="AI399" s="20"/>
    </row>
    <row r="400" spans="3:35" hidden="1">
      <c r="D400" s="78" t="s">
        <v>13</v>
      </c>
      <c r="E400" s="15">
        <f>E395-E399-E401</f>
        <v>910.59000000000015</v>
      </c>
      <c r="F400" s="78"/>
      <c r="G400" s="516">
        <f>SUM(E399:E400)</f>
        <v>8558.92</v>
      </c>
      <c r="H400" s="516"/>
      <c r="K400" s="258" t="s">
        <v>222</v>
      </c>
      <c r="L400" s="266" t="s">
        <v>224</v>
      </c>
      <c r="M400" s="45">
        <v>0</v>
      </c>
      <c r="N400" s="69">
        <f t="shared" si="50"/>
        <v>7844.6500940000078</v>
      </c>
      <c r="O400" s="39"/>
      <c r="P400" s="132">
        <f>-350-12</f>
        <v>-362</v>
      </c>
      <c r="Q400" s="72">
        <f t="shared" si="51"/>
        <v>-14669.067278481009</v>
      </c>
      <c r="R400" s="45">
        <f t="shared" si="49"/>
        <v>880.93272151899146</v>
      </c>
      <c r="S400" s="373" t="s">
        <v>273</v>
      </c>
      <c r="T400" s="303"/>
      <c r="U400" s="65"/>
      <c r="V400" s="20"/>
      <c r="W400" s="20"/>
      <c r="X400" s="20"/>
      <c r="Y400" s="111"/>
      <c r="Z400" s="239"/>
      <c r="AA400" s="94"/>
      <c r="AB400" s="26"/>
      <c r="AC400" s="20"/>
      <c r="AD400" s="20"/>
      <c r="AE400" s="20"/>
      <c r="AF400" s="20"/>
      <c r="AG400" s="312"/>
      <c r="AH400" s="20"/>
      <c r="AI400" s="20"/>
    </row>
    <row r="401" spans="2:35" hidden="1">
      <c r="D401" s="20"/>
      <c r="E401" s="26"/>
      <c r="F401" s="122"/>
      <c r="G401" s="515"/>
      <c r="H401" s="515"/>
      <c r="K401" s="258" t="s">
        <v>189</v>
      </c>
      <c r="L401" s="267" t="s">
        <v>16</v>
      </c>
      <c r="M401" s="175">
        <v>-173.99</v>
      </c>
      <c r="N401" s="69">
        <f t="shared" si="50"/>
        <v>7670.660094000008</v>
      </c>
      <c r="O401" s="39"/>
      <c r="P401" s="132">
        <v>-73.5</v>
      </c>
      <c r="Q401" s="72">
        <f t="shared" si="51"/>
        <v>-14742.567278481009</v>
      </c>
      <c r="R401" s="45">
        <f t="shared" si="49"/>
        <v>807.43272151899146</v>
      </c>
      <c r="S401" s="373" t="s">
        <v>274</v>
      </c>
      <c r="T401" s="303"/>
      <c r="U401" s="83"/>
      <c r="V401" s="20"/>
      <c r="W401" s="20"/>
      <c r="X401" s="20"/>
      <c r="Y401" s="111"/>
      <c r="Z401" s="239"/>
      <c r="AA401" s="94"/>
      <c r="AB401" s="26"/>
      <c r="AC401" s="20"/>
      <c r="AD401" s="20"/>
      <c r="AE401" s="20"/>
      <c r="AF401" s="20"/>
      <c r="AG401" s="20"/>
      <c r="AH401" s="20"/>
      <c r="AI401" s="20"/>
    </row>
    <row r="402" spans="2:35" hidden="1">
      <c r="D402" s="20"/>
      <c r="E402" s="26"/>
      <c r="F402" s="122"/>
      <c r="G402" s="515"/>
      <c r="H402" s="515"/>
      <c r="K402" s="258" t="s">
        <v>189</v>
      </c>
      <c r="L402" s="268" t="s">
        <v>56</v>
      </c>
      <c r="M402" s="175">
        <v>-605</v>
      </c>
      <c r="N402" s="69">
        <f t="shared" si="50"/>
        <v>7065.660094000008</v>
      </c>
      <c r="O402" s="42"/>
      <c r="P402" s="133">
        <v>-700</v>
      </c>
      <c r="Q402" s="72">
        <f t="shared" si="51"/>
        <v>-15442.567278481009</v>
      </c>
      <c r="R402" s="45">
        <f t="shared" si="49"/>
        <v>107.43272151899146</v>
      </c>
      <c r="S402" s="373" t="s">
        <v>247</v>
      </c>
      <c r="T402" s="303"/>
      <c r="U402" s="84"/>
      <c r="V402" s="26"/>
      <c r="W402" s="26"/>
      <c r="X402" s="91"/>
      <c r="Y402" s="20"/>
      <c r="Z402" s="239"/>
      <c r="AA402" s="94"/>
      <c r="AB402" s="26"/>
      <c r="AC402" s="20"/>
      <c r="AD402" s="20"/>
      <c r="AE402" s="20"/>
      <c r="AF402" s="20"/>
      <c r="AG402" s="20"/>
      <c r="AH402" s="20"/>
      <c r="AI402" s="20"/>
    </row>
    <row r="403" spans="2:35" hidden="1">
      <c r="D403" s="20"/>
      <c r="E403" s="26"/>
      <c r="F403" s="122"/>
      <c r="G403" s="306"/>
      <c r="H403" s="306"/>
      <c r="K403" s="264" t="s">
        <v>190</v>
      </c>
      <c r="L403" s="269" t="s">
        <v>23</v>
      </c>
      <c r="M403" s="147">
        <v>-198.85</v>
      </c>
      <c r="N403" s="70">
        <f t="shared" si="50"/>
        <v>6866.8100940000077</v>
      </c>
      <c r="O403" s="26"/>
      <c r="P403" s="133">
        <v>1012</v>
      </c>
      <c r="Q403" s="72">
        <f>Q402+P403</f>
        <v>-14430.567278481009</v>
      </c>
      <c r="R403" s="45">
        <f>15550+Q403</f>
        <v>1119.4327215189915</v>
      </c>
      <c r="S403" s="373" t="s">
        <v>280</v>
      </c>
      <c r="T403" s="303"/>
      <c r="U403" s="84"/>
      <c r="V403" s="26"/>
      <c r="W403" s="26"/>
      <c r="X403" s="35"/>
      <c r="Y403" s="20"/>
      <c r="Z403" s="239"/>
      <c r="AA403" s="94"/>
      <c r="AB403" s="26"/>
      <c r="AC403" s="20"/>
      <c r="AD403" s="20"/>
      <c r="AE403" s="20"/>
      <c r="AF403" s="20"/>
      <c r="AG403" s="20"/>
      <c r="AH403" s="20"/>
      <c r="AI403" s="20"/>
    </row>
    <row r="404" spans="2:35" ht="15" hidden="1">
      <c r="B404" s="20"/>
      <c r="C404" s="35"/>
      <c r="D404" s="206"/>
      <c r="E404" s="45"/>
      <c r="F404" s="209"/>
      <c r="G404" s="306"/>
      <c r="H404" s="306"/>
      <c r="I404" s="20"/>
      <c r="L404" s="23"/>
      <c r="M404" s="168">
        <f>SUM(M386:M403)</f>
        <v>6866.8100940000077</v>
      </c>
      <c r="O404" s="26"/>
      <c r="P404" s="132">
        <v>-114.05</v>
      </c>
      <c r="Q404" s="72">
        <f>Q403+P404</f>
        <v>-14544.617278481008</v>
      </c>
      <c r="R404" s="45">
        <f>15550+Q404</f>
        <v>1005.3827215189922</v>
      </c>
      <c r="S404" s="373" t="s">
        <v>275</v>
      </c>
      <c r="T404" s="303"/>
      <c r="U404" s="20"/>
      <c r="V404" s="26"/>
      <c r="W404" s="26"/>
      <c r="X404" s="20"/>
      <c r="Y404" s="20"/>
      <c r="Z404" s="239"/>
      <c r="AA404" s="94"/>
      <c r="AB404" s="26"/>
      <c r="AC404" s="20"/>
      <c r="AD404" s="20"/>
      <c r="AE404" s="20"/>
      <c r="AF404" s="20"/>
      <c r="AG404" s="20"/>
      <c r="AH404" s="20"/>
      <c r="AI404" s="20"/>
    </row>
    <row r="405" spans="2:35" hidden="1">
      <c r="B405" s="20"/>
      <c r="C405" s="35"/>
      <c r="D405" s="207"/>
      <c r="E405" s="45"/>
      <c r="F405" s="122"/>
      <c r="G405" s="208"/>
      <c r="H405" s="306"/>
      <c r="I405" s="20"/>
      <c r="M405" s="26"/>
      <c r="O405" s="26"/>
      <c r="P405" s="132">
        <f>-(M391+M390+M392)-M393</f>
        <v>31.800000000000182</v>
      </c>
      <c r="Q405" s="72">
        <f t="shared" si="51"/>
        <v>-14512.817278481009</v>
      </c>
      <c r="R405" s="45">
        <f t="shared" si="49"/>
        <v>1037.1827215189915</v>
      </c>
      <c r="S405" s="373" t="s">
        <v>266</v>
      </c>
      <c r="T405" s="303"/>
      <c r="U405" s="20"/>
      <c r="V405" s="26"/>
      <c r="W405" s="26"/>
      <c r="X405" s="91"/>
      <c r="Y405" s="20"/>
      <c r="Z405" s="239"/>
      <c r="AA405" s="94"/>
      <c r="AB405" s="26"/>
      <c r="AC405" s="20"/>
      <c r="AD405" s="20"/>
      <c r="AE405" s="20"/>
      <c r="AF405" s="20"/>
      <c r="AG405" s="20"/>
      <c r="AH405" s="20"/>
      <c r="AI405" s="20"/>
    </row>
    <row r="406" spans="2:35" hidden="1">
      <c r="B406" s="20"/>
      <c r="C406" s="35"/>
      <c r="D406" s="207"/>
      <c r="E406" s="45"/>
      <c r="F406" s="122"/>
      <c r="G406" s="208"/>
      <c r="H406" s="306"/>
      <c r="I406" s="20"/>
      <c r="L406" s="184"/>
      <c r="M406" s="233"/>
      <c r="N406" s="285"/>
      <c r="O406" s="26"/>
      <c r="P406" s="49">
        <f>E400</f>
        <v>910.59000000000015</v>
      </c>
      <c r="Q406" s="73">
        <f>Q405+P406</f>
        <v>-13602.227278481008</v>
      </c>
      <c r="R406" s="52">
        <f>15550+Q406</f>
        <v>1947.7727215189916</v>
      </c>
      <c r="S406" s="373" t="s">
        <v>272</v>
      </c>
      <c r="T406" s="303"/>
      <c r="U406" s="20"/>
      <c r="V406" s="26"/>
      <c r="W406" s="26"/>
      <c r="X406" s="91"/>
      <c r="Y406" s="20"/>
      <c r="Z406" s="239"/>
      <c r="AA406" s="94"/>
      <c r="AB406" s="26"/>
      <c r="AC406" s="20"/>
      <c r="AD406" s="20"/>
      <c r="AE406" s="20"/>
      <c r="AF406" s="20"/>
      <c r="AG406" s="20"/>
      <c r="AH406" s="20"/>
      <c r="AI406" s="20"/>
    </row>
    <row r="407" spans="2:35" hidden="1">
      <c r="B407" s="20"/>
      <c r="C407" s="35"/>
      <c r="D407" s="207"/>
      <c r="E407" s="45"/>
      <c r="F407" s="122"/>
      <c r="G407" s="208"/>
      <c r="H407" s="326"/>
      <c r="I407" s="20"/>
      <c r="L407" s="184"/>
      <c r="M407" s="233"/>
      <c r="N407" s="285"/>
      <c r="O407" s="26"/>
      <c r="P407" s="64">
        <f>SUM(P386:P406)</f>
        <v>-13602.227278481008</v>
      </c>
      <c r="Q407" s="287" t="s">
        <v>243</v>
      </c>
      <c r="R407" s="316"/>
      <c r="S407" s="373"/>
      <c r="T407" s="325"/>
      <c r="U407" s="20"/>
      <c r="V407" s="26"/>
      <c r="W407" s="26"/>
      <c r="X407" s="91"/>
      <c r="Y407" s="20"/>
      <c r="Z407" s="239"/>
      <c r="AA407" s="94"/>
      <c r="AB407" s="26"/>
      <c r="AC407" s="20"/>
      <c r="AD407" s="20"/>
      <c r="AE407" s="20"/>
      <c r="AF407" s="20"/>
      <c r="AG407" s="20"/>
      <c r="AH407" s="20"/>
      <c r="AI407" s="20"/>
    </row>
    <row r="408" spans="2:35" s="78" customFormat="1" hidden="1">
      <c r="C408" s="154"/>
      <c r="D408" s="313"/>
      <c r="E408" s="52"/>
      <c r="F408" s="88"/>
      <c r="G408" s="314"/>
      <c r="H408" s="310"/>
      <c r="K408" s="257"/>
      <c r="M408" s="15"/>
      <c r="N408" s="224"/>
      <c r="O408" s="15"/>
      <c r="P408" s="15"/>
      <c r="Q408" s="15"/>
      <c r="R408" s="15"/>
      <c r="S408" s="385"/>
      <c r="T408" s="304"/>
      <c r="V408" s="15"/>
      <c r="W408" s="15"/>
      <c r="X408" s="158"/>
      <c r="Z408" s="159"/>
      <c r="AA408" s="160"/>
      <c r="AB408" s="15"/>
    </row>
    <row r="409" spans="2:35" hidden="1"/>
    <row r="410" spans="2:35" ht="12.75" hidden="1" customHeight="1">
      <c r="B410" s="1030" t="s">
        <v>271</v>
      </c>
      <c r="C410" s="1030"/>
      <c r="D410" s="1030"/>
      <c r="E410" s="1030"/>
      <c r="G410" s="261"/>
      <c r="H410" s="261"/>
      <c r="I410" s="26"/>
      <c r="K410" s="258"/>
      <c r="L410" s="100"/>
      <c r="M410" s="1031" t="s">
        <v>54</v>
      </c>
      <c r="N410" s="358"/>
      <c r="O410" s="362"/>
      <c r="P410" s="1033" t="s">
        <v>48</v>
      </c>
      <c r="Q410" s="1035" t="s">
        <v>242</v>
      </c>
      <c r="R410" s="1035"/>
      <c r="S410" s="377"/>
      <c r="X410" s="35"/>
      <c r="Y410" s="35"/>
      <c r="Z410" s="26"/>
      <c r="AA410" s="363"/>
      <c r="AB410" s="26"/>
      <c r="AC410" s="20"/>
      <c r="AD410" s="20"/>
      <c r="AE410" s="20"/>
      <c r="AF410" s="20"/>
      <c r="AG410" s="20"/>
      <c r="AH410" s="20"/>
      <c r="AI410" s="20"/>
    </row>
    <row r="411" spans="2:35" ht="12.75" hidden="1" customHeight="1">
      <c r="C411" s="17" t="s">
        <v>12</v>
      </c>
      <c r="D411" s="14"/>
      <c r="E411" s="44">
        <v>9000</v>
      </c>
      <c r="G411" s="514"/>
      <c r="H411" s="514"/>
      <c r="I411" s="26"/>
      <c r="K411" s="260" t="s">
        <v>221</v>
      </c>
      <c r="L411" s="156"/>
      <c r="M411" s="1032"/>
      <c r="N411" s="358" t="s">
        <v>43</v>
      </c>
      <c r="O411" s="362"/>
      <c r="P411" s="1034"/>
      <c r="Q411" s="359" t="s">
        <v>43</v>
      </c>
      <c r="R411" s="360" t="s">
        <v>53</v>
      </c>
      <c r="S411" s="377"/>
      <c r="X411" s="118"/>
      <c r="Y411" s="111"/>
      <c r="Z411" s="117"/>
      <c r="AA411" s="89"/>
      <c r="AB411" s="90"/>
      <c r="AC411" s="20"/>
      <c r="AD411" s="41"/>
      <c r="AE411" s="20"/>
      <c r="AF411" s="20"/>
      <c r="AG411" s="20"/>
      <c r="AH411" s="20"/>
      <c r="AI411" s="20"/>
    </row>
    <row r="412" spans="2:35" ht="12.75" hidden="1" customHeight="1">
      <c r="C412" s="17"/>
      <c r="D412" s="14" t="s">
        <v>24</v>
      </c>
      <c r="E412" s="44">
        <v>175</v>
      </c>
      <c r="G412" s="30"/>
      <c r="H412" s="30"/>
      <c r="I412" s="26"/>
      <c r="K412" s="273"/>
      <c r="L412" s="235" t="s">
        <v>226</v>
      </c>
      <c r="M412" s="26">
        <f>$M$404</f>
        <v>6866.8100940000077</v>
      </c>
      <c r="N412" s="286">
        <f>M412</f>
        <v>6866.8100940000077</v>
      </c>
      <c r="O412" s="26"/>
      <c r="P412" s="45">
        <f>$Q$406</f>
        <v>-13602.227278481008</v>
      </c>
      <c r="Q412" s="71">
        <f>P412</f>
        <v>-13602.227278481008</v>
      </c>
      <c r="R412" s="45">
        <f t="shared" ref="R412:R422" si="52">15550+Q412</f>
        <v>1947.7727215189916</v>
      </c>
      <c r="S412" s="382"/>
      <c r="T412" s="29"/>
      <c r="X412" s="91"/>
      <c r="Y412" s="111"/>
      <c r="Z412" s="26"/>
      <c r="AA412" s="363"/>
      <c r="AB412" s="26"/>
      <c r="AC412" s="20"/>
      <c r="AD412" s="92"/>
      <c r="AE412" s="93"/>
      <c r="AF412" s="20"/>
      <c r="AG412" s="20"/>
      <c r="AH412" s="20"/>
      <c r="AI412" s="20"/>
    </row>
    <row r="413" spans="2:35" ht="12.75" hidden="1" customHeight="1">
      <c r="C413" s="17"/>
      <c r="D413" s="143" t="s">
        <v>225</v>
      </c>
      <c r="E413" s="15"/>
      <c r="G413"/>
      <c r="I413" s="26"/>
      <c r="K413" s="297"/>
      <c r="L413" s="79" t="s">
        <v>276</v>
      </c>
      <c r="M413" s="175">
        <v>-115</v>
      </c>
      <c r="N413" s="69">
        <f t="shared" ref="N413:N427" si="53">N412+M413</f>
        <v>6751.8100940000077</v>
      </c>
      <c r="O413" s="65"/>
      <c r="P413" s="133">
        <f>-M415</f>
        <v>3000</v>
      </c>
      <c r="Q413" s="72">
        <f>Q412+P413</f>
        <v>-10602.227278481008</v>
      </c>
      <c r="R413" s="45">
        <f t="shared" si="52"/>
        <v>4947.7727215189916</v>
      </c>
      <c r="S413" s="373" t="s">
        <v>247</v>
      </c>
      <c r="X413" s="20"/>
      <c r="Y413" s="112"/>
      <c r="Z413" s="239"/>
      <c r="AA413" s="94"/>
      <c r="AB413" s="95"/>
      <c r="AC413" s="20"/>
      <c r="AD413" s="41"/>
      <c r="AE413" s="93"/>
      <c r="AF413" s="20"/>
      <c r="AG413" s="20"/>
      <c r="AH413" s="20"/>
      <c r="AI413" s="20"/>
    </row>
    <row r="414" spans="2:35" ht="12.75" hidden="1" customHeight="1">
      <c r="C414" s="18" t="s">
        <v>5</v>
      </c>
      <c r="D414" s="14"/>
      <c r="E414" s="14">
        <f>SUM(E411:E413)</f>
        <v>9175</v>
      </c>
      <c r="G414" s="242"/>
      <c r="H414" s="242"/>
      <c r="I414" s="242"/>
      <c r="J414" s="20"/>
      <c r="K414" s="297"/>
      <c r="L414" s="79" t="s">
        <v>148</v>
      </c>
      <c r="M414" s="175">
        <v>-100</v>
      </c>
      <c r="N414" s="69">
        <f t="shared" si="53"/>
        <v>6651.8100940000077</v>
      </c>
      <c r="O414" s="65"/>
      <c r="P414" s="133">
        <v>-179.14</v>
      </c>
      <c r="Q414" s="72">
        <f>Q413+P414</f>
        <v>-10781.367278481008</v>
      </c>
      <c r="R414" s="45">
        <f t="shared" si="52"/>
        <v>4768.6327215189922</v>
      </c>
      <c r="S414" s="373" t="s">
        <v>253</v>
      </c>
      <c r="U414" s="111"/>
      <c r="V414" s="20"/>
      <c r="W414" s="20"/>
      <c r="X414" s="20"/>
      <c r="Y414" s="112"/>
      <c r="Z414" s="239"/>
      <c r="AA414" s="94"/>
      <c r="AB414" s="26"/>
      <c r="AC414" s="20"/>
      <c r="AD414" s="92"/>
      <c r="AE414" s="93"/>
      <c r="AF414" s="20"/>
      <c r="AG414" s="20"/>
      <c r="AH414" s="20"/>
      <c r="AI414" s="20"/>
    </row>
    <row r="415" spans="2:35" ht="12.75" hidden="1" customHeight="1">
      <c r="G415" s="20"/>
      <c r="H415" s="46"/>
      <c r="I415" s="45"/>
      <c r="J415" s="54"/>
      <c r="K415" s="297"/>
      <c r="L415" s="79" t="s">
        <v>102</v>
      </c>
      <c r="M415" s="175">
        <v>-3000</v>
      </c>
      <c r="N415" s="69">
        <f t="shared" si="53"/>
        <v>3651.8100940000077</v>
      </c>
      <c r="O415" s="48"/>
      <c r="P415" s="133">
        <f>-200-140</f>
        <v>-340</v>
      </c>
      <c r="Q415" s="72">
        <f t="shared" ref="Q415:Q422" si="54">Q414+P415</f>
        <v>-11121.367278481008</v>
      </c>
      <c r="R415" s="45">
        <f t="shared" si="52"/>
        <v>4428.6327215189922</v>
      </c>
      <c r="S415" s="373" t="s">
        <v>279</v>
      </c>
      <c r="T415" s="194"/>
      <c r="U415" s="20"/>
      <c r="V415" s="45"/>
      <c r="W415" s="20"/>
      <c r="X415" s="91"/>
      <c r="Y415" s="112"/>
      <c r="Z415" s="239"/>
      <c r="AA415" s="94"/>
      <c r="AB415" s="26"/>
      <c r="AC415" s="20"/>
      <c r="AD415" s="92"/>
      <c r="AE415" s="93"/>
      <c r="AF415" s="20"/>
      <c r="AG415" s="20"/>
      <c r="AH415" s="20"/>
      <c r="AI415" s="20"/>
    </row>
    <row r="416" spans="2:35" ht="12.75" hidden="1" customHeight="1">
      <c r="C416" s="17" t="s">
        <v>7</v>
      </c>
      <c r="G416" s="20"/>
      <c r="H416" s="46"/>
      <c r="I416" s="45"/>
      <c r="J416" s="20"/>
      <c r="K416" s="255"/>
      <c r="L416" s="79" t="s">
        <v>102</v>
      </c>
      <c r="M416" s="175">
        <f>-P416</f>
        <v>2800</v>
      </c>
      <c r="N416" s="69">
        <f t="shared" si="53"/>
        <v>6451.8100940000077</v>
      </c>
      <c r="O416" s="49"/>
      <c r="P416" s="132">
        <v>-2800</v>
      </c>
      <c r="Q416" s="72">
        <f t="shared" si="54"/>
        <v>-13921.367278481008</v>
      </c>
      <c r="R416" s="45">
        <f t="shared" si="52"/>
        <v>1628.6327215189922</v>
      </c>
      <c r="S416" s="373" t="s">
        <v>247</v>
      </c>
      <c r="T416" s="20"/>
      <c r="U416" s="20"/>
      <c r="V416" s="45"/>
      <c r="W416" s="103"/>
      <c r="X416" s="20"/>
      <c r="Y416" s="112"/>
      <c r="Z416" s="239"/>
      <c r="AA416" s="94"/>
      <c r="AB416" s="95"/>
      <c r="AC416" s="20"/>
      <c r="AD416" s="96"/>
      <c r="AE416" s="93"/>
      <c r="AF416" s="20"/>
      <c r="AG416" s="20"/>
      <c r="AH416" s="20"/>
      <c r="AI416" s="20"/>
    </row>
    <row r="417" spans="1:35" ht="12.75" hidden="1" customHeight="1">
      <c r="D417" t="s">
        <v>8</v>
      </c>
      <c r="E417" s="14">
        <f>1312/2</f>
        <v>656</v>
      </c>
      <c r="G417" s="241"/>
      <c r="H417" s="46"/>
      <c r="I417" s="45"/>
      <c r="J417" s="20"/>
      <c r="K417" s="255" t="s">
        <v>223</v>
      </c>
      <c r="L417" s="101" t="s">
        <v>227</v>
      </c>
      <c r="M417" s="133">
        <v>-308</v>
      </c>
      <c r="N417" s="69">
        <f t="shared" si="53"/>
        <v>6143.8100940000077</v>
      </c>
      <c r="O417" s="49"/>
      <c r="P417" s="132">
        <v>-186.9</v>
      </c>
      <c r="Q417" s="72">
        <f t="shared" si="54"/>
        <v>-14108.267278481007</v>
      </c>
      <c r="R417" s="45">
        <f t="shared" si="52"/>
        <v>1441.7327215189925</v>
      </c>
      <c r="S417" s="379" t="s">
        <v>282</v>
      </c>
      <c r="T417" s="20"/>
      <c r="U417" s="20"/>
      <c r="V417" s="45"/>
      <c r="W417" s="20"/>
      <c r="X417" s="20"/>
      <c r="Y417" s="112"/>
      <c r="Z417" s="239"/>
      <c r="AA417" s="94"/>
      <c r="AB417" s="26"/>
      <c r="AC417" s="20"/>
      <c r="AD417" s="41"/>
      <c r="AE417" s="93"/>
      <c r="AF417" s="20"/>
      <c r="AG417" s="20"/>
      <c r="AH417" s="20"/>
      <c r="AI417" s="20"/>
    </row>
    <row r="418" spans="1:35" ht="12.75" hidden="1" customHeight="1">
      <c r="D418" t="s">
        <v>22</v>
      </c>
      <c r="E418" s="15"/>
      <c r="F418" s="38"/>
      <c r="G418" s="20"/>
      <c r="H418" s="46"/>
      <c r="I418" s="108"/>
      <c r="J418" s="415" t="s">
        <v>326</v>
      </c>
      <c r="K418" s="255" t="s">
        <v>284</v>
      </c>
      <c r="L418" s="79" t="s">
        <v>278</v>
      </c>
      <c r="M418" s="175">
        <v>-3830</v>
      </c>
      <c r="N418" s="69">
        <f t="shared" si="53"/>
        <v>2313.8100940000077</v>
      </c>
      <c r="O418" s="49"/>
      <c r="P418" s="132">
        <v>-575.72</v>
      </c>
      <c r="Q418" s="72">
        <f t="shared" si="54"/>
        <v>-14683.987278481007</v>
      </c>
      <c r="R418" s="45">
        <f t="shared" si="52"/>
        <v>866.0127215189932</v>
      </c>
      <c r="S418" s="379" t="s">
        <v>258</v>
      </c>
      <c r="T418" s="20"/>
      <c r="U418" s="20"/>
      <c r="V418" s="133"/>
      <c r="W418" s="20"/>
      <c r="X418" s="20"/>
      <c r="Y418" s="112"/>
      <c r="Z418" s="239"/>
      <c r="AA418" s="94"/>
      <c r="AB418" s="26"/>
      <c r="AC418" s="20"/>
      <c r="AD418" s="92"/>
      <c r="AE418" s="93"/>
      <c r="AF418" s="20"/>
      <c r="AG418" s="20"/>
      <c r="AH418" s="20"/>
      <c r="AI418" s="20"/>
    </row>
    <row r="419" spans="1:35" ht="12.75" hidden="1" customHeight="1">
      <c r="C419" s="18" t="s">
        <v>5</v>
      </c>
      <c r="E419" s="19">
        <f>SUM(E417:E418)</f>
        <v>656</v>
      </c>
      <c r="G419" s="20"/>
      <c r="H419" s="235"/>
      <c r="I419" s="45"/>
      <c r="J419" s="20"/>
      <c r="K419" s="297" t="s">
        <v>277</v>
      </c>
      <c r="L419" s="79" t="s">
        <v>224</v>
      </c>
      <c r="M419" s="175">
        <v>-533.94000000000005</v>
      </c>
      <c r="N419" s="69">
        <f t="shared" si="53"/>
        <v>1779.8700940000076</v>
      </c>
      <c r="O419" s="39"/>
      <c r="P419" s="132">
        <v>-270</v>
      </c>
      <c r="Q419" s="72">
        <f t="shared" si="54"/>
        <v>-14953.987278481007</v>
      </c>
      <c r="R419" s="45">
        <f t="shared" si="52"/>
        <v>596.0127215189932</v>
      </c>
      <c r="S419" s="379" t="s">
        <v>281</v>
      </c>
      <c r="T419" s="50"/>
      <c r="U419" s="20"/>
      <c r="V419" s="45"/>
      <c r="W419" s="26"/>
      <c r="X419" s="20"/>
      <c r="Y419" s="112"/>
      <c r="Z419" s="239"/>
      <c r="AA419" s="94"/>
      <c r="AB419" s="95"/>
      <c r="AC419" s="20"/>
      <c r="AD419" s="92"/>
      <c r="AE419" s="93"/>
      <c r="AF419" s="20"/>
      <c r="AG419" s="20"/>
      <c r="AH419" s="20"/>
      <c r="AI419" s="20"/>
    </row>
    <row r="420" spans="1:35" ht="12.75" hidden="1" customHeight="1" thickBot="1">
      <c r="C420" s="18"/>
      <c r="G420" s="20"/>
      <c r="H420" s="46"/>
      <c r="I420" s="315"/>
      <c r="J420" s="315"/>
      <c r="K420" s="297" t="s">
        <v>277</v>
      </c>
      <c r="L420" s="79" t="s">
        <v>61</v>
      </c>
      <c r="M420" s="175">
        <v>-29</v>
      </c>
      <c r="N420" s="69">
        <f t="shared" si="53"/>
        <v>1750.8700940000076</v>
      </c>
      <c r="O420" s="39"/>
      <c r="P420" s="132">
        <v>-350</v>
      </c>
      <c r="Q420" s="72">
        <f t="shared" si="54"/>
        <v>-15303.987278481007</v>
      </c>
      <c r="R420" s="45">
        <f t="shared" si="52"/>
        <v>246.0127215189932</v>
      </c>
      <c r="S420" s="373" t="s">
        <v>283</v>
      </c>
      <c r="T420" s="50"/>
      <c r="U420" s="20"/>
      <c r="V420" s="45"/>
      <c r="W420" s="26"/>
      <c r="X420" s="20"/>
      <c r="Y420" s="112"/>
      <c r="Z420" s="239"/>
      <c r="AA420" s="94"/>
      <c r="AB420" s="26"/>
      <c r="AC420" s="20"/>
      <c r="AD420" s="92"/>
      <c r="AE420" s="97"/>
      <c r="AF420" s="20"/>
      <c r="AG420" s="20"/>
      <c r="AH420" s="20"/>
      <c r="AI420" s="20"/>
    </row>
    <row r="421" spans="1:35" ht="12.75" hidden="1" customHeight="1" thickBot="1">
      <c r="D421" s="16" t="s">
        <v>67</v>
      </c>
      <c r="E421" s="27">
        <f>E414-E419</f>
        <v>8519</v>
      </c>
      <c r="G421" s="20"/>
      <c r="H421" s="235"/>
      <c r="I421" s="315"/>
      <c r="J421" s="315"/>
      <c r="K421" s="297" t="s">
        <v>277</v>
      </c>
      <c r="L421" s="79" t="s">
        <v>224</v>
      </c>
      <c r="M421" s="175">
        <v>-59.5</v>
      </c>
      <c r="N421" s="69">
        <f t="shared" si="53"/>
        <v>1691.3700940000076</v>
      </c>
      <c r="O421" s="39"/>
      <c r="P421" s="132">
        <v>-189.65</v>
      </c>
      <c r="Q421" s="72">
        <f t="shared" si="54"/>
        <v>-15493.637278481006</v>
      </c>
      <c r="R421" s="45">
        <f t="shared" si="52"/>
        <v>56.362721518993567</v>
      </c>
      <c r="S421" s="373" t="s">
        <v>270</v>
      </c>
      <c r="T421" s="80"/>
      <c r="U421" s="74"/>
      <c r="V421" s="45"/>
      <c r="W421" s="26"/>
      <c r="X421" s="20"/>
      <c r="Y421" s="112"/>
      <c r="Z421" s="239"/>
      <c r="AA421" s="94"/>
      <c r="AB421" s="26"/>
      <c r="AC421" s="20"/>
      <c r="AD421" s="20"/>
      <c r="AE421" s="93"/>
      <c r="AF421" s="20"/>
      <c r="AG421" s="20"/>
      <c r="AH421" s="20"/>
      <c r="AI421" s="20"/>
    </row>
    <row r="422" spans="1:35" ht="12.75" hidden="1" customHeight="1">
      <c r="D422" s="17"/>
      <c r="E422" s="40"/>
      <c r="G422"/>
      <c r="H422" s="23"/>
      <c r="I422" s="315"/>
      <c r="J422" s="315"/>
      <c r="K422" s="256" t="s">
        <v>286</v>
      </c>
      <c r="L422" s="79" t="s">
        <v>224</v>
      </c>
      <c r="M422" s="45">
        <v>-533.94000000000005</v>
      </c>
      <c r="N422" s="69">
        <f t="shared" si="53"/>
        <v>1157.4300940000076</v>
      </c>
      <c r="O422" s="39"/>
      <c r="P422" s="132">
        <v>-0.1</v>
      </c>
      <c r="Q422" s="72">
        <f t="shared" si="54"/>
        <v>-15493.737278481007</v>
      </c>
      <c r="R422" s="45">
        <f t="shared" si="52"/>
        <v>56.262721518993203</v>
      </c>
      <c r="S422" s="373" t="s">
        <v>287</v>
      </c>
      <c r="T422" s="50"/>
      <c r="U422" s="74"/>
      <c r="V422" s="26"/>
      <c r="W422" s="26"/>
      <c r="X422" s="91"/>
      <c r="Y422" s="20"/>
      <c r="Z422" s="239"/>
      <c r="AA422" s="94"/>
      <c r="AB422" s="95"/>
      <c r="AC422" s="20"/>
      <c r="AD422" s="98"/>
      <c r="AE422" s="93"/>
      <c r="AF422" s="363"/>
      <c r="AG422" s="20"/>
      <c r="AH422" s="20"/>
      <c r="AI422" s="20"/>
    </row>
    <row r="423" spans="1:35" ht="12.75" hidden="1" customHeight="1">
      <c r="A423" s="319"/>
      <c r="D423" s="17"/>
      <c r="E423" s="40"/>
      <c r="G423"/>
      <c r="H423" s="23"/>
      <c r="I423" s="315"/>
      <c r="J423" s="315"/>
      <c r="K423" s="258" t="s">
        <v>289</v>
      </c>
      <c r="L423" s="79" t="s">
        <v>290</v>
      </c>
      <c r="M423" s="45">
        <v>1775.35</v>
      </c>
      <c r="N423" s="69">
        <f t="shared" si="53"/>
        <v>2932.7800940000075</v>
      </c>
      <c r="O423" s="39"/>
      <c r="P423" s="132">
        <v>442.13</v>
      </c>
      <c r="Q423" s="72">
        <f t="shared" ref="Q423:Q428" si="55">Q422+P423</f>
        <v>-15051.607278481008</v>
      </c>
      <c r="R423" s="45">
        <f t="shared" ref="R423:R428" si="56">15550+Q423</f>
        <v>498.3927215189924</v>
      </c>
      <c r="S423" s="373" t="s">
        <v>280</v>
      </c>
      <c r="T423" s="356"/>
      <c r="U423" s="65"/>
      <c r="V423" s="26"/>
      <c r="W423" s="26"/>
      <c r="X423" s="35"/>
      <c r="Y423" s="20"/>
      <c r="Z423" s="239"/>
      <c r="AA423" s="94"/>
      <c r="AB423" s="26"/>
      <c r="AC423" s="20"/>
      <c r="AD423" s="20"/>
      <c r="AE423" s="20"/>
      <c r="AF423" s="99"/>
      <c r="AG423" s="20"/>
      <c r="AH423" s="20"/>
      <c r="AI423" s="20"/>
    </row>
    <row r="424" spans="1:35" ht="12.75" hidden="1" customHeight="1">
      <c r="A424" s="319"/>
      <c r="C424" s="81" t="s">
        <v>17</v>
      </c>
      <c r="E424" s="42"/>
      <c r="G424"/>
      <c r="H424" s="23"/>
      <c r="I424" s="315"/>
      <c r="J424" s="315"/>
      <c r="K424" s="258" t="s">
        <v>289</v>
      </c>
      <c r="L424" s="79" t="s">
        <v>24</v>
      </c>
      <c r="M424" s="45">
        <v>-442.13</v>
      </c>
      <c r="N424" s="69">
        <f t="shared" si="53"/>
        <v>2490.6500940000074</v>
      </c>
      <c r="O424" s="39"/>
      <c r="P424" s="132">
        <v>-72.3</v>
      </c>
      <c r="Q424" s="72">
        <f t="shared" si="55"/>
        <v>-15123.907278481007</v>
      </c>
      <c r="R424" s="45">
        <f t="shared" si="56"/>
        <v>426.09272151899313</v>
      </c>
      <c r="S424" s="373" t="s">
        <v>258</v>
      </c>
      <c r="T424" s="355"/>
      <c r="U424" s="65"/>
      <c r="V424" s="20"/>
      <c r="W424" s="20"/>
      <c r="X424" s="20"/>
      <c r="Y424" s="111"/>
      <c r="Z424" s="239"/>
      <c r="AA424" s="94"/>
      <c r="AB424" s="26"/>
      <c r="AC424" s="20"/>
      <c r="AD424" s="20"/>
      <c r="AE424" s="20"/>
      <c r="AF424" s="20"/>
      <c r="AG424" s="20"/>
      <c r="AH424" s="20"/>
      <c r="AI424" s="20"/>
    </row>
    <row r="425" spans="1:35" ht="12.75" hidden="1" customHeight="1">
      <c r="A425" s="319"/>
      <c r="D425" s="20" t="s">
        <v>14</v>
      </c>
      <c r="E425" s="42">
        <v>7648.33</v>
      </c>
      <c r="F425" s="20"/>
      <c r="G425" s="20"/>
      <c r="H425" s="46"/>
      <c r="I425" s="315"/>
      <c r="J425" s="315"/>
      <c r="K425" s="258" t="s">
        <v>222</v>
      </c>
      <c r="L425" s="266" t="s">
        <v>51</v>
      </c>
      <c r="M425" s="146">
        <f>E425</f>
        <v>7648.33</v>
      </c>
      <c r="N425" s="69">
        <f t="shared" si="53"/>
        <v>10138.980094000008</v>
      </c>
      <c r="O425" s="39"/>
      <c r="P425" s="132">
        <v>-109</v>
      </c>
      <c r="Q425" s="72">
        <f t="shared" si="55"/>
        <v>-15232.907278481007</v>
      </c>
      <c r="R425" s="45">
        <f t="shared" si="56"/>
        <v>317.09272151899313</v>
      </c>
      <c r="S425" s="373" t="s">
        <v>291</v>
      </c>
      <c r="T425" s="355"/>
      <c r="U425" s="65"/>
      <c r="V425" s="20"/>
      <c r="W425" s="20"/>
      <c r="X425" s="91"/>
      <c r="Y425" s="111"/>
      <c r="Z425" s="239"/>
      <c r="AA425" s="94"/>
      <c r="AB425" s="95"/>
      <c r="AC425" s="20"/>
      <c r="AD425" s="20"/>
      <c r="AE425" s="20"/>
      <c r="AF425" s="20"/>
      <c r="AG425" s="20"/>
      <c r="AH425" s="20"/>
      <c r="AI425" s="20"/>
    </row>
    <row r="426" spans="1:35" ht="12.75" hidden="1" customHeight="1">
      <c r="A426" s="319"/>
      <c r="D426" s="78" t="s">
        <v>13</v>
      </c>
      <c r="E426" s="15">
        <f>E421-E425-E427</f>
        <v>870.67000000000007</v>
      </c>
      <c r="F426" s="78"/>
      <c r="G426" s="516">
        <f>SUM(E425:E426)</f>
        <v>8519</v>
      </c>
      <c r="H426" s="516"/>
      <c r="I426" s="315"/>
      <c r="J426" s="415" t="s">
        <v>327</v>
      </c>
      <c r="K426" s="258" t="s">
        <v>222</v>
      </c>
      <c r="L426" s="266" t="s">
        <v>278</v>
      </c>
      <c r="M426" s="146">
        <f>-3830-500</f>
        <v>-4330</v>
      </c>
      <c r="N426" s="69">
        <f t="shared" si="53"/>
        <v>5808.9800940000077</v>
      </c>
      <c r="O426" s="39"/>
      <c r="P426" s="132">
        <v>-262</v>
      </c>
      <c r="Q426" s="72">
        <f t="shared" si="55"/>
        <v>-15494.907278481007</v>
      </c>
      <c r="R426" s="45">
        <f t="shared" si="56"/>
        <v>55.09272151899313</v>
      </c>
      <c r="S426" s="373" t="s">
        <v>292</v>
      </c>
      <c r="T426" s="355"/>
      <c r="U426" s="65"/>
      <c r="V426" s="20"/>
      <c r="W426" s="20"/>
      <c r="X426" s="20"/>
      <c r="Y426" s="111"/>
      <c r="Z426" s="239"/>
      <c r="AA426" s="94"/>
      <c r="AB426" s="26"/>
      <c r="AC426" s="20"/>
      <c r="AD426" s="20"/>
      <c r="AE426" s="20"/>
      <c r="AF426" s="20"/>
      <c r="AG426" s="363"/>
      <c r="AH426" s="20"/>
      <c r="AI426" s="20"/>
    </row>
    <row r="427" spans="1:35" ht="12.75" hidden="1" customHeight="1">
      <c r="A427" s="319"/>
      <c r="D427" s="20"/>
      <c r="E427" s="26"/>
      <c r="F427" s="122"/>
      <c r="G427" s="515"/>
      <c r="H427" s="515"/>
      <c r="I427" s="315"/>
      <c r="J427" s="315"/>
      <c r="K427" s="85" t="s">
        <v>222</v>
      </c>
      <c r="L427" s="266" t="s">
        <v>180</v>
      </c>
      <c r="M427" s="45">
        <v>-69</v>
      </c>
      <c r="N427" s="69">
        <f t="shared" si="53"/>
        <v>5739.9800940000077</v>
      </c>
      <c r="O427" s="39"/>
      <c r="P427" s="132">
        <v>441.8</v>
      </c>
      <c r="Q427" s="72">
        <f t="shared" si="55"/>
        <v>-15053.107278481008</v>
      </c>
      <c r="R427" s="45">
        <f t="shared" si="56"/>
        <v>496.8927215189924</v>
      </c>
      <c r="S427" s="373" t="s">
        <v>280</v>
      </c>
      <c r="T427" s="355"/>
      <c r="U427" s="83"/>
      <c r="V427" s="20"/>
      <c r="W427" s="20"/>
      <c r="X427" s="20"/>
      <c r="Y427" s="111"/>
      <c r="Z427" s="239"/>
      <c r="AA427" s="94"/>
      <c r="AB427" s="26"/>
      <c r="AC427" s="20"/>
      <c r="AD427" s="20"/>
      <c r="AE427" s="20"/>
      <c r="AF427" s="20"/>
      <c r="AG427" s="20"/>
      <c r="AH427" s="20"/>
      <c r="AI427" s="20"/>
    </row>
    <row r="428" spans="1:35" ht="12.75" hidden="1" customHeight="1">
      <c r="A428" s="319"/>
      <c r="D428" s="20"/>
      <c r="E428" s="26"/>
      <c r="F428" s="122"/>
      <c r="G428" s="361"/>
      <c r="H428" s="361"/>
      <c r="I428" s="315"/>
      <c r="J428" s="315"/>
      <c r="K428" s="258" t="s">
        <v>222</v>
      </c>
      <c r="L428" s="266" t="s">
        <v>61</v>
      </c>
      <c r="M428" s="45">
        <v>-203.5</v>
      </c>
      <c r="N428" s="69">
        <f t="shared" ref="N428:N433" si="57">N427+M428</f>
        <v>5536.4800940000077</v>
      </c>
      <c r="O428" s="42"/>
      <c r="P428" s="49">
        <f>E426</f>
        <v>870.67000000000007</v>
      </c>
      <c r="Q428" s="73">
        <f t="shared" si="55"/>
        <v>-14182.437278481008</v>
      </c>
      <c r="R428" s="52">
        <f t="shared" si="56"/>
        <v>1367.5627215189925</v>
      </c>
      <c r="S428" s="373" t="s">
        <v>293</v>
      </c>
      <c r="T428" s="355"/>
      <c r="U428" s="84"/>
      <c r="V428" s="26"/>
      <c r="W428" s="26"/>
      <c r="X428" s="91"/>
      <c r="Y428" s="20"/>
      <c r="Z428" s="239"/>
      <c r="AA428" s="94"/>
      <c r="AB428" s="26"/>
      <c r="AC428" s="20"/>
      <c r="AD428" s="20"/>
      <c r="AE428" s="20"/>
      <c r="AF428" s="20"/>
      <c r="AG428" s="20"/>
      <c r="AH428" s="20"/>
      <c r="AI428" s="20"/>
    </row>
    <row r="429" spans="1:35" ht="12.75" hidden="1" customHeight="1">
      <c r="A429" s="319"/>
      <c r="D429" s="20"/>
      <c r="E429" s="26"/>
      <c r="F429" s="122"/>
      <c r="G429" s="361"/>
      <c r="H429" s="361"/>
      <c r="I429" s="315"/>
      <c r="J429" s="315"/>
      <c r="K429" s="258" t="s">
        <v>222</v>
      </c>
      <c r="L429" s="266" t="s">
        <v>195</v>
      </c>
      <c r="M429" s="45">
        <v>-1738</v>
      </c>
      <c r="N429" s="69">
        <f t="shared" si="57"/>
        <v>3798.4800940000077</v>
      </c>
      <c r="O429" s="26"/>
      <c r="P429" s="64">
        <f>SUM(P412:P428)</f>
        <v>-14182.437278481008</v>
      </c>
      <c r="Q429" s="287" t="s">
        <v>243</v>
      </c>
      <c r="R429" s="317"/>
      <c r="S429" s="373"/>
      <c r="T429" s="355"/>
      <c r="U429" s="84"/>
      <c r="V429" s="26"/>
      <c r="W429" s="26"/>
      <c r="X429" s="35"/>
      <c r="Y429" s="20"/>
      <c r="Z429" s="239"/>
      <c r="AA429" s="94"/>
      <c r="AB429" s="26"/>
      <c r="AC429" s="20"/>
      <c r="AD429" s="20"/>
      <c r="AE429" s="20"/>
      <c r="AF429" s="20"/>
      <c r="AG429" s="20"/>
      <c r="AH429" s="20"/>
      <c r="AI429" s="20"/>
    </row>
    <row r="430" spans="1:35" s="21" customFormat="1" ht="12.75" hidden="1" customHeight="1">
      <c r="A430" s="319"/>
      <c r="B430"/>
      <c r="C430"/>
      <c r="D430" s="20"/>
      <c r="E430" s="26"/>
      <c r="F430" s="122"/>
      <c r="G430" s="361"/>
      <c r="H430" s="361"/>
      <c r="I430" s="315"/>
      <c r="J430" s="315"/>
      <c r="K430" s="258" t="s">
        <v>222</v>
      </c>
      <c r="L430" s="266" t="s">
        <v>224</v>
      </c>
      <c r="M430" s="45">
        <v>0</v>
      </c>
      <c r="N430" s="69">
        <f t="shared" si="57"/>
        <v>3798.4800940000077</v>
      </c>
      <c r="O430" s="323"/>
      <c r="P430" s="68"/>
      <c r="Q430" s="63"/>
      <c r="R430" s="63"/>
      <c r="S430" s="373"/>
      <c r="T430" s="355"/>
      <c r="U430" s="22"/>
      <c r="V430" s="323"/>
      <c r="W430" s="323"/>
      <c r="X430" s="22"/>
      <c r="Y430" s="22"/>
      <c r="Z430" s="357"/>
      <c r="AA430" s="324"/>
      <c r="AB430" s="323"/>
      <c r="AC430" s="22"/>
      <c r="AD430" s="22"/>
      <c r="AE430" s="22"/>
      <c r="AF430" s="22"/>
      <c r="AG430" s="22"/>
      <c r="AH430" s="22"/>
      <c r="AI430" s="22"/>
    </row>
    <row r="431" spans="1:35" ht="12.75" hidden="1" customHeight="1">
      <c r="A431" s="319"/>
      <c r="D431" s="20"/>
      <c r="E431" s="26"/>
      <c r="F431" s="122"/>
      <c r="G431" s="361"/>
      <c r="H431" s="361"/>
      <c r="I431" s="315"/>
      <c r="J431" s="315"/>
      <c r="K431" s="85" t="s">
        <v>189</v>
      </c>
      <c r="L431" s="267" t="s">
        <v>16</v>
      </c>
      <c r="M431" s="175">
        <v>-403.99</v>
      </c>
      <c r="N431" s="69">
        <f t="shared" si="57"/>
        <v>3394.490094000008</v>
      </c>
      <c r="O431" s="26"/>
      <c r="P431" s="300"/>
      <c r="Q431" s="270"/>
      <c r="R431" s="63"/>
      <c r="S431" s="373"/>
      <c r="T431" s="355"/>
      <c r="U431" s="20"/>
      <c r="V431" s="26"/>
      <c r="W431" s="26"/>
      <c r="X431" s="91"/>
      <c r="Y431" s="20"/>
      <c r="Z431" s="239"/>
      <c r="AA431" s="94"/>
      <c r="AB431" s="26"/>
      <c r="AC431" s="20"/>
      <c r="AD431" s="20"/>
      <c r="AE431" s="20"/>
      <c r="AF431" s="20"/>
      <c r="AG431" s="20"/>
      <c r="AH431" s="20"/>
      <c r="AI431" s="20"/>
    </row>
    <row r="432" spans="1:35" ht="12.75" hidden="1" customHeight="1">
      <c r="A432" s="319"/>
      <c r="D432" s="20"/>
      <c r="E432" s="26"/>
      <c r="F432" s="122"/>
      <c r="G432" s="361"/>
      <c r="H432" s="361"/>
      <c r="I432" s="315"/>
      <c r="J432" s="315"/>
      <c r="K432" s="258" t="s">
        <v>189</v>
      </c>
      <c r="L432" s="268" t="s">
        <v>56</v>
      </c>
      <c r="M432" s="175">
        <v>-605</v>
      </c>
      <c r="N432" s="69">
        <f t="shared" si="57"/>
        <v>2789.490094000008</v>
      </c>
      <c r="O432" s="26"/>
      <c r="P432" s="300"/>
      <c r="Q432" s="270"/>
      <c r="R432" s="63"/>
      <c r="S432" s="373"/>
      <c r="T432" s="355"/>
      <c r="U432" s="20"/>
      <c r="V432" s="26"/>
      <c r="W432" s="26"/>
      <c r="X432" s="91"/>
      <c r="Y432" s="20"/>
      <c r="Z432" s="239"/>
      <c r="AA432" s="94"/>
      <c r="AB432" s="26"/>
      <c r="AC432" s="20"/>
      <c r="AD432" s="20"/>
      <c r="AE432" s="20"/>
      <c r="AF432" s="20"/>
      <c r="AG432" s="20"/>
      <c r="AH432" s="20"/>
      <c r="AI432" s="20"/>
    </row>
    <row r="433" spans="1:35" ht="12.75" hidden="1" customHeight="1">
      <c r="A433" s="319"/>
      <c r="D433" s="20"/>
      <c r="E433" s="26"/>
      <c r="F433" s="122"/>
      <c r="G433" s="515"/>
      <c r="H433" s="515"/>
      <c r="I433" s="315"/>
      <c r="J433" s="315"/>
      <c r="K433" s="321" t="s">
        <v>190</v>
      </c>
      <c r="L433" s="269" t="s">
        <v>23</v>
      </c>
      <c r="M433" s="366">
        <v>-187.52</v>
      </c>
      <c r="N433" s="322">
        <f t="shared" si="57"/>
        <v>2601.970094000008</v>
      </c>
      <c r="O433" s="26"/>
      <c r="P433" s="300"/>
      <c r="Q433" s="270"/>
      <c r="R433" s="63"/>
      <c r="S433" s="373"/>
      <c r="T433" s="355"/>
      <c r="U433" s="20"/>
      <c r="V433" s="26"/>
      <c r="W433" s="26"/>
      <c r="X433" s="91"/>
      <c r="Y433" s="20"/>
      <c r="Z433" s="239"/>
      <c r="AA433" s="94"/>
      <c r="AB433" s="26"/>
      <c r="AC433" s="20"/>
      <c r="AD433" s="20"/>
      <c r="AE433" s="20"/>
      <c r="AF433" s="20"/>
      <c r="AG433" s="20"/>
      <c r="AH433" s="20"/>
      <c r="AI433" s="20"/>
    </row>
    <row r="434" spans="1:35" hidden="1">
      <c r="L434" s="23"/>
      <c r="M434" s="168">
        <f>SUM(M412:M433)</f>
        <v>2601.970094000008</v>
      </c>
      <c r="N434" s="296"/>
      <c r="P434" s="300"/>
      <c r="Q434" s="270"/>
      <c r="R434" s="63"/>
      <c r="S434" s="373"/>
    </row>
    <row r="435" spans="1:35" s="78" customFormat="1" hidden="1">
      <c r="E435" s="15"/>
      <c r="G435" s="129"/>
      <c r="K435" s="257"/>
      <c r="M435" s="15"/>
      <c r="P435" s="364"/>
      <c r="Q435" s="365"/>
      <c r="R435" s="250"/>
      <c r="S435" s="388"/>
      <c r="Z435" s="15"/>
      <c r="AA435" s="130"/>
      <c r="AB435" s="15"/>
    </row>
    <row r="436" spans="1:35" hidden="1">
      <c r="P436" s="300"/>
      <c r="Q436" s="270"/>
      <c r="R436" s="63"/>
    </row>
    <row r="437" spans="1:35" ht="12.75" hidden="1" customHeight="1">
      <c r="B437" s="1030" t="s">
        <v>288</v>
      </c>
      <c r="C437" s="1030"/>
      <c r="D437" s="1030"/>
      <c r="E437" s="1030"/>
      <c r="G437" s="261"/>
      <c r="H437" s="261"/>
      <c r="I437" s="26"/>
      <c r="K437" s="258"/>
      <c r="L437" s="100"/>
      <c r="M437" s="1031" t="s">
        <v>54</v>
      </c>
      <c r="N437" s="397"/>
      <c r="O437" s="395"/>
      <c r="P437" s="1033" t="s">
        <v>48</v>
      </c>
      <c r="Q437" s="1035" t="s">
        <v>242</v>
      </c>
      <c r="R437" s="1035"/>
      <c r="S437" s="377"/>
      <c r="X437" s="35"/>
      <c r="Y437" s="35"/>
      <c r="Z437" s="26"/>
      <c r="AA437" s="400"/>
      <c r="AB437" s="26"/>
      <c r="AC437" s="20"/>
      <c r="AD437" s="20"/>
      <c r="AE437" s="20"/>
      <c r="AF437" s="20"/>
      <c r="AG437" s="20"/>
      <c r="AH437" s="20"/>
      <c r="AI437" s="20"/>
    </row>
    <row r="438" spans="1:35" ht="12.75" hidden="1" customHeight="1">
      <c r="C438" s="17" t="s">
        <v>12</v>
      </c>
      <c r="D438" s="14"/>
      <c r="E438" s="44">
        <v>9000</v>
      </c>
      <c r="G438" s="514"/>
      <c r="H438" s="514"/>
      <c r="I438" s="26"/>
      <c r="K438" s="260" t="s">
        <v>221</v>
      </c>
      <c r="L438" s="156"/>
      <c r="M438" s="1032"/>
      <c r="N438" s="397" t="s">
        <v>43</v>
      </c>
      <c r="O438" s="395"/>
      <c r="P438" s="1034"/>
      <c r="Q438" s="398" t="s">
        <v>43</v>
      </c>
      <c r="R438" s="399" t="s">
        <v>53</v>
      </c>
      <c r="S438" s="377"/>
      <c r="X438" s="118"/>
      <c r="Y438" s="111"/>
      <c r="Z438" s="117"/>
      <c r="AA438" s="89"/>
      <c r="AB438" s="90"/>
      <c r="AC438" s="20"/>
      <c r="AD438" s="41"/>
      <c r="AE438" s="20"/>
      <c r="AF438" s="20"/>
      <c r="AG438" s="20"/>
      <c r="AH438" s="20"/>
      <c r="AI438" s="20"/>
    </row>
    <row r="439" spans="1:35" ht="12.75" hidden="1" customHeight="1">
      <c r="C439" s="17"/>
      <c r="D439" s="14" t="s">
        <v>24</v>
      </c>
      <c r="E439" s="44">
        <f>'[2]MAY ''12'!$C$86</f>
        <v>575.76</v>
      </c>
      <c r="G439" s="30"/>
      <c r="H439" s="30"/>
      <c r="I439" s="26"/>
      <c r="K439" s="273"/>
      <c r="L439" s="235" t="s">
        <v>226</v>
      </c>
      <c r="M439" s="26">
        <f>$M$434</f>
        <v>2601.970094000008</v>
      </c>
      <c r="N439" s="286">
        <f>M439</f>
        <v>2601.970094000008</v>
      </c>
      <c r="O439" s="26"/>
      <c r="P439" s="45">
        <f>$Q$428</f>
        <v>-14182.437278481008</v>
      </c>
      <c r="Q439" s="71">
        <f>P439</f>
        <v>-14182.437278481008</v>
      </c>
      <c r="R439" s="45">
        <f t="shared" ref="R439:R459" si="58">15550+Q439</f>
        <v>1367.5627215189925</v>
      </c>
      <c r="S439" s="378" t="s">
        <v>298</v>
      </c>
      <c r="T439" s="367" t="s">
        <v>299</v>
      </c>
      <c r="X439" s="91"/>
      <c r="Y439" s="111"/>
      <c r="Z439" s="26"/>
      <c r="AA439" s="400"/>
      <c r="AB439" s="26"/>
      <c r="AC439" s="20"/>
      <c r="AD439" s="92"/>
      <c r="AE439" s="93"/>
      <c r="AF439" s="20"/>
      <c r="AG439" s="20"/>
      <c r="AH439" s="20"/>
      <c r="AI439" s="20"/>
    </row>
    <row r="440" spans="1:35" ht="12.75" hidden="1" customHeight="1">
      <c r="C440" s="17"/>
      <c r="D440" s="143" t="s">
        <v>225</v>
      </c>
      <c r="E440" s="15">
        <f>'[2]APRIL ''12'!$C$56</f>
        <v>255</v>
      </c>
      <c r="G440"/>
      <c r="I440" s="26"/>
      <c r="K440" s="255"/>
      <c r="L440" s="101" t="s">
        <v>295</v>
      </c>
      <c r="M440" s="133">
        <v>-358</v>
      </c>
      <c r="N440" s="69">
        <f t="shared" ref="N440:N469" si="59">N439+M440</f>
        <v>2243.970094000008</v>
      </c>
      <c r="O440" s="65"/>
      <c r="P440" s="133">
        <v>-140</v>
      </c>
      <c r="Q440" s="72">
        <f>Q439+P440</f>
        <v>-14322.437278481008</v>
      </c>
      <c r="R440" s="45">
        <f t="shared" si="58"/>
        <v>1227.5627215189925</v>
      </c>
      <c r="S440" s="373" t="s">
        <v>294</v>
      </c>
      <c r="T440" s="391" t="s">
        <v>302</v>
      </c>
      <c r="X440" s="20"/>
      <c r="Y440" s="112"/>
      <c r="Z440" s="239"/>
      <c r="AA440" s="94"/>
      <c r="AB440" s="95"/>
      <c r="AC440" s="20"/>
      <c r="AD440" s="41"/>
      <c r="AE440" s="93"/>
      <c r="AF440" s="20"/>
      <c r="AG440" s="20"/>
      <c r="AH440" s="20"/>
      <c r="AI440" s="20"/>
    </row>
    <row r="441" spans="1:35" ht="12.75" hidden="1" customHeight="1">
      <c r="C441" s="18" t="s">
        <v>5</v>
      </c>
      <c r="D441" s="14"/>
      <c r="E441" s="14">
        <f>SUM(E438:E440)</f>
        <v>9830.76</v>
      </c>
      <c r="G441" s="242"/>
      <c r="H441" s="242"/>
      <c r="I441" s="242"/>
      <c r="J441" s="20"/>
      <c r="K441" s="255"/>
      <c r="L441" s="101" t="s">
        <v>24</v>
      </c>
      <c r="M441" s="133">
        <v>-100</v>
      </c>
      <c r="N441" s="69">
        <f t="shared" si="59"/>
        <v>2143.970094000008</v>
      </c>
      <c r="O441" s="65"/>
      <c r="P441" s="133">
        <v>-145.30000000000001</v>
      </c>
      <c r="Q441" s="72">
        <f>Q440+P441</f>
        <v>-14467.737278481007</v>
      </c>
      <c r="R441" s="45">
        <f t="shared" si="58"/>
        <v>1082.2627215189932</v>
      </c>
      <c r="S441" s="373" t="s">
        <v>270</v>
      </c>
      <c r="T441" s="391" t="s">
        <v>301</v>
      </c>
      <c r="U441" s="111"/>
      <c r="V441" s="20"/>
      <c r="W441" s="20"/>
      <c r="X441" s="20"/>
      <c r="Y441" s="112"/>
      <c r="Z441" s="239"/>
      <c r="AA441" s="94"/>
      <c r="AB441" s="26"/>
      <c r="AC441" s="20"/>
      <c r="AD441" s="92"/>
      <c r="AE441" s="93"/>
      <c r="AF441" s="20"/>
      <c r="AG441" s="20"/>
      <c r="AH441" s="20"/>
      <c r="AI441" s="20"/>
    </row>
    <row r="442" spans="1:35" ht="12.75" hidden="1" customHeight="1">
      <c r="G442" s="20"/>
      <c r="H442" s="46"/>
      <c r="I442" s="45"/>
      <c r="J442" s="54"/>
      <c r="K442" s="255"/>
      <c r="L442" s="101" t="s">
        <v>303</v>
      </c>
      <c r="M442" s="133">
        <v>-769.96</v>
      </c>
      <c r="N442" s="69">
        <f t="shared" si="59"/>
        <v>1374.0100940000079</v>
      </c>
      <c r="O442" s="48"/>
      <c r="P442" s="133">
        <v>-512</v>
      </c>
      <c r="Q442" s="72">
        <f t="shared" ref="Q442:Q459" si="60">Q441+P442</f>
        <v>-14979.737278481007</v>
      </c>
      <c r="R442" s="45">
        <f t="shared" si="58"/>
        <v>570.2627215189932</v>
      </c>
      <c r="S442" s="373" t="s">
        <v>297</v>
      </c>
      <c r="T442" s="298" t="s">
        <v>296</v>
      </c>
      <c r="U442" s="20"/>
      <c r="V442" s="45"/>
      <c r="W442" s="20"/>
      <c r="X442" s="91"/>
      <c r="Y442" s="112"/>
      <c r="Z442" s="239"/>
      <c r="AA442" s="94"/>
      <c r="AB442" s="26"/>
      <c r="AC442" s="20"/>
      <c r="AD442" s="92"/>
      <c r="AE442" s="93"/>
      <c r="AF442" s="20"/>
      <c r="AG442" s="20"/>
      <c r="AH442" s="20"/>
      <c r="AI442" s="20"/>
    </row>
    <row r="443" spans="1:35" ht="12.75" hidden="1" customHeight="1">
      <c r="C443" s="17" t="s">
        <v>7</v>
      </c>
      <c r="G443" s="20"/>
      <c r="H443" s="46"/>
      <c r="I443" s="45"/>
      <c r="J443" s="20"/>
      <c r="K443" s="255" t="s">
        <v>223</v>
      </c>
      <c r="L443" s="101" t="s">
        <v>227</v>
      </c>
      <c r="M443" s="133">
        <v>-308</v>
      </c>
      <c r="N443" s="69">
        <f t="shared" si="59"/>
        <v>1066.0100940000079</v>
      </c>
      <c r="O443" s="49"/>
      <c r="P443" s="132">
        <v>-95.53</v>
      </c>
      <c r="Q443" s="72">
        <f t="shared" si="60"/>
        <v>-15075.267278481007</v>
      </c>
      <c r="R443" s="45">
        <f t="shared" si="58"/>
        <v>474.73272151899255</v>
      </c>
      <c r="S443" s="373" t="s">
        <v>287</v>
      </c>
      <c r="T443" s="392" t="s">
        <v>300</v>
      </c>
      <c r="U443" s="20"/>
      <c r="V443" s="45"/>
      <c r="W443" s="103"/>
      <c r="X443" s="20"/>
      <c r="Y443" s="112"/>
      <c r="Z443" s="239"/>
      <c r="AA443" s="94"/>
      <c r="AB443" s="95"/>
      <c r="AC443" s="20"/>
      <c r="AD443" s="96"/>
      <c r="AE443" s="93"/>
      <c r="AF443" s="20"/>
      <c r="AG443" s="20"/>
      <c r="AH443" s="20"/>
      <c r="AI443" s="20"/>
    </row>
    <row r="444" spans="1:35" ht="12.75" hidden="1" customHeight="1">
      <c r="D444" t="s">
        <v>8</v>
      </c>
      <c r="E444" s="14">
        <f>1312/2</f>
        <v>656</v>
      </c>
      <c r="G444" s="241"/>
      <c r="H444" s="46"/>
      <c r="I444" s="45"/>
      <c r="J444" s="20"/>
      <c r="K444" s="255"/>
      <c r="L444" s="101" t="s">
        <v>310</v>
      </c>
      <c r="M444" s="133">
        <v>-226.6</v>
      </c>
      <c r="N444" s="69">
        <f t="shared" si="59"/>
        <v>839.41009400000792</v>
      </c>
      <c r="O444" s="49"/>
      <c r="P444" s="132">
        <v>-162.29</v>
      </c>
      <c r="Q444" s="72">
        <f t="shared" si="60"/>
        <v>-15237.557278481008</v>
      </c>
      <c r="R444" s="45">
        <f t="shared" si="58"/>
        <v>312.44272151899168</v>
      </c>
      <c r="S444" s="379" t="s">
        <v>282</v>
      </c>
      <c r="T444" s="368" t="s">
        <v>280</v>
      </c>
      <c r="U444" s="20"/>
      <c r="V444" s="45"/>
      <c r="W444" s="20"/>
      <c r="X444" s="20"/>
      <c r="Y444" s="112"/>
      <c r="Z444" s="239"/>
      <c r="AA444" s="94"/>
      <c r="AB444" s="26"/>
      <c r="AC444" s="20"/>
      <c r="AD444" s="41"/>
      <c r="AE444" s="93"/>
      <c r="AF444" s="20"/>
      <c r="AG444" s="20"/>
      <c r="AH444" s="20"/>
      <c r="AI444" s="20"/>
    </row>
    <row r="445" spans="1:35" ht="12.75" hidden="1" customHeight="1">
      <c r="D445" t="s">
        <v>22</v>
      </c>
      <c r="E445" s="15"/>
      <c r="F445" s="38"/>
      <c r="G445" s="20"/>
      <c r="H445" s="46"/>
      <c r="I445" s="108"/>
      <c r="J445" s="20"/>
      <c r="K445" s="256"/>
      <c r="L445" s="79" t="s">
        <v>24</v>
      </c>
      <c r="M445" s="45">
        <v>500</v>
      </c>
      <c r="N445" s="69">
        <f t="shared" si="59"/>
        <v>1339.410094000008</v>
      </c>
      <c r="O445" s="49"/>
      <c r="P445" s="132">
        <v>-203.24</v>
      </c>
      <c r="Q445" s="72">
        <f t="shared" si="60"/>
        <v>-15440.797278481008</v>
      </c>
      <c r="R445" s="45">
        <f t="shared" si="58"/>
        <v>109.20272151899189</v>
      </c>
      <c r="S445" s="379" t="s">
        <v>253</v>
      </c>
      <c r="T445" s="98"/>
      <c r="U445" s="20"/>
      <c r="V445" s="133"/>
      <c r="W445" s="20"/>
      <c r="X445" s="20"/>
      <c r="Y445" s="112"/>
      <c r="Z445" s="239"/>
      <c r="AA445" s="94"/>
      <c r="AB445" s="26"/>
      <c r="AC445" s="20"/>
      <c r="AD445" s="92"/>
      <c r="AE445" s="93"/>
      <c r="AF445" s="20"/>
      <c r="AG445" s="20"/>
      <c r="AH445" s="20"/>
      <c r="AI445" s="20"/>
    </row>
    <row r="446" spans="1:35" ht="12.75" hidden="1" customHeight="1">
      <c r="C446" s="18" t="s">
        <v>5</v>
      </c>
      <c r="E446" s="19">
        <f>SUM(E444:E445)</f>
        <v>656</v>
      </c>
      <c r="G446" s="20"/>
      <c r="H446" s="235"/>
      <c r="I446" s="315"/>
      <c r="J446" s="315"/>
      <c r="K446" s="256"/>
      <c r="L446" s="79" t="s">
        <v>313</v>
      </c>
      <c r="M446" s="45">
        <v>-189.2</v>
      </c>
      <c r="N446" s="69">
        <f t="shared" si="59"/>
        <v>1150.210094000008</v>
      </c>
      <c r="O446" s="39"/>
      <c r="P446" s="132">
        <v>1000</v>
      </c>
      <c r="Q446" s="72">
        <f t="shared" si="60"/>
        <v>-14440.797278481008</v>
      </c>
      <c r="R446" s="45">
        <f t="shared" si="58"/>
        <v>1109.2027215189919</v>
      </c>
      <c r="S446" s="379" t="s">
        <v>280</v>
      </c>
      <c r="T446" s="370" t="s">
        <v>305</v>
      </c>
      <c r="U446" s="20"/>
      <c r="V446" s="45"/>
      <c r="W446" s="26"/>
      <c r="X446" s="20"/>
      <c r="Y446" s="112"/>
      <c r="Z446" s="239"/>
      <c r="AA446" s="94"/>
      <c r="AB446" s="95"/>
      <c r="AC446" s="20"/>
      <c r="AD446" s="92"/>
      <c r="AE446" s="93"/>
      <c r="AF446" s="20"/>
      <c r="AG446" s="20"/>
      <c r="AH446" s="20"/>
      <c r="AI446" s="20"/>
    </row>
    <row r="447" spans="1:35" ht="12.75" hidden="1" customHeight="1" thickBot="1">
      <c r="C447" s="18"/>
      <c r="G447" s="20"/>
      <c r="H447" s="46"/>
      <c r="I447" s="315"/>
      <c r="J447" s="315"/>
      <c r="K447" s="256"/>
      <c r="L447" s="79" t="s">
        <v>112</v>
      </c>
      <c r="M447" s="45">
        <f>-206.7-5.6</f>
        <v>-212.29999999999998</v>
      </c>
      <c r="N447" s="69">
        <f t="shared" si="59"/>
        <v>937.91009400000803</v>
      </c>
      <c r="O447" s="39"/>
      <c r="P447" s="132">
        <v>-479.87</v>
      </c>
      <c r="Q447" s="72">
        <f t="shared" si="60"/>
        <v>-14920.667278481009</v>
      </c>
      <c r="R447" s="45">
        <f t="shared" si="58"/>
        <v>629.33272151899109</v>
      </c>
      <c r="S447" s="373" t="s">
        <v>304</v>
      </c>
      <c r="T447" s="370" t="s">
        <v>306</v>
      </c>
      <c r="U447" s="20"/>
      <c r="V447" s="45"/>
      <c r="W447" s="26"/>
      <c r="X447" s="20"/>
      <c r="Y447" s="112"/>
      <c r="Z447" s="239"/>
      <c r="AA447" s="94"/>
      <c r="AB447" s="26"/>
      <c r="AC447" s="20"/>
      <c r="AD447" s="92"/>
      <c r="AE447" s="97"/>
      <c r="AF447" s="20"/>
      <c r="AG447" s="20"/>
      <c r="AH447" s="20"/>
      <c r="AI447" s="20"/>
    </row>
    <row r="448" spans="1:35" ht="12.75" hidden="1" customHeight="1" thickBot="1">
      <c r="D448" s="16" t="s">
        <v>67</v>
      </c>
      <c r="E448" s="27">
        <f>E441-E446</f>
        <v>9174.76</v>
      </c>
      <c r="G448" s="20"/>
      <c r="H448" s="235"/>
      <c r="I448" s="315"/>
      <c r="J448" s="315"/>
      <c r="K448" s="256"/>
      <c r="L448" s="79" t="s">
        <v>320</v>
      </c>
      <c r="M448" s="45">
        <v>-619.25</v>
      </c>
      <c r="N448" s="69">
        <f t="shared" si="59"/>
        <v>318.66009400000803</v>
      </c>
      <c r="O448" s="39"/>
      <c r="P448" s="132">
        <v>-512</v>
      </c>
      <c r="Q448" s="72">
        <f t="shared" si="60"/>
        <v>-15432.667278481009</v>
      </c>
      <c r="R448" s="45">
        <f t="shared" si="58"/>
        <v>117.33272151899109</v>
      </c>
      <c r="S448" s="373" t="s">
        <v>297</v>
      </c>
      <c r="T448" s="370" t="s">
        <v>296</v>
      </c>
      <c r="U448" s="74"/>
      <c r="V448" s="45"/>
      <c r="W448" s="26"/>
      <c r="X448" s="20"/>
      <c r="Y448" s="112"/>
      <c r="Z448" s="239"/>
      <c r="AA448" s="94"/>
      <c r="AB448" s="26"/>
      <c r="AC448" s="20"/>
      <c r="AD448" s="20"/>
      <c r="AE448" s="93"/>
      <c r="AF448" s="20"/>
      <c r="AG448" s="20"/>
      <c r="AH448" s="20"/>
      <c r="AI448" s="20"/>
    </row>
    <row r="449" spans="1:35" ht="12.75" hidden="1" customHeight="1">
      <c r="A449" s="319"/>
      <c r="D449" s="17"/>
      <c r="E449" s="40"/>
      <c r="G449"/>
      <c r="H449" s="23"/>
      <c r="I449" s="315"/>
      <c r="J449" s="315"/>
      <c r="K449" s="256"/>
      <c r="L449" s="79" t="s">
        <v>24</v>
      </c>
      <c r="M449" s="45">
        <v>1000</v>
      </c>
      <c r="N449" s="69">
        <f t="shared" si="59"/>
        <v>1318.660094000008</v>
      </c>
      <c r="O449" s="39"/>
      <c r="P449" s="132">
        <v>-35.33</v>
      </c>
      <c r="Q449" s="72">
        <f t="shared" si="60"/>
        <v>-15467.997278481009</v>
      </c>
      <c r="R449" s="45">
        <f t="shared" si="58"/>
        <v>82.002721518991166</v>
      </c>
      <c r="S449" s="373" t="s">
        <v>307</v>
      </c>
      <c r="T449" s="369" t="s">
        <v>308</v>
      </c>
      <c r="U449" s="74"/>
      <c r="V449" s="26"/>
      <c r="W449" s="26"/>
      <c r="X449" s="91"/>
      <c r="Y449" s="20"/>
      <c r="Z449" s="239"/>
      <c r="AA449" s="94"/>
      <c r="AB449" s="95"/>
      <c r="AC449" s="20"/>
      <c r="AD449" s="98"/>
      <c r="AE449" s="93"/>
      <c r="AF449" s="400"/>
      <c r="AG449" s="20"/>
      <c r="AH449" s="20"/>
      <c r="AI449" s="20"/>
    </row>
    <row r="450" spans="1:35" ht="12.75" hidden="1" customHeight="1">
      <c r="A450" s="319"/>
      <c r="C450" s="81" t="s">
        <v>17</v>
      </c>
      <c r="E450" s="42"/>
      <c r="G450"/>
      <c r="H450" s="23"/>
      <c r="I450" s="315"/>
      <c r="J450" s="315"/>
      <c r="K450" s="258" t="s">
        <v>321</v>
      </c>
      <c r="L450" s="79" t="s">
        <v>224</v>
      </c>
      <c r="M450" s="45">
        <v>-533.94000000000005</v>
      </c>
      <c r="N450" s="69">
        <f t="shared" si="59"/>
        <v>784.72009400000798</v>
      </c>
      <c r="O450" s="39"/>
      <c r="P450" s="132">
        <v>-29.95</v>
      </c>
      <c r="Q450" s="72">
        <f t="shared" si="60"/>
        <v>-15497.94727848101</v>
      </c>
      <c r="R450" s="45">
        <f t="shared" si="58"/>
        <v>52.052721518990438</v>
      </c>
      <c r="S450" s="373" t="s">
        <v>259</v>
      </c>
      <c r="T450" s="371" t="s">
        <v>309</v>
      </c>
      <c r="U450" s="65"/>
      <c r="V450" s="26"/>
      <c r="W450" s="26"/>
      <c r="X450" s="35"/>
      <c r="Y450" s="20"/>
      <c r="Z450" s="239"/>
      <c r="AA450" s="94"/>
      <c r="AB450" s="26"/>
      <c r="AC450" s="20"/>
      <c r="AD450" s="20"/>
      <c r="AE450" s="20"/>
      <c r="AF450" s="99"/>
      <c r="AG450" s="20"/>
      <c r="AH450" s="20"/>
      <c r="AI450" s="20"/>
    </row>
    <row r="451" spans="1:35" ht="12.75" hidden="1" customHeight="1">
      <c r="A451" s="319"/>
      <c r="D451" s="20" t="s">
        <v>14</v>
      </c>
      <c r="E451" s="42">
        <v>7648.33</v>
      </c>
      <c r="F451" s="20"/>
      <c r="G451" s="20"/>
      <c r="H451" s="46"/>
      <c r="I451" s="315"/>
      <c r="J451" s="315"/>
      <c r="K451" s="256"/>
      <c r="L451" s="79" t="s">
        <v>322</v>
      </c>
      <c r="M451" s="45">
        <v>-65.900000000000006</v>
      </c>
      <c r="N451" s="69">
        <f t="shared" si="59"/>
        <v>718.820094000008</v>
      </c>
      <c r="O451" s="39"/>
      <c r="P451" s="132">
        <v>-38</v>
      </c>
      <c r="Q451" s="72">
        <f t="shared" si="60"/>
        <v>-15535.94727848101</v>
      </c>
      <c r="R451" s="45">
        <f t="shared" si="58"/>
        <v>14.052721518990438</v>
      </c>
      <c r="S451" s="389" t="s">
        <v>311</v>
      </c>
      <c r="T451" s="390" t="s">
        <v>312</v>
      </c>
      <c r="U451" s="65"/>
      <c r="V451" s="20"/>
      <c r="W451" s="20"/>
      <c r="X451" s="20"/>
      <c r="Y451" s="111"/>
      <c r="Z451" s="239"/>
      <c r="AA451" s="94"/>
      <c r="AB451" s="26"/>
      <c r="AC451" s="20"/>
      <c r="AD451" s="20"/>
      <c r="AE451" s="20"/>
      <c r="AF451" s="20"/>
      <c r="AG451" s="20"/>
      <c r="AH451" s="20"/>
      <c r="AI451" s="20"/>
    </row>
    <row r="452" spans="1:35" ht="12.75" hidden="1" customHeight="1">
      <c r="A452" s="319"/>
      <c r="D452" s="78" t="s">
        <v>13</v>
      </c>
      <c r="E452" s="15">
        <f>E448-E451-M454</f>
        <v>930.01000000000033</v>
      </c>
      <c r="F452" s="78"/>
      <c r="G452" s="516">
        <f>SUM(E451:E452)</f>
        <v>8578.34</v>
      </c>
      <c r="H452" s="516"/>
      <c r="I452" s="315"/>
      <c r="J452" s="315"/>
      <c r="K452" s="256"/>
      <c r="L452" s="79" t="s">
        <v>24</v>
      </c>
      <c r="M452" s="45">
        <v>-502.33</v>
      </c>
      <c r="N452" s="69">
        <f t="shared" si="59"/>
        <v>216.49009400000801</v>
      </c>
      <c r="O452" s="39"/>
      <c r="P452" s="132">
        <v>500</v>
      </c>
      <c r="Q452" s="72">
        <f t="shared" si="60"/>
        <v>-15035.94727848101</v>
      </c>
      <c r="R452" s="45">
        <f t="shared" si="58"/>
        <v>514.05272151899044</v>
      </c>
      <c r="S452" s="389" t="s">
        <v>280</v>
      </c>
      <c r="T452" s="372"/>
      <c r="U452" s="65"/>
      <c r="V452" s="20"/>
      <c r="W452" s="20"/>
      <c r="X452" s="91"/>
      <c r="Y452" s="111"/>
      <c r="Z452" s="239"/>
      <c r="AA452" s="94"/>
      <c r="AB452" s="95"/>
      <c r="AC452" s="20"/>
      <c r="AD452" s="20"/>
      <c r="AE452" s="20"/>
      <c r="AF452" s="20"/>
      <c r="AG452" s="20"/>
      <c r="AH452" s="20"/>
      <c r="AI452" s="20"/>
    </row>
    <row r="453" spans="1:35" ht="12.75" hidden="1" customHeight="1" thickBot="1">
      <c r="A453" s="319"/>
      <c r="D453" s="20"/>
      <c r="E453" s="26"/>
      <c r="F453" s="122"/>
      <c r="G453" s="515">
        <f>M454</f>
        <v>596.41999999999996</v>
      </c>
      <c r="H453" s="515"/>
      <c r="I453" s="315"/>
      <c r="J453" s="315"/>
      <c r="K453" s="256"/>
      <c r="L453" s="79" t="s">
        <v>313</v>
      </c>
      <c r="M453" s="45">
        <v>-77.7</v>
      </c>
      <c r="N453" s="69">
        <f t="shared" si="59"/>
        <v>138.79009400000803</v>
      </c>
      <c r="O453" s="39"/>
      <c r="P453" s="132">
        <v>-275</v>
      </c>
      <c r="Q453" s="72">
        <f t="shared" si="60"/>
        <v>-15310.94727848101</v>
      </c>
      <c r="R453" s="45">
        <f t="shared" si="58"/>
        <v>239.05272151899044</v>
      </c>
      <c r="S453" s="389" t="s">
        <v>314</v>
      </c>
      <c r="T453" s="372"/>
      <c r="U453" s="65"/>
      <c r="V453" s="20"/>
      <c r="W453" s="20"/>
      <c r="X453" s="20"/>
      <c r="Y453" s="111"/>
      <c r="Z453" s="239"/>
      <c r="AA453" s="94"/>
      <c r="AB453" s="26"/>
      <c r="AC453" s="20"/>
      <c r="AD453" s="20"/>
      <c r="AE453" s="20"/>
      <c r="AF453" s="20"/>
      <c r="AG453" s="400"/>
      <c r="AH453" s="20"/>
      <c r="AI453" s="20"/>
    </row>
    <row r="454" spans="1:35" ht="12.75" hidden="1" customHeight="1" thickBot="1">
      <c r="A454" s="319"/>
      <c r="D454" s="20"/>
      <c r="E454" s="26"/>
      <c r="F454" s="122"/>
      <c r="G454" s="519">
        <f>SUM(G452:H453)</f>
        <v>9174.76</v>
      </c>
      <c r="H454" s="520"/>
      <c r="I454" s="315"/>
      <c r="J454" s="315"/>
      <c r="K454" s="256"/>
      <c r="L454" s="79" t="s">
        <v>24</v>
      </c>
      <c r="M454" s="45">
        <v>596.41999999999996</v>
      </c>
      <c r="N454" s="69">
        <f t="shared" si="59"/>
        <v>735.21009400000798</v>
      </c>
      <c r="O454" s="39"/>
      <c r="P454" s="132">
        <v>-59.26</v>
      </c>
      <c r="Q454" s="72">
        <f t="shared" si="60"/>
        <v>-15370.20727848101</v>
      </c>
      <c r="R454" s="45">
        <f t="shared" si="58"/>
        <v>179.79272151899022</v>
      </c>
      <c r="S454" s="389" t="s">
        <v>315</v>
      </c>
      <c r="T454" s="372"/>
      <c r="U454" s="83"/>
      <c r="V454" s="20"/>
      <c r="W454" s="20"/>
      <c r="X454" s="20"/>
      <c r="Y454" s="111"/>
      <c r="Z454" s="239"/>
      <c r="AA454" s="94"/>
      <c r="AB454" s="26"/>
      <c r="AC454" s="20"/>
      <c r="AD454" s="20"/>
      <c r="AE454" s="20"/>
      <c r="AF454" s="20"/>
      <c r="AG454" s="20"/>
      <c r="AH454" s="20"/>
      <c r="AI454" s="20"/>
    </row>
    <row r="455" spans="1:35" ht="12.75" hidden="1" customHeight="1">
      <c r="A455" s="319"/>
      <c r="D455" s="20"/>
      <c r="E455" s="26"/>
      <c r="F455" s="122"/>
      <c r="G455" s="396"/>
      <c r="H455" s="396"/>
      <c r="I455" s="315"/>
      <c r="J455" s="315"/>
      <c r="K455" s="256"/>
      <c r="L455" s="79" t="s">
        <v>112</v>
      </c>
      <c r="M455" s="45">
        <f>-500-6.7-4-8.75</f>
        <v>-519.45000000000005</v>
      </c>
      <c r="N455" s="69">
        <f t="shared" si="59"/>
        <v>215.76009400000794</v>
      </c>
      <c r="O455" s="42"/>
      <c r="P455" s="132">
        <v>-139.94999999999999</v>
      </c>
      <c r="Q455" s="72">
        <f t="shared" si="60"/>
        <v>-15510.157278481011</v>
      </c>
      <c r="R455" s="45">
        <f t="shared" si="58"/>
        <v>39.842721518989492</v>
      </c>
      <c r="S455" s="389" t="s">
        <v>316</v>
      </c>
      <c r="T455" s="390" t="s">
        <v>317</v>
      </c>
      <c r="U455" s="84"/>
      <c r="V455" s="26"/>
      <c r="W455" s="26"/>
      <c r="X455" s="91"/>
      <c r="Y455" s="20"/>
      <c r="Z455" s="239"/>
      <c r="AA455" s="94"/>
      <c r="AB455" s="26"/>
      <c r="AC455" s="20"/>
      <c r="AD455" s="20"/>
      <c r="AE455" s="20"/>
      <c r="AF455" s="20"/>
      <c r="AG455" s="20"/>
      <c r="AH455" s="20"/>
      <c r="AI455" s="20"/>
    </row>
    <row r="456" spans="1:35" ht="12.75" hidden="1" customHeight="1">
      <c r="A456" s="548"/>
      <c r="B456" s="548"/>
      <c r="C456" s="548"/>
      <c r="D456" s="548"/>
      <c r="E456" s="548"/>
      <c r="F456" s="548"/>
      <c r="G456" s="548"/>
      <c r="H456" s="396"/>
      <c r="K456" s="256"/>
      <c r="L456" s="79" t="s">
        <v>324</v>
      </c>
      <c r="M456" s="45">
        <v>-105.85</v>
      </c>
      <c r="N456" s="69">
        <f t="shared" si="59"/>
        <v>109.91009400000794</v>
      </c>
      <c r="O456" s="26"/>
      <c r="P456" s="132">
        <v>-103.75</v>
      </c>
      <c r="Q456" s="72">
        <f t="shared" si="60"/>
        <v>-15613.907278481011</v>
      </c>
      <c r="R456" s="45">
        <f t="shared" si="58"/>
        <v>-63.907278481010508</v>
      </c>
      <c r="S456" s="389" t="s">
        <v>318</v>
      </c>
      <c r="T456" s="390" t="s">
        <v>319</v>
      </c>
      <c r="U456" s="20"/>
      <c r="V456" s="26"/>
      <c r="W456" s="26"/>
      <c r="X456" s="91"/>
      <c r="Y456" s="20"/>
      <c r="Z456" s="239"/>
      <c r="AA456" s="94"/>
      <c r="AB456" s="26"/>
      <c r="AC456" s="20"/>
      <c r="AD456" s="20"/>
      <c r="AE456" s="20"/>
      <c r="AF456" s="20"/>
      <c r="AG456" s="20"/>
      <c r="AH456" s="20"/>
      <c r="AI456" s="20"/>
    </row>
    <row r="457" spans="1:35" ht="12.75" hidden="1" customHeight="1">
      <c r="A457" s="402"/>
      <c r="B457" s="402"/>
      <c r="C457" s="403"/>
      <c r="D457" s="404"/>
      <c r="E457" s="405"/>
      <c r="F457" s="406"/>
      <c r="G457" s="407"/>
      <c r="H457" s="320"/>
      <c r="I457" s="21"/>
      <c r="J457" s="21"/>
      <c r="K457" s="256"/>
      <c r="L457" s="79" t="s">
        <v>135</v>
      </c>
      <c r="M457" s="45">
        <v>-101.91</v>
      </c>
      <c r="N457" s="69">
        <f t="shared" si="59"/>
        <v>8.0000940000079481</v>
      </c>
      <c r="O457" s="26"/>
      <c r="P457" s="132">
        <v>-4.25</v>
      </c>
      <c r="Q457" s="72">
        <f>Q456+P457</f>
        <v>-15618.157278481011</v>
      </c>
      <c r="R457" s="45">
        <f>15550+Q457</f>
        <v>-68.157278481010508</v>
      </c>
      <c r="S457" s="389" t="s">
        <v>331</v>
      </c>
      <c r="T457" s="372"/>
      <c r="U457" s="20"/>
      <c r="V457" s="26"/>
      <c r="W457" s="26"/>
      <c r="X457" s="91"/>
      <c r="Y457" s="20"/>
      <c r="Z457" s="239"/>
      <c r="AA457" s="94"/>
      <c r="AB457" s="26"/>
      <c r="AC457" s="20"/>
      <c r="AD457" s="20"/>
      <c r="AE457" s="20"/>
      <c r="AF457" s="20"/>
      <c r="AG457" s="20"/>
      <c r="AH457" s="20"/>
      <c r="AI457" s="20"/>
    </row>
    <row r="458" spans="1:35" ht="12.75" hidden="1" customHeight="1">
      <c r="A458" s="333"/>
      <c r="B458" s="333"/>
      <c r="C458" s="402"/>
      <c r="D458" s="408"/>
      <c r="E458" s="133"/>
      <c r="F458" s="50"/>
      <c r="G458" s="370"/>
      <c r="H458" s="396"/>
      <c r="K458" s="256"/>
      <c r="L458" s="79" t="s">
        <v>323</v>
      </c>
      <c r="M458" s="45">
        <v>2000</v>
      </c>
      <c r="N458" s="69">
        <f t="shared" si="59"/>
        <v>2008.0000940000079</v>
      </c>
      <c r="O458" s="26"/>
      <c r="P458" s="132">
        <v>30</v>
      </c>
      <c r="Q458" s="72">
        <f>Q457+P458</f>
        <v>-15588.157278481011</v>
      </c>
      <c r="R458" s="45">
        <f>15550+Q458</f>
        <v>-38.157278481010508</v>
      </c>
      <c r="S458" s="389" t="s">
        <v>280</v>
      </c>
      <c r="T458" s="393"/>
      <c r="U458" s="20"/>
      <c r="V458" s="26"/>
      <c r="W458" s="26"/>
      <c r="X458" s="91"/>
      <c r="Y458" s="20"/>
      <c r="Z458" s="239"/>
      <c r="AA458" s="94"/>
      <c r="AB458" s="26"/>
      <c r="AC458" s="20"/>
      <c r="AD458" s="20"/>
      <c r="AE458" s="20"/>
      <c r="AF458" s="20"/>
      <c r="AG458" s="20"/>
      <c r="AH458" s="20"/>
      <c r="AI458" s="20"/>
    </row>
    <row r="459" spans="1:35" ht="12.75" hidden="1" customHeight="1">
      <c r="A459" s="333"/>
      <c r="B459" s="333"/>
      <c r="C459" s="333"/>
      <c r="D459" s="408"/>
      <c r="E459" s="133"/>
      <c r="F459" s="50"/>
      <c r="G459" s="370"/>
      <c r="H459" s="396"/>
      <c r="K459" s="256"/>
      <c r="L459" s="79" t="s">
        <v>112</v>
      </c>
      <c r="M459" s="45">
        <f>-1000-6.7-14</f>
        <v>-1020.7</v>
      </c>
      <c r="N459" s="69">
        <f t="shared" si="59"/>
        <v>987.3000940000079</v>
      </c>
      <c r="O459" s="26"/>
      <c r="P459" s="49">
        <f>E452</f>
        <v>930.01000000000033</v>
      </c>
      <c r="Q459" s="73">
        <f t="shared" si="60"/>
        <v>-14658.14727848101</v>
      </c>
      <c r="R459" s="52">
        <f t="shared" si="58"/>
        <v>891.85272151898971</v>
      </c>
      <c r="S459" s="373" t="s">
        <v>280</v>
      </c>
      <c r="T459" s="393"/>
      <c r="U459" s="20"/>
      <c r="V459" s="26"/>
      <c r="W459" s="26"/>
      <c r="X459" s="91"/>
      <c r="Y459" s="20"/>
      <c r="Z459" s="239"/>
      <c r="AA459" s="94"/>
      <c r="AB459" s="26"/>
      <c r="AC459" s="20"/>
      <c r="AD459" s="20"/>
      <c r="AE459" s="20"/>
      <c r="AF459" s="20"/>
      <c r="AG459" s="20"/>
      <c r="AH459" s="20"/>
      <c r="AI459" s="20"/>
    </row>
    <row r="460" spans="1:35" ht="12.75" hidden="1" customHeight="1">
      <c r="A460" s="333"/>
      <c r="B460" s="333"/>
      <c r="C460" s="333"/>
      <c r="D460" s="48"/>
      <c r="E460" s="133"/>
      <c r="F460" s="50"/>
      <c r="G460" s="409"/>
      <c r="H460" s="396"/>
      <c r="K460" s="256"/>
      <c r="L460" s="79" t="s">
        <v>112</v>
      </c>
      <c r="M460" s="45">
        <v>-250</v>
      </c>
      <c r="N460" s="69">
        <f t="shared" si="59"/>
        <v>737.3000940000079</v>
      </c>
      <c r="O460" s="26"/>
      <c r="P460" s="64">
        <f>SUM(P439:P459)</f>
        <v>-14658.14727848101</v>
      </c>
      <c r="Q460" s="287" t="s">
        <v>243</v>
      </c>
      <c r="R460" s="317"/>
      <c r="S460" s="373"/>
      <c r="T460" s="393"/>
      <c r="U460" s="20"/>
      <c r="V460" s="26"/>
      <c r="W460" s="26"/>
      <c r="X460" s="91"/>
      <c r="Y460" s="20"/>
      <c r="Z460" s="239"/>
      <c r="AA460" s="94"/>
      <c r="AB460" s="26"/>
      <c r="AC460" s="20"/>
      <c r="AD460" s="20"/>
      <c r="AE460" s="20"/>
      <c r="AF460" s="20"/>
      <c r="AG460" s="20"/>
      <c r="AH460" s="20"/>
      <c r="AI460" s="20"/>
    </row>
    <row r="461" spans="1:35" ht="12.75" hidden="1" customHeight="1">
      <c r="A461" s="333"/>
      <c r="B461" s="333"/>
      <c r="C461" s="333"/>
      <c r="D461" s="48"/>
      <c r="E461" s="133"/>
      <c r="F461" s="50"/>
      <c r="G461" s="409"/>
      <c r="H461" s="396"/>
      <c r="K461" s="256"/>
      <c r="L461" s="79" t="s">
        <v>330</v>
      </c>
      <c r="M461" s="45">
        <v>-116.31</v>
      </c>
      <c r="N461" s="69">
        <f t="shared" si="59"/>
        <v>620.99009400000796</v>
      </c>
      <c r="O461" s="26"/>
      <c r="P461" s="68"/>
      <c r="Q461" s="63"/>
      <c r="R461" s="63"/>
      <c r="S461" s="373"/>
      <c r="T461" s="393"/>
      <c r="U461" s="20"/>
      <c r="V461" s="26"/>
      <c r="W461" s="26"/>
      <c r="X461" s="91"/>
      <c r="Y461" s="20"/>
      <c r="Z461" s="239"/>
      <c r="AA461" s="94"/>
      <c r="AB461" s="26"/>
      <c r="AC461" s="20"/>
      <c r="AD461" s="20"/>
      <c r="AE461" s="20"/>
      <c r="AF461" s="20"/>
      <c r="AG461" s="20"/>
      <c r="AH461" s="20"/>
      <c r="AI461" s="20"/>
    </row>
    <row r="462" spans="1:35" ht="12.75" hidden="1" customHeight="1">
      <c r="A462" s="333"/>
      <c r="B462" s="333"/>
      <c r="C462" s="410"/>
      <c r="D462" s="404"/>
      <c r="E462" s="405"/>
      <c r="F462" s="50"/>
      <c r="G462" s="409"/>
      <c r="H462" s="396"/>
      <c r="K462" s="258" t="s">
        <v>222</v>
      </c>
      <c r="L462" s="266" t="s">
        <v>51</v>
      </c>
      <c r="M462" s="146">
        <f>E451</f>
        <v>7648.33</v>
      </c>
      <c r="N462" s="69">
        <f t="shared" si="59"/>
        <v>8269.3200940000079</v>
      </c>
      <c r="O462" s="26"/>
      <c r="P462" s="68"/>
      <c r="Q462" s="63"/>
      <c r="R462" s="63"/>
      <c r="S462" s="373"/>
      <c r="T462" s="393"/>
      <c r="U462" s="20"/>
      <c r="V462" s="26"/>
      <c r="W462" s="26"/>
      <c r="X462" s="91"/>
      <c r="Y462" s="20"/>
      <c r="Z462" s="239"/>
      <c r="AA462" s="94"/>
      <c r="AB462" s="26"/>
      <c r="AC462" s="20"/>
      <c r="AD462" s="20"/>
      <c r="AE462" s="20"/>
      <c r="AF462" s="20"/>
      <c r="AG462" s="20"/>
      <c r="AH462" s="20"/>
      <c r="AI462" s="20"/>
    </row>
    <row r="463" spans="1:35" ht="12.75" hidden="1" customHeight="1">
      <c r="A463" s="333"/>
      <c r="B463" s="333"/>
      <c r="C463" s="333"/>
      <c r="D463" s="411"/>
      <c r="E463" s="133"/>
      <c r="F463" s="50"/>
      <c r="G463" s="409"/>
      <c r="H463" s="396"/>
      <c r="J463" s="415" t="s">
        <v>328</v>
      </c>
      <c r="K463" s="258" t="s">
        <v>222</v>
      </c>
      <c r="L463" s="266" t="s">
        <v>278</v>
      </c>
      <c r="M463" s="146">
        <f>-3830-500</f>
        <v>-4330</v>
      </c>
      <c r="N463" s="69">
        <f t="shared" si="59"/>
        <v>3939.3200940000079</v>
      </c>
      <c r="O463" s="239"/>
      <c r="P463" s="300"/>
      <c r="Q463" s="270"/>
      <c r="R463" s="63"/>
      <c r="S463" s="373"/>
      <c r="T463" s="393"/>
      <c r="U463" s="20"/>
      <c r="V463" s="26"/>
      <c r="W463" s="26"/>
      <c r="X463" s="91"/>
      <c r="Y463" s="20"/>
      <c r="Z463" s="239"/>
      <c r="AA463" s="94"/>
      <c r="AB463" s="26"/>
      <c r="AC463" s="20"/>
      <c r="AD463" s="20"/>
      <c r="AE463" s="20"/>
      <c r="AF463" s="20"/>
      <c r="AG463" s="20"/>
      <c r="AH463" s="20"/>
      <c r="AI463" s="20"/>
    </row>
    <row r="464" spans="1:35" ht="12.75" hidden="1" customHeight="1">
      <c r="A464" s="333"/>
      <c r="B464" s="333"/>
      <c r="C464" s="333"/>
      <c r="D464" s="408"/>
      <c r="E464" s="133"/>
      <c r="F464" s="50"/>
      <c r="G464" s="409"/>
      <c r="H464" s="396"/>
      <c r="K464" s="85" t="s">
        <v>222</v>
      </c>
      <c r="L464" s="266" t="s">
        <v>195</v>
      </c>
      <c r="M464" s="45">
        <v>-1738</v>
      </c>
      <c r="N464" s="69">
        <f t="shared" si="59"/>
        <v>2201.3200940000079</v>
      </c>
      <c r="O464" s="239"/>
      <c r="P464" s="300"/>
      <c r="Q464" s="270"/>
      <c r="R464" s="63"/>
      <c r="S464" s="373"/>
      <c r="T464" s="393"/>
      <c r="U464" s="20"/>
      <c r="V464" s="26"/>
      <c r="W464" s="26"/>
      <c r="X464" s="91"/>
      <c r="Y464" s="20"/>
      <c r="Z464" s="239"/>
      <c r="AA464" s="94"/>
      <c r="AB464" s="26"/>
      <c r="AC464" s="20"/>
      <c r="AD464" s="20"/>
      <c r="AE464" s="20"/>
      <c r="AF464" s="20"/>
      <c r="AG464" s="20"/>
      <c r="AH464" s="20"/>
      <c r="AI464" s="20"/>
    </row>
    <row r="465" spans="1:35" ht="12.75" hidden="1" customHeight="1">
      <c r="A465" s="333"/>
      <c r="B465" s="333"/>
      <c r="C465" s="333"/>
      <c r="D465" s="408"/>
      <c r="E465" s="133"/>
      <c r="F465" s="50"/>
      <c r="G465" s="409"/>
      <c r="H465" s="429"/>
      <c r="K465" s="258" t="s">
        <v>222</v>
      </c>
      <c r="L465" s="266" t="s">
        <v>180</v>
      </c>
      <c r="M465" s="45">
        <v>-69</v>
      </c>
      <c r="N465" s="69">
        <f t="shared" si="59"/>
        <v>2132.3200940000079</v>
      </c>
      <c r="O465" s="239"/>
      <c r="P465" s="300"/>
      <c r="Q465" s="270"/>
      <c r="R465" s="63"/>
      <c r="S465" s="373"/>
      <c r="T465" s="428"/>
      <c r="U465" s="20"/>
      <c r="V465" s="26"/>
      <c r="W465" s="26"/>
      <c r="X465" s="91"/>
      <c r="Y465" s="20"/>
      <c r="Z465" s="239"/>
      <c r="AA465" s="94"/>
      <c r="AB465" s="26"/>
      <c r="AC465" s="20"/>
      <c r="AD465" s="20"/>
      <c r="AE465" s="20"/>
      <c r="AF465" s="20"/>
      <c r="AG465" s="20"/>
      <c r="AH465" s="20"/>
      <c r="AI465" s="20"/>
    </row>
    <row r="466" spans="1:35" ht="12.75" hidden="1" customHeight="1">
      <c r="A466" s="333"/>
      <c r="B466" s="333"/>
      <c r="C466" s="333"/>
      <c r="D466" s="408"/>
      <c r="E466" s="412"/>
      <c r="F466" s="50"/>
      <c r="G466" s="409"/>
      <c r="H466" s="396"/>
      <c r="I466" s="517"/>
      <c r="J466" s="517"/>
      <c r="K466" s="258" t="s">
        <v>222</v>
      </c>
      <c r="L466" s="266" t="s">
        <v>61</v>
      </c>
      <c r="M466" s="45">
        <v>-203.5</v>
      </c>
      <c r="N466" s="69">
        <f t="shared" si="59"/>
        <v>1928.8200940000079</v>
      </c>
      <c r="O466" s="240"/>
      <c r="P466" s="300"/>
      <c r="Q466" s="270"/>
      <c r="R466" s="63"/>
      <c r="S466" s="373"/>
      <c r="T466" s="393"/>
      <c r="U466" s="20"/>
      <c r="V466" s="26"/>
      <c r="W466" s="26"/>
      <c r="X466" s="91"/>
      <c r="Y466" s="20"/>
      <c r="Z466" s="239"/>
      <c r="AA466" s="94"/>
      <c r="AB466" s="26"/>
      <c r="AC466" s="20"/>
      <c r="AD466" s="20"/>
      <c r="AE466" s="20"/>
      <c r="AF466" s="20"/>
      <c r="AG466" s="20"/>
      <c r="AH466" s="20"/>
      <c r="AI466" s="20"/>
    </row>
    <row r="467" spans="1:35" ht="12.75" hidden="1" customHeight="1">
      <c r="A467" s="333"/>
      <c r="B467" s="333"/>
      <c r="C467" s="333"/>
      <c r="D467" s="408"/>
      <c r="E467" s="133"/>
      <c r="F467" s="50"/>
      <c r="G467" s="409"/>
      <c r="H467" s="396"/>
      <c r="K467" s="85" t="s">
        <v>189</v>
      </c>
      <c r="L467" s="267" t="s">
        <v>16</v>
      </c>
      <c r="M467" s="175">
        <v>-403.99</v>
      </c>
      <c r="N467" s="69">
        <f t="shared" si="59"/>
        <v>1524.8300940000079</v>
      </c>
      <c r="O467" s="394"/>
      <c r="P467" s="327"/>
      <c r="Q467" s="63"/>
      <c r="R467" s="63"/>
      <c r="S467" s="373"/>
      <c r="T467" s="393"/>
      <c r="U467" s="20"/>
      <c r="V467" s="26"/>
      <c r="W467" s="26"/>
      <c r="X467" s="91"/>
      <c r="Y467" s="20"/>
      <c r="Z467" s="239"/>
      <c r="AA467" s="94"/>
      <c r="AB467" s="26"/>
      <c r="AC467" s="20"/>
      <c r="AD467" s="20"/>
      <c r="AE467" s="20"/>
      <c r="AF467" s="20"/>
      <c r="AG467" s="20"/>
      <c r="AH467" s="20"/>
      <c r="AI467" s="20"/>
    </row>
    <row r="468" spans="1:35" ht="12.75" hidden="1" customHeight="1">
      <c r="A468" s="333"/>
      <c r="B468" s="333"/>
      <c r="C468" s="333"/>
      <c r="D468" s="408"/>
      <c r="E468" s="133"/>
      <c r="F468" s="50"/>
      <c r="G468" s="409"/>
      <c r="H468" s="396"/>
      <c r="I468" s="423"/>
      <c r="J468" s="423"/>
      <c r="K468" s="258" t="s">
        <v>189</v>
      </c>
      <c r="L468" s="268" t="s">
        <v>56</v>
      </c>
      <c r="M468" s="175">
        <v>-605</v>
      </c>
      <c r="N468" s="69">
        <f t="shared" si="59"/>
        <v>919.83009400000788</v>
      </c>
      <c r="O468" s="26"/>
      <c r="P468" s="68"/>
      <c r="Q468" s="100"/>
      <c r="R468" s="107"/>
      <c r="S468" s="380"/>
      <c r="T468" s="393"/>
      <c r="U468" s="20"/>
      <c r="V468" s="26"/>
      <c r="W468" s="26"/>
      <c r="X468" s="91"/>
      <c r="Y468" s="20"/>
      <c r="Z468" s="239"/>
      <c r="AA468" s="94"/>
      <c r="AB468" s="26"/>
      <c r="AC468" s="20"/>
      <c r="AD468" s="20"/>
      <c r="AE468" s="20"/>
      <c r="AF468" s="20"/>
      <c r="AG468" s="20"/>
      <c r="AH468" s="20"/>
      <c r="AI468" s="20"/>
    </row>
    <row r="469" spans="1:35" ht="12.75" hidden="1" customHeight="1">
      <c r="A469" s="333"/>
      <c r="B469" s="333"/>
      <c r="C469" s="333"/>
      <c r="D469" s="408"/>
      <c r="E469" s="133"/>
      <c r="F469" s="50"/>
      <c r="G469" s="409"/>
      <c r="H469" s="396"/>
      <c r="K469" s="321" t="s">
        <v>190</v>
      </c>
      <c r="L469" s="269" t="s">
        <v>23</v>
      </c>
      <c r="M469" s="366">
        <v>-199.13</v>
      </c>
      <c r="N469" s="70">
        <f t="shared" si="59"/>
        <v>720.70009400000788</v>
      </c>
      <c r="O469" s="26"/>
      <c r="P469" s="68"/>
      <c r="Q469" s="100"/>
      <c r="R469" s="107"/>
      <c r="S469" s="380"/>
      <c r="T469" s="393"/>
      <c r="U469" s="20"/>
      <c r="V469" s="26"/>
      <c r="W469" s="26"/>
      <c r="X469" s="91"/>
      <c r="Y469" s="20"/>
      <c r="Z469" s="239"/>
      <c r="AA469" s="94"/>
      <c r="AB469" s="26"/>
      <c r="AC469" s="20"/>
      <c r="AD469" s="20"/>
      <c r="AE469" s="20"/>
      <c r="AF469" s="20"/>
      <c r="AG469" s="20"/>
      <c r="AH469" s="20"/>
      <c r="AI469" s="20"/>
    </row>
    <row r="470" spans="1:35" s="20" customFormat="1" ht="12.75" hidden="1" customHeight="1">
      <c r="A470" s="333"/>
      <c r="B470" s="333"/>
      <c r="C470" s="333"/>
      <c r="D470" s="133"/>
      <c r="E470" s="133"/>
      <c r="F470" s="50"/>
      <c r="G470" s="409"/>
      <c r="H470" s="422"/>
      <c r="I470"/>
      <c r="J470"/>
      <c r="K470" s="254"/>
      <c r="L470" s="23"/>
      <c r="M470" s="168">
        <f>SUM(M439:M469)</f>
        <v>720.70009400000788</v>
      </c>
      <c r="N470" s="296"/>
      <c r="O470" s="26"/>
      <c r="P470" s="26"/>
      <c r="Q470" s="26"/>
      <c r="R470" s="26"/>
      <c r="S470" s="380"/>
      <c r="T470" s="419"/>
      <c r="V470" s="26"/>
      <c r="W470" s="26"/>
      <c r="X470" s="91"/>
      <c r="Z470" s="239"/>
      <c r="AA470" s="94"/>
      <c r="AB470" s="26"/>
    </row>
    <row r="471" spans="1:35" s="78" customFormat="1" ht="12.75" hidden="1" customHeight="1">
      <c r="A471" s="424"/>
      <c r="B471" s="424"/>
      <c r="C471" s="424"/>
      <c r="D471" s="425"/>
      <c r="E471" s="425"/>
      <c r="F471" s="426"/>
      <c r="G471" s="427"/>
      <c r="H471" s="421"/>
      <c r="K471" s="257"/>
      <c r="M471" s="15"/>
      <c r="O471" s="15"/>
      <c r="P471" s="15"/>
      <c r="Q471" s="15"/>
      <c r="R471" s="15"/>
      <c r="S471" s="386"/>
      <c r="T471" s="420"/>
      <c r="V471" s="15"/>
      <c r="W471" s="15"/>
      <c r="X471" s="158"/>
      <c r="Z471" s="159"/>
      <c r="AA471" s="160"/>
      <c r="AB471" s="15"/>
    </row>
    <row r="472" spans="1:35" ht="12.75" hidden="1" customHeight="1">
      <c r="A472" s="333"/>
      <c r="B472" s="333"/>
      <c r="C472" s="333"/>
      <c r="D472" s="413"/>
      <c r="E472" s="34"/>
      <c r="F472" s="50"/>
      <c r="G472" s="414"/>
      <c r="H472" s="396"/>
      <c r="I472" s="20"/>
      <c r="J472" s="20"/>
      <c r="K472" s="256"/>
      <c r="L472" s="20"/>
      <c r="M472" s="26"/>
      <c r="N472" s="20"/>
      <c r="O472" s="26"/>
      <c r="S472" s="377"/>
      <c r="T472" s="393"/>
      <c r="U472" s="20"/>
      <c r="V472" s="26"/>
      <c r="W472" s="26"/>
      <c r="X472" s="91"/>
      <c r="Y472" s="20"/>
      <c r="Z472" s="239"/>
      <c r="AA472" s="94"/>
      <c r="AB472" s="26"/>
      <c r="AC472" s="20"/>
      <c r="AD472" s="20"/>
      <c r="AE472" s="20"/>
      <c r="AF472" s="20"/>
      <c r="AG472" s="20"/>
      <c r="AH472" s="20"/>
      <c r="AI472" s="20"/>
    </row>
    <row r="473" spans="1:35" ht="12.75" hidden="1" customHeight="1">
      <c r="B473" s="1030" t="s">
        <v>325</v>
      </c>
      <c r="C473" s="1030"/>
      <c r="D473" s="1030"/>
      <c r="E473" s="1030"/>
      <c r="G473" s="261"/>
      <c r="H473" s="261"/>
      <c r="I473" s="26"/>
      <c r="K473" s="258"/>
      <c r="L473" s="100"/>
      <c r="M473" s="1031" t="s">
        <v>54</v>
      </c>
      <c r="N473" s="461"/>
      <c r="O473" s="465"/>
      <c r="P473" s="1033" t="s">
        <v>48</v>
      </c>
      <c r="Q473" s="1035" t="s">
        <v>242</v>
      </c>
      <c r="R473" s="1035"/>
      <c r="S473" s="377"/>
      <c r="X473" s="35"/>
      <c r="Y473" s="35"/>
      <c r="Z473" s="26"/>
      <c r="AA473" s="466"/>
      <c r="AB473" s="26"/>
      <c r="AC473" s="20"/>
      <c r="AD473" s="20"/>
      <c r="AE473" s="20"/>
      <c r="AF473" s="20"/>
      <c r="AG473" s="20"/>
      <c r="AH473" s="20"/>
      <c r="AI473" s="20"/>
    </row>
    <row r="474" spans="1:35" ht="12.75" hidden="1" customHeight="1">
      <c r="C474" s="17" t="s">
        <v>12</v>
      </c>
      <c r="D474" s="14"/>
      <c r="E474" s="44">
        <v>9000</v>
      </c>
      <c r="G474" s="514"/>
      <c r="H474" s="514"/>
      <c r="I474" s="26"/>
      <c r="K474" s="260" t="s">
        <v>221</v>
      </c>
      <c r="L474" s="156"/>
      <c r="M474" s="1032"/>
      <c r="N474" s="461" t="s">
        <v>43</v>
      </c>
      <c r="O474" s="465"/>
      <c r="P474" s="1034"/>
      <c r="Q474" s="462" t="s">
        <v>43</v>
      </c>
      <c r="R474" s="463" t="s">
        <v>53</v>
      </c>
      <c r="S474" s="377"/>
      <c r="X474" s="118"/>
      <c r="Y474" s="111"/>
      <c r="Z474" s="117"/>
      <c r="AA474" s="89"/>
      <c r="AB474" s="90"/>
      <c r="AC474" s="20"/>
      <c r="AD474" s="41"/>
      <c r="AE474" s="20"/>
      <c r="AF474" s="20"/>
      <c r="AG474" s="20"/>
      <c r="AH474" s="20"/>
      <c r="AI474" s="20"/>
    </row>
    <row r="475" spans="1:35" ht="12.75" hidden="1" customHeight="1">
      <c r="C475" s="17"/>
      <c r="D475" s="14" t="s">
        <v>24</v>
      </c>
      <c r="E475" s="44">
        <f>'[2]JUNE ''12'!$C$83</f>
        <v>297.06</v>
      </c>
      <c r="G475" s="30"/>
      <c r="H475" s="30"/>
      <c r="I475" s="26"/>
      <c r="K475" s="273"/>
      <c r="L475" s="235" t="s">
        <v>226</v>
      </c>
      <c r="M475" s="26">
        <f>$M$470</f>
        <v>720.70009400000788</v>
      </c>
      <c r="N475" s="286">
        <f>M475</f>
        <v>720.70009400000788</v>
      </c>
      <c r="O475" s="26"/>
      <c r="P475" s="45">
        <f>$Q$459</f>
        <v>-14658.14727848101</v>
      </c>
      <c r="Q475" s="71">
        <f>P475</f>
        <v>-14658.14727848101</v>
      </c>
      <c r="R475" s="45">
        <f t="shared" ref="R475:R483" si="61">15550+Q475</f>
        <v>891.85272151898971</v>
      </c>
      <c r="S475" s="378" t="s">
        <v>298</v>
      </c>
      <c r="T475" s="367" t="s">
        <v>299</v>
      </c>
      <c r="W475" s="467" t="s">
        <v>352</v>
      </c>
      <c r="X475" s="91"/>
      <c r="Y475" s="111"/>
      <c r="Z475" s="26"/>
      <c r="AA475" s="466"/>
      <c r="AB475" s="26"/>
      <c r="AC475" s="20"/>
      <c r="AD475" s="92"/>
      <c r="AE475" s="93"/>
      <c r="AF475" s="20"/>
      <c r="AG475" s="20"/>
      <c r="AH475" s="20"/>
      <c r="AI475" s="20"/>
    </row>
    <row r="476" spans="1:35" ht="12.75" hidden="1" customHeight="1">
      <c r="C476" s="17"/>
      <c r="D476" s="143" t="s">
        <v>225</v>
      </c>
      <c r="E476" s="15">
        <f>'[2]MAY ''12'!$C$83</f>
        <v>413.26</v>
      </c>
      <c r="G476"/>
      <c r="I476" s="26"/>
      <c r="K476" s="255"/>
      <c r="L476" s="101" t="s">
        <v>340</v>
      </c>
      <c r="M476" s="133">
        <f>1500-479.11-304.9-850.25</f>
        <v>-134.26</v>
      </c>
      <c r="N476" s="69">
        <f t="shared" ref="N476:N503" si="62">N475+M476</f>
        <v>586.44009400000789</v>
      </c>
      <c r="O476" s="65"/>
      <c r="P476" s="133">
        <v>-215.09</v>
      </c>
      <c r="Q476" s="72">
        <f t="shared" ref="Q476:Q483" si="63">Q475+P476</f>
        <v>-14873.23727848101</v>
      </c>
      <c r="R476" s="45">
        <f t="shared" si="61"/>
        <v>676.76272151898957</v>
      </c>
      <c r="S476" s="373" t="s">
        <v>282</v>
      </c>
      <c r="T476" s="391" t="s">
        <v>334</v>
      </c>
      <c r="W476" s="115"/>
      <c r="X476" s="115" t="s">
        <v>353</v>
      </c>
      <c r="Y476" s="112">
        <v>7692.69</v>
      </c>
      <c r="Z476" s="239">
        <f>Y476-E1707</f>
        <v>7692.69</v>
      </c>
      <c r="AA476" s="94"/>
      <c r="AB476" s="95"/>
      <c r="AC476" s="20"/>
      <c r="AD476" s="41"/>
      <c r="AE476" s="93"/>
      <c r="AF476" s="20"/>
      <c r="AG476" s="20"/>
      <c r="AH476" s="20"/>
      <c r="AI476" s="20"/>
    </row>
    <row r="477" spans="1:35" ht="12.75" hidden="1" customHeight="1">
      <c r="C477" s="18" t="s">
        <v>5</v>
      </c>
      <c r="D477" s="14"/>
      <c r="E477" s="14">
        <f>SUM(E474:E476)</f>
        <v>9710.32</v>
      </c>
      <c r="G477" s="242"/>
      <c r="H477" s="242"/>
      <c r="I477" s="242"/>
      <c r="J477" s="20"/>
      <c r="K477" s="255"/>
      <c r="L477" s="101" t="s">
        <v>341</v>
      </c>
      <c r="M477" s="133">
        <v>-160</v>
      </c>
      <c r="N477" s="69">
        <f t="shared" si="62"/>
        <v>426.44009400000789</v>
      </c>
      <c r="O477" s="65"/>
      <c r="P477" s="133">
        <v>-83.97</v>
      </c>
      <c r="Q477" s="72">
        <f t="shared" si="63"/>
        <v>-14957.20727848101</v>
      </c>
      <c r="R477" s="45">
        <f t="shared" si="61"/>
        <v>592.79272151899022</v>
      </c>
      <c r="S477" s="373" t="s">
        <v>258</v>
      </c>
      <c r="T477" s="391" t="s">
        <v>335</v>
      </c>
      <c r="U477" s="111"/>
      <c r="V477" s="20"/>
      <c r="W477" s="111"/>
      <c r="X477" s="111" t="s">
        <v>354</v>
      </c>
      <c r="Y477" s="112">
        <v>7692.69</v>
      </c>
      <c r="Z477" s="239">
        <f>Y477-E1733</f>
        <v>7692.69</v>
      </c>
      <c r="AA477" s="94"/>
      <c r="AB477" s="26"/>
      <c r="AC477" s="20"/>
      <c r="AD477" s="92"/>
      <c r="AE477" s="93"/>
      <c r="AF477" s="20"/>
      <c r="AG477" s="20"/>
      <c r="AH477" s="20"/>
      <c r="AI477" s="20"/>
    </row>
    <row r="478" spans="1:35" ht="12.75" hidden="1" customHeight="1">
      <c r="G478" s="20"/>
      <c r="H478" s="46"/>
      <c r="I478" s="45"/>
      <c r="J478" s="54"/>
      <c r="K478" s="255" t="s">
        <v>223</v>
      </c>
      <c r="L478" s="101" t="s">
        <v>227</v>
      </c>
      <c r="M478" s="133">
        <v>-308</v>
      </c>
      <c r="N478" s="69">
        <f t="shared" si="62"/>
        <v>118.44009400000789</v>
      </c>
      <c r="O478" s="48"/>
      <c r="P478" s="133">
        <v>-100.25</v>
      </c>
      <c r="Q478" s="72">
        <f t="shared" si="63"/>
        <v>-15057.45727848101</v>
      </c>
      <c r="R478" s="45">
        <f t="shared" si="61"/>
        <v>492.54272151899022</v>
      </c>
      <c r="S478" s="373" t="s">
        <v>336</v>
      </c>
      <c r="T478" s="298" t="s">
        <v>337</v>
      </c>
      <c r="U478" s="20"/>
      <c r="V478" s="45"/>
      <c r="W478" s="112"/>
      <c r="X478" s="112" t="s">
        <v>355</v>
      </c>
      <c r="Y478" s="112">
        <v>7692.69</v>
      </c>
      <c r="Z478" s="239">
        <f>Y478-E1759</f>
        <v>7692.69</v>
      </c>
      <c r="AA478" s="94"/>
      <c r="AB478" s="26"/>
      <c r="AC478" s="20"/>
      <c r="AD478" s="92"/>
      <c r="AE478" s="93"/>
      <c r="AF478" s="20"/>
      <c r="AG478" s="20"/>
      <c r="AH478" s="20"/>
      <c r="AI478" s="20"/>
    </row>
    <row r="479" spans="1:35" ht="12.75" hidden="1" customHeight="1" thickBot="1">
      <c r="C479" s="17" t="s">
        <v>7</v>
      </c>
      <c r="G479" s="20"/>
      <c r="H479" s="46"/>
      <c r="I479" s="45"/>
      <c r="J479" s="20"/>
      <c r="K479" s="255"/>
      <c r="L479" s="101" t="s">
        <v>112</v>
      </c>
      <c r="M479" s="133">
        <v>-100</v>
      </c>
      <c r="N479" s="69">
        <f t="shared" si="62"/>
        <v>18.440094000007889</v>
      </c>
      <c r="O479" s="49"/>
      <c r="P479" s="132">
        <v>-25</v>
      </c>
      <c r="Q479" s="72">
        <f t="shared" si="63"/>
        <v>-15082.45727848101</v>
      </c>
      <c r="R479" s="45">
        <f t="shared" si="61"/>
        <v>467.54272151899022</v>
      </c>
      <c r="S479" s="373" t="s">
        <v>339</v>
      </c>
      <c r="T479" s="392" t="s">
        <v>338</v>
      </c>
      <c r="U479" s="20"/>
      <c r="V479" s="45"/>
      <c r="W479" s="103"/>
      <c r="X479" s="20"/>
      <c r="Y479" s="112"/>
      <c r="Z479" s="468">
        <f>SUM(Z476:Z478)</f>
        <v>23078.07</v>
      </c>
      <c r="AA479" s="94"/>
      <c r="AB479" s="95"/>
      <c r="AC479" s="20"/>
      <c r="AD479" s="96"/>
      <c r="AE479" s="93"/>
      <c r="AF479" s="20"/>
      <c r="AG479" s="20"/>
      <c r="AH479" s="20"/>
      <c r="AI479" s="20"/>
    </row>
    <row r="480" spans="1:35" ht="12.75" hidden="1" customHeight="1" thickTop="1">
      <c r="D480" t="s">
        <v>8</v>
      </c>
      <c r="E480" s="14">
        <f>1312/2</f>
        <v>656</v>
      </c>
      <c r="G480" s="241"/>
      <c r="H480" s="46"/>
      <c r="I480" s="45"/>
      <c r="J480" s="482" t="s">
        <v>364</v>
      </c>
      <c r="K480" s="256"/>
      <c r="L480" s="101" t="s">
        <v>280</v>
      </c>
      <c r="M480" s="133">
        <v>900</v>
      </c>
      <c r="N480" s="69">
        <f t="shared" si="62"/>
        <v>918.44009400000789</v>
      </c>
      <c r="O480" s="49"/>
      <c r="P480" s="132">
        <v>-203.87</v>
      </c>
      <c r="Q480" s="72">
        <f t="shared" si="63"/>
        <v>-15286.327278481011</v>
      </c>
      <c r="R480" s="45">
        <f t="shared" si="61"/>
        <v>263.67272151898942</v>
      </c>
      <c r="S480" s="379" t="s">
        <v>253</v>
      </c>
      <c r="T480" s="368"/>
      <c r="U480" s="20"/>
      <c r="V480" s="45"/>
      <c r="W480" s="20"/>
      <c r="X480" s="20"/>
      <c r="Y480" s="112"/>
      <c r="Z480" s="239"/>
      <c r="AA480" s="94"/>
      <c r="AB480" s="26"/>
      <c r="AC480" s="20"/>
      <c r="AD480" s="41"/>
      <c r="AE480" s="93"/>
      <c r="AF480" s="20"/>
      <c r="AG480" s="20"/>
      <c r="AH480" s="20"/>
      <c r="AI480" s="20"/>
    </row>
    <row r="481" spans="1:35" ht="12.75" hidden="1" customHeight="1">
      <c r="D481" t="s">
        <v>22</v>
      </c>
      <c r="E481" s="15"/>
      <c r="F481" s="38"/>
      <c r="G481" s="20"/>
      <c r="H481" s="46"/>
      <c r="I481" s="108"/>
      <c r="J481" s="20"/>
      <c r="K481" s="256"/>
      <c r="L481" s="79" t="s">
        <v>342</v>
      </c>
      <c r="M481" s="45">
        <v>-87.72</v>
      </c>
      <c r="N481" s="69">
        <f t="shared" si="62"/>
        <v>830.72009400000786</v>
      </c>
      <c r="O481" s="49"/>
      <c r="P481" s="132">
        <v>-122.3</v>
      </c>
      <c r="Q481" s="72">
        <f t="shared" si="63"/>
        <v>-15408.62727848101</v>
      </c>
      <c r="R481" s="45">
        <f t="shared" si="61"/>
        <v>141.37272151899015</v>
      </c>
      <c r="S481" s="379" t="s">
        <v>270</v>
      </c>
      <c r="T481" s="98" t="s">
        <v>361</v>
      </c>
      <c r="U481" s="20"/>
      <c r="V481" s="133"/>
      <c r="W481" s="20"/>
      <c r="X481" s="20"/>
      <c r="Y481" s="112"/>
      <c r="Z481" s="239"/>
      <c r="AA481" s="94"/>
      <c r="AB481" s="26"/>
      <c r="AC481" s="20"/>
      <c r="AD481" s="92"/>
      <c r="AE481" s="93"/>
      <c r="AF481" s="20"/>
      <c r="AG481" s="20"/>
      <c r="AH481" s="20"/>
      <c r="AI481" s="20"/>
    </row>
    <row r="482" spans="1:35" ht="12.75" hidden="1" customHeight="1">
      <c r="C482" s="18" t="s">
        <v>5</v>
      </c>
      <c r="E482" s="19">
        <f>SUM(E480:E481)</f>
        <v>656</v>
      </c>
      <c r="G482" s="20"/>
      <c r="H482" s="235"/>
      <c r="I482" s="315"/>
      <c r="J482" s="315"/>
      <c r="K482" s="258" t="s">
        <v>321</v>
      </c>
      <c r="L482" s="79" t="s">
        <v>224</v>
      </c>
      <c r="M482" s="45">
        <v>-533.94000000000005</v>
      </c>
      <c r="N482" s="69">
        <f t="shared" si="62"/>
        <v>296.78009400000781</v>
      </c>
      <c r="O482" s="39"/>
      <c r="P482" s="132">
        <v>-138</v>
      </c>
      <c r="Q482" s="72">
        <f t="shared" si="63"/>
        <v>-15546.62727848101</v>
      </c>
      <c r="R482" s="45">
        <f t="shared" si="61"/>
        <v>3.3727215189901472</v>
      </c>
      <c r="S482" s="379" t="s">
        <v>270</v>
      </c>
      <c r="T482" s="370"/>
      <c r="U482" s="20"/>
      <c r="V482" s="45"/>
      <c r="W482" s="26"/>
      <c r="X482" s="20"/>
      <c r="Y482" s="112"/>
      <c r="Z482" s="239"/>
      <c r="AA482" s="94"/>
      <c r="AB482" s="95"/>
      <c r="AC482" s="20"/>
      <c r="AD482" s="92"/>
      <c r="AE482" s="93"/>
      <c r="AF482" s="20"/>
      <c r="AG482" s="20"/>
      <c r="AH482" s="20"/>
      <c r="AI482" s="20"/>
    </row>
    <row r="483" spans="1:35" ht="12.75" hidden="1" customHeight="1" thickBot="1">
      <c r="C483" s="18"/>
      <c r="G483" s="20"/>
      <c r="H483" s="46"/>
      <c r="I483" s="315"/>
      <c r="J483" s="315"/>
      <c r="K483" s="256"/>
      <c r="L483" s="79" t="s">
        <v>343</v>
      </c>
      <c r="M483" s="45">
        <v>-229</v>
      </c>
      <c r="N483" s="69">
        <f t="shared" si="62"/>
        <v>67.780094000007807</v>
      </c>
      <c r="O483" s="39"/>
      <c r="P483" s="77">
        <f>E488</f>
        <v>461.63000000000011</v>
      </c>
      <c r="Q483" s="73">
        <f t="shared" si="63"/>
        <v>-15084.997278481009</v>
      </c>
      <c r="R483" s="52">
        <f t="shared" si="61"/>
        <v>465.00272151899117</v>
      </c>
      <c r="S483" s="373" t="s">
        <v>280</v>
      </c>
      <c r="T483" s="370"/>
      <c r="U483" s="20"/>
      <c r="V483" s="45"/>
      <c r="W483" s="26"/>
      <c r="X483" s="20"/>
      <c r="Y483" s="112"/>
      <c r="Z483" s="239"/>
      <c r="AA483" s="94"/>
      <c r="AB483" s="26"/>
      <c r="AC483" s="20"/>
      <c r="AD483" s="92"/>
      <c r="AE483" s="97"/>
      <c r="AF483" s="20"/>
      <c r="AG483" s="20"/>
      <c r="AH483" s="20"/>
      <c r="AI483" s="20"/>
    </row>
    <row r="484" spans="1:35" ht="12.75" hidden="1" customHeight="1" thickBot="1">
      <c r="D484" s="16" t="s">
        <v>67</v>
      </c>
      <c r="E484" s="27">
        <f>E477-E482</f>
        <v>9054.32</v>
      </c>
      <c r="G484" s="20"/>
      <c r="H484" s="235"/>
      <c r="I484" s="315"/>
      <c r="J484" s="315"/>
      <c r="K484" s="256"/>
      <c r="L484" s="79" t="s">
        <v>51</v>
      </c>
      <c r="M484" s="45">
        <v>2000</v>
      </c>
      <c r="N484" s="69">
        <f t="shared" si="62"/>
        <v>2067.7800940000079</v>
      </c>
      <c r="O484" s="39"/>
      <c r="P484" s="64">
        <f>SUM(P475:P483)</f>
        <v>-15084.997278481009</v>
      </c>
      <c r="Q484" s="287" t="s">
        <v>243</v>
      </c>
      <c r="R484" s="317"/>
      <c r="S484" s="373"/>
      <c r="T484" s="369"/>
      <c r="U484" s="74"/>
      <c r="V484" s="45"/>
      <c r="W484" s="26"/>
      <c r="X484" s="20"/>
      <c r="Y484" s="112"/>
      <c r="Z484" s="239"/>
      <c r="AA484" s="94"/>
      <c r="AB484" s="26"/>
      <c r="AC484" s="20"/>
      <c r="AD484" s="20"/>
      <c r="AE484" s="93"/>
      <c r="AF484" s="20"/>
      <c r="AG484" s="20"/>
      <c r="AH484" s="20"/>
      <c r="AI484" s="20"/>
    </row>
    <row r="485" spans="1:35" ht="12.75" hidden="1" customHeight="1">
      <c r="A485" s="319"/>
      <c r="D485" s="17"/>
      <c r="E485" s="40"/>
      <c r="G485"/>
      <c r="H485" s="23"/>
      <c r="I485" s="315"/>
      <c r="J485" s="315"/>
      <c r="K485" s="256"/>
      <c r="L485" s="79" t="s">
        <v>344</v>
      </c>
      <c r="M485" s="45">
        <v>-1115</v>
      </c>
      <c r="N485" s="69">
        <f t="shared" si="62"/>
        <v>952.78009400000792</v>
      </c>
      <c r="O485" s="39"/>
      <c r="P485" s="68"/>
      <c r="Q485" s="63"/>
      <c r="R485" s="63"/>
      <c r="S485" s="373"/>
      <c r="T485" s="371"/>
      <c r="U485" s="74"/>
      <c r="V485" s="26"/>
      <c r="W485" s="26"/>
      <c r="X485" s="91"/>
      <c r="Y485" s="20"/>
      <c r="Z485" s="239"/>
      <c r="AA485" s="94"/>
      <c r="AB485" s="95"/>
      <c r="AC485" s="20"/>
      <c r="AD485" s="98"/>
      <c r="AE485" s="93"/>
      <c r="AF485" s="466"/>
      <c r="AG485" s="20"/>
      <c r="AH485" s="20"/>
      <c r="AI485" s="20"/>
    </row>
    <row r="486" spans="1:35" ht="12.75" hidden="1" customHeight="1">
      <c r="A486" s="319"/>
      <c r="C486" s="81" t="s">
        <v>17</v>
      </c>
      <c r="E486" s="42"/>
      <c r="G486"/>
      <c r="H486" s="23"/>
      <c r="I486" s="315"/>
      <c r="J486" s="315"/>
      <c r="K486" s="256"/>
      <c r="L486" s="79" t="s">
        <v>345</v>
      </c>
      <c r="M486" s="45">
        <v>-555</v>
      </c>
      <c r="N486" s="69">
        <f t="shared" si="62"/>
        <v>397.78009400000792</v>
      </c>
      <c r="O486" s="39"/>
      <c r="P486" s="68"/>
      <c r="Q486" s="63"/>
      <c r="R486" s="63"/>
      <c r="S486" s="373"/>
      <c r="T486" s="390"/>
      <c r="U486" s="65"/>
      <c r="V486" s="26"/>
      <c r="W486" s="26"/>
      <c r="X486" s="35"/>
      <c r="Y486" s="20"/>
      <c r="Z486" s="239"/>
      <c r="AA486" s="94"/>
      <c r="AB486" s="26"/>
      <c r="AC486" s="20"/>
      <c r="AD486" s="20"/>
      <c r="AE486" s="20"/>
      <c r="AF486" s="99"/>
      <c r="AG486" s="20"/>
      <c r="AH486" s="20"/>
      <c r="AI486" s="20"/>
    </row>
    <row r="487" spans="1:35" ht="12.75" hidden="1" customHeight="1">
      <c r="A487" s="319"/>
      <c r="D487" s="20" t="s">
        <v>14</v>
      </c>
      <c r="E487" s="42">
        <v>7692.69</v>
      </c>
      <c r="F487" s="20"/>
      <c r="G487" s="20"/>
      <c r="H487" s="46"/>
      <c r="I487" s="315"/>
      <c r="J487" s="416"/>
      <c r="K487" s="256"/>
      <c r="L487" s="79" t="s">
        <v>164</v>
      </c>
      <c r="M487" s="45">
        <v>150</v>
      </c>
      <c r="N487" s="69">
        <f t="shared" si="62"/>
        <v>547.78009400000792</v>
      </c>
      <c r="O487" s="39"/>
      <c r="P487" s="68"/>
      <c r="Q487" s="63"/>
      <c r="R487" s="63"/>
      <c r="S487" s="373"/>
      <c r="T487" s="372"/>
      <c r="U487" s="65"/>
      <c r="V487" s="20"/>
      <c r="W487" s="20"/>
      <c r="X487" s="20"/>
      <c r="Y487" s="111"/>
      <c r="Z487" s="239"/>
      <c r="AA487" s="94"/>
      <c r="AB487" s="26"/>
      <c r="AC487" s="20"/>
      <c r="AD487" s="20"/>
      <c r="AE487" s="20"/>
      <c r="AF487" s="20"/>
      <c r="AG487" s="20"/>
      <c r="AH487" s="20"/>
      <c r="AI487" s="20"/>
    </row>
    <row r="488" spans="1:35" ht="12.75" hidden="1" customHeight="1">
      <c r="A488" s="319"/>
      <c r="D488" s="78" t="s">
        <v>13</v>
      </c>
      <c r="E488" s="15">
        <f>E484-E487-M480</f>
        <v>461.63000000000011</v>
      </c>
      <c r="F488" s="78"/>
      <c r="G488" s="1039">
        <f>SUM(E487:E488)</f>
        <v>8154.32</v>
      </c>
      <c r="H488" s="1039"/>
      <c r="I488" s="315"/>
      <c r="J488" s="315"/>
      <c r="K488" s="256"/>
      <c r="L488" s="79" t="s">
        <v>142</v>
      </c>
      <c r="M488" s="45">
        <v>-347.6</v>
      </c>
      <c r="N488" s="69">
        <f t="shared" si="62"/>
        <v>200.1800940000079</v>
      </c>
      <c r="O488" s="39"/>
      <c r="P488" s="68"/>
      <c r="Q488" s="63"/>
      <c r="R488" s="63"/>
      <c r="S488" s="373"/>
      <c r="T488" s="372"/>
      <c r="U488" s="65"/>
      <c r="V488" s="20"/>
      <c r="W488" s="20"/>
      <c r="X488" s="91"/>
      <c r="Y488" s="111"/>
      <c r="Z488" s="239"/>
      <c r="AA488" s="94"/>
      <c r="AB488" s="95"/>
      <c r="AC488" s="20"/>
      <c r="AD488" s="20"/>
      <c r="AE488" s="20"/>
      <c r="AF488" s="20"/>
      <c r="AG488" s="20"/>
      <c r="AH488" s="20"/>
      <c r="AI488" s="20"/>
    </row>
    <row r="489" spans="1:35" ht="12.75" hidden="1" customHeight="1" thickBot="1">
      <c r="A489" s="319"/>
      <c r="D489" s="20"/>
      <c r="E489" s="26"/>
      <c r="F489" s="122"/>
      <c r="G489" s="1048">
        <f>M480</f>
        <v>900</v>
      </c>
      <c r="H489" s="1048"/>
      <c r="I489" s="482" t="s">
        <v>364</v>
      </c>
      <c r="J489" s="315"/>
      <c r="K489" s="256"/>
      <c r="L489" s="79" t="s">
        <v>360</v>
      </c>
      <c r="M489" s="45">
        <v>-185.55</v>
      </c>
      <c r="N489" s="69">
        <f t="shared" si="62"/>
        <v>14.630094000007887</v>
      </c>
      <c r="O489" s="39"/>
      <c r="P489" s="68"/>
      <c r="Q489" s="63"/>
      <c r="R489" s="63"/>
      <c r="S489" s="373"/>
      <c r="T489" s="390"/>
      <c r="U489" s="65"/>
      <c r="V489" s="20"/>
      <c r="W489" s="20"/>
      <c r="X489" s="20"/>
      <c r="Y489" s="111"/>
      <c r="Z489" s="239"/>
      <c r="AA489" s="94"/>
      <c r="AB489" s="26"/>
      <c r="AC489" s="20"/>
      <c r="AD489" s="20"/>
      <c r="AE489" s="20"/>
      <c r="AF489" s="20"/>
      <c r="AG489" s="466"/>
      <c r="AH489" s="20"/>
      <c r="AI489" s="20"/>
    </row>
    <row r="490" spans="1:35" ht="12.75" hidden="1" customHeight="1" thickTop="1">
      <c r="A490" s="319"/>
      <c r="D490" s="20"/>
      <c r="E490" s="26"/>
      <c r="F490" s="122"/>
      <c r="G490" s="1038">
        <f>SUM(G488:H489)</f>
        <v>9054.32</v>
      </c>
      <c r="H490" s="1038"/>
      <c r="I490" s="315"/>
      <c r="J490" s="315"/>
      <c r="K490" s="258" t="s">
        <v>222</v>
      </c>
      <c r="L490" s="266" t="s">
        <v>51</v>
      </c>
      <c r="M490" s="146">
        <f>E487</f>
        <v>7692.69</v>
      </c>
      <c r="N490" s="69">
        <f t="shared" si="62"/>
        <v>7707.3200940000079</v>
      </c>
      <c r="O490" s="39"/>
      <c r="P490" s="68"/>
      <c r="Q490" s="63"/>
      <c r="R490" s="63"/>
      <c r="S490" s="373"/>
      <c r="T490" s="390"/>
      <c r="U490" s="83"/>
      <c r="V490" s="20"/>
      <c r="W490" s="20"/>
      <c r="X490" s="20"/>
      <c r="Y490" s="111"/>
      <c r="Z490" s="239"/>
      <c r="AA490" s="94"/>
      <c r="AB490" s="26"/>
      <c r="AC490" s="20"/>
      <c r="AD490" s="20"/>
      <c r="AE490" s="20"/>
      <c r="AF490" s="20"/>
      <c r="AG490" s="20"/>
      <c r="AH490" s="20"/>
      <c r="AI490" s="20"/>
    </row>
    <row r="491" spans="1:35" ht="12.75" hidden="1" customHeight="1">
      <c r="A491" s="319"/>
      <c r="D491" s="20"/>
      <c r="E491" s="26"/>
      <c r="F491" s="122"/>
      <c r="G491" s="464"/>
      <c r="H491" s="464"/>
      <c r="I491" s="315"/>
      <c r="J491" s="315"/>
      <c r="K491" s="258" t="s">
        <v>222</v>
      </c>
      <c r="L491" s="266" t="s">
        <v>329</v>
      </c>
      <c r="M491" s="146">
        <f>-3830</f>
        <v>-3830</v>
      </c>
      <c r="N491" s="69">
        <f t="shared" si="62"/>
        <v>3877.3200940000079</v>
      </c>
      <c r="O491" s="42"/>
      <c r="P491" s="68"/>
      <c r="Q491" s="63"/>
      <c r="R491" s="63"/>
      <c r="S491" s="373"/>
      <c r="T491" s="372"/>
      <c r="U491" s="84"/>
      <c r="V491" s="26"/>
      <c r="W491" s="26"/>
      <c r="X491" s="91"/>
      <c r="Y491" s="20"/>
      <c r="Z491" s="239"/>
      <c r="AA491" s="94"/>
      <c r="AB491" s="26"/>
      <c r="AC491" s="20"/>
      <c r="AD491" s="20"/>
      <c r="AE491" s="20"/>
      <c r="AF491" s="20"/>
      <c r="AG491" s="20"/>
      <c r="AH491" s="20"/>
      <c r="AI491" s="20"/>
    </row>
    <row r="492" spans="1:35" ht="12.75" hidden="1" customHeight="1">
      <c r="H492" s="464"/>
      <c r="I492" s="315"/>
      <c r="J492" s="315"/>
      <c r="K492" s="258" t="s">
        <v>222</v>
      </c>
      <c r="L492" s="266" t="s">
        <v>333</v>
      </c>
      <c r="M492" s="45">
        <v>-140</v>
      </c>
      <c r="N492" s="69">
        <f t="shared" si="62"/>
        <v>3737.3200940000079</v>
      </c>
      <c r="O492" s="26"/>
      <c r="P492" s="68"/>
      <c r="Q492" s="63"/>
      <c r="R492" s="63"/>
      <c r="S492" s="373"/>
      <c r="T492" s="460"/>
      <c r="U492" s="20"/>
      <c r="V492" s="26"/>
      <c r="W492" s="26"/>
      <c r="X492" s="91"/>
      <c r="Y492" s="20"/>
      <c r="Z492" s="239"/>
      <c r="AA492" s="94"/>
      <c r="AB492" s="26"/>
      <c r="AC492" s="20"/>
      <c r="AD492" s="20"/>
      <c r="AE492" s="20"/>
      <c r="AF492" s="20"/>
      <c r="AG492" s="20"/>
      <c r="AH492" s="20"/>
      <c r="AI492" s="20"/>
    </row>
    <row r="493" spans="1:35" ht="12.75" hidden="1" customHeight="1">
      <c r="H493" s="320"/>
      <c r="I493" s="30"/>
      <c r="J493" s="31"/>
      <c r="K493" s="295" t="s">
        <v>222</v>
      </c>
      <c r="L493" s="116" t="s">
        <v>332</v>
      </c>
      <c r="M493" s="45">
        <v>-500</v>
      </c>
      <c r="N493" s="69">
        <f t="shared" si="62"/>
        <v>3237.3200940000079</v>
      </c>
      <c r="O493" s="26"/>
      <c r="P493" s="68"/>
      <c r="Q493" s="63"/>
      <c r="R493" s="63"/>
      <c r="S493" s="373"/>
      <c r="T493" s="460"/>
      <c r="U493" s="20"/>
      <c r="V493" s="26"/>
      <c r="W493" s="26"/>
      <c r="X493" s="91"/>
      <c r="Y493" s="20"/>
      <c r="Z493" s="239"/>
      <c r="AA493" s="94"/>
      <c r="AB493" s="26"/>
      <c r="AC493" s="20"/>
      <c r="AD493" s="20"/>
      <c r="AE493" s="20"/>
      <c r="AF493" s="20"/>
      <c r="AG493" s="20"/>
      <c r="AH493" s="20"/>
      <c r="AI493" s="20"/>
    </row>
    <row r="494" spans="1:35" ht="12.75" hidden="1" customHeight="1">
      <c r="H494" s="464"/>
      <c r="I494" s="31"/>
      <c r="J494" s="31"/>
      <c r="K494" s="258" t="s">
        <v>222</v>
      </c>
      <c r="L494" s="266" t="s">
        <v>195</v>
      </c>
      <c r="M494" s="45">
        <v>-1738</v>
      </c>
      <c r="N494" s="69">
        <f t="shared" si="62"/>
        <v>1499.3200940000079</v>
      </c>
      <c r="O494" s="26"/>
      <c r="P494" s="68"/>
      <c r="Q494" s="63"/>
      <c r="R494" s="63"/>
      <c r="S494" s="373"/>
      <c r="T494" s="460"/>
      <c r="U494" s="20"/>
      <c r="V494" s="26"/>
      <c r="W494" s="26"/>
      <c r="X494" s="91"/>
      <c r="Y494" s="20"/>
      <c r="Z494" s="239"/>
      <c r="AA494" s="94"/>
      <c r="AB494" s="26"/>
      <c r="AC494" s="20"/>
      <c r="AD494" s="20"/>
      <c r="AE494" s="20"/>
      <c r="AF494" s="20"/>
      <c r="AG494" s="20"/>
      <c r="AH494" s="20"/>
      <c r="AI494" s="20"/>
    </row>
    <row r="495" spans="1:35" ht="12.75" hidden="1" customHeight="1">
      <c r="H495" s="464"/>
      <c r="I495" s="31"/>
      <c r="J495" s="31"/>
      <c r="K495" s="258" t="s">
        <v>222</v>
      </c>
      <c r="L495" s="266" t="s">
        <v>180</v>
      </c>
      <c r="M495" s="45">
        <v>-69</v>
      </c>
      <c r="N495" s="69">
        <f t="shared" si="62"/>
        <v>1430.3200940000079</v>
      </c>
      <c r="O495" s="26"/>
      <c r="P495" s="68"/>
      <c r="Q495" s="63"/>
      <c r="R495" s="63"/>
      <c r="S495" s="373"/>
      <c r="T495" s="460"/>
      <c r="U495" s="20"/>
      <c r="V495" s="26"/>
      <c r="W495" s="26"/>
      <c r="X495" s="91"/>
      <c r="Y495" s="20"/>
      <c r="Z495" s="239"/>
      <c r="AA495" s="94"/>
      <c r="AB495" s="26"/>
      <c r="AC495" s="20"/>
      <c r="AD495" s="20"/>
      <c r="AE495" s="20"/>
      <c r="AF495" s="20"/>
      <c r="AG495" s="20"/>
      <c r="AH495" s="20"/>
      <c r="AI495" s="20"/>
    </row>
    <row r="496" spans="1:35" ht="12.75" hidden="1" customHeight="1">
      <c r="H496" s="464"/>
      <c r="K496" s="264" t="s">
        <v>222</v>
      </c>
      <c r="L496" s="266" t="s">
        <v>61</v>
      </c>
      <c r="M496" s="45">
        <v>-203.5</v>
      </c>
      <c r="N496" s="69">
        <f t="shared" si="62"/>
        <v>1226.8200940000079</v>
      </c>
      <c r="O496" s="26"/>
      <c r="P496" s="300"/>
      <c r="Q496" s="270"/>
      <c r="R496" s="63"/>
      <c r="S496" s="373"/>
      <c r="T496" s="460"/>
      <c r="U496" s="20"/>
      <c r="V496" s="26"/>
      <c r="W496" s="26"/>
      <c r="X496" s="91"/>
      <c r="Y496" s="20"/>
      <c r="Z496" s="239"/>
      <c r="AA496" s="94"/>
      <c r="AB496" s="26"/>
      <c r="AC496" s="20"/>
      <c r="AD496" s="20"/>
      <c r="AE496" s="20"/>
      <c r="AF496" s="20"/>
      <c r="AG496" s="20"/>
      <c r="AH496" s="20"/>
      <c r="AI496" s="20"/>
    </row>
    <row r="497" spans="2:35" ht="12.75" hidden="1" customHeight="1">
      <c r="H497" s="464"/>
      <c r="K497" s="258"/>
      <c r="L497" s="266" t="s">
        <v>362</v>
      </c>
      <c r="M497" s="45">
        <v>-198</v>
      </c>
      <c r="N497" s="69">
        <f t="shared" si="62"/>
        <v>1028.8200940000079</v>
      </c>
      <c r="O497" s="26"/>
      <c r="P497" s="300"/>
      <c r="Q497" s="270"/>
      <c r="R497" s="63"/>
      <c r="S497" s="373"/>
      <c r="T497" s="460"/>
      <c r="U497" s="20"/>
      <c r="V497" s="26"/>
      <c r="W497" s="26"/>
      <c r="X497" s="91"/>
      <c r="Y497" s="20"/>
      <c r="Z497" s="239"/>
      <c r="AA497" s="94"/>
      <c r="AB497" s="26"/>
      <c r="AC497" s="20"/>
      <c r="AD497" s="20"/>
      <c r="AE497" s="20"/>
      <c r="AF497" s="20"/>
      <c r="AG497" s="20"/>
      <c r="AH497" s="20"/>
      <c r="AI497" s="20"/>
    </row>
    <row r="498" spans="2:35" ht="12.75" hidden="1" customHeight="1">
      <c r="H498" s="481"/>
      <c r="K498" s="258"/>
      <c r="L498" s="266" t="s">
        <v>363</v>
      </c>
      <c r="M498" s="45">
        <v>-56</v>
      </c>
      <c r="N498" s="69">
        <f t="shared" si="62"/>
        <v>972.82009400000788</v>
      </c>
      <c r="O498" s="26"/>
      <c r="P498" s="300"/>
      <c r="Q498" s="270"/>
      <c r="R498" s="63"/>
      <c r="S498" s="373"/>
      <c r="T498" s="480"/>
      <c r="U498" s="20"/>
      <c r="V498" s="26"/>
      <c r="W498" s="26"/>
      <c r="X498" s="91"/>
      <c r="Y498" s="20"/>
      <c r="Z498" s="239"/>
      <c r="AA498" s="94"/>
      <c r="AB498" s="26"/>
      <c r="AC498" s="20"/>
      <c r="AD498" s="20"/>
      <c r="AE498" s="20"/>
      <c r="AF498" s="20"/>
      <c r="AG498" s="20"/>
      <c r="AH498" s="20"/>
      <c r="AI498" s="20"/>
    </row>
    <row r="499" spans="2:35" ht="12.75" hidden="1" customHeight="1">
      <c r="H499" s="481"/>
      <c r="K499" s="258"/>
      <c r="L499" s="266" t="s">
        <v>343</v>
      </c>
      <c r="M499" s="45">
        <v>-483.69</v>
      </c>
      <c r="N499" s="69">
        <f t="shared" si="62"/>
        <v>489.13009400000789</v>
      </c>
      <c r="O499" s="26"/>
      <c r="P499" s="300"/>
      <c r="Q499" s="270"/>
      <c r="R499" s="63"/>
      <c r="S499" s="373"/>
      <c r="T499" s="480"/>
      <c r="U499" s="20"/>
      <c r="V499" s="26"/>
      <c r="W499" s="26"/>
      <c r="X499" s="91"/>
      <c r="Y499" s="20"/>
      <c r="Z499" s="239"/>
      <c r="AA499" s="94"/>
      <c r="AB499" s="26"/>
      <c r="AC499" s="20"/>
      <c r="AD499" s="20"/>
      <c r="AE499" s="20"/>
      <c r="AF499" s="20"/>
      <c r="AG499" s="20"/>
      <c r="AH499" s="20"/>
      <c r="AI499" s="20"/>
    </row>
    <row r="500" spans="2:35" ht="12.75" hidden="1" customHeight="1">
      <c r="H500" s="464"/>
      <c r="K500" s="256"/>
      <c r="L500" s="79" t="s">
        <v>280</v>
      </c>
      <c r="M500" s="45">
        <v>705</v>
      </c>
      <c r="N500" s="69">
        <f t="shared" si="62"/>
        <v>1194.1300940000078</v>
      </c>
      <c r="O500" s="26"/>
      <c r="P500" s="300"/>
      <c r="Q500" s="270"/>
      <c r="R500" s="63"/>
      <c r="S500" s="373"/>
      <c r="T500" s="477"/>
      <c r="U500" s="20"/>
      <c r="V500" s="26"/>
      <c r="W500" s="26"/>
      <c r="X500" s="91"/>
      <c r="Y500" s="20"/>
      <c r="Z500" s="239"/>
      <c r="AA500" s="94"/>
      <c r="AB500" s="26"/>
      <c r="AC500" s="20"/>
      <c r="AD500" s="20"/>
      <c r="AE500" s="20"/>
      <c r="AF500" s="20"/>
      <c r="AG500" s="20"/>
      <c r="AH500" s="20"/>
      <c r="AI500" s="20"/>
    </row>
    <row r="501" spans="2:35" ht="12.75" hidden="1" customHeight="1">
      <c r="H501" s="464"/>
      <c r="K501" s="85" t="s">
        <v>189</v>
      </c>
      <c r="L501" s="267" t="s">
        <v>16</v>
      </c>
      <c r="M501" s="175">
        <v>-403.99</v>
      </c>
      <c r="N501" s="69">
        <f t="shared" si="62"/>
        <v>790.14009400000782</v>
      </c>
      <c r="O501" s="239"/>
      <c r="P501" s="300"/>
      <c r="Q501" s="270"/>
      <c r="R501" s="63"/>
      <c r="S501" s="373"/>
      <c r="T501" s="460"/>
      <c r="U501" s="20"/>
      <c r="V501" s="26"/>
      <c r="W501" s="26"/>
      <c r="X501" s="91"/>
      <c r="Y501" s="20"/>
      <c r="Z501" s="239"/>
      <c r="AA501" s="94"/>
      <c r="AB501" s="26"/>
      <c r="AC501" s="20"/>
      <c r="AD501" s="20"/>
      <c r="AE501" s="20"/>
      <c r="AF501" s="20"/>
      <c r="AG501" s="20"/>
      <c r="AH501" s="20"/>
      <c r="AI501" s="20"/>
    </row>
    <row r="502" spans="2:35" s="20" customFormat="1" hidden="1">
      <c r="E502" s="26"/>
      <c r="G502" s="46"/>
      <c r="I502"/>
      <c r="J502"/>
      <c r="K502" s="258" t="s">
        <v>189</v>
      </c>
      <c r="L502" s="268" t="s">
        <v>56</v>
      </c>
      <c r="M502" s="175">
        <v>-605</v>
      </c>
      <c r="N502" s="69">
        <f t="shared" si="62"/>
        <v>185.14009400000782</v>
      </c>
      <c r="P502" s="26"/>
      <c r="Q502" s="26"/>
      <c r="R502" s="26"/>
      <c r="S502" s="384"/>
      <c r="Z502" s="26"/>
      <c r="AA502" s="476"/>
      <c r="AB502" s="26"/>
    </row>
    <row r="503" spans="2:35" s="20" customFormat="1" hidden="1">
      <c r="E503" s="26"/>
      <c r="G503" s="46"/>
      <c r="K503" s="321" t="s">
        <v>190</v>
      </c>
      <c r="L503" s="269" t="s">
        <v>23</v>
      </c>
      <c r="M503" s="366">
        <v>-187.79</v>
      </c>
      <c r="N503" s="70">
        <f t="shared" si="62"/>
        <v>-2.6499059999921712</v>
      </c>
      <c r="P503" s="26"/>
      <c r="Q503" s="26"/>
      <c r="R503" s="26"/>
      <c r="S503" s="384"/>
      <c r="Z503" s="26"/>
      <c r="AA503" s="478"/>
      <c r="AB503" s="26"/>
    </row>
    <row r="504" spans="2:35" s="20" customFormat="1" hidden="1">
      <c r="E504" s="26"/>
      <c r="G504" s="46"/>
      <c r="K504" s="254"/>
      <c r="L504" s="23"/>
      <c r="M504" s="51">
        <f>SUM(M475:M503)</f>
        <v>-2.6499059999921712</v>
      </c>
      <c r="N504" s="417"/>
      <c r="P504" s="26"/>
      <c r="Q504" s="26"/>
      <c r="R504" s="26"/>
      <c r="S504" s="384"/>
      <c r="Z504" s="26"/>
      <c r="AA504" s="479"/>
      <c r="AB504" s="26"/>
    </row>
    <row r="505" spans="2:35" s="78" customFormat="1" hidden="1">
      <c r="E505" s="15"/>
      <c r="G505" s="129"/>
      <c r="K505" s="257"/>
      <c r="M505" s="15"/>
      <c r="P505" s="15"/>
      <c r="Q505" s="15"/>
      <c r="R505" s="15"/>
      <c r="S505" s="385"/>
      <c r="Z505" s="15"/>
      <c r="AA505" s="130"/>
      <c r="AB505" s="15"/>
    </row>
    <row r="506" spans="2:35" hidden="1">
      <c r="K506" s="256"/>
      <c r="L506" s="20"/>
      <c r="M506" s="26"/>
      <c r="N506" s="20"/>
    </row>
    <row r="507" spans="2:35" ht="12.75" hidden="1" customHeight="1">
      <c r="B507" s="1030" t="s">
        <v>356</v>
      </c>
      <c r="C507" s="1030"/>
      <c r="D507" s="1030"/>
      <c r="E507" s="1030"/>
      <c r="G507" s="261"/>
      <c r="H507" s="261"/>
      <c r="I507" s="26"/>
      <c r="K507" s="258"/>
      <c r="L507" s="100"/>
      <c r="M507" s="1031" t="s">
        <v>54</v>
      </c>
      <c r="N507" s="524"/>
      <c r="O507" s="527"/>
      <c r="P507" s="1033" t="s">
        <v>48</v>
      </c>
      <c r="Q507" s="1035" t="s">
        <v>242</v>
      </c>
      <c r="R507" s="1035"/>
      <c r="S507" s="377"/>
      <c r="X507" s="35"/>
      <c r="Y507" s="35"/>
      <c r="Z507" s="26"/>
      <c r="AA507" s="529"/>
      <c r="AB507" s="26"/>
      <c r="AC507" s="20"/>
      <c r="AD507" s="20"/>
      <c r="AE507" s="20"/>
      <c r="AF507" s="20"/>
      <c r="AG507" s="20"/>
      <c r="AH507" s="20"/>
      <c r="AI507" s="20"/>
    </row>
    <row r="508" spans="2:35" ht="12.75" hidden="1" customHeight="1">
      <c r="C508" s="17" t="s">
        <v>357</v>
      </c>
      <c r="D508" s="14"/>
      <c r="E508" s="44">
        <v>8502.7000000000007</v>
      </c>
      <c r="G508" s="1040"/>
      <c r="H508" s="1040"/>
      <c r="I508" s="26"/>
      <c r="K508" s="260" t="s">
        <v>221</v>
      </c>
      <c r="L508" s="156"/>
      <c r="M508" s="1032"/>
      <c r="N508" s="524" t="s">
        <v>43</v>
      </c>
      <c r="O508" s="527"/>
      <c r="P508" s="1034"/>
      <c r="Q508" s="525" t="s">
        <v>43</v>
      </c>
      <c r="R508" s="526" t="s">
        <v>53</v>
      </c>
      <c r="S508" s="377"/>
      <c r="X508" s="118"/>
      <c r="Y508" s="111"/>
      <c r="Z508" s="117"/>
      <c r="AA508" s="89"/>
      <c r="AB508" s="90"/>
      <c r="AC508" s="20"/>
      <c r="AD508" s="41"/>
      <c r="AE508" s="20"/>
      <c r="AF508" s="20"/>
      <c r="AG508" s="20"/>
      <c r="AH508" s="20"/>
      <c r="AI508" s="20"/>
    </row>
    <row r="509" spans="2:35" ht="12.75" hidden="1" customHeight="1">
      <c r="C509" s="17"/>
      <c r="D509" s="14" t="s">
        <v>24</v>
      </c>
      <c r="E509" s="44">
        <f>'[2]JULY ''12'!$C$83</f>
        <v>164.55</v>
      </c>
      <c r="G509" s="30"/>
      <c r="H509" s="1041">
        <f>SUM(E509:E510)</f>
        <v>868.24</v>
      </c>
      <c r="I509" s="26"/>
      <c r="K509" s="273"/>
      <c r="L509" s="235" t="s">
        <v>226</v>
      </c>
      <c r="M509" s="45">
        <f>$M$504</f>
        <v>-2.6499059999921712</v>
      </c>
      <c r="N509" s="286">
        <f>M509</f>
        <v>-2.6499059999921712</v>
      </c>
      <c r="O509" s="26"/>
      <c r="P509" s="45">
        <f>$Q$483</f>
        <v>-15084.997278481009</v>
      </c>
      <c r="Q509" s="71">
        <f>P509</f>
        <v>-15084.997278481009</v>
      </c>
      <c r="R509" s="45">
        <f t="shared" ref="R509:R515" si="64">15550+Q509</f>
        <v>465.00272151899117</v>
      </c>
      <c r="S509" s="378" t="s">
        <v>298</v>
      </c>
      <c r="T509" s="367" t="s">
        <v>299</v>
      </c>
      <c r="W509" s="392"/>
      <c r="X509" s="111"/>
      <c r="Y509" s="111"/>
      <c r="Z509" s="45"/>
      <c r="AA509" s="488"/>
      <c r="AB509" s="26"/>
      <c r="AC509" s="20"/>
      <c r="AD509" s="92"/>
      <c r="AE509" s="93"/>
      <c r="AF509" s="20"/>
      <c r="AG509" s="20"/>
      <c r="AH509" s="20"/>
      <c r="AI509" s="20"/>
    </row>
    <row r="510" spans="2:35" ht="12.75" hidden="1" customHeight="1">
      <c r="C510" s="17"/>
      <c r="D510" s="143" t="s">
        <v>225</v>
      </c>
      <c r="E510" s="15">
        <f>'[2]JUNE ''12'!$C$80</f>
        <v>703.69</v>
      </c>
      <c r="G510"/>
      <c r="H510" s="1041"/>
      <c r="I510" s="26"/>
      <c r="K510" s="297"/>
      <c r="L510" s="184" t="s">
        <v>359</v>
      </c>
      <c r="M510" s="45">
        <v>133.08000000000001</v>
      </c>
      <c r="N510" s="69">
        <f>N509+M510</f>
        <v>130.43009400000784</v>
      </c>
      <c r="O510" s="65"/>
      <c r="P510" s="133">
        <v>-118.83</v>
      </c>
      <c r="Q510" s="72">
        <f t="shared" ref="Q510:Q515" si="65">Q509+P510</f>
        <v>-15203.827278481009</v>
      </c>
      <c r="R510" s="45">
        <f t="shared" si="64"/>
        <v>346.17272151899124</v>
      </c>
      <c r="S510" s="373" t="s">
        <v>282</v>
      </c>
      <c r="T510" s="391" t="s">
        <v>280</v>
      </c>
      <c r="W510" s="111"/>
      <c r="X510" s="111"/>
      <c r="Y510" s="112"/>
      <c r="Z510" s="55"/>
      <c r="AA510" s="489"/>
      <c r="AB510" s="95"/>
      <c r="AC510" s="20"/>
      <c r="AD510" s="41"/>
      <c r="AE510" s="93"/>
      <c r="AF510" s="20"/>
      <c r="AG510" s="20"/>
      <c r="AH510" s="20"/>
      <c r="AI510" s="20"/>
    </row>
    <row r="511" spans="2:35" ht="12.75" hidden="1" customHeight="1">
      <c r="C511" s="18" t="s">
        <v>5</v>
      </c>
      <c r="D511" s="14"/>
      <c r="E511" s="14">
        <f>SUM(E508:E510)</f>
        <v>9370.94</v>
      </c>
      <c r="G511" s="242"/>
      <c r="H511" s="492"/>
      <c r="I511" s="242"/>
      <c r="J511" s="482" t="s">
        <v>364</v>
      </c>
      <c r="K511" s="255"/>
      <c r="L511" s="116" t="s">
        <v>24</v>
      </c>
      <c r="M511" s="45">
        <v>750</v>
      </c>
      <c r="N511" s="69">
        <f>N510+M511</f>
        <v>880.43009400000778</v>
      </c>
      <c r="O511" s="65"/>
      <c r="P511" s="133">
        <v>-193.13</v>
      </c>
      <c r="Q511" s="72">
        <f t="shared" si="65"/>
        <v>-15396.957278481008</v>
      </c>
      <c r="R511" s="45">
        <f t="shared" si="64"/>
        <v>153.04272151899204</v>
      </c>
      <c r="S511" s="373" t="s">
        <v>253</v>
      </c>
      <c r="T511" s="391"/>
      <c r="U511" s="111"/>
      <c r="V511" s="20"/>
      <c r="W511" s="111"/>
      <c r="X511" s="111"/>
      <c r="Y511" s="112"/>
      <c r="Z511" s="55"/>
      <c r="AA511" s="489"/>
      <c r="AB511" s="26"/>
      <c r="AC511" s="20"/>
      <c r="AD511" s="92"/>
      <c r="AE511" s="93"/>
      <c r="AF511" s="20"/>
      <c r="AG511" s="20"/>
      <c r="AH511" s="20"/>
      <c r="AI511" s="20"/>
    </row>
    <row r="512" spans="2:35" ht="12.75" hidden="1" customHeight="1">
      <c r="G512" s="20"/>
      <c r="H512" s="490"/>
      <c r="I512" s="45"/>
      <c r="J512" s="482"/>
      <c r="K512" s="297"/>
      <c r="L512" s="184" t="s">
        <v>135</v>
      </c>
      <c r="M512" s="45">
        <v>-379.37</v>
      </c>
      <c r="N512" s="69">
        <f t="shared" ref="N512:N534" si="66">N511+M512</f>
        <v>501.06009400000778</v>
      </c>
      <c r="O512" s="48"/>
      <c r="P512" s="133">
        <v>-53.86</v>
      </c>
      <c r="Q512" s="72">
        <f t="shared" si="65"/>
        <v>-15450.817278481009</v>
      </c>
      <c r="R512" s="45">
        <f t="shared" si="64"/>
        <v>99.182721518991457</v>
      </c>
      <c r="S512" s="373" t="s">
        <v>282</v>
      </c>
      <c r="T512" s="298" t="s">
        <v>367</v>
      </c>
      <c r="U512" s="20"/>
      <c r="V512" s="45"/>
      <c r="W512" s="112"/>
      <c r="X512" s="112"/>
      <c r="Y512" s="112"/>
      <c r="Z512" s="55"/>
      <c r="AA512" s="489"/>
      <c r="AB512" s="26"/>
      <c r="AC512" s="20"/>
      <c r="AD512" s="92"/>
      <c r="AE512" s="93"/>
      <c r="AF512" s="20"/>
      <c r="AG512" s="20"/>
      <c r="AH512" s="20"/>
      <c r="AI512" s="20"/>
    </row>
    <row r="513" spans="1:35" ht="12.75" hidden="1" customHeight="1">
      <c r="A513" s="319"/>
      <c r="C513" s="81" t="s">
        <v>17</v>
      </c>
      <c r="E513" s="42"/>
      <c r="G513"/>
      <c r="H513" s="528"/>
      <c r="I513" s="315"/>
      <c r="J513" s="315"/>
      <c r="K513" s="297" t="s">
        <v>223</v>
      </c>
      <c r="L513" s="184" t="s">
        <v>227</v>
      </c>
      <c r="M513" s="45">
        <v>-357</v>
      </c>
      <c r="N513" s="69">
        <f t="shared" si="66"/>
        <v>144.06009400000778</v>
      </c>
      <c r="O513" s="49"/>
      <c r="P513" s="132">
        <v>-50</v>
      </c>
      <c r="Q513" s="72">
        <f t="shared" si="65"/>
        <v>-15500.817278481009</v>
      </c>
      <c r="R513" s="45">
        <f t="shared" si="64"/>
        <v>49.182721518991457</v>
      </c>
      <c r="S513" s="389" t="s">
        <v>247</v>
      </c>
      <c r="T513" s="372"/>
      <c r="U513" s="20"/>
      <c r="V513" s="45"/>
      <c r="W513" s="103"/>
      <c r="X513" s="111"/>
      <c r="Y513" s="112"/>
      <c r="Z513" s="55"/>
      <c r="AA513" s="489"/>
      <c r="AB513" s="95"/>
      <c r="AC513" s="20"/>
      <c r="AD513" s="96"/>
      <c r="AE513" s="93"/>
      <c r="AF513" s="20"/>
      <c r="AG513" s="20"/>
      <c r="AH513" s="20"/>
      <c r="AI513" s="20"/>
    </row>
    <row r="514" spans="1:35" ht="12.75" hidden="1" customHeight="1">
      <c r="A514" s="319"/>
      <c r="D514" s="20" t="s">
        <v>14</v>
      </c>
      <c r="E514" s="42">
        <f>E508</f>
        <v>8502.7000000000007</v>
      </c>
      <c r="F514" s="20"/>
      <c r="G514" s="20"/>
      <c r="H514" s="490">
        <f>SUM(E515:H515)+G516</f>
        <v>868.23999999999978</v>
      </c>
      <c r="I514" s="315"/>
      <c r="J514" s="482"/>
      <c r="K514" s="255"/>
      <c r="L514" s="116" t="s">
        <v>24</v>
      </c>
      <c r="M514" s="45">
        <v>1000</v>
      </c>
      <c r="N514" s="69">
        <f t="shared" si="66"/>
        <v>1144.0600940000077</v>
      </c>
      <c r="O514" s="49"/>
      <c r="P514" s="132">
        <v>-41.95</v>
      </c>
      <c r="Q514" s="72">
        <f t="shared" si="65"/>
        <v>-15542.767278481009</v>
      </c>
      <c r="R514" s="45">
        <f t="shared" si="64"/>
        <v>7.2327215189907292</v>
      </c>
      <c r="S514" s="389" t="s">
        <v>259</v>
      </c>
      <c r="T514" s="372" t="s">
        <v>372</v>
      </c>
      <c r="U514" s="20"/>
      <c r="V514" s="45"/>
      <c r="W514" s="111"/>
      <c r="X514" s="111"/>
      <c r="Y514" s="112"/>
      <c r="Z514" s="55"/>
      <c r="AA514" s="489"/>
      <c r="AB514" s="26"/>
      <c r="AC514" s="20"/>
      <c r="AD514" s="41"/>
      <c r="AE514" s="93"/>
      <c r="AF514" s="20"/>
      <c r="AG514" s="20"/>
      <c r="AH514" s="20"/>
      <c r="AI514" s="20"/>
    </row>
    <row r="515" spans="1:35" ht="12.75" hidden="1" customHeight="1">
      <c r="A515" s="319"/>
      <c r="D515" s="78" t="s">
        <v>13</v>
      </c>
      <c r="E515" s="483">
        <f>E511-E514-M511</f>
        <v>118.23999999999978</v>
      </c>
      <c r="F515" s="482" t="s">
        <v>364</v>
      </c>
      <c r="G515" s="1037">
        <f>M511</f>
        <v>750</v>
      </c>
      <c r="H515" s="1037"/>
      <c r="I515" s="315"/>
      <c r="J515" s="315"/>
      <c r="K515" s="258"/>
      <c r="L515" s="79" t="s">
        <v>290</v>
      </c>
      <c r="M515" s="45">
        <v>-492.95</v>
      </c>
      <c r="N515" s="69">
        <f t="shared" si="66"/>
        <v>651.11009400000762</v>
      </c>
      <c r="O515" s="49"/>
      <c r="P515" s="49">
        <f>E515</f>
        <v>118.23999999999978</v>
      </c>
      <c r="Q515" s="73">
        <f t="shared" si="65"/>
        <v>-15424.527278481009</v>
      </c>
      <c r="R515" s="52">
        <f t="shared" si="64"/>
        <v>125.47272151899051</v>
      </c>
      <c r="S515" s="373" t="s">
        <v>280</v>
      </c>
      <c r="T515" s="522"/>
      <c r="U515" s="20"/>
      <c r="V515" s="133"/>
      <c r="W515" s="20"/>
      <c r="X515" s="20"/>
      <c r="Y515" s="112"/>
      <c r="Z515" s="239"/>
      <c r="AA515" s="94"/>
      <c r="AB515" s="26"/>
      <c r="AC515" s="20"/>
      <c r="AD515" s="92"/>
      <c r="AE515" s="93"/>
      <c r="AF515" s="20"/>
      <c r="AG515" s="20"/>
      <c r="AH515" s="20"/>
      <c r="AI515" s="20"/>
    </row>
    <row r="516" spans="1:35" ht="12.75" hidden="1" customHeight="1" thickBot="1">
      <c r="A516" s="319"/>
      <c r="D516" s="20"/>
      <c r="E516" s="26"/>
      <c r="F516" s="482"/>
      <c r="G516" s="1043"/>
      <c r="H516" s="1043"/>
      <c r="I516" s="315"/>
      <c r="J516" s="315"/>
      <c r="K516" s="255"/>
      <c r="L516" s="116" t="s">
        <v>133</v>
      </c>
      <c r="M516" s="45">
        <v>-100</v>
      </c>
      <c r="N516" s="69">
        <f t="shared" si="66"/>
        <v>551.11009400000762</v>
      </c>
      <c r="O516" s="39"/>
      <c r="P516" s="64">
        <f>SUM(P509:P515)</f>
        <v>-15424.527278481009</v>
      </c>
      <c r="Q516" s="287" t="s">
        <v>243</v>
      </c>
      <c r="R516" s="317"/>
      <c r="S516" s="373"/>
      <c r="T516" s="522"/>
      <c r="U516" s="20"/>
      <c r="V516" s="45"/>
      <c r="W516" s="26"/>
      <c r="X516" s="20"/>
      <c r="Y516" s="112"/>
      <c r="Z516" s="239"/>
      <c r="AA516" s="94"/>
      <c r="AB516" s="95"/>
      <c r="AC516" s="20"/>
      <c r="AD516" s="92"/>
      <c r="AE516" s="93"/>
      <c r="AF516" s="20"/>
      <c r="AG516" s="20"/>
      <c r="AH516" s="20"/>
      <c r="AI516" s="20"/>
    </row>
    <row r="517" spans="1:35" ht="12.75" hidden="1" customHeight="1" thickTop="1">
      <c r="A517" s="319"/>
      <c r="D517" s="20"/>
      <c r="E517" s="26"/>
      <c r="F517" s="122"/>
      <c r="G517" s="1038">
        <f>E514+E515+G515+G516</f>
        <v>9370.94</v>
      </c>
      <c r="H517" s="1038"/>
      <c r="I517" s="315"/>
      <c r="J517" s="315"/>
      <c r="K517" s="255" t="s">
        <v>368</v>
      </c>
      <c r="L517" s="116" t="s">
        <v>369</v>
      </c>
      <c r="M517" s="45">
        <v>200</v>
      </c>
      <c r="N517" s="69">
        <f t="shared" si="66"/>
        <v>751.11009400000762</v>
      </c>
      <c r="O517" s="39"/>
      <c r="P517" s="68"/>
      <c r="Q517" s="63"/>
      <c r="R517" s="63"/>
      <c r="S517" s="373"/>
      <c r="T517" s="522"/>
      <c r="U517" s="20"/>
      <c r="V517" s="45"/>
      <c r="W517" s="26"/>
      <c r="X517" s="20"/>
      <c r="Y517" s="112"/>
      <c r="Z517" s="239"/>
      <c r="AA517" s="94"/>
      <c r="AB517" s="26"/>
      <c r="AC517" s="20"/>
      <c r="AD517" s="92"/>
      <c r="AE517" s="97"/>
      <c r="AF517" s="20"/>
      <c r="AG517" s="20"/>
      <c r="AH517" s="20"/>
      <c r="AI517" s="20"/>
    </row>
    <row r="518" spans="1:35" ht="12.75" hidden="1" customHeight="1">
      <c r="A518" s="319"/>
      <c r="D518" s="20"/>
      <c r="E518" s="26"/>
      <c r="F518" s="122"/>
      <c r="G518" s="523"/>
      <c r="H518" s="523"/>
      <c r="I518" s="315"/>
      <c r="J518" s="482"/>
      <c r="K518" s="255"/>
      <c r="L518" s="116" t="s">
        <v>102</v>
      </c>
      <c r="M518" s="45">
        <v>50</v>
      </c>
      <c r="N518" s="69">
        <f t="shared" si="66"/>
        <v>801.11009400000762</v>
      </c>
      <c r="O518" s="39"/>
      <c r="P518" s="68"/>
      <c r="Q518" s="63"/>
      <c r="R518" s="63"/>
      <c r="S518" s="373"/>
      <c r="T518" s="522"/>
      <c r="U518" s="74"/>
      <c r="V518" s="45"/>
      <c r="W518" s="26"/>
      <c r="X518" s="20"/>
      <c r="Y518" s="112"/>
      <c r="Z518" s="239"/>
      <c r="AA518" s="94"/>
      <c r="AB518" s="26"/>
      <c r="AC518" s="20"/>
      <c r="AD518" s="20"/>
      <c r="AE518" s="93"/>
      <c r="AF518" s="20"/>
      <c r="AG518" s="20"/>
      <c r="AH518" s="20"/>
      <c r="AI518" s="20"/>
    </row>
    <row r="519" spans="1:35" ht="12.75" hidden="1" customHeight="1">
      <c r="A519" s="319"/>
      <c r="D519" s="20"/>
      <c r="E519" s="26"/>
      <c r="F519" s="122"/>
      <c r="G519" s="523"/>
      <c r="H519" s="523"/>
      <c r="I519" s="315"/>
      <c r="J519" s="315"/>
      <c r="K519" s="255"/>
      <c r="L519" s="116" t="s">
        <v>370</v>
      </c>
      <c r="M519" s="45">
        <v>-250</v>
      </c>
      <c r="N519" s="69">
        <f t="shared" si="66"/>
        <v>551.11009400000762</v>
      </c>
      <c r="O519" s="39"/>
      <c r="P519" s="300"/>
      <c r="Q519" s="270"/>
      <c r="R519" s="63"/>
      <c r="S519" s="373"/>
      <c r="T519" s="522"/>
      <c r="U519" s="74"/>
      <c r="V519" s="26"/>
      <c r="W519" s="26"/>
      <c r="X519" s="91"/>
      <c r="Y519" s="20"/>
      <c r="Z519" s="239"/>
      <c r="AA519" s="94"/>
      <c r="AB519" s="95"/>
      <c r="AC519" s="20"/>
      <c r="AD519" s="98"/>
      <c r="AE519" s="93"/>
      <c r="AF519" s="529"/>
      <c r="AG519" s="20"/>
      <c r="AH519" s="20"/>
      <c r="AI519" s="20"/>
    </row>
    <row r="520" spans="1:35" ht="12.75" hidden="1" customHeight="1">
      <c r="A520" s="319"/>
      <c r="D520" s="20"/>
      <c r="E520" s="26"/>
      <c r="F520" s="122"/>
      <c r="G520" s="523"/>
      <c r="H520" s="523"/>
      <c r="I520" s="315"/>
      <c r="J520" s="315"/>
      <c r="K520" s="255"/>
      <c r="L520" s="116" t="s">
        <v>51</v>
      </c>
      <c r="M520" s="45">
        <v>1000</v>
      </c>
      <c r="N520" s="69">
        <f t="shared" si="66"/>
        <v>1551.1100940000076</v>
      </c>
      <c r="O520" s="39"/>
      <c r="P520" s="418"/>
      <c r="Q520" s="270"/>
      <c r="R520" s="63"/>
      <c r="S520" s="373"/>
      <c r="T520" s="522"/>
      <c r="U520" s="65"/>
      <c r="V520" s="26"/>
      <c r="W520" s="26"/>
      <c r="X520" s="35"/>
      <c r="Y520" s="20"/>
      <c r="Z520" s="239"/>
      <c r="AA520" s="94"/>
      <c r="AB520" s="26"/>
      <c r="AC520" s="20"/>
      <c r="AD520" s="20"/>
      <c r="AE520" s="20"/>
      <c r="AF520" s="99"/>
      <c r="AG520" s="20"/>
      <c r="AH520" s="20"/>
      <c r="AI520" s="20"/>
    </row>
    <row r="521" spans="1:35" ht="12.75" hidden="1" customHeight="1">
      <c r="A521" s="319"/>
      <c r="D521" s="20"/>
      <c r="E521" s="26"/>
      <c r="F521" s="122"/>
      <c r="G521" s="536"/>
      <c r="H521" s="536"/>
      <c r="I521" s="315"/>
      <c r="J521" s="315"/>
      <c r="K521" s="255"/>
      <c r="L521" s="116" t="s">
        <v>377</v>
      </c>
      <c r="M521" s="45">
        <v>-269.3</v>
      </c>
      <c r="N521" s="69">
        <f t="shared" si="66"/>
        <v>1281.8100940000077</v>
      </c>
      <c r="O521" s="39"/>
      <c r="P521" s="418"/>
      <c r="Q521" s="270"/>
      <c r="R521" s="63"/>
      <c r="S521" s="373"/>
      <c r="T521" s="535"/>
      <c r="U521" s="65"/>
      <c r="V521" s="26"/>
      <c r="W521" s="26"/>
      <c r="X521" s="35"/>
      <c r="Y521" s="20"/>
      <c r="Z521" s="239"/>
      <c r="AA521" s="94"/>
      <c r="AB521" s="26"/>
      <c r="AC521" s="20"/>
      <c r="AD521" s="20"/>
      <c r="AE521" s="20"/>
      <c r="AF521" s="99"/>
      <c r="AG521" s="20"/>
      <c r="AH521" s="20"/>
      <c r="AI521" s="20"/>
    </row>
    <row r="522" spans="1:35" ht="12.75" hidden="1" customHeight="1">
      <c r="A522" s="319"/>
      <c r="D522" s="20"/>
      <c r="E522" s="26"/>
      <c r="F522" s="122"/>
      <c r="G522" s="536"/>
      <c r="H522" s="536"/>
      <c r="I522" s="315"/>
      <c r="J522" s="315"/>
      <c r="K522" s="255"/>
      <c r="L522" s="116" t="s">
        <v>376</v>
      </c>
      <c r="M522" s="108">
        <v>-209</v>
      </c>
      <c r="N522" s="69">
        <f t="shared" si="66"/>
        <v>1072.8100940000077</v>
      </c>
      <c r="O522" s="39"/>
      <c r="P522" s="418"/>
      <c r="Q522" s="270"/>
      <c r="R522" s="63"/>
      <c r="S522" s="373"/>
      <c r="T522" s="535"/>
      <c r="U522" s="65"/>
      <c r="V522" s="26"/>
      <c r="W522" s="26"/>
      <c r="X522" s="35"/>
      <c r="Y522" s="20"/>
      <c r="Z522" s="239"/>
      <c r="AA522" s="94"/>
      <c r="AB522" s="26"/>
      <c r="AC522" s="20"/>
      <c r="AD522" s="20"/>
      <c r="AE522" s="20"/>
      <c r="AF522" s="99"/>
      <c r="AG522" s="20"/>
      <c r="AH522" s="20"/>
      <c r="AI522" s="20"/>
    </row>
    <row r="523" spans="1:35" ht="12.75" hidden="1" customHeight="1">
      <c r="A523" s="319"/>
      <c r="D523" s="20"/>
      <c r="E523" s="26"/>
      <c r="F523" s="122"/>
      <c r="G523" s="536"/>
      <c r="H523" s="536"/>
      <c r="I523" s="315"/>
      <c r="J523" s="315"/>
      <c r="K523" s="255"/>
      <c r="L523" s="116" t="s">
        <v>135</v>
      </c>
      <c r="M523" s="45">
        <v>-157.96</v>
      </c>
      <c r="N523" s="69">
        <f t="shared" si="66"/>
        <v>914.85009400000763</v>
      </c>
      <c r="O523" s="39"/>
      <c r="P523" s="418"/>
      <c r="Q523" s="270"/>
      <c r="R523" s="63"/>
      <c r="S523" s="373"/>
      <c r="T523" s="535"/>
      <c r="U523" s="65"/>
      <c r="V523" s="26"/>
      <c r="W523" s="26"/>
      <c r="X523" s="35"/>
      <c r="Y523" s="20"/>
      <c r="Z523" s="239"/>
      <c r="AA523" s="94"/>
      <c r="AB523" s="26"/>
      <c r="AC523" s="20"/>
      <c r="AD523" s="20"/>
      <c r="AE523" s="20"/>
      <c r="AF523" s="99"/>
      <c r="AG523" s="20"/>
      <c r="AH523" s="20"/>
      <c r="AI523" s="20"/>
    </row>
    <row r="524" spans="1:35" ht="12.75" hidden="1" customHeight="1">
      <c r="A524" s="548"/>
      <c r="B524" s="548"/>
      <c r="C524" s="548"/>
      <c r="D524" s="548"/>
      <c r="E524" s="548"/>
      <c r="F524" s="548"/>
      <c r="G524" s="548"/>
      <c r="H524" s="486"/>
      <c r="I524" s="493"/>
      <c r="K524" s="264"/>
      <c r="L524" s="116" t="s">
        <v>207</v>
      </c>
      <c r="M524" s="45">
        <v>-200</v>
      </c>
      <c r="N524" s="69">
        <f t="shared" si="66"/>
        <v>714.85009400000763</v>
      </c>
      <c r="O524" s="39"/>
      <c r="P524" s="327"/>
      <c r="Q524" s="63"/>
      <c r="R524" s="63"/>
      <c r="S524" s="373"/>
      <c r="T524" s="522"/>
      <c r="U524" s="65"/>
      <c r="V524" s="20"/>
      <c r="W524" s="20"/>
      <c r="X524" s="20"/>
      <c r="Y524" s="111"/>
      <c r="Z524" s="239"/>
      <c r="AA524" s="94"/>
      <c r="AB524" s="26"/>
      <c r="AC524" s="20"/>
      <c r="AD524" s="20"/>
      <c r="AE524" s="20"/>
      <c r="AF524" s="20"/>
      <c r="AG524" s="20"/>
      <c r="AH524" s="20"/>
      <c r="AI524" s="20"/>
    </row>
    <row r="525" spans="1:35" ht="12.75" hidden="1" customHeight="1">
      <c r="A525" s="548"/>
      <c r="B525" s="548"/>
      <c r="C525" s="548"/>
      <c r="D525" s="548"/>
      <c r="E525" s="548"/>
      <c r="F525" s="548"/>
      <c r="G525" s="548"/>
      <c r="H525" s="485"/>
      <c r="I525" s="495"/>
      <c r="K525" s="258" t="s">
        <v>371</v>
      </c>
      <c r="L525" s="266" t="s">
        <v>51</v>
      </c>
      <c r="M525" s="146">
        <f>E514-M520</f>
        <v>7502.7000000000007</v>
      </c>
      <c r="N525" s="69">
        <f t="shared" si="66"/>
        <v>8217.5500940000093</v>
      </c>
      <c r="O525" s="39"/>
      <c r="P525" s="327"/>
      <c r="Q525" s="63"/>
      <c r="R525" s="63"/>
      <c r="S525" s="380"/>
      <c r="T525" s="522"/>
      <c r="U525" s="65"/>
      <c r="V525" s="20"/>
      <c r="W525" s="20"/>
      <c r="X525" s="20"/>
      <c r="Y525" s="111"/>
      <c r="Z525" s="239"/>
      <c r="AA525" s="94"/>
      <c r="AB525" s="26"/>
      <c r="AC525" s="20"/>
      <c r="AD525" s="20"/>
      <c r="AE525" s="20"/>
      <c r="AF525" s="20"/>
      <c r="AG525" s="529"/>
      <c r="AH525" s="20"/>
      <c r="AI525" s="20"/>
    </row>
    <row r="526" spans="1:35" ht="12.75" hidden="1" customHeight="1">
      <c r="A526" s="402"/>
      <c r="B526" s="402"/>
      <c r="C526" s="403"/>
      <c r="D526" s="404"/>
      <c r="E526" s="405"/>
      <c r="F526" s="406"/>
      <c r="G526" s="407"/>
      <c r="H526" s="485"/>
      <c r="I526" s="495"/>
      <c r="J526" s="511"/>
      <c r="K526" s="258" t="s">
        <v>371</v>
      </c>
      <c r="L526" s="266" t="s">
        <v>358</v>
      </c>
      <c r="M526" s="146">
        <f>-3830</f>
        <v>-3830</v>
      </c>
      <c r="N526" s="69">
        <f t="shared" si="66"/>
        <v>4387.5500940000093</v>
      </c>
      <c r="O526" s="39"/>
      <c r="P526" s="68"/>
      <c r="Q526" s="100"/>
      <c r="R526" s="107"/>
      <c r="S526" s="377"/>
      <c r="T526" s="522"/>
      <c r="U526" s="83"/>
      <c r="V526" s="20"/>
      <c r="W526" s="20"/>
      <c r="X526" s="20"/>
      <c r="Y526" s="111"/>
      <c r="Z526" s="239"/>
      <c r="AA526" s="94"/>
      <c r="AB526" s="26"/>
      <c r="AC526" s="20"/>
      <c r="AD526" s="20"/>
      <c r="AE526" s="20"/>
      <c r="AF526" s="20"/>
      <c r="AG526" s="20"/>
      <c r="AH526" s="20"/>
      <c r="AI526" s="20"/>
    </row>
    <row r="527" spans="1:35" ht="12.75" hidden="1" customHeight="1">
      <c r="A527" s="333"/>
      <c r="B527" s="333"/>
      <c r="C527" s="333"/>
      <c r="D527" s="48"/>
      <c r="E527" s="133"/>
      <c r="F527" s="50"/>
      <c r="G527" s="409"/>
      <c r="H527" s="536"/>
      <c r="J527" s="511"/>
      <c r="K527" s="258" t="s">
        <v>371</v>
      </c>
      <c r="L527" s="266" t="s">
        <v>195</v>
      </c>
      <c r="M527" s="45">
        <v>-1738</v>
      </c>
      <c r="N527" s="69">
        <f t="shared" si="66"/>
        <v>2649.5500940000093</v>
      </c>
      <c r="O527" s="26"/>
      <c r="P527" s="499"/>
      <c r="Q527" s="500"/>
      <c r="R527" s="501"/>
      <c r="S527" s="502"/>
      <c r="T527" s="503"/>
      <c r="U527" s="20"/>
      <c r="V527" s="26"/>
      <c r="W527" s="26"/>
      <c r="X527" s="91"/>
      <c r="Y527" s="20"/>
      <c r="Z527" s="239"/>
      <c r="AA527" s="94"/>
      <c r="AB527" s="26"/>
      <c r="AC527" s="20"/>
      <c r="AD527" s="20"/>
      <c r="AE527" s="20"/>
      <c r="AF527" s="20"/>
      <c r="AG527" s="20"/>
      <c r="AH527" s="20"/>
      <c r="AI527" s="20"/>
    </row>
    <row r="528" spans="1:35" ht="12.75" hidden="1" customHeight="1">
      <c r="A528" s="333"/>
      <c r="B528" s="333"/>
      <c r="C528" s="410"/>
      <c r="D528" s="404"/>
      <c r="E528" s="405"/>
      <c r="F528" s="50"/>
      <c r="G528" s="409"/>
      <c r="H528" s="536"/>
      <c r="I528" s="517"/>
      <c r="K528" s="258" t="s">
        <v>371</v>
      </c>
      <c r="L528" s="266" t="s">
        <v>332</v>
      </c>
      <c r="M528" s="45">
        <v>-500</v>
      </c>
      <c r="N528" s="69">
        <f t="shared" si="66"/>
        <v>2149.5500940000093</v>
      </c>
      <c r="O528" s="26"/>
      <c r="P528" s="499"/>
      <c r="Q528" s="500"/>
      <c r="R528" s="501"/>
      <c r="S528" s="502"/>
      <c r="T528" s="503"/>
      <c r="U528" s="20"/>
      <c r="V528" s="26"/>
      <c r="W528" s="26"/>
      <c r="X528" s="91"/>
      <c r="Y528" s="20"/>
      <c r="Z528" s="239"/>
      <c r="AA528" s="94"/>
      <c r="AB528" s="26"/>
      <c r="AC528" s="20"/>
      <c r="AD528" s="20"/>
      <c r="AE528" s="20"/>
      <c r="AF528" s="20"/>
      <c r="AG528" s="20"/>
      <c r="AH528" s="20"/>
      <c r="AI528" s="20"/>
    </row>
    <row r="529" spans="1:35" ht="12.75" hidden="1" customHeight="1">
      <c r="A529" s="333"/>
      <c r="B529" s="333"/>
      <c r="C529" s="333"/>
      <c r="D529" s="48"/>
      <c r="E529" s="133"/>
      <c r="F529" s="50"/>
      <c r="G529" s="409"/>
      <c r="H529" s="536"/>
      <c r="J529" s="511"/>
      <c r="K529" s="258" t="s">
        <v>371</v>
      </c>
      <c r="L529" s="266" t="s">
        <v>333</v>
      </c>
      <c r="M529" s="45">
        <v>-180</v>
      </c>
      <c r="N529" s="69">
        <f t="shared" si="66"/>
        <v>1969.5500940000093</v>
      </c>
      <c r="O529" s="26"/>
      <c r="P529" s="499"/>
      <c r="Q529" s="500"/>
      <c r="R529" s="501"/>
      <c r="S529" s="502"/>
      <c r="T529" s="503"/>
      <c r="U529" s="20"/>
      <c r="V529" s="26"/>
      <c r="W529" s="26"/>
      <c r="X529" s="91"/>
      <c r="Y529" s="20"/>
      <c r="Z529" s="239"/>
      <c r="AA529" s="94"/>
      <c r="AB529" s="26"/>
      <c r="AC529" s="20"/>
      <c r="AD529" s="20"/>
      <c r="AE529" s="20"/>
      <c r="AF529" s="20"/>
      <c r="AG529" s="20"/>
      <c r="AH529" s="20"/>
      <c r="AI529" s="20"/>
    </row>
    <row r="530" spans="1:35" ht="12.75" hidden="1" customHeight="1">
      <c r="A530" s="333"/>
      <c r="B530" s="333"/>
      <c r="C530" s="402"/>
      <c r="D530" s="408"/>
      <c r="E530" s="133"/>
      <c r="F530" s="50"/>
      <c r="G530" s="370"/>
      <c r="H530" s="523"/>
      <c r="I530" s="493"/>
      <c r="K530" s="258" t="s">
        <v>371</v>
      </c>
      <c r="L530" s="266" t="s">
        <v>180</v>
      </c>
      <c r="M530" s="45">
        <v>-69</v>
      </c>
      <c r="N530" s="69">
        <f t="shared" si="66"/>
        <v>1900.5500940000093</v>
      </c>
      <c r="O530" s="42"/>
      <c r="P530" s="499"/>
      <c r="Q530" s="500"/>
      <c r="R530" s="501"/>
      <c r="S530" s="502"/>
      <c r="T530" s="503"/>
      <c r="U530" s="84"/>
      <c r="V530" s="26"/>
      <c r="W530" s="26"/>
      <c r="X530" s="91"/>
      <c r="Y530" s="20"/>
      <c r="Z530" s="239"/>
      <c r="AA530" s="94"/>
      <c r="AB530" s="26"/>
      <c r="AC530" s="20"/>
      <c r="AD530" s="20"/>
      <c r="AE530" s="20"/>
      <c r="AF530" s="20"/>
      <c r="AG530" s="20"/>
      <c r="AH530" s="20"/>
      <c r="AI530" s="20"/>
    </row>
    <row r="531" spans="1:35" ht="12.75" hidden="1" customHeight="1">
      <c r="A531" s="333"/>
      <c r="B531" s="333"/>
      <c r="C531" s="333"/>
      <c r="D531" s="408"/>
      <c r="E531" s="133"/>
      <c r="F531" s="50"/>
      <c r="G531" s="370"/>
      <c r="H531" s="523"/>
      <c r="I531" s="510"/>
      <c r="J531" s="511"/>
      <c r="K531" s="258" t="s">
        <v>371</v>
      </c>
      <c r="L531" s="266" t="s">
        <v>61</v>
      </c>
      <c r="M531" s="45">
        <v>-203.5</v>
      </c>
      <c r="N531" s="69">
        <f t="shared" si="66"/>
        <v>1697.0500940000093</v>
      </c>
      <c r="O531" s="26"/>
      <c r="P531" s="499"/>
      <c r="Q531" s="500"/>
      <c r="R531" s="501"/>
      <c r="S531" s="502"/>
      <c r="T531" s="503"/>
      <c r="U531" s="20"/>
      <c r="V531" s="26"/>
      <c r="W531" s="26"/>
      <c r="X531" s="91"/>
      <c r="Y531" s="20"/>
      <c r="Z531" s="239"/>
      <c r="AA531" s="94"/>
      <c r="AB531" s="26"/>
      <c r="AC531" s="20"/>
      <c r="AD531" s="20"/>
      <c r="AE531" s="20"/>
      <c r="AF531" s="20"/>
      <c r="AG531" s="20"/>
      <c r="AH531" s="20"/>
      <c r="AI531" s="20"/>
    </row>
    <row r="532" spans="1:35" ht="12.75" hidden="1" customHeight="1">
      <c r="A532" s="333"/>
      <c r="B532" s="333"/>
      <c r="C532" s="333"/>
      <c r="D532" s="48"/>
      <c r="E532" s="133"/>
      <c r="F532" s="50"/>
      <c r="G532" s="409"/>
      <c r="H532" s="523"/>
      <c r="K532" s="258" t="s">
        <v>371</v>
      </c>
      <c r="L532" s="266" t="s">
        <v>148</v>
      </c>
      <c r="M532" s="45">
        <v>250</v>
      </c>
      <c r="N532" s="69">
        <f t="shared" si="66"/>
        <v>1947.0500940000093</v>
      </c>
      <c r="O532" s="26"/>
      <c r="P532" s="499"/>
      <c r="Q532" s="500"/>
      <c r="R532" s="501"/>
      <c r="S532" s="502"/>
      <c r="T532" s="503"/>
      <c r="U532" s="20"/>
      <c r="V532" s="26"/>
      <c r="W532" s="26"/>
      <c r="X532" s="91"/>
      <c r="Y532" s="20"/>
      <c r="Z532" s="239"/>
      <c r="AA532" s="94"/>
      <c r="AB532" s="26"/>
      <c r="AC532" s="20"/>
      <c r="AD532" s="20"/>
      <c r="AE532" s="20"/>
      <c r="AF532" s="20"/>
      <c r="AG532" s="20"/>
      <c r="AH532" s="20"/>
      <c r="AI532" s="20"/>
    </row>
    <row r="533" spans="1:35" ht="12.75" hidden="1" customHeight="1">
      <c r="A533" s="333"/>
      <c r="B533" s="333"/>
      <c r="C533" s="333"/>
      <c r="D533" s="411"/>
      <c r="E533" s="133"/>
      <c r="F533" s="50"/>
      <c r="G533" s="409"/>
      <c r="H533" s="523"/>
      <c r="I533" s="401"/>
      <c r="J533" s="517"/>
      <c r="K533" s="85" t="s">
        <v>189</v>
      </c>
      <c r="L533" s="267" t="s">
        <v>16</v>
      </c>
      <c r="M533" s="175">
        <v>-403.99</v>
      </c>
      <c r="N533" s="69">
        <f t="shared" si="66"/>
        <v>1543.0600940000093</v>
      </c>
      <c r="O533" s="26"/>
      <c r="P533" s="499"/>
      <c r="Q533" s="500"/>
      <c r="R533" s="501"/>
      <c r="S533" s="502"/>
      <c r="T533" s="503"/>
      <c r="U533" s="20"/>
      <c r="V533" s="26"/>
      <c r="W533" s="26"/>
      <c r="X533" s="91"/>
      <c r="Y533" s="20"/>
      <c r="Z533" s="239"/>
      <c r="AA533" s="94"/>
      <c r="AB533" s="26"/>
      <c r="AC533" s="20"/>
      <c r="AD533" s="20"/>
      <c r="AE533" s="20"/>
      <c r="AF533" s="20"/>
      <c r="AG533" s="20"/>
      <c r="AH533" s="20"/>
      <c r="AI533" s="20"/>
    </row>
    <row r="534" spans="1:35" ht="12.75" hidden="1" customHeight="1">
      <c r="A534" s="333"/>
      <c r="B534" s="333"/>
      <c r="C534" s="333"/>
      <c r="D534" s="408"/>
      <c r="E534" s="133"/>
      <c r="F534" s="50"/>
      <c r="G534" s="409"/>
      <c r="H534" s="523"/>
      <c r="K534" s="258" t="s">
        <v>252</v>
      </c>
      <c r="L534" s="268" t="s">
        <v>56</v>
      </c>
      <c r="M534" s="175">
        <v>-605</v>
      </c>
      <c r="N534" s="69">
        <f t="shared" si="66"/>
        <v>938.06009400000926</v>
      </c>
      <c r="O534" s="26"/>
      <c r="P534" s="499"/>
      <c r="Q534" s="500"/>
      <c r="R534" s="501"/>
      <c r="S534" s="502"/>
      <c r="T534" s="503"/>
      <c r="U534" s="20"/>
      <c r="V534" s="26"/>
      <c r="W534" s="26"/>
      <c r="X534" s="91"/>
      <c r="Y534" s="20"/>
      <c r="Z534" s="239"/>
      <c r="AA534" s="94"/>
      <c r="AB534" s="26"/>
      <c r="AC534" s="20"/>
      <c r="AD534" s="20"/>
      <c r="AE534" s="20"/>
      <c r="AF534" s="20"/>
      <c r="AG534" s="20"/>
      <c r="AH534" s="20"/>
      <c r="AI534" s="20"/>
    </row>
    <row r="535" spans="1:35" s="20" customFormat="1" hidden="1">
      <c r="A535" s="333"/>
      <c r="B535" s="333"/>
      <c r="C535" s="333"/>
      <c r="D535" s="333"/>
      <c r="E535" s="48"/>
      <c r="F535" s="333"/>
      <c r="G535" s="330"/>
      <c r="K535" s="321" t="s">
        <v>190</v>
      </c>
      <c r="L535" s="269" t="s">
        <v>23</v>
      </c>
      <c r="M535" s="540">
        <v>-292.08999999999997</v>
      </c>
      <c r="N535" s="70">
        <f>N534+M535</f>
        <v>645.97009400000934</v>
      </c>
      <c r="P535" s="499"/>
      <c r="Q535" s="500"/>
      <c r="R535" s="501"/>
      <c r="S535" s="502"/>
      <c r="T535" s="503"/>
      <c r="Z535" s="26"/>
      <c r="AA535" s="530"/>
      <c r="AB535" s="26"/>
    </row>
    <row r="536" spans="1:35" hidden="1">
      <c r="A536" s="333"/>
      <c r="B536" s="333"/>
      <c r="C536" s="333"/>
      <c r="D536" s="333"/>
      <c r="E536" s="48"/>
      <c r="F536" s="333"/>
      <c r="G536" s="330"/>
      <c r="L536" s="23"/>
      <c r="M536" s="168">
        <f>SUM(M509:M535)</f>
        <v>645.97009400000934</v>
      </c>
      <c r="N536" s="296"/>
    </row>
    <row r="537" spans="1:35" s="78" customFormat="1" hidden="1">
      <c r="E537" s="15"/>
      <c r="G537" s="129"/>
      <c r="K537" s="257"/>
      <c r="M537" s="15"/>
      <c r="P537" s="15"/>
      <c r="Q537" s="15"/>
      <c r="R537" s="15"/>
      <c r="S537" s="385"/>
      <c r="Z537" s="15"/>
      <c r="AA537" s="130"/>
      <c r="AB537" s="15"/>
    </row>
    <row r="538" spans="1:35" hidden="1"/>
    <row r="539" spans="1:35" ht="12.75" hidden="1" customHeight="1">
      <c r="B539" s="1030" t="s">
        <v>373</v>
      </c>
      <c r="C539" s="1030"/>
      <c r="D539" s="1030"/>
      <c r="E539" s="1030"/>
      <c r="G539" s="261"/>
      <c r="H539" s="261"/>
      <c r="I539" s="26"/>
      <c r="K539" s="258"/>
      <c r="L539" s="100"/>
      <c r="M539" s="1031" t="s">
        <v>54</v>
      </c>
      <c r="N539" s="557"/>
      <c r="O539" s="552"/>
      <c r="P539" s="1033" t="s">
        <v>48</v>
      </c>
      <c r="Q539" s="1035" t="s">
        <v>242</v>
      </c>
      <c r="R539" s="1035"/>
      <c r="S539" s="377"/>
      <c r="X539" s="35"/>
      <c r="Y539" s="35"/>
      <c r="Z539" s="26"/>
      <c r="AA539" s="554"/>
      <c r="AB539" s="26"/>
      <c r="AC539" s="20"/>
      <c r="AD539" s="20"/>
      <c r="AE539" s="20"/>
      <c r="AF539" s="20"/>
      <c r="AG539" s="20"/>
      <c r="AH539" s="20"/>
      <c r="AI539" s="20"/>
    </row>
    <row r="540" spans="1:35" ht="12.75" hidden="1" customHeight="1">
      <c r="C540" s="17" t="s">
        <v>357</v>
      </c>
      <c r="D540" s="14"/>
      <c r="E540" s="44">
        <v>8502.7000000000007</v>
      </c>
      <c r="G540" s="1040"/>
      <c r="H540" s="1040"/>
      <c r="I540" s="26"/>
      <c r="K540" s="260" t="s">
        <v>221</v>
      </c>
      <c r="L540" s="156"/>
      <c r="M540" s="1032"/>
      <c r="N540" s="557" t="s">
        <v>43</v>
      </c>
      <c r="O540" s="552"/>
      <c r="P540" s="1034"/>
      <c r="Q540" s="555" t="s">
        <v>43</v>
      </c>
      <c r="R540" s="556" t="s">
        <v>53</v>
      </c>
      <c r="S540" s="377"/>
      <c r="X540" s="118"/>
      <c r="Y540" s="111"/>
      <c r="Z540" s="117"/>
      <c r="AA540" s="89"/>
      <c r="AB540" s="90"/>
      <c r="AC540" s="20"/>
      <c r="AD540" s="41"/>
      <c r="AE540" s="20"/>
      <c r="AF540" s="20"/>
      <c r="AG540" s="20"/>
      <c r="AH540" s="20"/>
      <c r="AI540" s="20"/>
    </row>
    <row r="541" spans="1:35" ht="12.75" hidden="1" customHeight="1">
      <c r="C541" s="17"/>
      <c r="D541" s="14" t="s">
        <v>24</v>
      </c>
      <c r="E541" s="44">
        <f>'[2]AUG ''12'!$C$81</f>
        <v>1022.35</v>
      </c>
      <c r="G541" s="30"/>
      <c r="H541" s="1041">
        <f>SUM(E541:E542)</f>
        <v>1960.1</v>
      </c>
      <c r="I541" s="26"/>
      <c r="K541" s="273"/>
      <c r="L541" s="235" t="s">
        <v>226</v>
      </c>
      <c r="M541" s="45">
        <f>$M$536</f>
        <v>645.97009400000934</v>
      </c>
      <c r="N541" s="286">
        <f>M541</f>
        <v>645.97009400000934</v>
      </c>
      <c r="O541" s="26"/>
      <c r="P541" s="45">
        <f>$Q$515</f>
        <v>-15424.527278481009</v>
      </c>
      <c r="Q541" s="71">
        <f>P541</f>
        <v>-15424.527278481009</v>
      </c>
      <c r="R541" s="45">
        <f>15550+Q541</f>
        <v>125.47272151899051</v>
      </c>
      <c r="S541" s="378" t="s">
        <v>298</v>
      </c>
      <c r="T541" s="367" t="s">
        <v>299</v>
      </c>
      <c r="W541" s="392"/>
      <c r="X541" s="111"/>
      <c r="Y541" s="111"/>
      <c r="Z541" s="45"/>
      <c r="AA541" s="488"/>
      <c r="AB541" s="26"/>
      <c r="AC541" s="20"/>
      <c r="AD541" s="92"/>
      <c r="AE541" s="93"/>
      <c r="AF541" s="20"/>
      <c r="AG541" s="20"/>
      <c r="AH541" s="20"/>
      <c r="AI541" s="20"/>
    </row>
    <row r="542" spans="1:35" ht="12.75" hidden="1" customHeight="1">
      <c r="C542" s="17"/>
      <c r="D542" s="143" t="s">
        <v>225</v>
      </c>
      <c r="E542" s="15">
        <f>'[2]JULY ''12'!$C$80</f>
        <v>937.75</v>
      </c>
      <c r="G542"/>
      <c r="H542" s="1041"/>
      <c r="I542" s="26"/>
      <c r="K542" s="273"/>
      <c r="L542" s="235" t="s">
        <v>322</v>
      </c>
      <c r="M542" s="45">
        <v>-65.900000000000006</v>
      </c>
      <c r="N542" s="531">
        <f t="shared" ref="N542:N578" si="67">N541+M542</f>
        <v>580.07009400000936</v>
      </c>
      <c r="O542" s="65"/>
      <c r="P542" s="133">
        <v>-182.75</v>
      </c>
      <c r="Q542" s="72">
        <f>Q541+P542</f>
        <v>-15607.277278481009</v>
      </c>
      <c r="R542" s="45">
        <f>15550+Q542</f>
        <v>-57.277278481009489</v>
      </c>
      <c r="S542" s="373" t="s">
        <v>378</v>
      </c>
      <c r="T542" s="391"/>
      <c r="W542" s="111"/>
      <c r="X542" s="111"/>
      <c r="Y542" s="112"/>
      <c r="Z542" s="55"/>
      <c r="AA542" s="489"/>
      <c r="AB542" s="95"/>
      <c r="AC542" s="20"/>
      <c r="AD542" s="41"/>
      <c r="AE542" s="93"/>
      <c r="AF542" s="20"/>
      <c r="AG542" s="20"/>
      <c r="AH542" s="20"/>
      <c r="AI542" s="20"/>
    </row>
    <row r="543" spans="1:35" ht="12.75" hidden="1" customHeight="1">
      <c r="C543" s="18" t="s">
        <v>5</v>
      </c>
      <c r="D543" s="14"/>
      <c r="E543" s="14">
        <f>SUM(E540:E542)</f>
        <v>10462.800000000001</v>
      </c>
      <c r="G543" s="242"/>
      <c r="H543" s="492"/>
      <c r="I543" s="242"/>
      <c r="J543" s="315"/>
      <c r="K543" s="273"/>
      <c r="L543" s="235" t="s">
        <v>142</v>
      </c>
      <c r="M543" s="45">
        <v>-108.64</v>
      </c>
      <c r="N543" s="538">
        <f t="shared" si="67"/>
        <v>471.43009400000938</v>
      </c>
      <c r="O543" s="49"/>
      <c r="P543" s="133">
        <v>100</v>
      </c>
      <c r="Q543" s="72">
        <f>Q542+P543</f>
        <v>-15507.277278481009</v>
      </c>
      <c r="R543" s="45">
        <f>15550+Q543</f>
        <v>42.722721518990511</v>
      </c>
      <c r="S543" s="373" t="s">
        <v>247</v>
      </c>
      <c r="T543" s="553"/>
      <c r="U543" s="111"/>
      <c r="V543" s="20"/>
      <c r="W543" s="111"/>
      <c r="X543" s="111"/>
      <c r="Y543" s="112"/>
      <c r="Z543" s="55"/>
      <c r="AA543" s="489"/>
      <c r="AB543" s="26"/>
      <c r="AC543" s="20"/>
      <c r="AD543" s="92"/>
      <c r="AE543" s="93"/>
      <c r="AF543" s="20"/>
      <c r="AG543" s="20"/>
      <c r="AH543" s="20"/>
      <c r="AI543" s="20"/>
    </row>
    <row r="544" spans="1:35" ht="12.75" hidden="1" customHeight="1">
      <c r="G544" s="20"/>
      <c r="H544" s="490"/>
      <c r="I544" s="45"/>
      <c r="J544" s="482"/>
      <c r="K544" s="482" t="s">
        <v>364</v>
      </c>
      <c r="L544" s="235" t="s">
        <v>24</v>
      </c>
      <c r="M544" s="539">
        <v>500</v>
      </c>
      <c r="N544" s="538">
        <f t="shared" si="67"/>
        <v>971.43009400000938</v>
      </c>
      <c r="O544" s="49"/>
      <c r="P544" s="49">
        <f>E547</f>
        <v>460.10000000000036</v>
      </c>
      <c r="Q544" s="73">
        <f>Q543+P544</f>
        <v>-15047.177278481009</v>
      </c>
      <c r="R544" s="105">
        <f>15550+Q544</f>
        <v>502.82272151899087</v>
      </c>
      <c r="S544" s="373" t="s">
        <v>280</v>
      </c>
      <c r="T544" s="553"/>
      <c r="U544" s="20"/>
      <c r="V544" s="45"/>
      <c r="W544" s="112"/>
      <c r="X544" s="112"/>
      <c r="Y544" s="112"/>
      <c r="Z544" s="55"/>
      <c r="AA544" s="489"/>
      <c r="AB544" s="26"/>
      <c r="AC544" s="20"/>
      <c r="AD544" s="92"/>
      <c r="AE544" s="93"/>
      <c r="AF544" s="20"/>
      <c r="AG544" s="20"/>
      <c r="AH544" s="20"/>
      <c r="AI544" s="20"/>
    </row>
    <row r="545" spans="1:35" ht="12.75" hidden="1" customHeight="1">
      <c r="A545" s="319"/>
      <c r="C545" s="81" t="s">
        <v>17</v>
      </c>
      <c r="E545" s="42"/>
      <c r="G545"/>
      <c r="H545" s="558"/>
      <c r="I545" s="315"/>
      <c r="J545" s="315"/>
      <c r="K545" s="482"/>
      <c r="L545" s="235" t="s">
        <v>379</v>
      </c>
      <c r="M545" s="45">
        <v>-77.42</v>
      </c>
      <c r="N545" s="538">
        <f t="shared" si="67"/>
        <v>894.01009400000942</v>
      </c>
      <c r="O545" s="39"/>
      <c r="P545" s="64">
        <f>SUM(P541:P544)</f>
        <v>-15047.177278481009</v>
      </c>
      <c r="Q545" s="287" t="s">
        <v>243</v>
      </c>
      <c r="R545" s="317"/>
      <c r="S545" s="373"/>
      <c r="T545" s="553"/>
      <c r="U545" s="20"/>
      <c r="V545" s="45"/>
      <c r="W545" s="103"/>
      <c r="X545" s="111"/>
      <c r="Y545" s="112"/>
      <c r="Z545" s="55"/>
      <c r="AA545" s="489"/>
      <c r="AB545" s="95"/>
      <c r="AC545" s="20"/>
      <c r="AD545" s="96"/>
      <c r="AE545" s="93"/>
      <c r="AF545" s="20"/>
      <c r="AG545" s="20"/>
      <c r="AH545" s="20"/>
      <c r="AI545" s="20"/>
    </row>
    <row r="546" spans="1:35" ht="12.75" hidden="1" customHeight="1">
      <c r="A546" s="319"/>
      <c r="D546" s="20" t="s">
        <v>14</v>
      </c>
      <c r="E546" s="42">
        <f>E540</f>
        <v>8502.7000000000007</v>
      </c>
      <c r="F546" s="20"/>
      <c r="G546" s="20"/>
      <c r="H546" s="490">
        <f>G547+E547+G548+G550+G549</f>
        <v>1560.1000000000004</v>
      </c>
      <c r="I546" s="315"/>
      <c r="J546" s="315"/>
      <c r="K546" s="297" t="s">
        <v>223</v>
      </c>
      <c r="L546" s="184" t="s">
        <v>227</v>
      </c>
      <c r="M546" s="45">
        <v>-357</v>
      </c>
      <c r="N546" s="538">
        <f t="shared" si="67"/>
        <v>537.01009400000942</v>
      </c>
      <c r="O546" s="39"/>
      <c r="P546" s="68"/>
      <c r="Q546" s="546"/>
      <c r="R546" s="564"/>
      <c r="S546" s="373"/>
      <c r="T546" s="553"/>
      <c r="U546" s="20"/>
      <c r="V546" s="45"/>
      <c r="W546" s="111"/>
      <c r="X546" s="111"/>
      <c r="Y546" s="112"/>
      <c r="Z546" s="55"/>
      <c r="AA546" s="489"/>
      <c r="AB546" s="26"/>
      <c r="AC546" s="20"/>
      <c r="AD546" s="41"/>
      <c r="AE546" s="93"/>
      <c r="AF546" s="20"/>
      <c r="AG546" s="20"/>
      <c r="AH546" s="20"/>
      <c r="AI546" s="20"/>
    </row>
    <row r="547" spans="1:35" ht="12.75" hidden="1" customHeight="1">
      <c r="A547" s="319"/>
      <c r="D547" s="78" t="s">
        <v>13</v>
      </c>
      <c r="E547" s="483">
        <f>E543-E546-M544-M548-M556-M561</f>
        <v>460.10000000000036</v>
      </c>
      <c r="F547" s="482" t="s">
        <v>364</v>
      </c>
      <c r="G547" s="1037">
        <f>M544</f>
        <v>500</v>
      </c>
      <c r="H547" s="1037"/>
      <c r="I547" s="315"/>
      <c r="K547" s="297"/>
      <c r="L547" s="184" t="s">
        <v>380</v>
      </c>
      <c r="M547" s="45">
        <v>-79.98</v>
      </c>
      <c r="N547" s="538">
        <f t="shared" si="67"/>
        <v>457.0300940000094</v>
      </c>
      <c r="O547" s="39"/>
      <c r="P547" s="68"/>
      <c r="Q547" s="63"/>
      <c r="R547" s="63"/>
      <c r="S547" s="373"/>
      <c r="T547" s="553"/>
      <c r="U547" s="20"/>
      <c r="V547" s="133"/>
      <c r="W547" s="20"/>
      <c r="X547" s="20"/>
      <c r="Y547" s="112"/>
      <c r="Z547" s="239"/>
      <c r="AA547" s="94"/>
      <c r="AB547" s="26"/>
      <c r="AC547" s="20"/>
      <c r="AD547" s="92"/>
      <c r="AE547" s="93"/>
      <c r="AF547" s="20"/>
      <c r="AG547" s="20"/>
      <c r="AH547" s="20"/>
      <c r="AI547" s="20"/>
    </row>
    <row r="548" spans="1:35" ht="12.75" hidden="1" customHeight="1">
      <c r="A548" s="319"/>
      <c r="D548" s="20"/>
      <c r="E548" s="26"/>
      <c r="F548" s="482" t="s">
        <v>364</v>
      </c>
      <c r="G548" s="1037"/>
      <c r="H548" s="1037"/>
      <c r="I548" s="315"/>
      <c r="J548" s="21"/>
      <c r="K548" s="482" t="s">
        <v>364</v>
      </c>
      <c r="L548" s="184" t="s">
        <v>24</v>
      </c>
      <c r="M548" s="539">
        <v>400</v>
      </c>
      <c r="N548" s="538">
        <f t="shared" si="67"/>
        <v>857.0300940000094</v>
      </c>
      <c r="O548" s="39"/>
      <c r="P548" s="300"/>
      <c r="Q548" s="270"/>
      <c r="R548" s="63"/>
      <c r="S548" s="373"/>
      <c r="T548" s="553"/>
      <c r="U548" s="20"/>
      <c r="V548" s="45"/>
      <c r="W548" s="26"/>
      <c r="X548" s="20"/>
      <c r="Y548" s="112"/>
      <c r="Z548" s="239"/>
      <c r="AA548" s="94"/>
      <c r="AB548" s="95"/>
      <c r="AC548" s="20"/>
      <c r="AD548" s="92"/>
      <c r="AE548" s="93"/>
      <c r="AF548" s="20"/>
      <c r="AG548" s="20"/>
      <c r="AH548" s="20"/>
      <c r="AI548" s="20"/>
    </row>
    <row r="549" spans="1:35" ht="12.75" hidden="1" customHeight="1">
      <c r="A549" s="319"/>
      <c r="D549" s="20"/>
      <c r="E549" s="26"/>
      <c r="F549" s="482" t="s">
        <v>364</v>
      </c>
      <c r="G549" s="1037">
        <f>M556</f>
        <v>300</v>
      </c>
      <c r="H549" s="1037"/>
      <c r="I549" s="315"/>
      <c r="K549" s="297"/>
      <c r="L549" s="184" t="s">
        <v>381</v>
      </c>
      <c r="M549" s="45">
        <v>-59.9</v>
      </c>
      <c r="N549" s="538">
        <f t="shared" si="67"/>
        <v>797.13009400000942</v>
      </c>
      <c r="O549" s="39"/>
      <c r="P549" s="418"/>
      <c r="Q549" s="270"/>
      <c r="R549" s="63"/>
      <c r="S549" s="373"/>
      <c r="T549" s="553"/>
      <c r="U549" s="20"/>
      <c r="V549" s="45"/>
      <c r="W549" s="26"/>
      <c r="X549" s="20"/>
      <c r="Y549" s="112"/>
      <c r="Z549" s="239"/>
      <c r="AA549" s="94"/>
      <c r="AB549" s="26"/>
      <c r="AC549" s="20"/>
      <c r="AD549" s="92"/>
      <c r="AE549" s="97"/>
      <c r="AF549" s="20"/>
      <c r="AG549" s="20"/>
      <c r="AH549" s="20"/>
      <c r="AI549" s="20"/>
    </row>
    <row r="550" spans="1:35" ht="12.75" hidden="1" customHeight="1" thickBot="1">
      <c r="A550" s="319"/>
      <c r="D550" s="20"/>
      <c r="E550" s="26"/>
      <c r="F550" s="482" t="s">
        <v>364</v>
      </c>
      <c r="G550" s="1043">
        <f>M561</f>
        <v>300</v>
      </c>
      <c r="H550" s="1043"/>
      <c r="I550" s="315"/>
      <c r="J550" s="511"/>
      <c r="K550" s="297"/>
      <c r="L550" s="184" t="s">
        <v>142</v>
      </c>
      <c r="M550" s="45">
        <v>-58.96</v>
      </c>
      <c r="N550" s="538">
        <f t="shared" si="67"/>
        <v>738.17009400000939</v>
      </c>
      <c r="O550" s="39"/>
      <c r="P550" s="327"/>
      <c r="Q550" s="63"/>
      <c r="R550" s="63"/>
      <c r="S550" s="373"/>
      <c r="T550" s="553"/>
      <c r="U550" s="74"/>
      <c r="V550" s="45"/>
      <c r="W550" s="26"/>
      <c r="X550" s="20"/>
      <c r="Y550" s="112"/>
      <c r="Z550" s="239"/>
      <c r="AA550" s="94"/>
      <c r="AB550" s="26"/>
      <c r="AC550" s="20"/>
      <c r="AD550" s="20"/>
      <c r="AE550" s="93"/>
      <c r="AF550" s="20"/>
      <c r="AG550" s="20"/>
      <c r="AH550" s="20"/>
      <c r="AI550" s="20"/>
    </row>
    <row r="551" spans="1:35" ht="12.75" hidden="1" customHeight="1" thickTop="1">
      <c r="A551" s="319"/>
      <c r="D551" s="20"/>
      <c r="E551" s="26"/>
      <c r="F551" s="122"/>
      <c r="G551" s="1038">
        <f>E546+E547+G548+G550+G547</f>
        <v>9762.8000000000011</v>
      </c>
      <c r="H551" s="1038"/>
      <c r="I551" s="315"/>
      <c r="K551" s="297"/>
      <c r="L551" s="184" t="s">
        <v>382</v>
      </c>
      <c r="M551" s="45">
        <v>-66.7</v>
      </c>
      <c r="N551" s="538">
        <f t="shared" si="67"/>
        <v>671.47009400000934</v>
      </c>
      <c r="O551" s="39"/>
      <c r="P551" s="418"/>
      <c r="Q551" s="270"/>
      <c r="R551" s="107"/>
      <c r="S551" s="380"/>
      <c r="T551" s="553"/>
      <c r="U551" s="74"/>
      <c r="V551" s="26"/>
      <c r="W551" s="26"/>
      <c r="X551" s="91"/>
      <c r="Y551" s="20"/>
      <c r="Z551" s="239"/>
      <c r="AA551" s="94"/>
      <c r="AB551" s="95"/>
      <c r="AC551" s="20"/>
      <c r="AD551" s="98"/>
      <c r="AE551" s="93"/>
      <c r="AF551" s="554"/>
      <c r="AG551" s="20"/>
      <c r="AH551" s="20"/>
      <c r="AI551" s="20"/>
    </row>
    <row r="552" spans="1:35" ht="12.75" hidden="1" customHeight="1">
      <c r="A552" s="319"/>
      <c r="D552" s="20"/>
      <c r="E552" s="26"/>
      <c r="F552" s="122"/>
      <c r="G552" s="559"/>
      <c r="H552" s="559"/>
      <c r="I552" s="315"/>
      <c r="J552" s="511"/>
      <c r="K552" s="297"/>
      <c r="L552" s="184" t="s">
        <v>383</v>
      </c>
      <c r="M552" s="45">
        <v>-44</v>
      </c>
      <c r="N552" s="538">
        <f t="shared" si="67"/>
        <v>627.47009400000934</v>
      </c>
      <c r="O552" s="39"/>
      <c r="P552" s="327"/>
      <c r="Q552" s="63"/>
      <c r="R552" s="63"/>
      <c r="S552" s="380"/>
      <c r="T552" s="503"/>
      <c r="U552" s="65"/>
      <c r="V552" s="26"/>
      <c r="W552" s="26"/>
      <c r="X552" s="35"/>
      <c r="Y552" s="20"/>
      <c r="Z552" s="239"/>
      <c r="AA552" s="94"/>
      <c r="AB552" s="26"/>
      <c r="AC552" s="20"/>
      <c r="AD552" s="20"/>
      <c r="AE552" s="20"/>
      <c r="AF552" s="99"/>
      <c r="AG552" s="20"/>
      <c r="AH552" s="20"/>
      <c r="AI552" s="20"/>
    </row>
    <row r="553" spans="1:35" ht="12.75" hidden="1" customHeight="1">
      <c r="A553" s="548"/>
      <c r="B553" s="548"/>
      <c r="C553" s="548"/>
      <c r="D553" s="548"/>
      <c r="E553" s="565" t="s">
        <v>394</v>
      </c>
      <c r="F553" s="122"/>
      <c r="G553" s="559"/>
      <c r="H553" s="559">
        <v>400</v>
      </c>
      <c r="I553" s="493"/>
      <c r="J553" s="511"/>
      <c r="K553" s="258" t="s">
        <v>384</v>
      </c>
      <c r="L553" s="116" t="s">
        <v>224</v>
      </c>
      <c r="M553" s="45">
        <v>-533.94000000000005</v>
      </c>
      <c r="N553" s="538">
        <f t="shared" si="67"/>
        <v>93.530094000009285</v>
      </c>
      <c r="O553" s="39"/>
      <c r="P553" s="68"/>
      <c r="Q553" s="100"/>
      <c r="R553" s="107"/>
      <c r="S553" s="377"/>
      <c r="T553" s="503"/>
      <c r="U553" s="65"/>
      <c r="V553" s="20"/>
      <c r="W553" s="20"/>
      <c r="X553" s="20"/>
      <c r="Y553" s="111"/>
      <c r="Z553" s="239"/>
      <c r="AA553" s="94"/>
      <c r="AB553" s="26"/>
      <c r="AC553" s="20"/>
      <c r="AD553" s="20"/>
      <c r="AE553" s="20"/>
      <c r="AF553" s="20"/>
      <c r="AG553" s="20"/>
      <c r="AH553" s="20"/>
      <c r="AI553" s="20"/>
    </row>
    <row r="554" spans="1:35" ht="12.75" hidden="1" customHeight="1">
      <c r="A554" s="402"/>
      <c r="B554" s="402"/>
      <c r="C554" s="403"/>
      <c r="D554" s="404"/>
      <c r="E554" s="405"/>
      <c r="F554" s="406"/>
      <c r="G554" s="407"/>
      <c r="H554" s="484"/>
      <c r="I554" s="494"/>
      <c r="K554" s="258"/>
      <c r="L554" s="116" t="s">
        <v>24</v>
      </c>
      <c r="M554" s="45">
        <f>400-449.75</f>
        <v>-49.75</v>
      </c>
      <c r="N554" s="538">
        <f t="shared" si="67"/>
        <v>43.780094000009285</v>
      </c>
      <c r="O554" s="42"/>
      <c r="P554" s="499"/>
      <c r="Q554" s="500"/>
      <c r="R554" s="501"/>
      <c r="S554" s="502"/>
      <c r="T554" s="503"/>
      <c r="U554" s="65"/>
      <c r="V554" s="20"/>
      <c r="W554" s="20"/>
      <c r="X554" s="91"/>
      <c r="Y554" s="111"/>
      <c r="Z554" s="239"/>
      <c r="AA554" s="94"/>
      <c r="AB554" s="95"/>
      <c r="AC554" s="20"/>
      <c r="AD554" s="20"/>
      <c r="AE554" s="20"/>
      <c r="AF554" s="20"/>
      <c r="AG554" s="20"/>
      <c r="AH554" s="20"/>
      <c r="AI554" s="20"/>
    </row>
    <row r="555" spans="1:35" ht="12.75" hidden="1" customHeight="1">
      <c r="A555" s="548"/>
      <c r="B555" s="548"/>
      <c r="C555" s="548"/>
      <c r="D555" s="548"/>
      <c r="E555" s="548"/>
      <c r="F555" s="548"/>
      <c r="G555" s="548"/>
      <c r="H555" s="560"/>
      <c r="I555" s="495"/>
      <c r="K555" s="258"/>
      <c r="L555" s="116" t="s">
        <v>207</v>
      </c>
      <c r="M555" s="45">
        <v>-40.01</v>
      </c>
      <c r="N555" s="538">
        <f t="shared" si="67"/>
        <v>3.7700940000092871</v>
      </c>
      <c r="O555" s="26"/>
      <c r="P555" s="499"/>
      <c r="Q555" s="500"/>
      <c r="R555" s="501"/>
      <c r="S555" s="502"/>
      <c r="T555" s="503"/>
      <c r="U555" s="65"/>
      <c r="V555" s="20"/>
      <c r="W555" s="20"/>
      <c r="X555" s="20"/>
      <c r="Y555" s="111"/>
      <c r="Z555" s="239"/>
      <c r="AA555" s="94"/>
      <c r="AB555" s="26"/>
      <c r="AC555" s="20"/>
      <c r="AD555" s="20"/>
      <c r="AE555" s="20"/>
      <c r="AF555" s="20"/>
      <c r="AG555" s="554"/>
      <c r="AH555" s="20"/>
      <c r="AI555" s="20"/>
    </row>
    <row r="556" spans="1:35" ht="12.75" hidden="1" customHeight="1">
      <c r="A556" s="402"/>
      <c r="B556" s="402"/>
      <c r="C556" s="403"/>
      <c r="D556" s="404"/>
      <c r="E556" s="405"/>
      <c r="F556" s="406"/>
      <c r="G556" s="407"/>
      <c r="H556" s="560"/>
      <c r="I556" s="495"/>
      <c r="J556" s="517"/>
      <c r="K556" s="482" t="s">
        <v>364</v>
      </c>
      <c r="L556" s="184" t="s">
        <v>24</v>
      </c>
      <c r="M556" s="539">
        <v>300</v>
      </c>
      <c r="N556" s="538">
        <f t="shared" si="67"/>
        <v>303.77009400000929</v>
      </c>
      <c r="O556" s="26"/>
      <c r="P556" s="499"/>
      <c r="Q556" s="500"/>
      <c r="R556" s="501"/>
      <c r="S556" s="502"/>
      <c r="T556" s="503"/>
      <c r="U556" s="83"/>
      <c r="V556" s="20"/>
      <c r="W556" s="20"/>
      <c r="X556" s="20"/>
      <c r="Y556" s="111"/>
      <c r="Z556" s="239"/>
      <c r="AA556" s="94"/>
      <c r="AB556" s="26"/>
      <c r="AC556" s="20"/>
      <c r="AD556" s="20"/>
      <c r="AE556" s="20"/>
      <c r="AF556" s="20"/>
      <c r="AG556" s="20"/>
      <c r="AH556" s="20"/>
      <c r="AI556" s="20"/>
    </row>
    <row r="557" spans="1:35" ht="12.75" hidden="1" customHeight="1">
      <c r="A557" s="333"/>
      <c r="B557" s="333"/>
      <c r="C557" s="402"/>
      <c r="D557" s="408"/>
      <c r="E557" s="133"/>
      <c r="F557" s="50"/>
      <c r="G557" s="370"/>
      <c r="H557" s="409"/>
      <c r="I557" s="493"/>
      <c r="K557" s="258"/>
      <c r="L557" s="116" t="s">
        <v>385</v>
      </c>
      <c r="M557" s="45">
        <v>-100</v>
      </c>
      <c r="N557" s="538">
        <f t="shared" si="67"/>
        <v>203.77009400000929</v>
      </c>
      <c r="O557" s="26"/>
      <c r="P557" s="499"/>
      <c r="Q557" s="500"/>
      <c r="R557" s="501"/>
      <c r="S557" s="502"/>
      <c r="T557" s="503"/>
      <c r="U557" s="84"/>
      <c r="V557" s="26"/>
      <c r="W557" s="26"/>
      <c r="X557" s="91"/>
      <c r="Y557" s="20"/>
      <c r="Z557" s="239"/>
      <c r="AA557" s="94"/>
      <c r="AB557" s="26"/>
      <c r="AC557" s="20"/>
      <c r="AD557" s="20"/>
      <c r="AE557" s="20"/>
      <c r="AF557" s="20"/>
      <c r="AG557" s="20"/>
      <c r="AH557" s="20"/>
      <c r="AI557" s="20"/>
    </row>
    <row r="558" spans="1:35" ht="12.75" hidden="1" customHeight="1">
      <c r="A558" s="333"/>
      <c r="B558" s="333"/>
      <c r="C558" s="333"/>
      <c r="D558" s="408"/>
      <c r="E558" s="133"/>
      <c r="F558" s="50"/>
      <c r="G558" s="370"/>
      <c r="H558" s="409"/>
      <c r="I558" s="510"/>
      <c r="K558" s="258"/>
      <c r="L558" s="116" t="s">
        <v>386</v>
      </c>
      <c r="M558" s="45">
        <v>-16.899999999999999</v>
      </c>
      <c r="N558" s="538">
        <f t="shared" si="67"/>
        <v>186.87009400000929</v>
      </c>
      <c r="O558" s="26"/>
      <c r="P558" s="499"/>
      <c r="Q558" s="500"/>
      <c r="R558" s="501"/>
      <c r="S558" s="502"/>
      <c r="T558" s="503"/>
      <c r="U558" s="20"/>
      <c r="V558" s="26"/>
      <c r="W558" s="26"/>
      <c r="X558" s="91"/>
      <c r="Y558" s="20"/>
      <c r="Z558" s="239"/>
      <c r="AA558" s="94"/>
      <c r="AB558" s="26"/>
      <c r="AC558" s="20"/>
      <c r="AD558" s="20"/>
      <c r="AE558" s="20"/>
      <c r="AF558" s="20"/>
      <c r="AG558" s="20"/>
      <c r="AH558" s="20"/>
      <c r="AI558" s="20"/>
    </row>
    <row r="559" spans="1:35" ht="12.75" hidden="1" customHeight="1">
      <c r="A559" s="333"/>
      <c r="B559" s="333"/>
      <c r="C559" s="333"/>
      <c r="D559" s="48"/>
      <c r="E559" s="133"/>
      <c r="F559" s="50"/>
      <c r="G559" s="409"/>
      <c r="H559" s="409"/>
      <c r="K559" s="258"/>
      <c r="L559" s="116" t="s">
        <v>135</v>
      </c>
      <c r="M559" s="45">
        <v>-87.97</v>
      </c>
      <c r="N559" s="538">
        <f t="shared" si="67"/>
        <v>98.90009400000929</v>
      </c>
      <c r="O559" s="274"/>
      <c r="P559" s="499"/>
      <c r="Q559" s="500"/>
      <c r="R559" s="501"/>
      <c r="S559" s="502"/>
      <c r="T559" s="503"/>
      <c r="U559" s="20"/>
      <c r="V559" s="26"/>
      <c r="W559" s="26"/>
      <c r="X559" s="91"/>
      <c r="Y559" s="20"/>
      <c r="Z559" s="239"/>
      <c r="AA559" s="94"/>
      <c r="AB559" s="26"/>
      <c r="AC559" s="20"/>
      <c r="AD559" s="20"/>
      <c r="AE559" s="20"/>
      <c r="AF559" s="20"/>
      <c r="AG559" s="20"/>
      <c r="AH559" s="20"/>
      <c r="AI559" s="20"/>
    </row>
    <row r="560" spans="1:35" ht="12.75" hidden="1" customHeight="1">
      <c r="A560" s="333"/>
      <c r="B560" s="333"/>
      <c r="C560" s="333"/>
      <c r="D560" s="48"/>
      <c r="E560" s="133"/>
      <c r="F560" s="50"/>
      <c r="G560" s="409"/>
      <c r="H560" s="409"/>
      <c r="K560" s="258"/>
      <c r="L560" s="116" t="s">
        <v>313</v>
      </c>
      <c r="M560" s="45">
        <v>-76.099999999999994</v>
      </c>
      <c r="N560" s="538">
        <f t="shared" si="67"/>
        <v>22.800094000009295</v>
      </c>
      <c r="O560" s="253"/>
      <c r="P560" s="499"/>
      <c r="Q560" s="500"/>
      <c r="R560" s="501"/>
      <c r="S560" s="502"/>
      <c r="T560" s="503"/>
      <c r="U560" s="20"/>
      <c r="V560" s="26"/>
      <c r="W560" s="26"/>
      <c r="X560" s="91"/>
      <c r="Y560" s="20"/>
      <c r="Z560" s="239"/>
      <c r="AA560" s="94"/>
      <c r="AB560" s="26"/>
      <c r="AC560" s="20"/>
      <c r="AD560" s="20"/>
      <c r="AE560" s="20"/>
      <c r="AF560" s="20"/>
      <c r="AG560" s="20"/>
      <c r="AH560" s="20"/>
      <c r="AI560" s="20"/>
    </row>
    <row r="561" spans="1:35" ht="12.75" hidden="1" customHeight="1">
      <c r="A561" s="333"/>
      <c r="B561" s="333"/>
      <c r="C561" s="410"/>
      <c r="D561" s="404"/>
      <c r="E561" s="405"/>
      <c r="F561" s="50"/>
      <c r="G561" s="409"/>
      <c r="H561" s="409"/>
      <c r="I561" s="517"/>
      <c r="K561" s="482" t="s">
        <v>364</v>
      </c>
      <c r="L561" s="184" t="s">
        <v>24</v>
      </c>
      <c r="M561" s="539">
        <v>300</v>
      </c>
      <c r="N561" s="538">
        <f t="shared" si="67"/>
        <v>322.80009400000927</v>
      </c>
      <c r="O561" s="253"/>
      <c r="P561" s="499"/>
      <c r="Q561" s="500"/>
      <c r="R561" s="501"/>
      <c r="S561" s="502"/>
      <c r="T561" s="503"/>
      <c r="U561" s="20"/>
      <c r="V561" s="26"/>
      <c r="W561" s="26"/>
      <c r="X561" s="91"/>
      <c r="Y561" s="20"/>
      <c r="Z561" s="239"/>
      <c r="AA561" s="94"/>
      <c r="AB561" s="26"/>
      <c r="AC561" s="20"/>
      <c r="AD561" s="20"/>
      <c r="AE561" s="20"/>
      <c r="AF561" s="20"/>
      <c r="AG561" s="20"/>
      <c r="AH561" s="20"/>
      <c r="AI561" s="20"/>
    </row>
    <row r="562" spans="1:35" ht="12.75" hidden="1" customHeight="1">
      <c r="A562" s="333"/>
      <c r="B562" s="333"/>
      <c r="C562" s="333"/>
      <c r="D562" s="411"/>
      <c r="E562" s="133"/>
      <c r="F562" s="50"/>
      <c r="G562" s="409"/>
      <c r="H562" s="409"/>
      <c r="I562" s="401"/>
      <c r="J562" s="521"/>
      <c r="K562" s="258"/>
      <c r="L562" s="116" t="s">
        <v>387</v>
      </c>
      <c r="M562" s="45">
        <v>-66</v>
      </c>
      <c r="N562" s="538">
        <f t="shared" si="67"/>
        <v>256.80009400000927</v>
      </c>
      <c r="O562" s="253"/>
      <c r="P562" s="499"/>
      <c r="Q562" s="500"/>
      <c r="R562" s="501"/>
      <c r="S562" s="502"/>
      <c r="T562" s="503"/>
      <c r="U562" s="20"/>
      <c r="V562" s="26"/>
      <c r="W562" s="26"/>
      <c r="X562" s="91"/>
      <c r="Y562" s="20"/>
      <c r="Z562" s="239"/>
      <c r="AA562" s="94"/>
      <c r="AB562" s="26"/>
      <c r="AC562" s="20"/>
      <c r="AD562" s="20"/>
      <c r="AE562" s="20"/>
      <c r="AF562" s="20"/>
      <c r="AG562" s="20"/>
      <c r="AH562" s="20"/>
      <c r="AI562" s="20"/>
    </row>
    <row r="563" spans="1:35" ht="12.75" hidden="1" customHeight="1">
      <c r="A563" s="333"/>
      <c r="B563" s="333"/>
      <c r="C563" s="333"/>
      <c r="D563" s="408"/>
      <c r="E563" s="133"/>
      <c r="F563" s="50"/>
      <c r="G563" s="409"/>
      <c r="H563" s="409"/>
      <c r="K563" s="258"/>
      <c r="L563" s="116" t="s">
        <v>388</v>
      </c>
      <c r="M563" s="45">
        <v>-50</v>
      </c>
      <c r="N563" s="538">
        <f t="shared" si="67"/>
        <v>206.80009400000927</v>
      </c>
      <c r="O563" s="253"/>
      <c r="P563" s="499"/>
      <c r="Q563" s="500"/>
      <c r="R563" s="501"/>
      <c r="S563" s="502"/>
      <c r="T563" s="503"/>
      <c r="U563" s="20"/>
      <c r="V563" s="26"/>
      <c r="W563" s="26"/>
      <c r="X563" s="91"/>
      <c r="Y563" s="20"/>
      <c r="Z563" s="239"/>
      <c r="AA563" s="94"/>
      <c r="AB563" s="26"/>
      <c r="AC563" s="20"/>
      <c r="AD563" s="20"/>
      <c r="AE563" s="20"/>
      <c r="AF563" s="20"/>
      <c r="AG563" s="20"/>
      <c r="AH563" s="20"/>
      <c r="AI563" s="20"/>
    </row>
    <row r="564" spans="1:35" ht="12.75" hidden="1" customHeight="1">
      <c r="A564" s="333"/>
      <c r="B564" s="333"/>
      <c r="C564" s="333"/>
      <c r="D564" s="408"/>
      <c r="E564" s="412"/>
      <c r="F564" s="50"/>
      <c r="G564" s="409"/>
      <c r="H564" s="409"/>
      <c r="I564" s="532"/>
      <c r="J564" s="533"/>
      <c r="K564" s="258"/>
      <c r="L564" s="116" t="s">
        <v>133</v>
      </c>
      <c r="M564" s="45">
        <v>-200</v>
      </c>
      <c r="N564" s="538">
        <f t="shared" si="67"/>
        <v>6.8000940000092669</v>
      </c>
      <c r="O564" s="253"/>
      <c r="P564" s="499"/>
      <c r="Q564" s="500"/>
      <c r="R564" s="501"/>
      <c r="S564" s="502"/>
      <c r="T564" s="503"/>
      <c r="U564" s="20"/>
      <c r="V564" s="26"/>
      <c r="W564" s="26"/>
      <c r="X564" s="91"/>
      <c r="Y564" s="20"/>
      <c r="Z564" s="239"/>
      <c r="AA564" s="94"/>
      <c r="AB564" s="26"/>
      <c r="AC564" s="20"/>
      <c r="AD564" s="20"/>
      <c r="AE564" s="20"/>
      <c r="AF564" s="20"/>
      <c r="AG564" s="20"/>
      <c r="AH564" s="20"/>
      <c r="AI564" s="20"/>
    </row>
    <row r="565" spans="1:35" ht="12.75" hidden="1" customHeight="1">
      <c r="A565" s="333"/>
      <c r="B565" s="333"/>
      <c r="C565" s="410"/>
      <c r="D565" s="561"/>
      <c r="E565" s="405"/>
      <c r="F565" s="50"/>
      <c r="G565" s="409"/>
      <c r="H565" s="409"/>
      <c r="I565" s="20"/>
      <c r="J565" s="534"/>
      <c r="K565" s="258"/>
      <c r="L565" s="116" t="s">
        <v>389</v>
      </c>
      <c r="M565" s="45">
        <f>300-282.31</f>
        <v>17.689999999999998</v>
      </c>
      <c r="N565" s="538">
        <f t="shared" si="67"/>
        <v>24.490094000009265</v>
      </c>
      <c r="O565" s="253"/>
      <c r="P565" s="499"/>
      <c r="Q565" s="500"/>
      <c r="R565" s="501"/>
      <c r="S565" s="502"/>
      <c r="T565" s="503"/>
      <c r="U565" s="20"/>
      <c r="V565" s="26"/>
      <c r="W565" s="26"/>
      <c r="X565" s="91"/>
      <c r="Y565" s="20"/>
      <c r="Z565" s="239"/>
      <c r="AA565" s="94"/>
      <c r="AB565" s="26"/>
      <c r="AC565" s="20"/>
      <c r="AD565" s="20"/>
      <c r="AE565" s="20"/>
      <c r="AF565" s="20"/>
      <c r="AG565" s="20"/>
      <c r="AH565" s="20"/>
      <c r="AI565" s="20"/>
    </row>
    <row r="566" spans="1:35" ht="12.75" hidden="1" customHeight="1">
      <c r="A566" s="333"/>
      <c r="B566" s="333"/>
      <c r="C566" s="410"/>
      <c r="D566" s="561"/>
      <c r="E566" s="405"/>
      <c r="F566" s="50"/>
      <c r="G566" s="409"/>
      <c r="H566" s="409"/>
      <c r="I566" s="20"/>
      <c r="J566" s="534"/>
      <c r="K566" s="258"/>
      <c r="L566" s="116" t="s">
        <v>389</v>
      </c>
      <c r="M566" s="45">
        <f>400-350.95-48</f>
        <v>1.0500000000000114</v>
      </c>
      <c r="N566" s="538">
        <f t="shared" si="67"/>
        <v>25.540094000009276</v>
      </c>
      <c r="O566" s="253"/>
      <c r="P566" s="499"/>
      <c r="Q566" s="500"/>
      <c r="R566" s="501"/>
      <c r="S566" s="502"/>
      <c r="T566" s="503"/>
      <c r="U566" s="20"/>
      <c r="V566" s="26"/>
      <c r="W566" s="26"/>
      <c r="X566" s="91"/>
      <c r="Y566" s="20"/>
      <c r="Z566" s="239"/>
      <c r="AA566" s="94"/>
      <c r="AB566" s="26"/>
      <c r="AC566" s="20"/>
      <c r="AD566" s="20"/>
      <c r="AE566" s="20"/>
      <c r="AF566" s="20"/>
      <c r="AG566" s="20"/>
      <c r="AH566" s="20"/>
      <c r="AI566" s="20"/>
    </row>
    <row r="567" spans="1:35" ht="12.75" hidden="1" customHeight="1">
      <c r="A567" s="333"/>
      <c r="B567" s="333"/>
      <c r="C567" s="333"/>
      <c r="D567" s="408"/>
      <c r="E567" s="133"/>
      <c r="F567" s="50"/>
      <c r="G567" s="409"/>
      <c r="H567" s="409"/>
      <c r="I567" s="20"/>
      <c r="J567" s="504"/>
      <c r="K567" s="258" t="s">
        <v>371</v>
      </c>
      <c r="L567" s="266" t="s">
        <v>51</v>
      </c>
      <c r="M567" s="146">
        <f>E546</f>
        <v>8502.7000000000007</v>
      </c>
      <c r="N567" s="538">
        <f t="shared" si="67"/>
        <v>8528.2400940000098</v>
      </c>
      <c r="O567" s="26"/>
      <c r="P567" s="499"/>
      <c r="Q567" s="500"/>
      <c r="R567" s="501"/>
      <c r="S567" s="502"/>
      <c r="T567" s="503"/>
      <c r="U567" s="20"/>
      <c r="V567" s="26"/>
      <c r="W567" s="26"/>
      <c r="X567" s="91"/>
      <c r="Y567" s="20"/>
      <c r="Z567" s="239"/>
      <c r="AA567" s="94"/>
      <c r="AB567" s="26"/>
      <c r="AC567" s="20"/>
      <c r="AD567" s="20"/>
      <c r="AE567" s="20"/>
      <c r="AF567" s="20"/>
      <c r="AG567" s="20"/>
      <c r="AH567" s="20"/>
      <c r="AI567" s="20"/>
    </row>
    <row r="568" spans="1:35" ht="12.75" hidden="1" customHeight="1">
      <c r="A568" s="333"/>
      <c r="B568" s="333"/>
      <c r="C568" s="333"/>
      <c r="D568" s="547"/>
      <c r="E568" s="133"/>
      <c r="F568" s="50"/>
      <c r="G568" s="414"/>
      <c r="H568" s="498"/>
      <c r="I568" s="496"/>
      <c r="J568" s="504"/>
      <c r="K568" s="258" t="s">
        <v>371</v>
      </c>
      <c r="L568" s="266" t="s">
        <v>369</v>
      </c>
      <c r="M568" s="45">
        <v>250</v>
      </c>
      <c r="N568" s="538">
        <f t="shared" si="67"/>
        <v>8778.2400940000098</v>
      </c>
      <c r="O568" s="26"/>
      <c r="P568" s="499"/>
      <c r="Q568" s="500"/>
      <c r="R568" s="501"/>
      <c r="S568" s="502"/>
      <c r="T568" s="503"/>
      <c r="U568" s="20"/>
      <c r="V568" s="26"/>
      <c r="W568" s="26"/>
      <c r="X568" s="91"/>
      <c r="Y568" s="20"/>
      <c r="Z568" s="239"/>
      <c r="AA568" s="94"/>
      <c r="AB568" s="26"/>
      <c r="AC568" s="20"/>
      <c r="AD568" s="20"/>
      <c r="AE568" s="20"/>
      <c r="AF568" s="20"/>
      <c r="AG568" s="20"/>
      <c r="AH568" s="20"/>
      <c r="AI568" s="20"/>
    </row>
    <row r="569" spans="1:35" ht="12.75" hidden="1" customHeight="1">
      <c r="A569" s="333"/>
      <c r="B569" s="333"/>
      <c r="C569" s="333"/>
      <c r="D569" s="408"/>
      <c r="E569" s="133"/>
      <c r="F569" s="50"/>
      <c r="G569" s="409"/>
      <c r="H569" s="409"/>
      <c r="I569" s="20"/>
      <c r="J569" s="504"/>
      <c r="K569" s="258" t="s">
        <v>371</v>
      </c>
      <c r="L569" s="266" t="s">
        <v>374</v>
      </c>
      <c r="M569" s="146">
        <f>-3830</f>
        <v>-3830</v>
      </c>
      <c r="N569" s="538">
        <f t="shared" si="67"/>
        <v>4948.2400940000098</v>
      </c>
      <c r="O569" s="239"/>
      <c r="P569" s="499"/>
      <c r="Q569" s="500"/>
      <c r="R569" s="501"/>
      <c r="S569" s="502"/>
      <c r="T569" s="503"/>
      <c r="U569" s="20"/>
      <c r="V569" s="26"/>
      <c r="W569" s="26"/>
      <c r="X569" s="91"/>
      <c r="Y569" s="20"/>
      <c r="Z569" s="239"/>
      <c r="AA569" s="94"/>
      <c r="AB569" s="26"/>
      <c r="AC569" s="20"/>
      <c r="AD569" s="20"/>
      <c r="AE569" s="20"/>
      <c r="AF569" s="20"/>
      <c r="AG569" s="20"/>
      <c r="AH569" s="20"/>
      <c r="AI569" s="20"/>
    </row>
    <row r="570" spans="1:35" ht="12.75" hidden="1" customHeight="1">
      <c r="A570" s="333"/>
      <c r="B570" s="333"/>
      <c r="C570" s="333"/>
      <c r="D570" s="413"/>
      <c r="E570" s="34"/>
      <c r="F570" s="50"/>
      <c r="G570" s="414"/>
      <c r="H570" s="562"/>
      <c r="I570" s="508"/>
      <c r="J570" s="504"/>
      <c r="K570" s="264" t="s">
        <v>371</v>
      </c>
      <c r="L570" s="266" t="s">
        <v>333</v>
      </c>
      <c r="M570" s="45">
        <v>-190</v>
      </c>
      <c r="N570" s="538">
        <f t="shared" si="67"/>
        <v>4758.2400940000098</v>
      </c>
      <c r="O570" s="551"/>
      <c r="P570" s="499"/>
      <c r="Q570" s="500"/>
      <c r="R570" s="501"/>
      <c r="S570" s="502"/>
      <c r="T570" s="503"/>
      <c r="U570" s="20"/>
      <c r="V570" s="26"/>
      <c r="W570" s="26"/>
      <c r="X570" s="91"/>
      <c r="Y570" s="20"/>
      <c r="Z570" s="239"/>
      <c r="AA570" s="94"/>
      <c r="AB570" s="26"/>
      <c r="AC570" s="20"/>
      <c r="AD570" s="20"/>
      <c r="AE570" s="20"/>
      <c r="AF570" s="20"/>
      <c r="AG570" s="20"/>
      <c r="AH570" s="20"/>
      <c r="AI570" s="20"/>
    </row>
    <row r="571" spans="1:35" ht="12.75" hidden="1" customHeight="1">
      <c r="A571" s="333"/>
      <c r="B571" s="333"/>
      <c r="C571" s="333"/>
      <c r="D571" s="133"/>
      <c r="E571" s="133"/>
      <c r="F571" s="50"/>
      <c r="G571" s="409"/>
      <c r="H571" s="562"/>
      <c r="I571" s="508"/>
      <c r="J571" s="504"/>
      <c r="K571" s="258" t="s">
        <v>371</v>
      </c>
      <c r="L571" s="266" t="s">
        <v>195</v>
      </c>
      <c r="M571" s="45">
        <v>-1738</v>
      </c>
      <c r="N571" s="538">
        <f t="shared" si="67"/>
        <v>3020.2400940000098</v>
      </c>
      <c r="O571" s="274"/>
      <c r="P571" s="499"/>
      <c r="Q571" s="500"/>
      <c r="R571" s="501"/>
      <c r="S571" s="502"/>
      <c r="T571" s="503"/>
      <c r="U571" s="20"/>
      <c r="V571" s="26"/>
      <c r="W571" s="26"/>
      <c r="X571" s="91"/>
      <c r="Y571" s="20"/>
      <c r="Z571" s="239"/>
      <c r="AA571" s="94"/>
      <c r="AB571" s="26"/>
      <c r="AC571" s="20"/>
      <c r="AD571" s="20"/>
      <c r="AE571" s="20"/>
      <c r="AF571" s="20"/>
      <c r="AG571" s="20"/>
      <c r="AH571" s="20"/>
      <c r="AI571" s="20"/>
    </row>
    <row r="572" spans="1:35" ht="12.75" hidden="1" customHeight="1">
      <c r="A572" s="333"/>
      <c r="B572" s="333"/>
      <c r="C572" s="333"/>
      <c r="D572" s="133"/>
      <c r="E572" s="133"/>
      <c r="F572" s="50"/>
      <c r="G572" s="409"/>
      <c r="H572" s="562"/>
      <c r="I572" s="508"/>
      <c r="J572" s="504"/>
      <c r="K572" s="258"/>
      <c r="L572" s="266" t="s">
        <v>112</v>
      </c>
      <c r="M572" s="45">
        <v>-300</v>
      </c>
      <c r="N572" s="538">
        <f t="shared" si="67"/>
        <v>2720.2400940000098</v>
      </c>
      <c r="O572" s="274"/>
      <c r="P572" s="499"/>
      <c r="Q572" s="500"/>
      <c r="R572" s="501"/>
      <c r="S572" s="502"/>
      <c r="T572" s="503"/>
      <c r="U572" s="20"/>
      <c r="V572" s="26"/>
      <c r="W572" s="26"/>
      <c r="X572" s="91"/>
      <c r="Y572" s="20"/>
      <c r="Z572" s="239"/>
      <c r="AA572" s="94"/>
      <c r="AB572" s="26"/>
      <c r="AC572" s="20"/>
      <c r="AD572" s="20"/>
      <c r="AE572" s="20"/>
      <c r="AF572" s="20"/>
      <c r="AG572" s="20"/>
      <c r="AH572" s="20"/>
      <c r="AI572" s="20"/>
    </row>
    <row r="573" spans="1:35" ht="12.75" hidden="1" customHeight="1">
      <c r="A573" s="333"/>
      <c r="B573" s="333"/>
      <c r="C573" s="333"/>
      <c r="D573" s="48"/>
      <c r="E573" s="133"/>
      <c r="F573" s="50"/>
      <c r="G573" s="414"/>
      <c r="H573" s="409"/>
      <c r="I573" s="20"/>
      <c r="J573" s="504"/>
      <c r="K573" s="258" t="s">
        <v>371</v>
      </c>
      <c r="L573" s="266" t="s">
        <v>148</v>
      </c>
      <c r="M573" s="45">
        <v>250</v>
      </c>
      <c r="N573" s="538">
        <f t="shared" si="67"/>
        <v>2970.2400940000098</v>
      </c>
      <c r="O573" s="253"/>
      <c r="P573" s="499"/>
      <c r="Q573" s="500"/>
      <c r="R573" s="501"/>
      <c r="S573" s="502"/>
      <c r="T573" s="503"/>
      <c r="U573" s="20"/>
      <c r="V573" s="26"/>
      <c r="W573" s="26"/>
      <c r="X573" s="91"/>
      <c r="Y573" s="20"/>
      <c r="Z573" s="239"/>
      <c r="AA573" s="94"/>
      <c r="AB573" s="26"/>
      <c r="AC573" s="20"/>
      <c r="AD573" s="20"/>
      <c r="AE573" s="20"/>
      <c r="AF573" s="20"/>
      <c r="AG573" s="20"/>
      <c r="AH573" s="20"/>
      <c r="AI573" s="20"/>
    </row>
    <row r="574" spans="1:35" ht="12.75" hidden="1" customHeight="1">
      <c r="A574" s="333"/>
      <c r="B574" s="333"/>
      <c r="C574" s="333"/>
      <c r="D574" s="408"/>
      <c r="E574" s="133"/>
      <c r="F574" s="50"/>
      <c r="G574" s="409"/>
      <c r="H574" s="409"/>
      <c r="I574" s="20"/>
      <c r="J574" s="504"/>
      <c r="K574" s="258" t="s">
        <v>371</v>
      </c>
      <c r="L574" s="266" t="s">
        <v>180</v>
      </c>
      <c r="M574" s="45">
        <v>-69</v>
      </c>
      <c r="N574" s="538">
        <f t="shared" si="67"/>
        <v>2901.2400940000098</v>
      </c>
      <c r="O574" s="239"/>
      <c r="P574" s="499"/>
      <c r="Q574" s="500"/>
      <c r="R574" s="501"/>
      <c r="S574" s="502"/>
      <c r="T574" s="503"/>
      <c r="U574" s="20"/>
      <c r="V574" s="26"/>
      <c r="W574" s="26"/>
      <c r="X574" s="91"/>
      <c r="Y574" s="20"/>
      <c r="Z574" s="239"/>
      <c r="AA574" s="94"/>
      <c r="AB574" s="26"/>
      <c r="AC574" s="20"/>
      <c r="AD574" s="20"/>
      <c r="AE574" s="20"/>
      <c r="AF574" s="20"/>
      <c r="AG574" s="20"/>
      <c r="AH574" s="20"/>
      <c r="AI574" s="20"/>
    </row>
    <row r="575" spans="1:35" ht="12.75" hidden="1" customHeight="1">
      <c r="A575" s="333"/>
      <c r="B575" s="333"/>
      <c r="C575" s="333"/>
      <c r="D575" s="133"/>
      <c r="E575" s="133"/>
      <c r="F575" s="50"/>
      <c r="G575" s="409"/>
      <c r="H575" s="409"/>
      <c r="I575" s="20"/>
      <c r="J575" s="504"/>
      <c r="K575" s="258" t="s">
        <v>371</v>
      </c>
      <c r="L575" s="266" t="s">
        <v>61</v>
      </c>
      <c r="M575" s="45">
        <v>-252.5</v>
      </c>
      <c r="N575" s="538">
        <f t="shared" si="67"/>
        <v>2648.7400940000098</v>
      </c>
      <c r="O575" s="240"/>
      <c r="P575" s="499"/>
      <c r="Q575" s="500"/>
      <c r="R575" s="501"/>
      <c r="S575" s="502"/>
      <c r="T575" s="503"/>
      <c r="U575" s="20"/>
      <c r="V575" s="26"/>
      <c r="W575" s="26"/>
      <c r="X575" s="91"/>
      <c r="Y575" s="20"/>
      <c r="Z575" s="239"/>
      <c r="AA575" s="94"/>
      <c r="AB575" s="26"/>
      <c r="AC575" s="20"/>
      <c r="AD575" s="20"/>
      <c r="AE575" s="20"/>
      <c r="AF575" s="20"/>
      <c r="AG575" s="20"/>
      <c r="AH575" s="20"/>
      <c r="AI575" s="20"/>
    </row>
    <row r="576" spans="1:35" ht="12.75" hidden="1" customHeight="1">
      <c r="A576" s="333"/>
      <c r="B576" s="333"/>
      <c r="C576" s="333"/>
      <c r="D576" s="547"/>
      <c r="E576" s="133"/>
      <c r="F576" s="50"/>
      <c r="G576" s="414"/>
      <c r="H576" s="498"/>
      <c r="I576" s="496"/>
      <c r="J576" s="504"/>
      <c r="K576" s="85" t="s">
        <v>189</v>
      </c>
      <c r="L576" s="267" t="s">
        <v>16</v>
      </c>
      <c r="M576" s="175">
        <v>-403.99</v>
      </c>
      <c r="N576" s="538">
        <f t="shared" si="67"/>
        <v>2244.75009400001</v>
      </c>
      <c r="O576" s="497"/>
      <c r="P576" s="499"/>
      <c r="Q576" s="500"/>
      <c r="R576" s="501"/>
      <c r="S576" s="502"/>
      <c r="T576" s="503"/>
      <c r="U576" s="20"/>
      <c r="V576" s="26"/>
      <c r="W576" s="26"/>
      <c r="X576" s="91"/>
      <c r="Y576" s="20"/>
      <c r="Z576" s="239"/>
      <c r="AA576" s="94"/>
      <c r="AB576" s="26"/>
      <c r="AC576" s="20"/>
      <c r="AD576" s="20"/>
      <c r="AE576" s="20"/>
      <c r="AF576" s="20"/>
      <c r="AG576" s="20"/>
      <c r="AH576" s="20"/>
      <c r="AI576" s="20"/>
    </row>
    <row r="577" spans="1:35" ht="12.75" hidden="1" customHeight="1">
      <c r="A577" s="328"/>
      <c r="B577" s="328"/>
      <c r="C577" s="328"/>
      <c r="D577" s="547"/>
      <c r="E577" s="133"/>
      <c r="F577" s="50"/>
      <c r="G577" s="414"/>
      <c r="H577" s="498"/>
      <c r="I577" s="496"/>
      <c r="J577" s="504"/>
      <c r="K577" s="258" t="s">
        <v>189</v>
      </c>
      <c r="L577" s="268" t="s">
        <v>56</v>
      </c>
      <c r="M577" s="175">
        <v>-790</v>
      </c>
      <c r="N577" s="538">
        <f t="shared" si="67"/>
        <v>1454.75009400001</v>
      </c>
      <c r="O577" s="497"/>
      <c r="P577" s="499"/>
      <c r="Q577" s="500"/>
      <c r="R577" s="501"/>
      <c r="S577" s="502"/>
      <c r="T577" s="503"/>
      <c r="U577" s="20"/>
      <c r="V577" s="26"/>
      <c r="W577" s="26"/>
      <c r="X577" s="91"/>
      <c r="Y577" s="20"/>
      <c r="Z577" s="239"/>
      <c r="AA577" s="94"/>
      <c r="AB577" s="26"/>
      <c r="AC577" s="20"/>
      <c r="AD577" s="20"/>
      <c r="AE577" s="20"/>
      <c r="AF577" s="20"/>
      <c r="AG577" s="20"/>
      <c r="AH577" s="20"/>
      <c r="AI577" s="20"/>
    </row>
    <row r="578" spans="1:35" ht="12.75" hidden="1" customHeight="1">
      <c r="A578" s="328"/>
      <c r="B578" s="328"/>
      <c r="C578" s="328"/>
      <c r="D578" s="547"/>
      <c r="E578" s="133"/>
      <c r="F578" s="50"/>
      <c r="G578" s="414"/>
      <c r="H578" s="498"/>
      <c r="I578" s="496"/>
      <c r="J578" s="504"/>
      <c r="K578" s="258" t="s">
        <v>190</v>
      </c>
      <c r="L578" s="268" t="s">
        <v>375</v>
      </c>
      <c r="M578" s="175">
        <v>-63.85</v>
      </c>
      <c r="N578" s="538">
        <f t="shared" si="67"/>
        <v>1390.9000940000101</v>
      </c>
      <c r="O578" s="497"/>
      <c r="P578" s="499"/>
      <c r="Q578" s="500"/>
      <c r="R578" s="501"/>
      <c r="S578" s="502"/>
      <c r="T578" s="503"/>
      <c r="U578" s="20"/>
      <c r="V578" s="26"/>
      <c r="W578" s="26"/>
      <c r="X578" s="91"/>
      <c r="Y578" s="20"/>
      <c r="Z578" s="239"/>
      <c r="AA578" s="94"/>
      <c r="AB578" s="26"/>
      <c r="AC578" s="20"/>
      <c r="AD578" s="20"/>
      <c r="AE578" s="20"/>
      <c r="AF578" s="20"/>
      <c r="AG578" s="20"/>
      <c r="AH578" s="20"/>
      <c r="AI578" s="20"/>
    </row>
    <row r="579" spans="1:35" s="496" customFormat="1" ht="12.75" hidden="1" customHeight="1">
      <c r="A579" s="328"/>
      <c r="B579" s="328"/>
      <c r="C579" s="328"/>
      <c r="D579" s="547"/>
      <c r="E579" s="133"/>
      <c r="F579" s="50"/>
      <c r="G579" s="414"/>
      <c r="H579" s="498"/>
      <c r="J579" s="504"/>
      <c r="K579" s="321" t="s">
        <v>190</v>
      </c>
      <c r="L579" s="269" t="s">
        <v>23</v>
      </c>
      <c r="M579" s="366">
        <v>-275.31</v>
      </c>
      <c r="N579" s="566">
        <f>N578+M579</f>
        <v>1115.5900940000101</v>
      </c>
      <c r="O579" s="497"/>
      <c r="P579" s="499"/>
      <c r="Q579" s="500"/>
      <c r="R579" s="501"/>
      <c r="S579" s="502"/>
      <c r="T579" s="503"/>
      <c r="U579" s="504"/>
      <c r="V579" s="497"/>
      <c r="W579" s="497"/>
      <c r="X579" s="505"/>
      <c r="Y579" s="504"/>
      <c r="Z579" s="506"/>
      <c r="AA579" s="507"/>
      <c r="AB579" s="497"/>
      <c r="AC579" s="504"/>
      <c r="AD579" s="504"/>
      <c r="AE579" s="504"/>
      <c r="AF579" s="504"/>
      <c r="AG579" s="504"/>
      <c r="AH579" s="504"/>
      <c r="AI579" s="504"/>
    </row>
    <row r="580" spans="1:35" s="496" customFormat="1" ht="12.75" hidden="1" customHeight="1">
      <c r="A580" s="328"/>
      <c r="B580" s="328"/>
      <c r="C580" s="328"/>
      <c r="D580" s="547"/>
      <c r="E580" s="133"/>
      <c r="F580" s="50"/>
      <c r="G580" s="414"/>
      <c r="H580" s="498"/>
      <c r="J580" s="504"/>
      <c r="K580" s="254"/>
      <c r="L580" s="23"/>
      <c r="M580" s="168">
        <f>SUM(M541:M579)</f>
        <v>1115.5900940000101</v>
      </c>
      <c r="N580" s="296"/>
      <c r="O580" s="497"/>
      <c r="P580" s="499"/>
      <c r="Q580" s="500"/>
      <c r="R580" s="501"/>
      <c r="S580" s="502"/>
      <c r="T580" s="503"/>
      <c r="U580" s="504"/>
      <c r="V580" s="497"/>
      <c r="W580" s="497"/>
      <c r="X580" s="505"/>
      <c r="Y580" s="504"/>
      <c r="Z580" s="506"/>
      <c r="AA580" s="507"/>
      <c r="AB580" s="497"/>
      <c r="AC580" s="504"/>
      <c r="AD580" s="504"/>
      <c r="AE580" s="504"/>
      <c r="AF580" s="504"/>
      <c r="AG580" s="504"/>
      <c r="AH580" s="504"/>
      <c r="AI580" s="504"/>
    </row>
    <row r="581" spans="1:35" s="78" customFormat="1" hidden="1">
      <c r="E581" s="15"/>
      <c r="G581" s="129"/>
      <c r="K581" s="257"/>
      <c r="M581" s="15"/>
      <c r="P581" s="15"/>
      <c r="Q581" s="15"/>
      <c r="R581" s="15"/>
      <c r="S581" s="385"/>
      <c r="Z581" s="15"/>
      <c r="AA581" s="130"/>
      <c r="AB581" s="15"/>
    </row>
    <row r="582" spans="1:35" hidden="1"/>
    <row r="583" spans="1:35" ht="12.75" hidden="1" customHeight="1">
      <c r="B583" s="1030" t="s">
        <v>390</v>
      </c>
      <c r="C583" s="1030"/>
      <c r="D583" s="1030"/>
      <c r="E583" s="1030"/>
      <c r="G583" s="261"/>
      <c r="H583" s="261"/>
      <c r="I583" s="26"/>
      <c r="K583" s="258"/>
      <c r="L583" s="100"/>
      <c r="M583" s="1031" t="s">
        <v>54</v>
      </c>
      <c r="N583" s="570"/>
      <c r="O583" s="574"/>
      <c r="P583" s="1033" t="s">
        <v>48</v>
      </c>
      <c r="Q583" s="1035" t="s">
        <v>242</v>
      </c>
      <c r="R583" s="1035"/>
      <c r="S583" s="377"/>
      <c r="X583" s="35"/>
      <c r="Y583" s="35"/>
      <c r="Z583" s="26"/>
      <c r="AA583" s="575"/>
      <c r="AB583" s="26"/>
      <c r="AC583" s="20"/>
      <c r="AD583" s="20"/>
      <c r="AE583" s="20"/>
      <c r="AF583" s="20"/>
      <c r="AG583" s="20"/>
      <c r="AH583" s="20"/>
      <c r="AI583" s="20"/>
    </row>
    <row r="584" spans="1:35" ht="12.75" hidden="1" customHeight="1">
      <c r="C584" s="17" t="s">
        <v>357</v>
      </c>
      <c r="D584" s="14"/>
      <c r="E584" s="44">
        <v>8502.7000000000007</v>
      </c>
      <c r="G584" s="1040"/>
      <c r="H584" s="1040"/>
      <c r="I584" s="26"/>
      <c r="K584" s="260" t="s">
        <v>221</v>
      </c>
      <c r="L584" s="156"/>
      <c r="M584" s="1032"/>
      <c r="N584" s="570" t="s">
        <v>43</v>
      </c>
      <c r="O584" s="574"/>
      <c r="P584" s="1034"/>
      <c r="Q584" s="571" t="s">
        <v>43</v>
      </c>
      <c r="R584" s="572" t="s">
        <v>53</v>
      </c>
      <c r="S584" s="377"/>
      <c r="X584" s="118"/>
      <c r="Y584" s="111"/>
      <c r="Z584" s="117"/>
      <c r="AA584" s="89"/>
      <c r="AB584" s="90"/>
      <c r="AC584" s="20"/>
      <c r="AD584" s="41"/>
      <c r="AE584" s="20"/>
      <c r="AF584" s="20"/>
      <c r="AG584" s="20"/>
      <c r="AH584" s="20"/>
      <c r="AI584" s="20"/>
    </row>
    <row r="585" spans="1:35" ht="12.75" hidden="1" customHeight="1">
      <c r="C585" s="17"/>
      <c r="D585" s="14" t="s">
        <v>24</v>
      </c>
      <c r="E585" s="44">
        <f>'[2]SEP ''12'!$C$103</f>
        <v>1467.3999999999999</v>
      </c>
      <c r="G585" s="30"/>
      <c r="H585" s="1041">
        <f>SUM(E585:E586)</f>
        <v>1467.3999999999999</v>
      </c>
      <c r="I585" s="26"/>
      <c r="K585" s="273"/>
      <c r="L585" s="235" t="s">
        <v>226</v>
      </c>
      <c r="M585" s="45">
        <f>$M$580</f>
        <v>1115.5900940000101</v>
      </c>
      <c r="N585" s="71">
        <f>M585</f>
        <v>1115.5900940000101</v>
      </c>
      <c r="O585" s="26"/>
      <c r="P585" s="45">
        <f>$Q$544</f>
        <v>-15047.177278481009</v>
      </c>
      <c r="Q585" s="71">
        <f>P585</f>
        <v>-15047.177278481009</v>
      </c>
      <c r="R585" s="45">
        <f>15550+Q585</f>
        <v>502.82272151899087</v>
      </c>
      <c r="S585" s="378" t="s">
        <v>298</v>
      </c>
      <c r="T585" s="367" t="s">
        <v>299</v>
      </c>
      <c r="W585" s="392"/>
      <c r="X585" s="111"/>
      <c r="Y585" s="111"/>
      <c r="Z585" s="45"/>
      <c r="AA585" s="488"/>
      <c r="AB585" s="26"/>
      <c r="AC585" s="20"/>
      <c r="AD585" s="92"/>
      <c r="AE585" s="93"/>
      <c r="AF585" s="20"/>
      <c r="AG585" s="20"/>
      <c r="AH585" s="20"/>
      <c r="AI585" s="20"/>
    </row>
    <row r="586" spans="1:35" ht="12.75" hidden="1" customHeight="1">
      <c r="C586" s="17"/>
      <c r="D586" s="143" t="s">
        <v>225</v>
      </c>
      <c r="E586" s="15"/>
      <c r="G586"/>
      <c r="H586" s="1041"/>
      <c r="I586" s="26"/>
      <c r="K586" s="297"/>
      <c r="L586" s="235" t="s">
        <v>24</v>
      </c>
      <c r="M586" s="45">
        <v>400</v>
      </c>
      <c r="N586" s="538">
        <f>N585+M586</f>
        <v>1515.5900940000101</v>
      </c>
      <c r="O586" s="65"/>
      <c r="P586" s="133">
        <v>-196.13</v>
      </c>
      <c r="Q586" s="72">
        <f>Q585+P586</f>
        <v>-15243.307278481008</v>
      </c>
      <c r="R586" s="45">
        <f>15550+Q586</f>
        <v>306.69272151899168</v>
      </c>
      <c r="S586" s="373" t="s">
        <v>378</v>
      </c>
      <c r="T586" s="391"/>
      <c r="W586" s="111"/>
      <c r="X586" s="111"/>
      <c r="Y586" s="112"/>
      <c r="Z586" s="55"/>
      <c r="AA586" s="489"/>
      <c r="AB586" s="95"/>
      <c r="AC586" s="20"/>
      <c r="AD586" s="41"/>
      <c r="AE586" s="93"/>
      <c r="AF586" s="20"/>
      <c r="AG586" s="20"/>
      <c r="AH586" s="20"/>
      <c r="AI586" s="20"/>
    </row>
    <row r="587" spans="1:35" ht="12.75" hidden="1" customHeight="1">
      <c r="C587" s="18" t="s">
        <v>5</v>
      </c>
      <c r="D587" s="14"/>
      <c r="E587" s="14">
        <f>SUM(E584:E586)</f>
        <v>9970.1</v>
      </c>
      <c r="G587" s="242"/>
      <c r="H587" s="492"/>
      <c r="I587" s="242"/>
      <c r="J587" s="315"/>
      <c r="K587" s="297" t="s">
        <v>223</v>
      </c>
      <c r="L587" s="184" t="s">
        <v>227</v>
      </c>
      <c r="M587" s="45">
        <v>-357</v>
      </c>
      <c r="N587" s="538">
        <f>N586+M587</f>
        <v>1158.5900940000101</v>
      </c>
      <c r="O587" s="49"/>
      <c r="P587" s="49">
        <f>E591</f>
        <v>717.39999999999964</v>
      </c>
      <c r="Q587" s="73">
        <f>Q586+P587</f>
        <v>-14525.907278481009</v>
      </c>
      <c r="R587" s="105">
        <f>15550+Q587</f>
        <v>1024.0927215189913</v>
      </c>
      <c r="S587" s="373" t="s">
        <v>280</v>
      </c>
      <c r="T587" s="391"/>
      <c r="U587" s="111"/>
      <c r="V587" s="20"/>
      <c r="W587" s="111"/>
      <c r="X587" s="111"/>
      <c r="Y587" s="112"/>
      <c r="Z587" s="55"/>
      <c r="AA587" s="489"/>
      <c r="AB587" s="26"/>
      <c r="AC587" s="20"/>
      <c r="AD587" s="92"/>
      <c r="AE587" s="93"/>
      <c r="AF587" s="20"/>
      <c r="AG587" s="20"/>
      <c r="AH587" s="20"/>
      <c r="AI587" s="20"/>
    </row>
    <row r="588" spans="1:35" ht="12.75" hidden="1" customHeight="1">
      <c r="G588" s="20"/>
      <c r="H588" s="490"/>
      <c r="I588" s="45"/>
      <c r="J588" s="482"/>
      <c r="K588" s="297"/>
      <c r="L588" s="184" t="s">
        <v>133</v>
      </c>
      <c r="M588" s="45">
        <v>-200</v>
      </c>
      <c r="N588" s="538">
        <f t="shared" ref="N588:N610" si="68">N587+M588</f>
        <v>958.59009400001014</v>
      </c>
      <c r="O588" s="49"/>
      <c r="P588" s="64">
        <f>SUM(P585:P587)</f>
        <v>-14525.907278481009</v>
      </c>
      <c r="Q588" s="287" t="s">
        <v>243</v>
      </c>
      <c r="R588" s="317"/>
      <c r="S588" s="373"/>
      <c r="T588" s="576"/>
      <c r="U588" s="20"/>
      <c r="V588" s="45"/>
      <c r="W588" s="112"/>
      <c r="X588" s="112"/>
      <c r="Y588" s="112"/>
      <c r="Z588" s="55"/>
      <c r="AA588" s="489"/>
      <c r="AB588" s="26"/>
      <c r="AC588" s="20"/>
      <c r="AD588" s="92"/>
      <c r="AE588" s="93"/>
      <c r="AF588" s="20"/>
      <c r="AG588" s="20"/>
      <c r="AH588" s="20"/>
      <c r="AI588" s="20"/>
    </row>
    <row r="589" spans="1:35" ht="12.75" hidden="1" customHeight="1">
      <c r="A589" s="319"/>
      <c r="C589" s="81" t="s">
        <v>17</v>
      </c>
      <c r="E589" s="42"/>
      <c r="G589"/>
      <c r="H589" s="569"/>
      <c r="I589" s="315"/>
      <c r="J589" s="315"/>
      <c r="K589" s="297"/>
      <c r="L589" s="184" t="s">
        <v>395</v>
      </c>
      <c r="M589" s="45">
        <v>-470</v>
      </c>
      <c r="N589" s="538">
        <f t="shared" si="68"/>
        <v>488.59009400001014</v>
      </c>
      <c r="O589" s="39"/>
      <c r="P589" s="68"/>
      <c r="Q589" s="546"/>
      <c r="R589" s="131"/>
      <c r="S589" s="373"/>
      <c r="T589" s="576"/>
      <c r="U589" s="20"/>
      <c r="V589" s="45"/>
      <c r="W589" s="103"/>
      <c r="X589" s="111"/>
      <c r="Y589" s="112"/>
      <c r="Z589" s="55"/>
      <c r="AA589" s="489"/>
      <c r="AB589" s="95"/>
      <c r="AC589" s="20"/>
      <c r="AD589" s="96"/>
      <c r="AE589" s="93"/>
      <c r="AF589" s="20"/>
      <c r="AG589" s="20"/>
      <c r="AH589" s="20"/>
      <c r="AI589" s="20"/>
    </row>
    <row r="590" spans="1:35" ht="12.75" hidden="1" customHeight="1">
      <c r="A590" s="319"/>
      <c r="D590" s="20" t="s">
        <v>14</v>
      </c>
      <c r="E590" s="42">
        <f>E584</f>
        <v>8502.7000000000007</v>
      </c>
      <c r="F590" s="20"/>
      <c r="G590" s="20"/>
      <c r="H590" s="490">
        <f>G591+E591+G592+G593</f>
        <v>1467.3999999999996</v>
      </c>
      <c r="I590" s="315"/>
      <c r="J590" s="315"/>
      <c r="K590" s="258"/>
      <c r="L590" s="116" t="s">
        <v>135</v>
      </c>
      <c r="M590" s="45">
        <v>-173.26</v>
      </c>
      <c r="N590" s="538">
        <f t="shared" si="68"/>
        <v>315.33009400001015</v>
      </c>
      <c r="O590" s="39"/>
      <c r="P590" s="68"/>
      <c r="Q590" s="63"/>
      <c r="R590" s="63"/>
      <c r="S590" s="373"/>
      <c r="T590" s="576"/>
      <c r="U590" s="20"/>
      <c r="V590" s="45"/>
      <c r="W590" s="111"/>
      <c r="X590" s="111"/>
      <c r="Y590" s="112"/>
      <c r="Z590" s="55"/>
      <c r="AA590" s="489"/>
      <c r="AB590" s="26"/>
      <c r="AC590" s="20"/>
      <c r="AD590" s="41"/>
      <c r="AE590" s="93"/>
      <c r="AF590" s="20"/>
      <c r="AG590" s="20"/>
      <c r="AH590" s="20"/>
      <c r="AI590" s="20"/>
    </row>
    <row r="591" spans="1:35" ht="12.75" hidden="1" customHeight="1">
      <c r="A591" s="319"/>
      <c r="D591" s="78" t="s">
        <v>13</v>
      </c>
      <c r="E591" s="483">
        <f>E587-E590-G591-M596</f>
        <v>717.39999999999964</v>
      </c>
      <c r="F591" s="482" t="s">
        <v>364</v>
      </c>
      <c r="G591" s="1037">
        <v>400</v>
      </c>
      <c r="H591" s="1037"/>
      <c r="I591" s="315"/>
      <c r="K591" s="297"/>
      <c r="L591" s="184" t="s">
        <v>313</v>
      </c>
      <c r="M591" s="45">
        <v>-138.69999999999999</v>
      </c>
      <c r="N591" s="538">
        <f t="shared" si="68"/>
        <v>176.63009400001016</v>
      </c>
      <c r="O591" s="39"/>
      <c r="P591" s="418"/>
      <c r="Q591" s="270"/>
      <c r="R591" s="63"/>
      <c r="S591" s="373"/>
      <c r="T591" s="576"/>
      <c r="U591" s="20"/>
      <c r="V591" s="133"/>
      <c r="W591" s="20"/>
      <c r="X591" s="20"/>
      <c r="Y591" s="112"/>
      <c r="Z591" s="239"/>
      <c r="AA591" s="94"/>
      <c r="AB591" s="26"/>
      <c r="AC591" s="20"/>
      <c r="AD591" s="92"/>
      <c r="AE591" s="93"/>
      <c r="AF591" s="20"/>
      <c r="AG591" s="20"/>
      <c r="AH591" s="20"/>
      <c r="AI591" s="20"/>
    </row>
    <row r="592" spans="1:35" ht="12.75" hidden="1" customHeight="1">
      <c r="A592" s="319"/>
      <c r="D592" s="20"/>
      <c r="E592" s="26"/>
      <c r="F592" s="482" t="s">
        <v>364</v>
      </c>
      <c r="G592" s="1037">
        <f>M596</f>
        <v>350</v>
      </c>
      <c r="H592" s="1037"/>
      <c r="I592" s="315"/>
      <c r="J592" s="21"/>
      <c r="K592" s="482" t="s">
        <v>364</v>
      </c>
      <c r="L592" s="116" t="s">
        <v>24</v>
      </c>
      <c r="M592" s="568">
        <v>400</v>
      </c>
      <c r="N592" s="538">
        <f t="shared" si="68"/>
        <v>576.6300940000101</v>
      </c>
      <c r="O592" s="39"/>
      <c r="P592" s="327"/>
      <c r="Q592" s="63"/>
      <c r="R592" s="63"/>
      <c r="S592" s="373"/>
      <c r="T592" s="576"/>
      <c r="U592" s="20"/>
      <c r="V592" s="45"/>
      <c r="W592" s="26"/>
      <c r="X592" s="20"/>
      <c r="Y592" s="112"/>
      <c r="Z592" s="239"/>
      <c r="AA592" s="94"/>
      <c r="AB592" s="95"/>
      <c r="AC592" s="20"/>
      <c r="AD592" s="92"/>
      <c r="AE592" s="93"/>
      <c r="AF592" s="20"/>
      <c r="AG592" s="20"/>
      <c r="AH592" s="20"/>
      <c r="AI592" s="20"/>
    </row>
    <row r="593" spans="1:35" ht="12.75" hidden="1" customHeight="1" thickBot="1">
      <c r="A593" s="319"/>
      <c r="D593" s="20"/>
      <c r="E593" s="26"/>
      <c r="F593" s="482" t="s">
        <v>364</v>
      </c>
      <c r="G593" s="1037"/>
      <c r="H593" s="1037"/>
      <c r="I593" s="315"/>
      <c r="J593" s="21"/>
      <c r="K593" s="258" t="s">
        <v>384</v>
      </c>
      <c r="L593" s="116" t="s">
        <v>224</v>
      </c>
      <c r="M593" s="45">
        <v>-533.94000000000005</v>
      </c>
      <c r="N593" s="538">
        <f t="shared" si="68"/>
        <v>42.690094000010049</v>
      </c>
      <c r="O593" s="39"/>
      <c r="P593" s="68"/>
      <c r="Q593" s="100"/>
      <c r="R593" s="63"/>
      <c r="S593" s="373"/>
      <c r="T593" s="576"/>
      <c r="U593" s="20"/>
      <c r="V593" s="45"/>
      <c r="W593" s="26"/>
      <c r="X593" s="20"/>
      <c r="Y593" s="112"/>
      <c r="Z593" s="239"/>
      <c r="AA593" s="94"/>
      <c r="AB593" s="26"/>
      <c r="AC593" s="20"/>
      <c r="AD593" s="92"/>
      <c r="AE593" s="97"/>
      <c r="AF593" s="20"/>
      <c r="AG593" s="20"/>
      <c r="AH593" s="20"/>
      <c r="AI593" s="20"/>
    </row>
    <row r="594" spans="1:35" ht="12.75" hidden="1" customHeight="1" thickTop="1">
      <c r="A594" s="319"/>
      <c r="D594" s="20"/>
      <c r="E594" s="26"/>
      <c r="F594" s="122"/>
      <c r="G594" s="1038">
        <f>E590+E591+G592+G591+G593</f>
        <v>9970.1</v>
      </c>
      <c r="H594" s="1038"/>
      <c r="I594" s="315"/>
      <c r="K594" s="297"/>
      <c r="L594" s="184" t="s">
        <v>396</v>
      </c>
      <c r="M594" s="45">
        <f>1000-285.65-691.95</f>
        <v>22.399999999999977</v>
      </c>
      <c r="N594" s="538">
        <f t="shared" si="68"/>
        <v>65.090094000010026</v>
      </c>
      <c r="O594" s="39"/>
      <c r="P594" s="327"/>
      <c r="Q594" s="63"/>
      <c r="R594" s="63"/>
      <c r="S594" s="380"/>
      <c r="T594" s="576"/>
      <c r="U594" s="74"/>
      <c r="V594" s="26"/>
      <c r="W594" s="26"/>
      <c r="X594" s="91"/>
      <c r="Y594" s="20"/>
      <c r="Z594" s="239"/>
      <c r="AA594" s="94"/>
      <c r="AB594" s="95"/>
      <c r="AC594" s="20"/>
      <c r="AD594" s="98"/>
      <c r="AE594" s="93"/>
      <c r="AF594" s="575"/>
      <c r="AG594" s="20"/>
      <c r="AH594" s="20"/>
      <c r="AI594" s="20"/>
    </row>
    <row r="595" spans="1:35" ht="12.75" hidden="1" customHeight="1">
      <c r="A595" s="319"/>
      <c r="D595" s="20"/>
      <c r="E595" s="26"/>
      <c r="F595" s="122"/>
      <c r="G595" s="573"/>
      <c r="H595" s="573"/>
      <c r="I595" s="315"/>
      <c r="J595" s="511"/>
      <c r="K595" s="297"/>
      <c r="L595" s="184" t="s">
        <v>396</v>
      </c>
      <c r="M595" s="45">
        <f>1000-98-482.51-153.2-60.68</f>
        <v>205.61</v>
      </c>
      <c r="N595" s="538">
        <f t="shared" si="68"/>
        <v>270.70009400001004</v>
      </c>
      <c r="O595" s="39"/>
      <c r="P595" s="68"/>
      <c r="Q595" s="100"/>
      <c r="R595" s="107"/>
      <c r="S595" s="377"/>
      <c r="T595" s="576"/>
      <c r="U595" s="65"/>
      <c r="V595" s="26"/>
      <c r="W595" s="26"/>
      <c r="X595" s="35"/>
      <c r="Y595" s="20"/>
      <c r="Z595" s="239"/>
      <c r="AA595" s="94"/>
      <c r="AB595" s="26"/>
      <c r="AC595" s="20"/>
      <c r="AD595" s="20"/>
      <c r="AE595" s="20"/>
      <c r="AF595" s="99"/>
      <c r="AG595" s="20"/>
      <c r="AH595" s="20"/>
      <c r="AI595" s="20"/>
    </row>
    <row r="596" spans="1:35" ht="12.75" hidden="1" customHeight="1">
      <c r="A596" s="548"/>
      <c r="B596" s="548"/>
      <c r="C596" s="548"/>
      <c r="D596" s="548"/>
      <c r="E596" s="548"/>
      <c r="F596" s="122"/>
      <c r="G596" s="573"/>
      <c r="H596" s="573"/>
      <c r="I596" s="493"/>
      <c r="J596" s="511"/>
      <c r="K596" s="482" t="s">
        <v>364</v>
      </c>
      <c r="L596" s="116" t="s">
        <v>24</v>
      </c>
      <c r="M596" s="568">
        <v>350</v>
      </c>
      <c r="N596" s="538">
        <f t="shared" si="68"/>
        <v>620.70009400001004</v>
      </c>
      <c r="O596" s="39"/>
      <c r="P596" s="68"/>
      <c r="Q596" s="100"/>
      <c r="R596" s="107"/>
      <c r="S596" s="377"/>
      <c r="T596" s="576"/>
      <c r="U596" s="65"/>
      <c r="V596" s="20"/>
      <c r="W596" s="20"/>
      <c r="X596" s="20"/>
      <c r="Y596" s="111"/>
      <c r="Z596" s="239"/>
      <c r="AA596" s="94"/>
      <c r="AB596" s="26"/>
      <c r="AC596" s="20"/>
      <c r="AD596" s="20"/>
      <c r="AE596" s="20"/>
      <c r="AF596" s="20"/>
      <c r="AG596" s="20"/>
      <c r="AH596" s="20"/>
      <c r="AI596" s="20"/>
    </row>
    <row r="597" spans="1:35" ht="12.75" hidden="1" customHeight="1">
      <c r="A597" s="548"/>
      <c r="B597" s="548"/>
      <c r="C597" s="548"/>
      <c r="D597" s="548"/>
      <c r="E597" s="548"/>
      <c r="F597" s="122"/>
      <c r="G597" s="578"/>
      <c r="H597" s="578"/>
      <c r="I597" s="493"/>
      <c r="J597" s="511"/>
      <c r="K597" s="482"/>
      <c r="L597" s="116" t="s">
        <v>324</v>
      </c>
      <c r="M597" s="45">
        <v>-109.9</v>
      </c>
      <c r="N597" s="538">
        <f t="shared" si="68"/>
        <v>510.80009400001006</v>
      </c>
      <c r="O597" s="39"/>
      <c r="P597" s="68"/>
      <c r="Q597" s="100"/>
      <c r="R597" s="107"/>
      <c r="S597" s="377"/>
      <c r="T597" s="577"/>
      <c r="U597" s="65"/>
      <c r="V597" s="20"/>
      <c r="W597" s="20"/>
      <c r="X597" s="20"/>
      <c r="Y597" s="111"/>
      <c r="Z597" s="239"/>
      <c r="AA597" s="94"/>
      <c r="AB597" s="26"/>
      <c r="AC597" s="20"/>
      <c r="AD597" s="20"/>
      <c r="AE597" s="20"/>
      <c r="AF597" s="20"/>
      <c r="AG597" s="20"/>
      <c r="AH597" s="20"/>
      <c r="AI597" s="20"/>
    </row>
    <row r="598" spans="1:35" ht="12.75" hidden="1" customHeight="1">
      <c r="A598" s="548"/>
      <c r="B598" s="548"/>
      <c r="C598" s="548"/>
      <c r="D598" s="548"/>
      <c r="E598" s="548"/>
      <c r="F598" s="122"/>
      <c r="G598" s="578"/>
      <c r="H598" s="578"/>
      <c r="I598" s="493"/>
      <c r="J598" s="511"/>
      <c r="K598" s="482"/>
      <c r="L598" s="116" t="s">
        <v>398</v>
      </c>
      <c r="M598" s="45">
        <v>-175.96</v>
      </c>
      <c r="N598" s="538">
        <f t="shared" si="68"/>
        <v>334.84009400001003</v>
      </c>
      <c r="O598" s="39"/>
      <c r="P598" s="499"/>
      <c r="Q598" s="500"/>
      <c r="R598" s="501"/>
      <c r="S598" s="502"/>
      <c r="T598" s="577"/>
      <c r="U598" s="65"/>
      <c r="V598" s="20"/>
      <c r="W598" s="20"/>
      <c r="X598" s="20"/>
      <c r="Y598" s="111"/>
      <c r="Z598" s="239"/>
      <c r="AA598" s="94"/>
      <c r="AB598" s="26"/>
      <c r="AC598" s="20"/>
      <c r="AD598" s="20"/>
      <c r="AE598" s="20"/>
      <c r="AF598" s="20"/>
      <c r="AG598" s="20"/>
      <c r="AH598" s="20"/>
      <c r="AI598" s="20"/>
    </row>
    <row r="599" spans="1:35" ht="12.75" hidden="1" customHeight="1">
      <c r="A599" s="402"/>
      <c r="B599" s="402"/>
      <c r="C599" s="403"/>
      <c r="D599" s="404"/>
      <c r="E599" s="405"/>
      <c r="F599" s="406"/>
      <c r="G599" s="407"/>
      <c r="H599" s="484"/>
      <c r="I599" s="494"/>
      <c r="K599" s="258" t="s">
        <v>222</v>
      </c>
      <c r="L599" s="266" t="s">
        <v>51</v>
      </c>
      <c r="M599" s="146">
        <f>E590</f>
        <v>8502.7000000000007</v>
      </c>
      <c r="N599" s="538">
        <f t="shared" si="68"/>
        <v>8837.5400940000109</v>
      </c>
      <c r="O599" s="42"/>
      <c r="P599" s="499"/>
      <c r="Q599" s="500"/>
      <c r="R599" s="501"/>
      <c r="S599" s="502"/>
      <c r="T599" s="503"/>
      <c r="U599" s="65"/>
      <c r="V599" s="20"/>
      <c r="W599" s="20"/>
      <c r="X599" s="91"/>
      <c r="Y599" s="111"/>
      <c r="Z599" s="239"/>
      <c r="AA599" s="94"/>
      <c r="AB599" s="95"/>
      <c r="AC599" s="20"/>
      <c r="AD599" s="20"/>
      <c r="AE599" s="20"/>
      <c r="AF599" s="20"/>
      <c r="AG599" s="20"/>
      <c r="AH599" s="20"/>
      <c r="AI599" s="20"/>
    </row>
    <row r="600" spans="1:35" ht="12.75" hidden="1" customHeight="1">
      <c r="H600" s="485"/>
      <c r="I600" s="495"/>
      <c r="K600" s="258" t="s">
        <v>222</v>
      </c>
      <c r="L600" s="266" t="s">
        <v>402</v>
      </c>
      <c r="M600" s="146">
        <v>-4120</v>
      </c>
      <c r="N600" s="538">
        <f t="shared" si="68"/>
        <v>4717.5400940000109</v>
      </c>
      <c r="O600" s="26"/>
      <c r="P600" s="499"/>
      <c r="Q600" s="500"/>
      <c r="R600" s="501"/>
      <c r="S600" s="502"/>
      <c r="T600" s="503"/>
      <c r="U600" s="65"/>
      <c r="V600" s="20"/>
      <c r="W600" s="20"/>
      <c r="X600" s="20"/>
      <c r="Y600" s="111"/>
      <c r="Z600" s="239"/>
      <c r="AA600" s="94"/>
      <c r="AB600" s="26"/>
      <c r="AC600" s="20"/>
      <c r="AD600" s="20"/>
      <c r="AE600" s="20"/>
      <c r="AF600" s="20"/>
      <c r="AG600" s="575"/>
      <c r="AH600" s="20"/>
      <c r="AI600" s="20"/>
    </row>
    <row r="601" spans="1:35" ht="12.75" hidden="1" customHeight="1">
      <c r="H601" s="485"/>
      <c r="I601" s="495"/>
      <c r="J601" s="517"/>
      <c r="K601" s="85" t="s">
        <v>222</v>
      </c>
      <c r="L601" s="266" t="s">
        <v>180</v>
      </c>
      <c r="M601" s="45">
        <v>-69</v>
      </c>
      <c r="N601" s="538">
        <f t="shared" si="68"/>
        <v>4648.5400940000109</v>
      </c>
      <c r="O601" s="26"/>
      <c r="P601" s="499"/>
      <c r="Q601" s="500"/>
      <c r="R601" s="501"/>
      <c r="S601" s="502"/>
      <c r="T601" s="503"/>
      <c r="U601" s="83"/>
      <c r="V601" s="20"/>
      <c r="W601" s="20"/>
      <c r="X601" s="20"/>
      <c r="Y601" s="111"/>
      <c r="Z601" s="239"/>
      <c r="AA601" s="94"/>
      <c r="AB601" s="26"/>
      <c r="AC601" s="20"/>
      <c r="AD601" s="20"/>
      <c r="AE601" s="20"/>
      <c r="AF601" s="20"/>
      <c r="AG601" s="20"/>
      <c r="AH601" s="20"/>
      <c r="AI601" s="20"/>
    </row>
    <row r="602" spans="1:35" ht="12.75" hidden="1" customHeight="1">
      <c r="H602" s="573"/>
      <c r="I602" s="493"/>
      <c r="K602" s="258" t="s">
        <v>222</v>
      </c>
      <c r="L602" s="266" t="s">
        <v>61</v>
      </c>
      <c r="M602" s="45">
        <v>-252.5</v>
      </c>
      <c r="N602" s="538">
        <f t="shared" si="68"/>
        <v>4396.0400940000109</v>
      </c>
      <c r="O602" s="26"/>
      <c r="P602" s="499"/>
      <c r="Q602" s="500"/>
      <c r="R602" s="501"/>
      <c r="S602" s="502"/>
      <c r="T602" s="503"/>
      <c r="U602" s="84"/>
      <c r="V602" s="26"/>
      <c r="W602" s="26"/>
      <c r="X602" s="91"/>
      <c r="Y602" s="20"/>
      <c r="Z602" s="239"/>
      <c r="AA602" s="94"/>
      <c r="AB602" s="26"/>
      <c r="AC602" s="20"/>
      <c r="AD602" s="20"/>
      <c r="AE602" s="20"/>
      <c r="AF602" s="20"/>
      <c r="AG602" s="20"/>
      <c r="AH602" s="20"/>
      <c r="AI602" s="20"/>
    </row>
    <row r="603" spans="1:35" ht="12.75" hidden="1" customHeight="1">
      <c r="H603" s="573"/>
      <c r="I603" s="510"/>
      <c r="K603" s="258" t="s">
        <v>222</v>
      </c>
      <c r="L603" s="266" t="s">
        <v>195</v>
      </c>
      <c r="M603" s="45">
        <v>-1738</v>
      </c>
      <c r="N603" s="538">
        <f t="shared" si="68"/>
        <v>2658.0400940000109</v>
      </c>
      <c r="O603" s="26"/>
      <c r="P603" s="499"/>
      <c r="Q603" s="500"/>
      <c r="R603" s="501"/>
      <c r="S603" s="502"/>
      <c r="T603" s="503"/>
      <c r="U603" s="20"/>
      <c r="V603" s="26"/>
      <c r="W603" s="26"/>
      <c r="X603" s="91"/>
      <c r="Y603" s="20"/>
      <c r="Z603" s="239"/>
      <c r="AA603" s="94"/>
      <c r="AB603" s="26"/>
      <c r="AC603" s="20"/>
      <c r="AD603" s="20"/>
      <c r="AE603" s="20"/>
      <c r="AF603" s="20"/>
      <c r="AG603" s="20"/>
      <c r="AH603" s="20"/>
      <c r="AI603" s="20"/>
    </row>
    <row r="604" spans="1:35" ht="12.75" hidden="1" customHeight="1">
      <c r="H604" s="573"/>
      <c r="K604" s="258" t="s">
        <v>222</v>
      </c>
      <c r="L604" s="266" t="s">
        <v>333</v>
      </c>
      <c r="M604" s="45">
        <v>-200</v>
      </c>
      <c r="N604" s="538">
        <f t="shared" si="68"/>
        <v>2458.0400940000109</v>
      </c>
      <c r="O604" s="274"/>
      <c r="P604" s="499"/>
      <c r="Q604" s="500"/>
      <c r="R604" s="501"/>
      <c r="S604" s="502"/>
      <c r="T604" s="503"/>
      <c r="U604" s="20"/>
      <c r="V604" s="26"/>
      <c r="W604" s="26"/>
      <c r="X604" s="91"/>
      <c r="Y604" s="20"/>
      <c r="Z604" s="239"/>
      <c r="AA604" s="94"/>
      <c r="AB604" s="26"/>
      <c r="AC604" s="20"/>
      <c r="AD604" s="20"/>
      <c r="AE604" s="20"/>
      <c r="AF604" s="20"/>
      <c r="AG604" s="20"/>
      <c r="AH604" s="20"/>
      <c r="AI604" s="20"/>
    </row>
    <row r="605" spans="1:35" ht="12.75" hidden="1" customHeight="1">
      <c r="H605" s="579"/>
      <c r="K605" s="264"/>
      <c r="L605" s="266" t="s">
        <v>399</v>
      </c>
      <c r="M605" s="45">
        <v>-300</v>
      </c>
      <c r="N605" s="538">
        <f t="shared" si="68"/>
        <v>2158.0400940000109</v>
      </c>
      <c r="O605" s="274"/>
      <c r="P605" s="499"/>
      <c r="Q605" s="500"/>
      <c r="R605" s="501"/>
      <c r="S605" s="502"/>
      <c r="T605" s="503"/>
      <c r="U605" s="20"/>
      <c r="V605" s="26"/>
      <c r="W605" s="26"/>
      <c r="X605" s="91"/>
      <c r="Y605" s="20"/>
      <c r="Z605" s="239"/>
      <c r="AA605" s="94"/>
      <c r="AB605" s="26"/>
      <c r="AC605" s="20"/>
      <c r="AD605" s="20"/>
      <c r="AE605" s="20"/>
      <c r="AF605" s="20"/>
      <c r="AG605" s="20"/>
      <c r="AH605" s="20"/>
      <c r="AI605" s="20"/>
    </row>
    <row r="606" spans="1:35" ht="12.75" hidden="1" customHeight="1">
      <c r="H606" s="573"/>
      <c r="K606" s="258" t="s">
        <v>371</v>
      </c>
      <c r="L606" s="266" t="s">
        <v>148</v>
      </c>
      <c r="M606" s="45">
        <v>250</v>
      </c>
      <c r="N606" s="538">
        <f t="shared" si="68"/>
        <v>2408.0400940000109</v>
      </c>
      <c r="O606" s="253"/>
      <c r="P606" s="580"/>
      <c r="Q606" s="500"/>
      <c r="R606" s="501"/>
      <c r="S606" s="502"/>
      <c r="T606" s="503"/>
      <c r="U606" s="20"/>
      <c r="V606" s="26"/>
      <c r="W606" s="26"/>
      <c r="X606" s="91"/>
      <c r="Y606" s="20"/>
      <c r="Z606" s="239"/>
      <c r="AA606" s="94"/>
      <c r="AB606" s="26"/>
      <c r="AC606" s="20"/>
      <c r="AD606" s="20"/>
      <c r="AE606" s="20"/>
      <c r="AF606" s="20"/>
      <c r="AG606" s="20"/>
      <c r="AH606" s="20"/>
      <c r="AI606" s="20"/>
    </row>
    <row r="607" spans="1:35" ht="12.75" hidden="1" customHeight="1">
      <c r="H607" s="573"/>
      <c r="I607" s="517"/>
      <c r="K607" s="258" t="s">
        <v>371</v>
      </c>
      <c r="L607" s="266" t="s">
        <v>369</v>
      </c>
      <c r="M607" s="45">
        <v>250</v>
      </c>
      <c r="N607" s="538">
        <f t="shared" si="68"/>
        <v>2658.0400940000109</v>
      </c>
      <c r="O607" s="253"/>
      <c r="P607" s="499"/>
      <c r="Q607" s="500"/>
      <c r="R607" s="501"/>
      <c r="S607" s="502"/>
      <c r="T607" s="503"/>
      <c r="U607" s="20"/>
      <c r="V607" s="26"/>
      <c r="W607" s="26"/>
      <c r="X607" s="91"/>
      <c r="Y607" s="20"/>
      <c r="Z607" s="239"/>
      <c r="AA607" s="94"/>
      <c r="AB607" s="26"/>
      <c r="AC607" s="20"/>
      <c r="AD607" s="20"/>
      <c r="AE607" s="20"/>
      <c r="AF607" s="20"/>
      <c r="AG607" s="20"/>
      <c r="AH607" s="20"/>
      <c r="AI607" s="20"/>
    </row>
    <row r="608" spans="1:35" ht="12.75" hidden="1" customHeight="1">
      <c r="H608" s="573"/>
      <c r="I608" s="401"/>
      <c r="J608" s="521"/>
      <c r="K608" s="85" t="s">
        <v>189</v>
      </c>
      <c r="L608" s="267" t="s">
        <v>16</v>
      </c>
      <c r="M608" s="175">
        <v>-517.99</v>
      </c>
      <c r="N608" s="538">
        <f t="shared" si="68"/>
        <v>2140.0500940000111</v>
      </c>
      <c r="O608" s="253"/>
      <c r="P608" s="586"/>
      <c r="Q608" s="500"/>
      <c r="R608" s="501"/>
      <c r="S608" s="502"/>
      <c r="T608" s="503"/>
      <c r="U608" s="20"/>
      <c r="V608" s="26"/>
      <c r="W608" s="26"/>
      <c r="X608" s="91"/>
      <c r="Y608" s="20"/>
      <c r="Z608" s="239"/>
      <c r="AA608" s="94"/>
      <c r="AB608" s="26"/>
      <c r="AC608" s="20"/>
      <c r="AD608" s="20"/>
      <c r="AE608" s="20"/>
      <c r="AF608" s="20"/>
      <c r="AG608" s="20"/>
      <c r="AH608" s="20"/>
      <c r="AI608" s="20"/>
    </row>
    <row r="609" spans="1:35" ht="12.75" hidden="1" customHeight="1">
      <c r="H609" s="573"/>
      <c r="K609" s="258" t="s">
        <v>189</v>
      </c>
      <c r="L609" s="268" t="s">
        <v>56</v>
      </c>
      <c r="M609" s="175">
        <v>-900</v>
      </c>
      <c r="N609" s="531">
        <f t="shared" si="68"/>
        <v>1240.0500940000111</v>
      </c>
      <c r="O609" s="253"/>
      <c r="P609" s="499"/>
      <c r="Q609" s="500"/>
      <c r="R609" s="501"/>
      <c r="S609" s="502"/>
      <c r="T609" s="503"/>
      <c r="U609" s="20"/>
      <c r="V609" s="26"/>
      <c r="W609" s="26"/>
      <c r="X609" s="91"/>
      <c r="Y609" s="20"/>
      <c r="Z609" s="239"/>
      <c r="AA609" s="94"/>
      <c r="AB609" s="26"/>
      <c r="AC609" s="20"/>
      <c r="AD609" s="20"/>
      <c r="AE609" s="20"/>
      <c r="AF609" s="20"/>
      <c r="AG609" s="20"/>
      <c r="AH609" s="20"/>
      <c r="AI609" s="20"/>
    </row>
    <row r="610" spans="1:35" ht="12.75" hidden="1" customHeight="1">
      <c r="H610" s="573"/>
      <c r="I610" s="532"/>
      <c r="J610" s="533"/>
      <c r="K610" s="258" t="s">
        <v>190</v>
      </c>
      <c r="L610" s="268" t="s">
        <v>375</v>
      </c>
      <c r="M610" s="175">
        <v>-63.85</v>
      </c>
      <c r="N610" s="531">
        <f t="shared" si="68"/>
        <v>1176.2000940000112</v>
      </c>
      <c r="O610" s="253"/>
      <c r="P610" s="499"/>
      <c r="Q610" s="500"/>
      <c r="R610" s="501"/>
      <c r="S610" s="502"/>
      <c r="T610" s="503"/>
      <c r="U610" s="20"/>
      <c r="V610" s="26"/>
      <c r="W610" s="26"/>
      <c r="X610" s="91"/>
      <c r="Y610" s="20"/>
      <c r="Z610" s="239"/>
      <c r="AA610" s="94"/>
      <c r="AB610" s="26"/>
      <c r="AC610" s="20"/>
      <c r="AD610" s="20"/>
      <c r="AE610" s="20"/>
      <c r="AF610" s="20"/>
      <c r="AG610" s="20"/>
      <c r="AH610" s="20"/>
      <c r="AI610" s="20"/>
    </row>
    <row r="611" spans="1:35" ht="12.75" hidden="1" customHeight="1">
      <c r="H611" s="573"/>
      <c r="I611" s="20"/>
      <c r="J611" s="534"/>
      <c r="K611" s="321" t="s">
        <v>190</v>
      </c>
      <c r="L611" s="269" t="s">
        <v>23</v>
      </c>
      <c r="M611" s="366">
        <v>-390.2</v>
      </c>
      <c r="N611" s="566">
        <f>N610+M611</f>
        <v>786.00009400001113</v>
      </c>
      <c r="O611" s="253"/>
      <c r="P611" s="581"/>
      <c r="Q611" s="500"/>
      <c r="R611" s="501"/>
      <c r="S611" s="502"/>
      <c r="T611" s="503"/>
      <c r="U611" s="20"/>
      <c r="V611" s="26"/>
      <c r="W611" s="26"/>
      <c r="X611" s="91"/>
      <c r="Y611" s="20"/>
      <c r="Z611" s="239"/>
      <c r="AA611" s="94"/>
      <c r="AB611" s="26"/>
      <c r="AC611" s="20"/>
      <c r="AD611" s="20"/>
      <c r="AE611" s="20"/>
      <c r="AF611" s="20"/>
      <c r="AG611" s="20"/>
      <c r="AH611" s="20"/>
      <c r="AI611" s="20"/>
    </row>
    <row r="612" spans="1:35" ht="12.75" hidden="1" customHeight="1">
      <c r="H612" s="573"/>
      <c r="I612" s="20"/>
      <c r="J612" s="504"/>
      <c r="L612" s="23"/>
      <c r="M612" s="168">
        <f>SUM(M585:M611)</f>
        <v>786.00009400001113</v>
      </c>
      <c r="N612" s="296"/>
      <c r="O612" s="26"/>
      <c r="T612" s="503"/>
      <c r="U612" s="20"/>
      <c r="V612" s="26"/>
      <c r="W612" s="26"/>
      <c r="X612" s="91"/>
      <c r="Y612" s="20"/>
      <c r="Z612" s="239"/>
      <c r="AA612" s="94"/>
      <c r="AB612" s="26"/>
      <c r="AC612" s="20"/>
      <c r="AD612" s="20"/>
      <c r="AE612" s="20"/>
      <c r="AF612" s="20"/>
      <c r="AG612" s="20"/>
      <c r="AH612" s="20"/>
      <c r="AI612" s="20"/>
    </row>
    <row r="613" spans="1:35" s="78" customFormat="1" ht="12.75" hidden="1" customHeight="1">
      <c r="E613" s="15"/>
      <c r="G613" s="129"/>
      <c r="H613" s="516"/>
      <c r="J613" s="583"/>
      <c r="K613" s="469"/>
      <c r="L613" s="129"/>
      <c r="M613" s="15"/>
      <c r="N613" s="584"/>
      <c r="O613" s="159"/>
      <c r="P613" s="15"/>
      <c r="Q613" s="15"/>
      <c r="R613" s="15"/>
      <c r="S613" s="385"/>
      <c r="V613" s="15"/>
      <c r="W613" s="15"/>
      <c r="X613" s="158"/>
      <c r="Z613" s="159"/>
      <c r="AA613" s="160"/>
      <c r="AB613" s="15"/>
    </row>
    <row r="614" spans="1:35" ht="12.75" hidden="1" customHeight="1">
      <c r="H614" s="573"/>
      <c r="I614" s="20"/>
      <c r="J614" s="504"/>
      <c r="K614" s="582"/>
      <c r="L614" s="430"/>
      <c r="M614" s="108"/>
      <c r="N614" s="417"/>
      <c r="O614" s="239"/>
      <c r="U614" s="20"/>
      <c r="V614" s="26"/>
      <c r="W614" s="26"/>
      <c r="X614" s="91"/>
      <c r="Y614" s="20"/>
      <c r="Z614" s="239"/>
      <c r="AA614" s="94"/>
      <c r="AB614" s="26"/>
      <c r="AC614" s="20"/>
      <c r="AD614" s="20"/>
      <c r="AE614" s="20"/>
      <c r="AF614" s="20"/>
      <c r="AG614" s="20"/>
      <c r="AH614" s="20"/>
      <c r="AI614" s="20"/>
    </row>
    <row r="615" spans="1:35" ht="12.75" hidden="1" customHeight="1">
      <c r="B615" s="1030" t="s">
        <v>397</v>
      </c>
      <c r="C615" s="1030"/>
      <c r="D615" s="1030"/>
      <c r="E615" s="1030"/>
      <c r="G615" s="261"/>
      <c r="H615" s="261"/>
      <c r="I615" s="26"/>
      <c r="K615" s="258"/>
      <c r="L615" s="100"/>
      <c r="M615" s="1031" t="s">
        <v>54</v>
      </c>
      <c r="N615" s="597"/>
      <c r="O615" s="602"/>
      <c r="P615" s="1033" t="s">
        <v>48</v>
      </c>
      <c r="Q615" s="1035" t="s">
        <v>242</v>
      </c>
      <c r="R615" s="1035"/>
      <c r="S615" s="377"/>
      <c r="X615" s="35"/>
      <c r="Y615" s="35"/>
      <c r="Z615" s="26"/>
      <c r="AA615" s="603"/>
      <c r="AB615" s="26"/>
      <c r="AC615" s="20"/>
      <c r="AD615" s="20"/>
      <c r="AE615" s="20"/>
      <c r="AF615" s="20"/>
      <c r="AG615" s="20"/>
      <c r="AH615" s="20"/>
      <c r="AI615" s="20"/>
    </row>
    <row r="616" spans="1:35" ht="12.75" hidden="1" customHeight="1">
      <c r="C616" s="17" t="s">
        <v>357</v>
      </c>
      <c r="D616" s="14"/>
      <c r="E616" s="44">
        <v>8502.7000000000007</v>
      </c>
      <c r="G616" s="1040"/>
      <c r="H616" s="1040"/>
      <c r="I616" s="26"/>
      <c r="K616" s="260" t="s">
        <v>221</v>
      </c>
      <c r="L616" s="156"/>
      <c r="M616" s="1032"/>
      <c r="N616" s="597" t="s">
        <v>43</v>
      </c>
      <c r="O616" s="602"/>
      <c r="P616" s="1034"/>
      <c r="Q616" s="598" t="s">
        <v>43</v>
      </c>
      <c r="R616" s="599" t="s">
        <v>53</v>
      </c>
      <c r="S616" s="377"/>
      <c r="X616" s="118"/>
      <c r="Y616" s="111"/>
      <c r="Z616" s="117"/>
      <c r="AA616" s="89"/>
      <c r="AB616" s="90"/>
      <c r="AC616" s="20"/>
      <c r="AD616" s="41"/>
      <c r="AE616" s="20"/>
      <c r="AF616" s="20"/>
      <c r="AG616" s="20"/>
      <c r="AH616" s="20"/>
      <c r="AI616" s="20"/>
    </row>
    <row r="617" spans="1:35" ht="12.75" hidden="1" customHeight="1">
      <c r="C617" s="17"/>
      <c r="D617" s="14" t="s">
        <v>24</v>
      </c>
      <c r="E617" s="44">
        <f>'[2]OCT ''12'!$C$59</f>
        <v>3275.87</v>
      </c>
      <c r="G617" s="30"/>
      <c r="H617" s="1041">
        <f>SUM(E617:E618)</f>
        <v>3275.87</v>
      </c>
      <c r="I617" s="26"/>
      <c r="K617" s="273"/>
      <c r="L617" s="235" t="s">
        <v>226</v>
      </c>
      <c r="M617" s="45">
        <f>$M$612</f>
        <v>786.00009400001113</v>
      </c>
      <c r="N617" s="71">
        <f>M617</f>
        <v>786.00009400001113</v>
      </c>
      <c r="O617" s="26"/>
      <c r="P617" s="45">
        <f>$Q$587</f>
        <v>-14525.907278481009</v>
      </c>
      <c r="Q617" s="71">
        <f>P617</f>
        <v>-14525.907278481009</v>
      </c>
      <c r="R617" s="45">
        <f t="shared" ref="R617:R635" si="69">15550+Q617</f>
        <v>1024.0927215189913</v>
      </c>
      <c r="S617" s="378" t="s">
        <v>298</v>
      </c>
      <c r="T617" s="367" t="s">
        <v>299</v>
      </c>
      <c r="W617" s="392"/>
      <c r="X617" s="111"/>
      <c r="Y617" s="111"/>
      <c r="Z617" s="45"/>
      <c r="AA617" s="488"/>
      <c r="AB617" s="26"/>
      <c r="AC617" s="20"/>
      <c r="AD617" s="92"/>
      <c r="AE617" s="93"/>
      <c r="AF617" s="20"/>
      <c r="AG617" s="20"/>
      <c r="AH617" s="20"/>
      <c r="AI617" s="20"/>
    </row>
    <row r="618" spans="1:35" ht="12.75" hidden="1" customHeight="1">
      <c r="C618" s="17"/>
      <c r="D618" s="143" t="s">
        <v>225</v>
      </c>
      <c r="E618" s="15"/>
      <c r="G618"/>
      <c r="H618" s="1041"/>
      <c r="I618" s="26"/>
      <c r="K618" s="482" t="s">
        <v>364</v>
      </c>
      <c r="L618" s="235" t="s">
        <v>24</v>
      </c>
      <c r="M618" s="587">
        <v>200</v>
      </c>
      <c r="N618" s="538">
        <f>N617+M618</f>
        <v>986.00009400001113</v>
      </c>
      <c r="O618" s="65"/>
      <c r="P618" s="133">
        <v>-101.5</v>
      </c>
      <c r="Q618" s="72">
        <f t="shared" ref="Q618:Q636" si="70">Q617+P618</f>
        <v>-14627.407278481009</v>
      </c>
      <c r="R618" s="45">
        <f t="shared" si="69"/>
        <v>922.59272151899131</v>
      </c>
      <c r="S618" s="373" t="s">
        <v>400</v>
      </c>
      <c r="T618" s="391"/>
      <c r="W618" s="111"/>
      <c r="X618" s="111"/>
      <c r="Y618" s="112"/>
      <c r="Z618" s="55"/>
      <c r="AA618" s="489"/>
      <c r="AB618" s="95"/>
      <c r="AC618" s="20"/>
      <c r="AD618" s="41"/>
      <c r="AE618" s="93"/>
      <c r="AF618" s="20"/>
      <c r="AG618" s="20"/>
      <c r="AH618" s="20"/>
      <c r="AI618" s="20"/>
    </row>
    <row r="619" spans="1:35" ht="12.75" hidden="1" customHeight="1">
      <c r="C619" s="18" t="s">
        <v>5</v>
      </c>
      <c r="D619" s="14"/>
      <c r="E619" s="14">
        <f>SUM(E616:E618)</f>
        <v>11778.57</v>
      </c>
      <c r="G619" s="242"/>
      <c r="H619" s="492"/>
      <c r="I619" s="242"/>
      <c r="J619" s="315"/>
      <c r="K619" s="482"/>
      <c r="L619" s="235" t="s">
        <v>142</v>
      </c>
      <c r="M619" s="45">
        <v>-38.979999999999997</v>
      </c>
      <c r="N619" s="538">
        <f>N618+M619</f>
        <v>947.02009400001111</v>
      </c>
      <c r="O619" s="49"/>
      <c r="P619" s="133">
        <v>-158.13999999999999</v>
      </c>
      <c r="Q619" s="72">
        <f t="shared" si="70"/>
        <v>-14785.547278481008</v>
      </c>
      <c r="R619" s="45">
        <f t="shared" si="69"/>
        <v>764.45272151899189</v>
      </c>
      <c r="S619" s="373" t="s">
        <v>253</v>
      </c>
      <c r="T619" s="391"/>
      <c r="U619" s="111"/>
      <c r="V619" s="20"/>
      <c r="W619" s="111"/>
      <c r="X619" s="111"/>
      <c r="Y619" s="112"/>
      <c r="Z619" s="55"/>
      <c r="AA619" s="489"/>
      <c r="AB619" s="26"/>
      <c r="AC619" s="20"/>
      <c r="AD619" s="92"/>
      <c r="AE619" s="93"/>
      <c r="AF619" s="20"/>
      <c r="AG619" s="20"/>
      <c r="AH619" s="20"/>
      <c r="AI619" s="20"/>
    </row>
    <row r="620" spans="1:35" ht="12.75" hidden="1" customHeight="1">
      <c r="G620" s="20"/>
      <c r="H620" s="490"/>
      <c r="I620" s="45"/>
      <c r="J620" s="482"/>
      <c r="K620" s="297"/>
      <c r="L620" s="184" t="s">
        <v>405</v>
      </c>
      <c r="M620" s="45">
        <v>-154.94999999999999</v>
      </c>
      <c r="N620" s="538">
        <f>N619+M620</f>
        <v>792.07009400001107</v>
      </c>
      <c r="O620" s="49"/>
      <c r="P620" s="133">
        <v>-125</v>
      </c>
      <c r="Q620" s="72">
        <f t="shared" si="70"/>
        <v>-14910.547278481008</v>
      </c>
      <c r="R620" s="45">
        <f t="shared" si="69"/>
        <v>639.45272151899189</v>
      </c>
      <c r="S620" s="373" t="s">
        <v>403</v>
      </c>
      <c r="T620" s="391"/>
      <c r="U620" s="20"/>
      <c r="V620" s="45"/>
      <c r="W620" s="112"/>
      <c r="X620" s="112"/>
      <c r="Y620" s="112"/>
      <c r="Z620" s="55"/>
      <c r="AA620" s="489"/>
      <c r="AB620" s="26"/>
      <c r="AC620" s="20"/>
      <c r="AD620" s="92"/>
      <c r="AE620" s="93"/>
      <c r="AF620" s="20"/>
      <c r="AG620" s="20"/>
      <c r="AH620" s="20"/>
      <c r="AI620" s="20"/>
    </row>
    <row r="621" spans="1:35" ht="12.75" hidden="1" customHeight="1">
      <c r="A621" s="319"/>
      <c r="C621" s="81" t="s">
        <v>17</v>
      </c>
      <c r="E621" s="42"/>
      <c r="G621"/>
      <c r="H621" s="601"/>
      <c r="I621" s="315"/>
      <c r="J621" s="315"/>
      <c r="K621" s="297"/>
      <c r="L621" s="184" t="s">
        <v>408</v>
      </c>
      <c r="M621" s="45">
        <v>-413</v>
      </c>
      <c r="N621" s="538">
        <f>N620+M621</f>
        <v>379.07009400001107</v>
      </c>
      <c r="O621" s="39"/>
      <c r="P621" s="133">
        <v>5130</v>
      </c>
      <c r="Q621" s="72">
        <f t="shared" si="70"/>
        <v>-9780.5472784810081</v>
      </c>
      <c r="R621" s="45">
        <f t="shared" si="69"/>
        <v>5769.4527215189919</v>
      </c>
      <c r="S621" s="373" t="s">
        <v>404</v>
      </c>
      <c r="T621" s="391"/>
      <c r="U621" s="20"/>
      <c r="V621" s="45"/>
      <c r="W621" s="103"/>
      <c r="X621" s="111"/>
      <c r="Y621" s="112"/>
      <c r="Z621" s="55"/>
      <c r="AA621" s="489"/>
      <c r="AB621" s="95"/>
      <c r="AC621" s="20"/>
      <c r="AD621" s="96"/>
      <c r="AE621" s="93"/>
      <c r="AF621" s="20"/>
      <c r="AG621" s="20"/>
      <c r="AH621" s="20"/>
      <c r="AI621" s="20"/>
    </row>
    <row r="622" spans="1:35" ht="12.75" hidden="1" customHeight="1">
      <c r="A622" s="319"/>
      <c r="D622" s="20" t="s">
        <v>14</v>
      </c>
      <c r="E622" s="42">
        <f>E616</f>
        <v>8502.7000000000007</v>
      </c>
      <c r="F622" s="20"/>
      <c r="G622" s="20"/>
      <c r="H622" s="490">
        <f>G623+E623+G624+G625</f>
        <v>3275.87</v>
      </c>
      <c r="I622" s="315"/>
      <c r="J622" s="315"/>
      <c r="K622" s="297"/>
      <c r="L622" s="184" t="s">
        <v>102</v>
      </c>
      <c r="M622" s="45">
        <v>600</v>
      </c>
      <c r="N622" s="538">
        <f t="shared" ref="N622:N635" si="71">N621+M622</f>
        <v>979.07009400001107</v>
      </c>
      <c r="O622" s="39"/>
      <c r="P622" s="133">
        <v>-204.29</v>
      </c>
      <c r="Q622" s="72">
        <f t="shared" si="70"/>
        <v>-9984.837278481009</v>
      </c>
      <c r="R622" s="45">
        <f t="shared" si="69"/>
        <v>5565.162721518991</v>
      </c>
      <c r="S622" s="373" t="s">
        <v>258</v>
      </c>
      <c r="T622" s="391" t="s">
        <v>406</v>
      </c>
      <c r="U622" s="20"/>
      <c r="V622" s="45"/>
      <c r="W622" s="111"/>
      <c r="X622" s="111"/>
      <c r="Y622" s="112"/>
      <c r="Z622" s="55"/>
      <c r="AA622" s="489"/>
      <c r="AB622" s="26"/>
      <c r="AC622" s="20"/>
      <c r="AD622" s="41"/>
      <c r="AE622" s="93"/>
      <c r="AF622" s="20"/>
      <c r="AG622" s="20"/>
      <c r="AH622" s="20"/>
      <c r="AI622" s="20"/>
    </row>
    <row r="623" spans="1:35" ht="12.75" hidden="1" customHeight="1">
      <c r="A623" s="319"/>
      <c r="D623" s="78" t="s">
        <v>13</v>
      </c>
      <c r="E623" s="483">
        <f>E617-G623-G624-G625</f>
        <v>3075.87</v>
      </c>
      <c r="F623" s="482" t="s">
        <v>364</v>
      </c>
      <c r="G623" s="1037">
        <v>200</v>
      </c>
      <c r="H623" s="1037"/>
      <c r="I623" s="315"/>
      <c r="K623" s="297" t="s">
        <v>223</v>
      </c>
      <c r="L623" s="184" t="s">
        <v>227</v>
      </c>
      <c r="M623" s="45">
        <v>-357</v>
      </c>
      <c r="N623" s="538">
        <f t="shared" si="71"/>
        <v>622.07009400001107</v>
      </c>
      <c r="O623" s="39"/>
      <c r="P623" s="133">
        <v>-712</v>
      </c>
      <c r="Q623" s="72">
        <f t="shared" si="70"/>
        <v>-10696.837278481009</v>
      </c>
      <c r="R623" s="45">
        <f t="shared" si="69"/>
        <v>4853.162721518991</v>
      </c>
      <c r="S623" s="373" t="s">
        <v>407</v>
      </c>
      <c r="T623" s="600"/>
      <c r="U623" s="20"/>
      <c r="V623" s="133"/>
      <c r="W623" s="20"/>
      <c r="X623" s="20"/>
      <c r="Y623" s="112"/>
      <c r="Z623" s="239"/>
      <c r="AA623" s="94"/>
      <c r="AB623" s="26"/>
      <c r="AC623" s="20"/>
      <c r="AD623" s="92"/>
      <c r="AE623" s="93"/>
      <c r="AF623" s="20"/>
      <c r="AG623" s="20"/>
      <c r="AH623" s="20"/>
      <c r="AI623" s="20"/>
    </row>
    <row r="624" spans="1:35" ht="12.75" hidden="1" customHeight="1">
      <c r="A624" s="319"/>
      <c r="D624" s="20"/>
      <c r="E624" s="26"/>
      <c r="F624" s="482" t="s">
        <v>364</v>
      </c>
      <c r="G624" s="1037"/>
      <c r="H624" s="1037"/>
      <c r="I624" s="315"/>
      <c r="J624" s="21"/>
      <c r="K624" s="258" t="s">
        <v>384</v>
      </c>
      <c r="L624" s="116" t="s">
        <v>224</v>
      </c>
      <c r="M624" s="45">
        <v>-533.94000000000005</v>
      </c>
      <c r="N624" s="538">
        <f t="shared" si="71"/>
        <v>88.130094000011013</v>
      </c>
      <c r="O624" s="39"/>
      <c r="P624" s="133">
        <f>-M622</f>
        <v>-600</v>
      </c>
      <c r="Q624" s="72">
        <f t="shared" si="70"/>
        <v>-11296.837278481009</v>
      </c>
      <c r="R624" s="45">
        <f t="shared" si="69"/>
        <v>4253.162721518991</v>
      </c>
      <c r="S624" s="373" t="s">
        <v>247</v>
      </c>
      <c r="T624" s="600"/>
      <c r="U624" s="20"/>
      <c r="V624" s="45"/>
      <c r="W624" s="26"/>
      <c r="X624" s="20"/>
      <c r="Y624" s="112"/>
      <c r="Z624" s="239"/>
      <c r="AA624" s="94"/>
      <c r="AB624" s="95"/>
      <c r="AC624" s="20"/>
      <c r="AD624" s="92"/>
      <c r="AE624" s="93"/>
      <c r="AF624" s="20"/>
      <c r="AG624" s="20"/>
      <c r="AH624" s="20"/>
      <c r="AI624" s="20"/>
    </row>
    <row r="625" spans="1:35" ht="12.75" hidden="1" customHeight="1" thickBot="1">
      <c r="A625" s="319"/>
      <c r="D625" s="20"/>
      <c r="E625" s="26"/>
      <c r="F625" s="482" t="s">
        <v>364</v>
      </c>
      <c r="G625" s="1037"/>
      <c r="H625" s="1037"/>
      <c r="I625" s="315"/>
      <c r="J625" s="21"/>
      <c r="K625" s="258" t="s">
        <v>371</v>
      </c>
      <c r="L625" s="266" t="s">
        <v>51</v>
      </c>
      <c r="M625" s="146">
        <f>E622</f>
        <v>8502.7000000000007</v>
      </c>
      <c r="N625" s="538">
        <f t="shared" si="71"/>
        <v>8590.8300940000117</v>
      </c>
      <c r="O625" s="39"/>
      <c r="P625" s="133">
        <v>-200</v>
      </c>
      <c r="Q625" s="72">
        <f t="shared" si="70"/>
        <v>-11496.837278481009</v>
      </c>
      <c r="R625" s="45">
        <f t="shared" si="69"/>
        <v>4053.162721518991</v>
      </c>
      <c r="S625" s="373" t="s">
        <v>409</v>
      </c>
      <c r="T625" s="390" t="s">
        <v>410</v>
      </c>
      <c r="U625" s="20"/>
      <c r="V625" s="45"/>
      <c r="W625" s="26"/>
      <c r="X625" s="20"/>
      <c r="Y625" s="112"/>
      <c r="Z625" s="239"/>
      <c r="AA625" s="94"/>
      <c r="AB625" s="26"/>
      <c r="AC625" s="20"/>
      <c r="AD625" s="92"/>
      <c r="AE625" s="97"/>
      <c r="AF625" s="20"/>
      <c r="AG625" s="20"/>
      <c r="AH625" s="20"/>
      <c r="AI625" s="20"/>
    </row>
    <row r="626" spans="1:35" ht="12.75" hidden="1" customHeight="1" thickTop="1">
      <c r="A626" s="319"/>
      <c r="D626" s="20"/>
      <c r="E626" s="26"/>
      <c r="F626" s="122"/>
      <c r="G626" s="1038">
        <f>E622+E623+G624+G623+G625</f>
        <v>11778.57</v>
      </c>
      <c r="H626" s="1038"/>
      <c r="I626" s="315"/>
      <c r="K626" s="258" t="s">
        <v>371</v>
      </c>
      <c r="L626" s="266" t="s">
        <v>401</v>
      </c>
      <c r="M626" s="146">
        <v>-4120</v>
      </c>
      <c r="N626" s="538">
        <f t="shared" si="71"/>
        <v>4470.8300940000117</v>
      </c>
      <c r="O626" s="39"/>
      <c r="P626" s="133">
        <v>-209.22</v>
      </c>
      <c r="Q626" s="72">
        <f t="shared" si="70"/>
        <v>-11706.057278481008</v>
      </c>
      <c r="R626" s="45">
        <f t="shared" si="69"/>
        <v>3843.9427215189917</v>
      </c>
      <c r="S626" s="373" t="s">
        <v>282</v>
      </c>
      <c r="T626" s="390" t="s">
        <v>280</v>
      </c>
      <c r="U626" s="74"/>
      <c r="V626" s="26"/>
      <c r="W626" s="26"/>
      <c r="X626" s="91"/>
      <c r="Y626" s="20"/>
      <c r="Z626" s="239"/>
      <c r="AA626" s="94"/>
      <c r="AB626" s="95"/>
      <c r="AC626" s="20"/>
      <c r="AD626" s="98"/>
      <c r="AE626" s="93"/>
      <c r="AF626" s="603"/>
      <c r="AG626" s="20"/>
      <c r="AH626" s="20"/>
      <c r="AI626" s="20"/>
    </row>
    <row r="627" spans="1:35" ht="12.75" hidden="1" customHeight="1">
      <c r="A627" s="319"/>
      <c r="D627" s="20"/>
      <c r="E627" s="26"/>
      <c r="F627" s="122"/>
      <c r="G627" s="596"/>
      <c r="H627" s="596"/>
      <c r="I627" s="315"/>
      <c r="J627" s="511"/>
      <c r="K627" s="258" t="s">
        <v>371</v>
      </c>
      <c r="L627" s="266" t="s">
        <v>195</v>
      </c>
      <c r="M627" s="45">
        <v>-1738</v>
      </c>
      <c r="N627" s="538">
        <f t="shared" si="71"/>
        <v>2732.8300940000117</v>
      </c>
      <c r="O627" s="39"/>
      <c r="P627" s="133">
        <v>-224.74</v>
      </c>
      <c r="Q627" s="72">
        <f t="shared" si="70"/>
        <v>-11930.797278481008</v>
      </c>
      <c r="R627" s="45">
        <f t="shared" si="69"/>
        <v>3619.2027215189919</v>
      </c>
      <c r="S627" s="373" t="s">
        <v>282</v>
      </c>
      <c r="T627" s="390" t="s">
        <v>280</v>
      </c>
      <c r="U627" s="65"/>
      <c r="V627" s="26"/>
      <c r="W627" s="26"/>
      <c r="X627" s="35"/>
      <c r="Y627" s="20"/>
      <c r="Z627" s="239"/>
      <c r="AA627" s="94"/>
      <c r="AB627" s="26"/>
      <c r="AC627" s="20"/>
      <c r="AD627" s="20"/>
      <c r="AE627" s="20"/>
      <c r="AF627" s="99"/>
      <c r="AG627" s="20"/>
      <c r="AH627" s="20"/>
      <c r="AI627" s="20"/>
    </row>
    <row r="628" spans="1:35" ht="12.75" hidden="1" customHeight="1">
      <c r="A628" s="548"/>
      <c r="B628" s="548"/>
      <c r="C628" s="548"/>
      <c r="D628" s="548"/>
      <c r="E628" s="548"/>
      <c r="F628" s="122"/>
      <c r="G628" s="596"/>
      <c r="H628" s="596"/>
      <c r="I628" s="493"/>
      <c r="J628" s="511"/>
      <c r="K628" s="258" t="s">
        <v>371</v>
      </c>
      <c r="L628" s="266" t="s">
        <v>333</v>
      </c>
      <c r="M628" s="45">
        <v>-200</v>
      </c>
      <c r="N628" s="538">
        <f t="shared" si="71"/>
        <v>2532.8300940000117</v>
      </c>
      <c r="O628" s="39"/>
      <c r="P628" s="133">
        <v>-261.64999999999998</v>
      </c>
      <c r="Q628" s="72">
        <f t="shared" si="70"/>
        <v>-12192.447278481008</v>
      </c>
      <c r="R628" s="45">
        <f t="shared" si="69"/>
        <v>3357.5527215189923</v>
      </c>
      <c r="S628" s="373" t="s">
        <v>270</v>
      </c>
      <c r="T628" s="390" t="s">
        <v>280</v>
      </c>
      <c r="U628" s="65"/>
      <c r="V628" s="20"/>
      <c r="W628" s="20"/>
      <c r="X628" s="20"/>
      <c r="Y628" s="111"/>
      <c r="Z628" s="239"/>
      <c r="AA628" s="94"/>
      <c r="AB628" s="26"/>
      <c r="AC628" s="20"/>
      <c r="AD628" s="20"/>
      <c r="AE628" s="20"/>
      <c r="AF628" s="20"/>
      <c r="AG628" s="20"/>
      <c r="AH628" s="20"/>
      <c r="AI628" s="20"/>
    </row>
    <row r="629" spans="1:35" ht="12.75" hidden="1" customHeight="1">
      <c r="A629" s="402"/>
      <c r="B629" s="402"/>
      <c r="C629" s="403"/>
      <c r="D629" s="404"/>
      <c r="E629" s="405"/>
      <c r="F629" s="406"/>
      <c r="G629" s="407"/>
      <c r="H629" s="484"/>
      <c r="I629" s="494"/>
      <c r="K629" s="258" t="s">
        <v>371</v>
      </c>
      <c r="L629" s="266" t="s">
        <v>369</v>
      </c>
      <c r="M629" s="45">
        <v>250</v>
      </c>
      <c r="N629" s="538">
        <f t="shared" si="71"/>
        <v>2782.8300940000117</v>
      </c>
      <c r="O629" s="42"/>
      <c r="P629" s="133">
        <v>-369.91</v>
      </c>
      <c r="Q629" s="72">
        <f t="shared" si="70"/>
        <v>-12562.357278481008</v>
      </c>
      <c r="R629" s="45">
        <f t="shared" si="69"/>
        <v>2987.6427215189924</v>
      </c>
      <c r="S629" s="373" t="s">
        <v>258</v>
      </c>
      <c r="T629" s="390" t="s">
        <v>411</v>
      </c>
      <c r="U629" s="65"/>
      <c r="V629" s="20"/>
      <c r="W629" s="20"/>
      <c r="X629" s="91"/>
      <c r="Y629" s="111"/>
      <c r="Z629" s="239"/>
      <c r="AA629" s="94"/>
      <c r="AB629" s="95"/>
      <c r="AC629" s="20"/>
      <c r="AD629" s="20"/>
      <c r="AE629" s="20"/>
      <c r="AF629" s="20"/>
      <c r="AG629" s="20"/>
      <c r="AH629" s="20"/>
      <c r="AI629" s="20"/>
    </row>
    <row r="630" spans="1:35" ht="12.75" hidden="1" customHeight="1">
      <c r="H630" s="485"/>
      <c r="I630" s="495"/>
      <c r="K630" s="85" t="s">
        <v>371</v>
      </c>
      <c r="L630" s="266" t="s">
        <v>180</v>
      </c>
      <c r="M630" s="45">
        <v>-69</v>
      </c>
      <c r="N630" s="538">
        <f t="shared" si="71"/>
        <v>2713.8300940000117</v>
      </c>
      <c r="O630" s="26"/>
      <c r="P630" s="133">
        <v>-239.76</v>
      </c>
      <c r="Q630" s="72">
        <f t="shared" si="70"/>
        <v>-12802.117278481008</v>
      </c>
      <c r="R630" s="45">
        <f t="shared" si="69"/>
        <v>2747.8827215189922</v>
      </c>
      <c r="S630" s="373" t="s">
        <v>258</v>
      </c>
      <c r="T630" s="372" t="s">
        <v>412</v>
      </c>
      <c r="U630" s="65"/>
      <c r="V630" s="20"/>
      <c r="W630" s="20"/>
      <c r="X630" s="20"/>
      <c r="Y630" s="111"/>
      <c r="Z630" s="239"/>
      <c r="AA630" s="94"/>
      <c r="AB630" s="26"/>
      <c r="AC630" s="20"/>
      <c r="AD630" s="20"/>
      <c r="AE630" s="20"/>
      <c r="AF630" s="20"/>
      <c r="AG630" s="603"/>
      <c r="AH630" s="20"/>
      <c r="AI630" s="20"/>
    </row>
    <row r="631" spans="1:35" ht="12.75" hidden="1" customHeight="1">
      <c r="H631" s="485"/>
      <c r="I631" s="495"/>
      <c r="J631" s="517"/>
      <c r="K631" s="258" t="s">
        <v>371</v>
      </c>
      <c r="L631" s="266" t="s">
        <v>61</v>
      </c>
      <c r="M631" s="45">
        <v>-252.5</v>
      </c>
      <c r="N631" s="538">
        <f t="shared" si="71"/>
        <v>2461.3300940000117</v>
      </c>
      <c r="O631" s="26"/>
      <c r="P631" s="133">
        <v>-352.91</v>
      </c>
      <c r="Q631" s="72">
        <f t="shared" si="70"/>
        <v>-13155.027278481008</v>
      </c>
      <c r="R631" s="45">
        <f t="shared" si="69"/>
        <v>2394.9727215189923</v>
      </c>
      <c r="S631" s="373" t="s">
        <v>270</v>
      </c>
      <c r="T631" s="372" t="s">
        <v>280</v>
      </c>
      <c r="U631" s="83"/>
      <c r="V631" s="20"/>
      <c r="W631" s="20"/>
      <c r="X631" s="20"/>
      <c r="Y631" s="111"/>
      <c r="Z631" s="239"/>
      <c r="AA631" s="94"/>
      <c r="AB631" s="26"/>
      <c r="AC631" s="20"/>
      <c r="AD631" s="20"/>
      <c r="AE631" s="20"/>
      <c r="AF631" s="20"/>
      <c r="AG631" s="20"/>
      <c r="AH631" s="20"/>
      <c r="AI631" s="20"/>
    </row>
    <row r="632" spans="1:35" ht="12.75" hidden="1" customHeight="1">
      <c r="H632" s="596"/>
      <c r="I632" s="493"/>
      <c r="K632" s="258" t="s">
        <v>371</v>
      </c>
      <c r="L632" s="266" t="s">
        <v>148</v>
      </c>
      <c r="M632" s="45">
        <v>250</v>
      </c>
      <c r="N632" s="538">
        <f t="shared" si="71"/>
        <v>2711.3300940000117</v>
      </c>
      <c r="O632" s="26"/>
      <c r="P632" s="133">
        <v>-283.87</v>
      </c>
      <c r="Q632" s="72">
        <f t="shared" si="70"/>
        <v>-13438.897278481008</v>
      </c>
      <c r="R632" s="45">
        <f t="shared" si="69"/>
        <v>2111.1027215189915</v>
      </c>
      <c r="S632" s="373" t="s">
        <v>282</v>
      </c>
      <c r="T632" s="372" t="s">
        <v>413</v>
      </c>
      <c r="U632" s="84"/>
      <c r="V632" s="26"/>
      <c r="W632" s="26"/>
      <c r="X632" s="91"/>
      <c r="Y632" s="20"/>
      <c r="Z632" s="239"/>
      <c r="AA632" s="94"/>
      <c r="AB632" s="26"/>
      <c r="AC632" s="20"/>
      <c r="AD632" s="20"/>
      <c r="AE632" s="20"/>
      <c r="AF632" s="20"/>
      <c r="AG632" s="20"/>
      <c r="AH632" s="20"/>
      <c r="AI632" s="20"/>
    </row>
    <row r="633" spans="1:35" ht="12.75" hidden="1" customHeight="1">
      <c r="H633" s="596"/>
      <c r="I633" s="510"/>
      <c r="K633" s="85" t="s">
        <v>189</v>
      </c>
      <c r="L633" s="267" t="s">
        <v>16</v>
      </c>
      <c r="M633" s="175">
        <v>-493.99</v>
      </c>
      <c r="N633" s="538">
        <f t="shared" si="71"/>
        <v>2217.340094000012</v>
      </c>
      <c r="O633" s="26"/>
      <c r="P633" s="133">
        <v>-25.8</v>
      </c>
      <c r="Q633" s="72">
        <f t="shared" si="70"/>
        <v>-13464.697278481008</v>
      </c>
      <c r="R633" s="45">
        <f t="shared" si="69"/>
        <v>2085.3027215189923</v>
      </c>
      <c r="S633" s="373" t="s">
        <v>414</v>
      </c>
      <c r="T633" s="372"/>
      <c r="U633" s="20"/>
      <c r="V633" s="26"/>
      <c r="W633" s="26"/>
      <c r="X633" s="91"/>
      <c r="Y633" s="20"/>
      <c r="Z633" s="239"/>
      <c r="AA633" s="94"/>
      <c r="AB633" s="26"/>
      <c r="AC633" s="20"/>
      <c r="AD633" s="20"/>
      <c r="AE633" s="20"/>
      <c r="AF633" s="20"/>
      <c r="AG633" s="20"/>
      <c r="AH633" s="20"/>
      <c r="AI633" s="20"/>
    </row>
    <row r="634" spans="1:35" ht="12.75" hidden="1" customHeight="1">
      <c r="H634" s="596"/>
      <c r="K634" s="258" t="s">
        <v>189</v>
      </c>
      <c r="L634" s="268" t="s">
        <v>56</v>
      </c>
      <c r="M634" s="175">
        <v>-900</v>
      </c>
      <c r="N634" s="538">
        <f t="shared" si="71"/>
        <v>1317.340094000012</v>
      </c>
      <c r="O634" s="274"/>
      <c r="P634" s="133">
        <f>-350-12</f>
        <v>-362</v>
      </c>
      <c r="Q634" s="72">
        <f t="shared" si="70"/>
        <v>-13826.697278481008</v>
      </c>
      <c r="R634" s="45">
        <f t="shared" si="69"/>
        <v>1723.3027215189923</v>
      </c>
      <c r="S634" s="373" t="s">
        <v>407</v>
      </c>
      <c r="T634" s="372"/>
      <c r="U634" s="20"/>
      <c r="V634" s="26"/>
      <c r="W634" s="26"/>
      <c r="X634" s="91"/>
      <c r="Y634" s="20"/>
      <c r="Z634" s="239"/>
      <c r="AA634" s="94"/>
      <c r="AB634" s="26"/>
      <c r="AC634" s="20"/>
      <c r="AD634" s="20"/>
      <c r="AE634" s="20"/>
      <c r="AF634" s="20"/>
      <c r="AG634" s="20"/>
      <c r="AH634" s="20"/>
      <c r="AI634" s="20"/>
    </row>
    <row r="635" spans="1:35" ht="12.75" hidden="1" customHeight="1">
      <c r="H635" s="596"/>
      <c r="K635" s="258" t="s">
        <v>190</v>
      </c>
      <c r="L635" s="268" t="s">
        <v>375</v>
      </c>
      <c r="M635" s="175">
        <v>-533.94000000000005</v>
      </c>
      <c r="N635" s="531">
        <f t="shared" si="71"/>
        <v>783.4000940000119</v>
      </c>
      <c r="O635" s="253"/>
      <c r="P635" s="133">
        <v>-1012</v>
      </c>
      <c r="Q635" s="72">
        <f t="shared" si="70"/>
        <v>-14838.697278481008</v>
      </c>
      <c r="R635" s="45">
        <f t="shared" si="69"/>
        <v>711.30272151899226</v>
      </c>
      <c r="S635" s="373" t="s">
        <v>407</v>
      </c>
      <c r="T635" s="390" t="s">
        <v>280</v>
      </c>
      <c r="U635" s="20"/>
      <c r="V635" s="26"/>
      <c r="W635" s="26"/>
      <c r="X635" s="91"/>
      <c r="Y635" s="20"/>
      <c r="Z635" s="239"/>
      <c r="AA635" s="94"/>
      <c r="AB635" s="26"/>
      <c r="AC635" s="20"/>
      <c r="AD635" s="20"/>
      <c r="AE635" s="20"/>
      <c r="AF635" s="20"/>
      <c r="AG635" s="20"/>
      <c r="AH635" s="20"/>
      <c r="AI635" s="20"/>
    </row>
    <row r="636" spans="1:35" ht="12.75" hidden="1" customHeight="1">
      <c r="H636" s="596"/>
      <c r="I636" s="517"/>
      <c r="K636" s="321" t="s">
        <v>190</v>
      </c>
      <c r="L636" s="269" t="s">
        <v>23</v>
      </c>
      <c r="M636" s="366">
        <v>-275.31</v>
      </c>
      <c r="N636" s="537">
        <f>N635+M636</f>
        <v>508.0900940000119</v>
      </c>
      <c r="O636" s="253"/>
      <c r="P636" s="49">
        <f>E623</f>
        <v>3075.87</v>
      </c>
      <c r="Q636" s="73">
        <f t="shared" si="70"/>
        <v>-11762.827278481007</v>
      </c>
      <c r="R636" s="105">
        <f>15550+Q636</f>
        <v>3787.1727215189931</v>
      </c>
      <c r="S636" s="373" t="s">
        <v>280</v>
      </c>
      <c r="T636" s="594"/>
      <c r="U636" s="20"/>
      <c r="V636" s="26"/>
      <c r="W636" s="26"/>
      <c r="X636" s="91"/>
      <c r="Y636" s="20"/>
      <c r="Z636" s="239"/>
      <c r="AA636" s="94"/>
      <c r="AB636" s="26"/>
      <c r="AC636" s="20"/>
      <c r="AD636" s="20"/>
      <c r="AE636" s="20"/>
      <c r="AF636" s="20"/>
      <c r="AG636" s="20"/>
      <c r="AH636" s="20"/>
      <c r="AI636" s="20"/>
    </row>
    <row r="637" spans="1:35" ht="12.75" hidden="1" customHeight="1">
      <c r="A637" s="20"/>
      <c r="B637" s="20"/>
      <c r="C637" s="20"/>
      <c r="D637" s="20"/>
      <c r="E637" s="26"/>
      <c r="H637" s="596"/>
      <c r="I637" s="401"/>
      <c r="J637" s="521"/>
      <c r="L637" s="23"/>
      <c r="M637" s="168">
        <f>SUM(M617:M636)</f>
        <v>508.0900940000119</v>
      </c>
      <c r="N637" s="296"/>
      <c r="O637" s="253"/>
      <c r="P637" s="64">
        <f>SUM(P617:P636)</f>
        <v>-11762.827278481007</v>
      </c>
      <c r="Q637" s="287" t="s">
        <v>243</v>
      </c>
      <c r="R637" s="317"/>
      <c r="S637" s="373"/>
      <c r="T637" s="600"/>
      <c r="U637" s="20"/>
      <c r="V637" s="26"/>
      <c r="W637" s="26"/>
      <c r="X637" s="91"/>
      <c r="Y637" s="20"/>
      <c r="Z637" s="239"/>
      <c r="AA637" s="94"/>
      <c r="AB637" s="26"/>
      <c r="AC637" s="20"/>
      <c r="AD637" s="20"/>
      <c r="AE637" s="20"/>
      <c r="AF637" s="20"/>
      <c r="AG637" s="20"/>
      <c r="AH637" s="20"/>
      <c r="AI637" s="20"/>
    </row>
    <row r="638" spans="1:35" s="78" customFormat="1" ht="12.75" hidden="1" customHeight="1">
      <c r="E638" s="15"/>
      <c r="G638" s="129"/>
      <c r="H638" s="516"/>
      <c r="J638" s="583"/>
      <c r="K638" s="604"/>
      <c r="L638" s="605"/>
      <c r="M638" s="606"/>
      <c r="N638" s="607"/>
      <c r="O638" s="608"/>
      <c r="P638" s="15"/>
      <c r="Q638" s="15"/>
      <c r="R638" s="15"/>
      <c r="S638" s="385"/>
      <c r="V638" s="15"/>
      <c r="W638" s="15"/>
      <c r="X638" s="158"/>
      <c r="Z638" s="159"/>
      <c r="AA638" s="160"/>
      <c r="AB638" s="15"/>
    </row>
    <row r="639" spans="1:35" s="20" customFormat="1" ht="12.75" hidden="1" customHeight="1">
      <c r="E639" s="26"/>
      <c r="G639" s="46"/>
      <c r="H639" s="616"/>
      <c r="J639" s="504"/>
      <c r="K639" s="544"/>
      <c r="L639" s="236"/>
      <c r="M639" s="233"/>
      <c r="N639" s="545"/>
      <c r="O639" s="240"/>
      <c r="P639" s="26"/>
      <c r="Q639" s="26"/>
      <c r="R639" s="26"/>
      <c r="S639" s="384"/>
      <c r="V639" s="26"/>
      <c r="W639" s="26"/>
      <c r="X639" s="91"/>
      <c r="Z639" s="239"/>
      <c r="AA639" s="94"/>
      <c r="AB639" s="26"/>
    </row>
    <row r="640" spans="1:35" ht="12.75" hidden="1" customHeight="1">
      <c r="B640" s="1030" t="s">
        <v>415</v>
      </c>
      <c r="C640" s="1030"/>
      <c r="D640" s="1030"/>
      <c r="E640" s="1030"/>
      <c r="G640" s="261"/>
      <c r="H640" s="261"/>
      <c r="I640" s="26"/>
      <c r="K640" s="258"/>
      <c r="L640" s="100"/>
      <c r="M640" s="1031" t="s">
        <v>54</v>
      </c>
      <c r="N640" s="612"/>
      <c r="O640" s="618"/>
      <c r="P640" s="1033" t="s">
        <v>48</v>
      </c>
      <c r="Q640" s="1035" t="s">
        <v>242</v>
      </c>
      <c r="R640" s="1035"/>
      <c r="S640" s="377"/>
      <c r="X640" s="35"/>
      <c r="Y640" s="35"/>
      <c r="Z640" s="26"/>
      <c r="AA640" s="619"/>
      <c r="AB640" s="26"/>
      <c r="AC640" s="20"/>
      <c r="AD640" s="20"/>
      <c r="AE640" s="20"/>
      <c r="AF640" s="20"/>
      <c r="AG640" s="20"/>
      <c r="AH640" s="20"/>
      <c r="AI640" s="20"/>
    </row>
    <row r="641" spans="1:35" ht="12.75" hidden="1" customHeight="1">
      <c r="C641" s="17" t="s">
        <v>357</v>
      </c>
      <c r="D641" s="14"/>
      <c r="E641" s="44">
        <v>8502.7000000000007</v>
      </c>
      <c r="G641" s="1040"/>
      <c r="H641" s="1040"/>
      <c r="I641" s="26"/>
      <c r="K641" s="260" t="s">
        <v>221</v>
      </c>
      <c r="L641" s="156"/>
      <c r="M641" s="1032"/>
      <c r="N641" s="612" t="s">
        <v>43</v>
      </c>
      <c r="O641" s="618"/>
      <c r="P641" s="1034"/>
      <c r="Q641" s="613" t="s">
        <v>43</v>
      </c>
      <c r="R641" s="614" t="s">
        <v>53</v>
      </c>
      <c r="S641" s="377"/>
      <c r="X641" s="118"/>
      <c r="Y641" s="111"/>
      <c r="Z641" s="117"/>
      <c r="AA641" s="89"/>
      <c r="AB641" s="90"/>
      <c r="AC641" s="20"/>
      <c r="AD641" s="41"/>
      <c r="AE641" s="20"/>
      <c r="AF641" s="20"/>
      <c r="AG641" s="20"/>
      <c r="AH641" s="20"/>
      <c r="AI641" s="20"/>
    </row>
    <row r="642" spans="1:35" ht="12.75" hidden="1" customHeight="1">
      <c r="C642" s="17"/>
      <c r="D642" s="14" t="s">
        <v>24</v>
      </c>
      <c r="E642" s="44">
        <f>'[2]NOV ''12'!$C$42</f>
        <v>5181.3499999999995</v>
      </c>
      <c r="G642" s="30"/>
      <c r="H642" s="1041">
        <f>SUM(E642:E643)</f>
        <v>5181.3499999999995</v>
      </c>
      <c r="I642" s="26"/>
      <c r="K642" s="273"/>
      <c r="L642" s="235" t="s">
        <v>226</v>
      </c>
      <c r="M642" s="45">
        <f>$M$637</f>
        <v>508.0900940000119</v>
      </c>
      <c r="N642" s="71">
        <f>M642</f>
        <v>508.0900940000119</v>
      </c>
      <c r="O642" s="26"/>
      <c r="P642" s="45">
        <f>$Q$636</f>
        <v>-11762.827278481007</v>
      </c>
      <c r="Q642" s="71">
        <f>P642</f>
        <v>-11762.827278481007</v>
      </c>
      <c r="R642" s="45">
        <f t="shared" ref="R642:R652" si="72">15550+Q642</f>
        <v>3787.1727215189931</v>
      </c>
      <c r="S642" s="378" t="s">
        <v>298</v>
      </c>
      <c r="T642" s="367" t="s">
        <v>299</v>
      </c>
      <c r="W642" s="392"/>
      <c r="X642" s="111"/>
      <c r="Y642" s="111"/>
      <c r="Z642" s="45"/>
      <c r="AA642" s="488"/>
      <c r="AB642" s="26"/>
      <c r="AC642" s="20"/>
      <c r="AD642" s="92"/>
      <c r="AE642" s="93"/>
      <c r="AF642" s="20"/>
      <c r="AG642" s="20"/>
      <c r="AH642" s="20"/>
      <c r="AI642" s="20"/>
    </row>
    <row r="643" spans="1:35" ht="12.75" hidden="1" customHeight="1">
      <c r="C643" s="17"/>
      <c r="D643" s="143" t="s">
        <v>225</v>
      </c>
      <c r="E643" s="15"/>
      <c r="G643"/>
      <c r="H643" s="1041"/>
      <c r="I643" s="26"/>
      <c r="K643" s="297" t="s">
        <v>223</v>
      </c>
      <c r="L643" s="184" t="s">
        <v>227</v>
      </c>
      <c r="M643" s="45">
        <v>-357</v>
      </c>
      <c r="N643" s="538">
        <f>N642+M643</f>
        <v>151.0900940000119</v>
      </c>
      <c r="O643" s="65"/>
      <c r="P643" s="133">
        <v>-249.33</v>
      </c>
      <c r="Q643" s="72">
        <f t="shared" ref="Q643:Q652" si="73">Q642+P643</f>
        <v>-12012.157278481007</v>
      </c>
      <c r="R643" s="45">
        <f t="shared" si="72"/>
        <v>3537.8427215189931</v>
      </c>
      <c r="S643" s="373" t="s">
        <v>258</v>
      </c>
      <c r="T643" s="391" t="s">
        <v>418</v>
      </c>
      <c r="W643" s="111"/>
      <c r="X643" s="111"/>
      <c r="Y643" s="112"/>
      <c r="Z643" s="55"/>
      <c r="AA643" s="489"/>
      <c r="AB643" s="95"/>
      <c r="AC643" s="20"/>
      <c r="AD643" s="41"/>
      <c r="AE643" s="93"/>
      <c r="AF643" s="20"/>
      <c r="AG643" s="20"/>
      <c r="AH643" s="20"/>
      <c r="AI643" s="20"/>
    </row>
    <row r="644" spans="1:35" ht="12.75" hidden="1" customHeight="1">
      <c r="C644" s="18" t="s">
        <v>5</v>
      </c>
      <c r="D644" s="14"/>
      <c r="E644" s="14">
        <f>SUM(E641:E643)</f>
        <v>13684.05</v>
      </c>
      <c r="G644" s="242"/>
      <c r="H644" s="492"/>
      <c r="I644" s="242"/>
      <c r="J644" s="315"/>
      <c r="K644" s="258" t="s">
        <v>223</v>
      </c>
      <c r="L644" s="116" t="s">
        <v>224</v>
      </c>
      <c r="M644" s="45">
        <v>-63.85</v>
      </c>
      <c r="N644" s="538">
        <f t="shared" ref="N644:N656" si="74">N643+M644</f>
        <v>87.240094000011908</v>
      </c>
      <c r="O644" s="49"/>
      <c r="P644" s="609">
        <v>1000</v>
      </c>
      <c r="Q644" s="72">
        <f t="shared" si="73"/>
        <v>-11012.157278481007</v>
      </c>
      <c r="R644" s="45">
        <f t="shared" si="72"/>
        <v>4537.8427215189931</v>
      </c>
      <c r="S644" s="373" t="s">
        <v>280</v>
      </c>
      <c r="T644" s="391" t="s">
        <v>419</v>
      </c>
      <c r="U644" s="111"/>
      <c r="V644" s="20"/>
      <c r="W644" s="111"/>
      <c r="X644" s="111"/>
      <c r="Y644" s="112"/>
      <c r="Z644" s="55"/>
      <c r="AA644" s="489"/>
      <c r="AB644" s="26"/>
      <c r="AC644" s="20"/>
      <c r="AD644" s="92"/>
      <c r="AE644" s="93"/>
      <c r="AF644" s="20"/>
      <c r="AG644" s="20"/>
      <c r="AH644" s="20"/>
      <c r="AI644" s="20"/>
    </row>
    <row r="645" spans="1:35" ht="12.75" hidden="1" customHeight="1">
      <c r="G645" s="20"/>
      <c r="H645" s="490"/>
      <c r="I645" s="45"/>
      <c r="J645" s="482"/>
      <c r="K645" s="258" t="s">
        <v>222</v>
      </c>
      <c r="L645" s="266" t="s">
        <v>51</v>
      </c>
      <c r="M645" s="146">
        <f>E647</f>
        <v>8502.7000000000007</v>
      </c>
      <c r="N645" s="538">
        <f t="shared" si="74"/>
        <v>8589.9400940000123</v>
      </c>
      <c r="O645" s="49"/>
      <c r="P645" s="133">
        <v>-138.66999999999999</v>
      </c>
      <c r="Q645" s="72">
        <f t="shared" si="73"/>
        <v>-11150.827278481007</v>
      </c>
      <c r="R645" s="45">
        <f t="shared" si="72"/>
        <v>4399.1727215189931</v>
      </c>
      <c r="S645" s="373" t="s">
        <v>253</v>
      </c>
      <c r="T645" s="391"/>
      <c r="U645" s="20"/>
      <c r="V645" s="45"/>
      <c r="W645" s="112"/>
      <c r="X645" s="112"/>
      <c r="Y645" s="112"/>
      <c r="Z645" s="55"/>
      <c r="AA645" s="489"/>
      <c r="AB645" s="26"/>
      <c r="AC645" s="20"/>
      <c r="AD645" s="92"/>
      <c r="AE645" s="93"/>
      <c r="AF645" s="20"/>
      <c r="AG645" s="20"/>
      <c r="AH645" s="20"/>
      <c r="AI645" s="20"/>
    </row>
    <row r="646" spans="1:35" ht="12.75" hidden="1" customHeight="1">
      <c r="A646" s="319"/>
      <c r="C646" s="81" t="s">
        <v>17</v>
      </c>
      <c r="E646" s="42"/>
      <c r="G646"/>
      <c r="H646" s="615"/>
      <c r="I646" s="315"/>
      <c r="J646" s="315"/>
      <c r="K646" s="258" t="s">
        <v>222</v>
      </c>
      <c r="L646" s="266" t="s">
        <v>369</v>
      </c>
      <c r="M646" s="45">
        <v>250</v>
      </c>
      <c r="N646" s="538">
        <f t="shared" si="74"/>
        <v>8839.9400940000123</v>
      </c>
      <c r="O646" s="39"/>
      <c r="P646" s="133">
        <v>-110.74</v>
      </c>
      <c r="Q646" s="72">
        <f t="shared" si="73"/>
        <v>-11261.567278481007</v>
      </c>
      <c r="R646" s="45">
        <f t="shared" si="72"/>
        <v>4288.4327215189933</v>
      </c>
      <c r="S646" s="373" t="s">
        <v>270</v>
      </c>
      <c r="T646" s="391"/>
      <c r="U646" s="20"/>
      <c r="V646" s="45"/>
      <c r="W646" s="103"/>
      <c r="X646" s="111"/>
      <c r="Y646" s="112"/>
      <c r="Z646" s="55"/>
      <c r="AA646" s="489"/>
      <c r="AB646" s="95"/>
      <c r="AC646" s="20"/>
      <c r="AD646" s="96"/>
      <c r="AE646" s="93"/>
      <c r="AF646" s="20"/>
      <c r="AG646" s="20"/>
      <c r="AH646" s="20"/>
      <c r="AI646" s="20"/>
    </row>
    <row r="647" spans="1:35" ht="12.75" hidden="1" customHeight="1">
      <c r="A647" s="319"/>
      <c r="D647" s="20" t="s">
        <v>14</v>
      </c>
      <c r="E647" s="42">
        <f>E641</f>
        <v>8502.7000000000007</v>
      </c>
      <c r="F647" s="20"/>
      <c r="G647" s="20"/>
      <c r="H647" s="490">
        <f>G648+E648+G649+G650</f>
        <v>5181.3499999999995</v>
      </c>
      <c r="I647" s="315"/>
      <c r="J647" s="315"/>
      <c r="K647" s="258" t="s">
        <v>222</v>
      </c>
      <c r="L647" s="266" t="s">
        <v>416</v>
      </c>
      <c r="M647" s="146">
        <v>-1770</v>
      </c>
      <c r="N647" s="538">
        <f t="shared" si="74"/>
        <v>7069.9400940000123</v>
      </c>
      <c r="O647" s="39"/>
      <c r="P647" s="133">
        <v>-1012</v>
      </c>
      <c r="Q647" s="72">
        <f t="shared" si="73"/>
        <v>-12273.567278481007</v>
      </c>
      <c r="R647" s="45">
        <f t="shared" si="72"/>
        <v>3276.4327215189933</v>
      </c>
      <c r="S647" s="373" t="s">
        <v>420</v>
      </c>
      <c r="T647" s="391"/>
      <c r="U647" s="20"/>
      <c r="V647" s="45"/>
      <c r="W647" s="111"/>
      <c r="X647" s="111"/>
      <c r="Y647" s="112"/>
      <c r="Z647" s="55"/>
      <c r="AA647" s="489"/>
      <c r="AB647" s="26"/>
      <c r="AC647" s="20"/>
      <c r="AD647" s="41"/>
      <c r="AE647" s="93"/>
      <c r="AF647" s="20"/>
      <c r="AG647" s="20"/>
      <c r="AH647" s="20"/>
      <c r="AI647" s="20"/>
    </row>
    <row r="648" spans="1:35" ht="12.75" hidden="1" customHeight="1">
      <c r="A648" s="319"/>
      <c r="D648" s="78" t="s">
        <v>13</v>
      </c>
      <c r="E648" s="483">
        <f>E642-G648-G649-G650</f>
        <v>2181.3499999999995</v>
      </c>
      <c r="F648" s="482" t="s">
        <v>364</v>
      </c>
      <c r="G648" s="1037">
        <f>P644</f>
        <v>1000</v>
      </c>
      <c r="H648" s="1037"/>
      <c r="I648" s="315"/>
      <c r="K648" s="258" t="s">
        <v>222</v>
      </c>
      <c r="L648" s="266" t="s">
        <v>333</v>
      </c>
      <c r="M648" s="45">
        <v>-250</v>
      </c>
      <c r="N648" s="538">
        <f t="shared" si="74"/>
        <v>6819.9400940000123</v>
      </c>
      <c r="O648" s="39"/>
      <c r="P648" s="133">
        <v>-338</v>
      </c>
      <c r="Q648" s="72">
        <f t="shared" si="73"/>
        <v>-12611.567278481007</v>
      </c>
      <c r="R648" s="45">
        <f t="shared" si="72"/>
        <v>2938.4327215189933</v>
      </c>
      <c r="S648" s="373" t="s">
        <v>422</v>
      </c>
      <c r="T648" s="617"/>
      <c r="U648" s="20"/>
      <c r="V648" s="133"/>
      <c r="W648" s="20"/>
      <c r="X648" s="20"/>
      <c r="Y648" s="112"/>
      <c r="Z648" s="239"/>
      <c r="AA648" s="94"/>
      <c r="AB648" s="26"/>
      <c r="AC648" s="20"/>
      <c r="AD648" s="92"/>
      <c r="AE648" s="93"/>
      <c r="AF648" s="20"/>
      <c r="AG648" s="20"/>
      <c r="AH648" s="20"/>
      <c r="AI648" s="20"/>
    </row>
    <row r="649" spans="1:35" ht="12.75" hidden="1" customHeight="1">
      <c r="A649" s="319"/>
      <c r="D649" s="20"/>
      <c r="E649" s="26"/>
      <c r="F649" s="482" t="s">
        <v>364</v>
      </c>
      <c r="G649" s="1037">
        <f>P656</f>
        <v>2000</v>
      </c>
      <c r="H649" s="1037"/>
      <c r="I649" s="315"/>
      <c r="J649" s="21"/>
      <c r="K649" s="258" t="s">
        <v>222</v>
      </c>
      <c r="L649" s="266" t="s">
        <v>195</v>
      </c>
      <c r="M649" s="45">
        <v>-1738</v>
      </c>
      <c r="N649" s="538">
        <f t="shared" si="74"/>
        <v>5081.9400940000123</v>
      </c>
      <c r="O649" s="39"/>
      <c r="P649" s="133">
        <v>-600</v>
      </c>
      <c r="Q649" s="72">
        <f t="shared" si="73"/>
        <v>-13211.567278481007</v>
      </c>
      <c r="R649" s="45">
        <f t="shared" si="72"/>
        <v>2338.4327215189933</v>
      </c>
      <c r="S649" s="373" t="s">
        <v>423</v>
      </c>
      <c r="T649" s="610" t="s">
        <v>280</v>
      </c>
      <c r="U649" s="20"/>
      <c r="V649" s="45"/>
      <c r="W649" s="26"/>
      <c r="X649" s="20"/>
      <c r="Y649" s="112"/>
      <c r="Z649" s="239"/>
      <c r="AA649" s="94"/>
      <c r="AB649" s="95"/>
      <c r="AC649" s="20"/>
      <c r="AD649" s="92"/>
      <c r="AE649" s="93"/>
      <c r="AF649" s="20"/>
      <c r="AG649" s="20"/>
      <c r="AH649" s="20"/>
      <c r="AI649" s="20"/>
    </row>
    <row r="650" spans="1:35" ht="12.75" hidden="1" customHeight="1" thickBot="1">
      <c r="A650" s="319"/>
      <c r="D650" s="20"/>
      <c r="E650" s="26"/>
      <c r="F650" s="482" t="s">
        <v>364</v>
      </c>
      <c r="G650" s="1037"/>
      <c r="H650" s="1037"/>
      <c r="I650" s="315"/>
      <c r="J650" s="21"/>
      <c r="K650" s="85" t="s">
        <v>222</v>
      </c>
      <c r="L650" s="266" t="s">
        <v>180</v>
      </c>
      <c r="M650" s="45">
        <v>-69</v>
      </c>
      <c r="N650" s="538">
        <f t="shared" si="74"/>
        <v>5012.9400940000123</v>
      </c>
      <c r="O650" s="39"/>
      <c r="P650" s="133">
        <v>-898</v>
      </c>
      <c r="Q650" s="72">
        <f t="shared" si="73"/>
        <v>-14109.567278481007</v>
      </c>
      <c r="R650" s="45">
        <f t="shared" si="72"/>
        <v>1440.4327215189933</v>
      </c>
      <c r="S650" s="373" t="s">
        <v>424</v>
      </c>
      <c r="T650" s="390" t="s">
        <v>425</v>
      </c>
      <c r="U650" s="20"/>
      <c r="V650" s="45"/>
      <c r="W650" s="26"/>
      <c r="X650" s="20"/>
      <c r="Y650" s="112"/>
      <c r="Z650" s="239"/>
      <c r="AA650" s="94"/>
      <c r="AB650" s="26"/>
      <c r="AC650" s="20"/>
      <c r="AD650" s="92"/>
      <c r="AE650" s="97"/>
      <c r="AF650" s="20"/>
      <c r="AG650" s="20"/>
      <c r="AH650" s="20"/>
      <c r="AI650" s="20"/>
    </row>
    <row r="651" spans="1:35" ht="12.75" hidden="1" customHeight="1" thickTop="1">
      <c r="A651" s="319"/>
      <c r="D651" s="20"/>
      <c r="E651" s="26"/>
      <c r="F651" s="122"/>
      <c r="G651" s="1038">
        <f>E647+E648+G649+G648+G650</f>
        <v>13684.05</v>
      </c>
      <c r="H651" s="1038"/>
      <c r="I651" s="315"/>
      <c r="K651" s="258" t="s">
        <v>222</v>
      </c>
      <c r="L651" s="266" t="s">
        <v>61</v>
      </c>
      <c r="M651" s="45">
        <v>-252.5</v>
      </c>
      <c r="N651" s="538">
        <f t="shared" si="74"/>
        <v>4760.4400940000123</v>
      </c>
      <c r="O651" s="39"/>
      <c r="P651" s="133">
        <v>-465.73</v>
      </c>
      <c r="Q651" s="72">
        <f t="shared" si="73"/>
        <v>-14575.297278481006</v>
      </c>
      <c r="R651" s="45">
        <f t="shared" si="72"/>
        <v>974.70272151899371</v>
      </c>
      <c r="S651" s="373" t="s">
        <v>282</v>
      </c>
      <c r="T651" s="390" t="s">
        <v>280</v>
      </c>
      <c r="U651" s="74"/>
      <c r="V651" s="26"/>
      <c r="W651" s="26"/>
      <c r="X651" s="91"/>
      <c r="Y651" s="20"/>
      <c r="Z651" s="239"/>
      <c r="AA651" s="94"/>
      <c r="AB651" s="95"/>
      <c r="AC651" s="20"/>
      <c r="AD651" s="98"/>
      <c r="AE651" s="93"/>
      <c r="AF651" s="619"/>
      <c r="AG651" s="20"/>
      <c r="AH651" s="20"/>
      <c r="AI651" s="20"/>
    </row>
    <row r="652" spans="1:35" ht="12.75" hidden="1" customHeight="1">
      <c r="A652" s="319"/>
      <c r="D652" s="20"/>
      <c r="E652" s="26"/>
      <c r="F652" s="122"/>
      <c r="G652" s="616"/>
      <c r="H652" s="616"/>
      <c r="I652" s="315"/>
      <c r="J652" s="511"/>
      <c r="K652" s="258" t="s">
        <v>371</v>
      </c>
      <c r="L652" s="266" t="s">
        <v>148</v>
      </c>
      <c r="M652" s="45">
        <v>250</v>
      </c>
      <c r="N652" s="538">
        <f t="shared" si="74"/>
        <v>5010.4400940000123</v>
      </c>
      <c r="O652" s="39"/>
      <c r="P652" s="133">
        <v>-17.38</v>
      </c>
      <c r="Q652" s="72">
        <f t="shared" si="73"/>
        <v>-14592.677278481005</v>
      </c>
      <c r="R652" s="45">
        <f t="shared" si="72"/>
        <v>957.32272151899451</v>
      </c>
      <c r="S652" s="373" t="s">
        <v>426</v>
      </c>
      <c r="T652" s="390" t="s">
        <v>427</v>
      </c>
      <c r="U652" s="65"/>
      <c r="V652" s="26"/>
      <c r="W652" s="26"/>
      <c r="X652" s="35"/>
      <c r="Y652" s="20"/>
      <c r="Z652" s="239"/>
      <c r="AA652" s="94"/>
      <c r="AB652" s="26"/>
      <c r="AC652" s="20"/>
      <c r="AD652" s="20"/>
      <c r="AE652" s="20"/>
      <c r="AF652" s="99"/>
      <c r="AG652" s="20"/>
      <c r="AH652" s="20"/>
      <c r="AI652" s="20"/>
    </row>
    <row r="653" spans="1:35" ht="12.75" hidden="1" customHeight="1">
      <c r="A653" s="620"/>
      <c r="B653" s="620"/>
      <c r="C653" s="620"/>
      <c r="D653" s="620"/>
      <c r="E653" s="620"/>
      <c r="F653" s="122"/>
      <c r="G653" s="616"/>
      <c r="H653" s="616"/>
      <c r="I653" s="493"/>
      <c r="J653" s="511"/>
      <c r="K653" s="85" t="s">
        <v>189</v>
      </c>
      <c r="L653" s="267" t="s">
        <v>16</v>
      </c>
      <c r="M653" s="175">
        <v>-493.99</v>
      </c>
      <c r="N653" s="538">
        <f t="shared" si="74"/>
        <v>4516.4500940000125</v>
      </c>
      <c r="O653" s="39"/>
      <c r="P653" s="133">
        <v>-195.35</v>
      </c>
      <c r="Q653" s="72">
        <f t="shared" ref="Q653:Q661" si="75">Q652+P653</f>
        <v>-14788.027278481006</v>
      </c>
      <c r="R653" s="45">
        <f t="shared" ref="R653:R661" si="76">15550+Q653</f>
        <v>761.97272151899415</v>
      </c>
      <c r="S653" s="373" t="s">
        <v>258</v>
      </c>
      <c r="T653" s="390" t="s">
        <v>428</v>
      </c>
      <c r="U653" s="65"/>
      <c r="V653" s="20"/>
      <c r="W653" s="20"/>
      <c r="X653" s="20"/>
      <c r="Y653" s="111"/>
      <c r="Z653" s="239"/>
      <c r="AA653" s="94"/>
      <c r="AB653" s="26"/>
      <c r="AC653" s="20"/>
      <c r="AD653" s="20"/>
      <c r="AE653" s="20"/>
      <c r="AF653" s="20"/>
      <c r="AG653" s="20"/>
      <c r="AH653" s="20"/>
      <c r="AI653" s="20"/>
    </row>
    <row r="654" spans="1:35" ht="12.75" hidden="1" customHeight="1">
      <c r="A654" s="402"/>
      <c r="B654" s="402"/>
      <c r="C654" s="403"/>
      <c r="D654" s="404"/>
      <c r="E654" s="405"/>
      <c r="F654" s="406"/>
      <c r="G654" s="407"/>
      <c r="H654" s="484"/>
      <c r="I654" s="494"/>
      <c r="K654" s="258" t="s">
        <v>189</v>
      </c>
      <c r="L654" s="268" t="s">
        <v>56</v>
      </c>
      <c r="M654" s="175">
        <v>-900</v>
      </c>
      <c r="N654" s="538">
        <f t="shared" si="74"/>
        <v>3616.4500940000125</v>
      </c>
      <c r="O654" s="42"/>
      <c r="P654" s="133">
        <v>-512</v>
      </c>
      <c r="Q654" s="72">
        <f t="shared" si="75"/>
        <v>-15300.027278481006</v>
      </c>
      <c r="R654" s="45">
        <f t="shared" si="76"/>
        <v>249.97272151899415</v>
      </c>
      <c r="S654" s="373" t="s">
        <v>407</v>
      </c>
      <c r="T654" s="372" t="s">
        <v>429</v>
      </c>
      <c r="U654" s="65"/>
      <c r="V654" s="20"/>
      <c r="W654" s="20"/>
      <c r="X654" s="91"/>
      <c r="Y654" s="111"/>
      <c r="Z654" s="239"/>
      <c r="AA654" s="94"/>
      <c r="AB654" s="95"/>
      <c r="AC654" s="20"/>
      <c r="AD654" s="20"/>
      <c r="AE654" s="20"/>
      <c r="AF654" s="20"/>
      <c r="AG654" s="20"/>
      <c r="AH654" s="20"/>
      <c r="AI654" s="20"/>
    </row>
    <row r="655" spans="1:35" ht="12.75" hidden="1" customHeight="1">
      <c r="A655" s="671" t="s">
        <v>421</v>
      </c>
      <c r="B655" s="671"/>
      <c r="C655" s="671"/>
      <c r="D655" s="671"/>
      <c r="E655" s="671"/>
      <c r="F655" s="671"/>
      <c r="G655" s="671"/>
      <c r="H655" s="485"/>
      <c r="I655" s="495"/>
      <c r="K655" s="258" t="s">
        <v>190</v>
      </c>
      <c r="L655" s="268" t="s">
        <v>375</v>
      </c>
      <c r="M655" s="175">
        <v>-63.85</v>
      </c>
      <c r="N655" s="538">
        <f t="shared" si="74"/>
        <v>3552.6000940000126</v>
      </c>
      <c r="O655" s="26"/>
      <c r="P655" s="133">
        <v>-122</v>
      </c>
      <c r="Q655" s="72">
        <f t="shared" si="75"/>
        <v>-15422.027278481006</v>
      </c>
      <c r="R655" s="45">
        <f t="shared" si="76"/>
        <v>127.97272151899415</v>
      </c>
      <c r="S655" s="373" t="s">
        <v>400</v>
      </c>
      <c r="T655" s="390" t="s">
        <v>412</v>
      </c>
      <c r="U655" s="84"/>
      <c r="V655" s="20"/>
      <c r="W655" s="20"/>
      <c r="X655" s="20"/>
      <c r="Y655" s="111"/>
      <c r="Z655" s="239"/>
      <c r="AA655" s="94"/>
      <c r="AB655" s="26"/>
      <c r="AC655" s="20"/>
      <c r="AD655" s="20"/>
      <c r="AE655" s="20"/>
      <c r="AF655" s="20"/>
      <c r="AG655" s="619"/>
      <c r="AH655" s="20"/>
      <c r="AI655" s="20"/>
    </row>
    <row r="656" spans="1:35" ht="12.75" hidden="1" customHeight="1">
      <c r="A656" s="402"/>
      <c r="B656" s="402"/>
      <c r="C656" s="403"/>
      <c r="D656" s="404"/>
      <c r="E656" s="405"/>
      <c r="F656" s="406"/>
      <c r="G656" s="407"/>
      <c r="H656" s="485"/>
      <c r="I656" s="495"/>
      <c r="J656" s="517"/>
      <c r="K656" s="258" t="s">
        <v>223</v>
      </c>
      <c r="L656" s="116" t="s">
        <v>224</v>
      </c>
      <c r="M656" s="45">
        <v>-533.94000000000005</v>
      </c>
      <c r="N656" s="538">
        <f t="shared" si="74"/>
        <v>3018.6600940000126</v>
      </c>
      <c r="O656" s="26"/>
      <c r="P656" s="609">
        <v>2000</v>
      </c>
      <c r="Q656" s="72">
        <f t="shared" si="75"/>
        <v>-13422.027278481006</v>
      </c>
      <c r="R656" s="45">
        <f t="shared" si="76"/>
        <v>2127.9727215189941</v>
      </c>
      <c r="S656" s="373" t="s">
        <v>280</v>
      </c>
      <c r="T656" s="390" t="s">
        <v>419</v>
      </c>
      <c r="U656" s="20"/>
      <c r="V656" s="20"/>
      <c r="W656" s="20"/>
      <c r="X656" s="20"/>
      <c r="Y656" s="111"/>
      <c r="Z656" s="239"/>
      <c r="AA656" s="94"/>
      <c r="AB656" s="26"/>
      <c r="AC656" s="20"/>
      <c r="AD656" s="20"/>
      <c r="AE656" s="20"/>
      <c r="AF656" s="20"/>
      <c r="AG656" s="20"/>
      <c r="AH656" s="20"/>
      <c r="AI656" s="20"/>
    </row>
    <row r="657" spans="1:35" ht="12.75" hidden="1" customHeight="1">
      <c r="A657" s="402"/>
      <c r="B657" s="402"/>
      <c r="C657" s="403"/>
      <c r="D657" s="404"/>
      <c r="E657" s="405"/>
      <c r="F657" s="406"/>
      <c r="G657" s="407"/>
      <c r="H657" s="485"/>
      <c r="I657" s="495"/>
      <c r="J657" s="517"/>
      <c r="K657" s="321" t="s">
        <v>190</v>
      </c>
      <c r="L657" s="269" t="s">
        <v>23</v>
      </c>
      <c r="M657" s="366">
        <v>-259.38</v>
      </c>
      <c r="N657" s="537">
        <f>N656+M657</f>
        <v>2759.2800940000125</v>
      </c>
      <c r="O657" s="26"/>
      <c r="P657" s="133">
        <v>-250</v>
      </c>
      <c r="Q657" s="72">
        <f t="shared" si="75"/>
        <v>-13672.027278481006</v>
      </c>
      <c r="R657" s="45">
        <f t="shared" si="76"/>
        <v>1877.9727215189941</v>
      </c>
      <c r="S657" s="373" t="s">
        <v>435</v>
      </c>
      <c r="T657" s="390"/>
      <c r="U657" s="20"/>
      <c r="V657" s="20"/>
      <c r="W657" s="20"/>
      <c r="X657" s="20"/>
      <c r="Y657" s="111"/>
      <c r="Z657" s="239"/>
      <c r="AA657" s="94"/>
      <c r="AB657" s="26"/>
      <c r="AC657" s="20"/>
      <c r="AD657" s="20"/>
      <c r="AE657" s="20"/>
      <c r="AF657" s="20"/>
      <c r="AG657" s="20"/>
      <c r="AH657" s="20"/>
      <c r="AI657" s="20"/>
    </row>
    <row r="658" spans="1:35" ht="12.75" hidden="1" customHeight="1">
      <c r="A658" s="333"/>
      <c r="B658" s="333"/>
      <c r="C658" s="402"/>
      <c r="D658" s="408"/>
      <c r="E658" s="133"/>
      <c r="F658" s="50"/>
      <c r="G658" s="370"/>
      <c r="H658" s="616"/>
      <c r="I658" s="493"/>
      <c r="L658" s="23"/>
      <c r="M658" s="168">
        <f>SUM(M642:M657)</f>
        <v>2759.2800940000125</v>
      </c>
      <c r="N658" s="296"/>
      <c r="O658" s="26"/>
      <c r="P658" s="133">
        <v>-199.26</v>
      </c>
      <c r="Q658" s="72">
        <f t="shared" si="75"/>
        <v>-13871.287278481006</v>
      </c>
      <c r="R658" s="45">
        <f t="shared" si="76"/>
        <v>1678.7127215189939</v>
      </c>
      <c r="S658" s="373" t="s">
        <v>270</v>
      </c>
      <c r="T658" s="390" t="s">
        <v>280</v>
      </c>
      <c r="U658" s="20"/>
      <c r="V658" s="26"/>
      <c r="W658" s="26"/>
      <c r="X658" s="91"/>
      <c r="Y658" s="20"/>
      <c r="Z658" s="239"/>
      <c r="AA658" s="94"/>
      <c r="AB658" s="26"/>
      <c r="AC658" s="20"/>
      <c r="AD658" s="20"/>
      <c r="AE658" s="20"/>
      <c r="AF658" s="20"/>
      <c r="AG658" s="20"/>
      <c r="AH658" s="20"/>
      <c r="AI658" s="20"/>
    </row>
    <row r="659" spans="1:35" ht="12.75" hidden="1" customHeight="1">
      <c r="A659" s="333"/>
      <c r="B659" s="333"/>
      <c r="C659" s="333"/>
      <c r="D659" s="408"/>
      <c r="E659" s="133"/>
      <c r="F659" s="50"/>
      <c r="G659" s="370"/>
      <c r="H659" s="616"/>
      <c r="I659" s="510"/>
      <c r="K659" s="621"/>
      <c r="L659" s="46"/>
      <c r="M659" s="26"/>
      <c r="N659" s="296"/>
      <c r="O659" s="26"/>
      <c r="P659" s="133">
        <v>-145.01</v>
      </c>
      <c r="Q659" s="72">
        <f t="shared" si="75"/>
        <v>-14016.297278481006</v>
      </c>
      <c r="R659" s="45">
        <f t="shared" si="76"/>
        <v>1533.7027215189937</v>
      </c>
      <c r="S659" s="373" t="s">
        <v>270</v>
      </c>
      <c r="T659" s="390"/>
      <c r="U659" s="20"/>
      <c r="V659" s="26"/>
      <c r="W659" s="26"/>
      <c r="X659" s="91"/>
      <c r="Y659" s="20"/>
      <c r="Z659" s="239"/>
      <c r="AA659" s="94"/>
      <c r="AB659" s="26"/>
      <c r="AC659" s="20"/>
      <c r="AD659" s="20"/>
      <c r="AE659" s="20"/>
      <c r="AF659" s="20"/>
      <c r="AG659" s="20"/>
      <c r="AH659" s="20"/>
      <c r="AI659" s="20"/>
    </row>
    <row r="660" spans="1:35" s="20" customFormat="1" hidden="1">
      <c r="E660" s="26"/>
      <c r="G660" s="46"/>
      <c r="K660" s="621"/>
      <c r="L660" s="46"/>
      <c r="M660" s="26"/>
      <c r="N660" s="296"/>
      <c r="P660" s="133">
        <v>-53</v>
      </c>
      <c r="Q660" s="72">
        <f t="shared" si="75"/>
        <v>-14069.297278481006</v>
      </c>
      <c r="R660" s="45">
        <f t="shared" si="76"/>
        <v>1480.7027215189937</v>
      </c>
      <c r="S660" s="373" t="s">
        <v>433</v>
      </c>
      <c r="T660" s="390" t="s">
        <v>434</v>
      </c>
      <c r="Z660" s="26"/>
      <c r="AA660" s="622"/>
      <c r="AB660" s="26"/>
    </row>
    <row r="661" spans="1:35" hidden="1">
      <c r="K661" s="256"/>
      <c r="L661" s="20"/>
      <c r="M661" s="26"/>
      <c r="N661" s="20"/>
      <c r="P661" s="77">
        <f>E648</f>
        <v>2181.3499999999995</v>
      </c>
      <c r="Q661" s="73">
        <f t="shared" si="75"/>
        <v>-11887.947278481006</v>
      </c>
      <c r="R661" s="52">
        <f t="shared" si="76"/>
        <v>3662.0527215189941</v>
      </c>
      <c r="S661" s="373" t="s">
        <v>280</v>
      </c>
      <c r="T661" s="372"/>
    </row>
    <row r="662" spans="1:35" hidden="1">
      <c r="P662" s="64">
        <f>SUM(P642:P661)</f>
        <v>-11887.947278481006</v>
      </c>
      <c r="Q662" s="287" t="s">
        <v>243</v>
      </c>
      <c r="R662" s="317"/>
      <c r="S662" s="611"/>
      <c r="T662" s="372"/>
    </row>
    <row r="663" spans="1:35" s="78" customFormat="1" hidden="1">
      <c r="E663" s="15"/>
      <c r="G663" s="129"/>
      <c r="K663" s="257"/>
      <c r="M663" s="15"/>
      <c r="P663" s="15"/>
      <c r="Q663" s="15"/>
      <c r="R663" s="15"/>
      <c r="S663" s="385"/>
      <c r="Z663" s="15"/>
      <c r="AA663" s="130"/>
      <c r="AB663" s="15"/>
    </row>
    <row r="664" spans="1:35" hidden="1"/>
    <row r="665" spans="1:35" ht="12.75" hidden="1" customHeight="1">
      <c r="B665" s="1030" t="s">
        <v>430</v>
      </c>
      <c r="C665" s="1030"/>
      <c r="D665" s="1030"/>
      <c r="E665" s="1030"/>
      <c r="G665" s="261"/>
      <c r="H665" s="261"/>
      <c r="I665" s="26"/>
      <c r="K665" s="258"/>
      <c r="L665" s="100"/>
      <c r="M665" s="1031" t="s">
        <v>54</v>
      </c>
      <c r="N665" s="630"/>
      <c r="O665" s="625"/>
      <c r="P665" s="1033" t="s">
        <v>48</v>
      </c>
      <c r="Q665" s="1035" t="s">
        <v>242</v>
      </c>
      <c r="R665" s="1035"/>
      <c r="S665" s="377"/>
      <c r="X665" s="35"/>
      <c r="Y665" s="35"/>
      <c r="Z665" s="26"/>
      <c r="AA665" s="628"/>
      <c r="AB665" s="26"/>
      <c r="AC665" s="20"/>
      <c r="AD665" s="20"/>
      <c r="AE665" s="20"/>
      <c r="AF665" s="20"/>
      <c r="AG665" s="20"/>
      <c r="AH665" s="20"/>
      <c r="AI665" s="20"/>
    </row>
    <row r="666" spans="1:35" ht="12.75" hidden="1" customHeight="1">
      <c r="C666" s="17" t="s">
        <v>357</v>
      </c>
      <c r="D666" s="14"/>
      <c r="E666" s="44">
        <v>8502.7000000000007</v>
      </c>
      <c r="G666" s="1040"/>
      <c r="H666" s="1040"/>
      <c r="I666" s="26"/>
      <c r="K666" s="260" t="s">
        <v>221</v>
      </c>
      <c r="L666" s="156"/>
      <c r="M666" s="1032"/>
      <c r="N666" s="630" t="s">
        <v>43</v>
      </c>
      <c r="O666" s="625"/>
      <c r="P666" s="1034"/>
      <c r="Q666" s="626" t="s">
        <v>43</v>
      </c>
      <c r="R666" s="627" t="s">
        <v>53</v>
      </c>
      <c r="S666" s="377"/>
      <c r="X666" s="118"/>
      <c r="Y666" s="111"/>
      <c r="Z666" s="117"/>
      <c r="AA666" s="89"/>
      <c r="AB666" s="90"/>
      <c r="AC666" s="20"/>
      <c r="AD666" s="41"/>
      <c r="AE666" s="20"/>
      <c r="AF666" s="20"/>
      <c r="AG666" s="20"/>
      <c r="AH666" s="20"/>
      <c r="AI666" s="20"/>
    </row>
    <row r="667" spans="1:35" ht="12.75" hidden="1" customHeight="1">
      <c r="C667" s="17"/>
      <c r="D667" s="14" t="s">
        <v>24</v>
      </c>
      <c r="E667" s="44">
        <f>'[2]DEC ''12'!$C$33</f>
        <v>2055.16</v>
      </c>
      <c r="G667" s="30"/>
      <c r="H667" s="624">
        <f>SUM(E667:E668)</f>
        <v>2055.16</v>
      </c>
      <c r="I667" s="26"/>
      <c r="K667" s="273"/>
      <c r="L667" s="235" t="s">
        <v>226</v>
      </c>
      <c r="M667" s="45">
        <f>$M$658</f>
        <v>2759.2800940000125</v>
      </c>
      <c r="N667" s="71">
        <f>M667</f>
        <v>2759.2800940000125</v>
      </c>
      <c r="O667" s="26"/>
      <c r="P667" s="45">
        <f>$Q$661</f>
        <v>-11887.947278481006</v>
      </c>
      <c r="Q667" s="71">
        <f>P667</f>
        <v>-11887.947278481006</v>
      </c>
      <c r="R667" s="45">
        <f t="shared" ref="R667:R679" si="77">15550+Q667</f>
        <v>3662.0527215189941</v>
      </c>
      <c r="S667" s="378" t="s">
        <v>298</v>
      </c>
      <c r="T667" s="367" t="s">
        <v>299</v>
      </c>
      <c r="W667" s="392"/>
      <c r="X667" s="111"/>
      <c r="Y667" s="111"/>
      <c r="Z667" s="45"/>
      <c r="AA667" s="488"/>
      <c r="AB667" s="26"/>
      <c r="AC667" s="20"/>
      <c r="AD667" s="92"/>
      <c r="AE667" s="93"/>
      <c r="AF667" s="20"/>
      <c r="AG667" s="20"/>
      <c r="AH667" s="20"/>
      <c r="AI667" s="20"/>
    </row>
    <row r="668" spans="1:35" ht="12.75" hidden="1" customHeight="1">
      <c r="C668" s="17"/>
      <c r="D668" s="143" t="s">
        <v>225</v>
      </c>
      <c r="E668" s="15"/>
      <c r="G668"/>
      <c r="H668" s="624"/>
      <c r="I668" s="26"/>
      <c r="K668" s="273"/>
      <c r="L668" s="235" t="s">
        <v>102</v>
      </c>
      <c r="M668" s="45">
        <v>-2300</v>
      </c>
      <c r="N668" s="538">
        <f>N667+M668</f>
        <v>459.28009400001247</v>
      </c>
      <c r="O668" s="65"/>
      <c r="P668" s="133">
        <f>-M668</f>
        <v>2300</v>
      </c>
      <c r="Q668" s="72">
        <f t="shared" ref="Q668:Q679" si="78">Q667+P668</f>
        <v>-9587.9472784810059</v>
      </c>
      <c r="R668" s="45">
        <f t="shared" si="77"/>
        <v>5962.0527215189941</v>
      </c>
      <c r="S668" s="373" t="s">
        <v>247</v>
      </c>
      <c r="T668" s="391"/>
      <c r="W668" s="111"/>
      <c r="X668" s="111"/>
      <c r="Y668" s="112"/>
      <c r="Z668" s="55"/>
      <c r="AA668" s="489"/>
      <c r="AB668" s="95"/>
      <c r="AC668" s="20"/>
      <c r="AD668" s="41"/>
      <c r="AE668" s="93"/>
      <c r="AF668" s="20"/>
      <c r="AG668" s="20"/>
      <c r="AH668" s="20"/>
      <c r="AI668" s="20"/>
    </row>
    <row r="669" spans="1:35" ht="12.75" hidden="1" customHeight="1">
      <c r="C669" s="18" t="s">
        <v>5</v>
      </c>
      <c r="D669" s="14"/>
      <c r="E669" s="14">
        <f>SUM(E666:E668)</f>
        <v>10557.86</v>
      </c>
      <c r="G669" s="242"/>
      <c r="H669" s="492"/>
      <c r="I669" s="242"/>
      <c r="J669" s="315"/>
      <c r="K669" s="297" t="s">
        <v>223</v>
      </c>
      <c r="L669" s="184" t="s">
        <v>227</v>
      </c>
      <c r="M669" s="45">
        <v>-357</v>
      </c>
      <c r="N669" s="538">
        <f>N668+M669</f>
        <v>102.28009400001247</v>
      </c>
      <c r="O669" s="49"/>
      <c r="P669" s="133">
        <v>-4466.76</v>
      </c>
      <c r="Q669" s="72">
        <f t="shared" si="78"/>
        <v>-14054.707278481006</v>
      </c>
      <c r="R669" s="45">
        <f t="shared" si="77"/>
        <v>1495.2927215189939</v>
      </c>
      <c r="S669" s="373" t="s">
        <v>431</v>
      </c>
      <c r="T669" s="391"/>
      <c r="U669" s="111"/>
      <c r="V669" s="20"/>
      <c r="W669" s="111"/>
      <c r="X669" s="111"/>
      <c r="Y669" s="112"/>
      <c r="Z669" s="55"/>
      <c r="AA669" s="489"/>
      <c r="AB669" s="26"/>
      <c r="AC669" s="20"/>
      <c r="AD669" s="92"/>
      <c r="AE669" s="93"/>
      <c r="AF669" s="20"/>
      <c r="AG669" s="20"/>
      <c r="AH669" s="20"/>
      <c r="AI669" s="20"/>
    </row>
    <row r="670" spans="1:35" ht="12.75" hidden="1" customHeight="1">
      <c r="G670" s="20"/>
      <c r="H670" s="490"/>
      <c r="I670" s="45"/>
      <c r="J670" s="482"/>
      <c r="K670" s="258"/>
      <c r="L670" s="116" t="s">
        <v>438</v>
      </c>
      <c r="M670" s="45">
        <v>4000</v>
      </c>
      <c r="N670" s="538">
        <f t="shared" ref="N670:N689" si="79">N669+M670</f>
        <v>4102.2800940000125</v>
      </c>
      <c r="O670" s="49"/>
      <c r="P670" s="133">
        <v>-143.66</v>
      </c>
      <c r="Q670" s="72">
        <f t="shared" si="78"/>
        <v>-14198.367278481006</v>
      </c>
      <c r="R670" s="45">
        <f t="shared" si="77"/>
        <v>1351.632721518994</v>
      </c>
      <c r="S670" s="373" t="s">
        <v>253</v>
      </c>
      <c r="T670" s="391"/>
      <c r="U670" s="20"/>
      <c r="V670" s="45"/>
      <c r="W670" s="112"/>
      <c r="X670" s="112"/>
      <c r="Y670" s="112"/>
      <c r="Z670" s="55"/>
      <c r="AA670" s="489"/>
      <c r="AB670" s="26"/>
      <c r="AC670" s="20"/>
      <c r="AD670" s="92"/>
      <c r="AE670" s="93"/>
      <c r="AF670" s="20"/>
      <c r="AG670" s="20"/>
      <c r="AH670" s="20"/>
      <c r="AI670" s="20"/>
    </row>
    <row r="671" spans="1:35" ht="12.75" hidden="1" customHeight="1">
      <c r="A671" s="319"/>
      <c r="C671" s="81" t="s">
        <v>17</v>
      </c>
      <c r="E671" s="42"/>
      <c r="G671"/>
      <c r="H671" s="631"/>
      <c r="I671" s="315"/>
      <c r="J671" s="315"/>
      <c r="K671" s="258"/>
      <c r="L671" s="116" t="s">
        <v>439</v>
      </c>
      <c r="M671" s="45">
        <v>-397.95</v>
      </c>
      <c r="N671" s="538">
        <f t="shared" si="79"/>
        <v>3704.3300940000127</v>
      </c>
      <c r="O671" s="39"/>
      <c r="P671" s="133">
        <v>-999.99</v>
      </c>
      <c r="Q671" s="72">
        <f t="shared" si="78"/>
        <v>-15198.357278481006</v>
      </c>
      <c r="R671" s="45">
        <f t="shared" si="77"/>
        <v>351.64272151899422</v>
      </c>
      <c r="S671" s="373" t="s">
        <v>437</v>
      </c>
      <c r="T671" s="391"/>
      <c r="U671" s="20"/>
      <c r="V671" s="45"/>
      <c r="W671" s="103"/>
      <c r="X671" s="111"/>
      <c r="Y671" s="112"/>
      <c r="Z671" s="55"/>
      <c r="AA671" s="489"/>
      <c r="AB671" s="95"/>
      <c r="AC671" s="20"/>
      <c r="AD671" s="96"/>
      <c r="AE671" s="93"/>
      <c r="AF671" s="20"/>
      <c r="AG671" s="20"/>
      <c r="AH671" s="20"/>
      <c r="AI671" s="20"/>
    </row>
    <row r="672" spans="1:35" ht="12.75" hidden="1" customHeight="1">
      <c r="A672" s="319"/>
      <c r="D672" s="20" t="s">
        <v>14</v>
      </c>
      <c r="E672" s="42">
        <f>E666</f>
        <v>8502.7000000000007</v>
      </c>
      <c r="F672" s="20"/>
      <c r="G672" s="20"/>
      <c r="H672" s="490">
        <f>G673+E673+G674+G675</f>
        <v>2055.16</v>
      </c>
      <c r="I672" s="315"/>
      <c r="J672" s="315"/>
      <c r="K672" s="264" t="s">
        <v>222</v>
      </c>
      <c r="L672" s="633" t="s">
        <v>195</v>
      </c>
      <c r="M672" s="134">
        <v>-1738</v>
      </c>
      <c r="N672" s="538">
        <f t="shared" si="79"/>
        <v>1966.3300940000127</v>
      </c>
      <c r="O672" s="39"/>
      <c r="P672" s="133">
        <v>-120.35</v>
      </c>
      <c r="Q672" s="72">
        <f t="shared" si="78"/>
        <v>-15318.707278481006</v>
      </c>
      <c r="R672" s="45">
        <f t="shared" si="77"/>
        <v>231.29272151899386</v>
      </c>
      <c r="S672" s="373" t="s">
        <v>258</v>
      </c>
      <c r="T672" s="391"/>
      <c r="U672" s="20"/>
      <c r="V672" s="45"/>
      <c r="W672" s="111"/>
      <c r="X672" s="111"/>
      <c r="Y672" s="112"/>
      <c r="Z672" s="55"/>
      <c r="AA672" s="489"/>
      <c r="AB672" s="26"/>
      <c r="AC672" s="20"/>
      <c r="AD672" s="41"/>
      <c r="AE672" s="93"/>
      <c r="AF672" s="20"/>
      <c r="AG672" s="20"/>
      <c r="AH672" s="20"/>
      <c r="AI672" s="20"/>
    </row>
    <row r="673" spans="1:35" ht="12.75" hidden="1" customHeight="1">
      <c r="A673" s="319"/>
      <c r="D673" s="78" t="s">
        <v>13</v>
      </c>
      <c r="E673" s="483">
        <f>E667-G673-G674-G675</f>
        <v>2055.16</v>
      </c>
      <c r="F673" s="482" t="s">
        <v>364</v>
      </c>
      <c r="G673" s="1037"/>
      <c r="H673" s="1037"/>
      <c r="I673" s="315"/>
      <c r="K673" s="258"/>
      <c r="L673" s="266" t="s">
        <v>112</v>
      </c>
      <c r="M673" s="146">
        <v>-500</v>
      </c>
      <c r="N673" s="538">
        <f t="shared" si="79"/>
        <v>1466.3300940000127</v>
      </c>
      <c r="O673" s="39"/>
      <c r="P673" s="133">
        <v>4500</v>
      </c>
      <c r="Q673" s="72">
        <f t="shared" si="78"/>
        <v>-10818.707278481006</v>
      </c>
      <c r="R673" s="45">
        <f t="shared" si="77"/>
        <v>4731.2927215189939</v>
      </c>
      <c r="S673" s="373" t="s">
        <v>436</v>
      </c>
      <c r="T673" s="610"/>
      <c r="U673" s="20"/>
      <c r="V673" s="133"/>
      <c r="W673" s="20"/>
      <c r="X673" s="20"/>
      <c r="Y673" s="112"/>
      <c r="Z673" s="239"/>
      <c r="AA673" s="94"/>
      <c r="AB673" s="26"/>
      <c r="AC673" s="20"/>
      <c r="AD673" s="92"/>
      <c r="AE673" s="93"/>
      <c r="AF673" s="20"/>
      <c r="AG673" s="20"/>
      <c r="AH673" s="20"/>
      <c r="AI673" s="20"/>
    </row>
    <row r="674" spans="1:35" ht="12.75" hidden="1" customHeight="1">
      <c r="A674" s="319"/>
      <c r="D674" s="20"/>
      <c r="E674" s="26"/>
      <c r="F674" s="482" t="s">
        <v>364</v>
      </c>
      <c r="G674" s="1037"/>
      <c r="H674" s="1037"/>
      <c r="I674" s="315"/>
      <c r="J674" s="21"/>
      <c r="K674" s="258" t="s">
        <v>222</v>
      </c>
      <c r="L674" s="266" t="s">
        <v>51</v>
      </c>
      <c r="M674" s="146">
        <v>4000</v>
      </c>
      <c r="N674" s="538">
        <f t="shared" si="79"/>
        <v>5466.3300940000127</v>
      </c>
      <c r="O674" s="39"/>
      <c r="P674" s="133">
        <v>-307.43</v>
      </c>
      <c r="Q674" s="72">
        <f t="shared" si="78"/>
        <v>-11126.137278481006</v>
      </c>
      <c r="R674" s="45">
        <f t="shared" si="77"/>
        <v>4423.8627215189936</v>
      </c>
      <c r="S674" s="373" t="s">
        <v>440</v>
      </c>
      <c r="T674" s="390" t="s">
        <v>270</v>
      </c>
      <c r="U674" s="20"/>
      <c r="V674" s="45"/>
      <c r="W674" s="26"/>
      <c r="X674" s="20"/>
      <c r="Y674" s="112"/>
      <c r="Z674" s="239"/>
      <c r="AA674" s="94"/>
      <c r="AB674" s="95"/>
      <c r="AC674" s="20"/>
      <c r="AD674" s="92"/>
      <c r="AE674" s="93"/>
      <c r="AF674" s="20"/>
      <c r="AG674" s="20"/>
      <c r="AH674" s="20"/>
      <c r="AI674" s="20"/>
    </row>
    <row r="675" spans="1:35" ht="12.75" hidden="1" customHeight="1" thickBot="1">
      <c r="A675" s="319"/>
      <c r="D675" s="20"/>
      <c r="E675" s="26"/>
      <c r="F675" s="482" t="s">
        <v>364</v>
      </c>
      <c r="G675" s="1037"/>
      <c r="H675" s="1037"/>
      <c r="I675" s="315"/>
      <c r="J675" s="21"/>
      <c r="K675" s="258" t="s">
        <v>222</v>
      </c>
      <c r="L675" s="266" t="s">
        <v>369</v>
      </c>
      <c r="M675" s="196">
        <v>250</v>
      </c>
      <c r="N675" s="538">
        <f t="shared" si="79"/>
        <v>5716.3300940000127</v>
      </c>
      <c r="O675" s="39"/>
      <c r="P675" s="133">
        <v>-599.95000000000005</v>
      </c>
      <c r="Q675" s="72">
        <f t="shared" si="78"/>
        <v>-11726.087278481007</v>
      </c>
      <c r="R675" s="45">
        <f t="shared" si="77"/>
        <v>3823.9127215189928</v>
      </c>
      <c r="S675" s="373" t="s">
        <v>442</v>
      </c>
      <c r="T675" s="390"/>
      <c r="U675" s="20"/>
      <c r="V675" s="45"/>
      <c r="W675" s="26"/>
      <c r="X675" s="20"/>
      <c r="Y675" s="112"/>
      <c r="Z675" s="239"/>
      <c r="AA675" s="94"/>
      <c r="AB675" s="26"/>
      <c r="AC675" s="20"/>
      <c r="AD675" s="92"/>
      <c r="AE675" s="97"/>
      <c r="AF675" s="20"/>
      <c r="AG675" s="20"/>
      <c r="AH675" s="20"/>
      <c r="AI675" s="20"/>
    </row>
    <row r="676" spans="1:35" ht="12.75" hidden="1" customHeight="1" thickTop="1">
      <c r="A676" s="319"/>
      <c r="D676" s="20"/>
      <c r="E676" s="26"/>
      <c r="F676" s="122"/>
      <c r="G676" s="1038">
        <f>E672+E673+G674+G673+G675</f>
        <v>10557.86</v>
      </c>
      <c r="H676" s="1038"/>
      <c r="I676" s="315"/>
      <c r="K676" s="258" t="s">
        <v>222</v>
      </c>
      <c r="L676" s="266" t="s">
        <v>417</v>
      </c>
      <c r="M676" s="146">
        <v>-2700</v>
      </c>
      <c r="N676" s="538">
        <f t="shared" si="79"/>
        <v>3016.3300940000127</v>
      </c>
      <c r="O676" s="39"/>
      <c r="P676" s="133">
        <f>-250-12</f>
        <v>-262</v>
      </c>
      <c r="Q676" s="72">
        <f t="shared" si="78"/>
        <v>-11988.087278481007</v>
      </c>
      <c r="R676" s="45">
        <f t="shared" si="77"/>
        <v>3561.9127215189928</v>
      </c>
      <c r="S676" s="373" t="s">
        <v>441</v>
      </c>
      <c r="T676" s="390"/>
      <c r="U676" s="74"/>
      <c r="V676" s="26"/>
      <c r="W676" s="26"/>
      <c r="X676" s="91"/>
      <c r="Y676" s="20"/>
      <c r="Z676" s="239"/>
      <c r="AA676" s="94"/>
      <c r="AB676" s="95"/>
      <c r="AC676" s="20"/>
      <c r="AD676" s="98"/>
      <c r="AE676" s="93"/>
      <c r="AF676" s="628"/>
      <c r="AG676" s="20"/>
      <c r="AH676" s="20"/>
      <c r="AI676" s="20"/>
    </row>
    <row r="677" spans="1:35" ht="12.75" hidden="1" customHeight="1">
      <c r="A677" s="319"/>
      <c r="D677" s="20"/>
      <c r="E677" s="26"/>
      <c r="F677" s="122"/>
      <c r="G677" s="632"/>
      <c r="H677" s="632"/>
      <c r="I677" s="315"/>
      <c r="J677" s="511"/>
      <c r="K677" s="258" t="s">
        <v>222</v>
      </c>
      <c r="L677" s="266" t="s">
        <v>333</v>
      </c>
      <c r="M677" s="45">
        <v>-250</v>
      </c>
      <c r="N677" s="538">
        <f t="shared" si="79"/>
        <v>2766.3300940000127</v>
      </c>
      <c r="O677" s="39"/>
      <c r="P677" s="133">
        <v>-544.53</v>
      </c>
      <c r="Q677" s="72">
        <f t="shared" si="78"/>
        <v>-12532.617278481008</v>
      </c>
      <c r="R677" s="45">
        <f t="shared" si="77"/>
        <v>3017.3827215189922</v>
      </c>
      <c r="S677" s="373" t="s">
        <v>443</v>
      </c>
      <c r="T677" s="390" t="s">
        <v>334</v>
      </c>
      <c r="U677" s="65"/>
      <c r="V677" s="26"/>
      <c r="W677" s="26"/>
      <c r="X677" s="35"/>
      <c r="Y677" s="20"/>
      <c r="Z677" s="239"/>
      <c r="AA677" s="94"/>
      <c r="AB677" s="26"/>
      <c r="AC677" s="20"/>
      <c r="AD677" s="20"/>
      <c r="AE677" s="20"/>
      <c r="AF677" s="99"/>
      <c r="AG677" s="20"/>
      <c r="AH677" s="20"/>
      <c r="AI677" s="20"/>
    </row>
    <row r="678" spans="1:35" ht="12.75" hidden="1" customHeight="1">
      <c r="A678" s="629"/>
      <c r="B678" s="629"/>
      <c r="C678" s="629"/>
      <c r="D678" s="629"/>
      <c r="E678" s="629"/>
      <c r="F678" s="122"/>
      <c r="G678" s="632"/>
      <c r="H678" s="632"/>
      <c r="I678" s="493"/>
      <c r="J678" s="511"/>
      <c r="K678" s="258" t="s">
        <v>222</v>
      </c>
      <c r="L678" s="266" t="s">
        <v>195</v>
      </c>
      <c r="M678" s="45">
        <v>0</v>
      </c>
      <c r="N678" s="538">
        <f t="shared" si="79"/>
        <v>2766.3300940000127</v>
      </c>
      <c r="O678" s="39"/>
      <c r="P678" s="133">
        <v>-250.31</v>
      </c>
      <c r="Q678" s="72">
        <f t="shared" si="78"/>
        <v>-12782.927278481007</v>
      </c>
      <c r="R678" s="45">
        <f t="shared" si="77"/>
        <v>2767.0727215189927</v>
      </c>
      <c r="S678" s="373" t="s">
        <v>282</v>
      </c>
      <c r="T678" s="390" t="s">
        <v>444</v>
      </c>
      <c r="U678" s="65"/>
      <c r="V678" s="20"/>
      <c r="W678" s="20"/>
      <c r="X678" s="20"/>
      <c r="Y678" s="111"/>
      <c r="Z678" s="239"/>
      <c r="AA678" s="94"/>
      <c r="AB678" s="26"/>
      <c r="AC678" s="20"/>
      <c r="AD678" s="20"/>
      <c r="AE678" s="20"/>
      <c r="AF678" s="20"/>
      <c r="AG678" s="20"/>
      <c r="AH678" s="20"/>
      <c r="AI678" s="20"/>
    </row>
    <row r="679" spans="1:35" ht="12.75" hidden="1" customHeight="1">
      <c r="A679" s="402"/>
      <c r="B679" s="402"/>
      <c r="C679" s="403"/>
      <c r="D679" s="404"/>
      <c r="E679" s="405"/>
      <c r="F679" s="406"/>
      <c r="G679" s="407"/>
      <c r="H679" s="484"/>
      <c r="I679" s="494"/>
      <c r="K679" s="85" t="s">
        <v>222</v>
      </c>
      <c r="L679" s="266" t="s">
        <v>180</v>
      </c>
      <c r="M679" s="196">
        <v>-69</v>
      </c>
      <c r="N679" s="538">
        <f t="shared" si="79"/>
        <v>2697.3300940000127</v>
      </c>
      <c r="O679" s="42"/>
      <c r="P679" s="133">
        <v>-500.81</v>
      </c>
      <c r="Q679" s="72">
        <f t="shared" si="78"/>
        <v>-13283.737278481007</v>
      </c>
      <c r="R679" s="45">
        <f t="shared" si="77"/>
        <v>2266.2627215189932</v>
      </c>
      <c r="S679" s="373" t="s">
        <v>440</v>
      </c>
      <c r="T679" s="390" t="s">
        <v>270</v>
      </c>
      <c r="U679" s="65"/>
      <c r="V679" s="20"/>
      <c r="W679" s="20"/>
      <c r="X679" s="91"/>
      <c r="Y679" s="111"/>
      <c r="Z679" s="239"/>
      <c r="AA679" s="94"/>
      <c r="AB679" s="95"/>
      <c r="AC679" s="20"/>
      <c r="AD679" s="20"/>
      <c r="AE679" s="20"/>
      <c r="AF679" s="20"/>
      <c r="AG679" s="20"/>
      <c r="AH679" s="20"/>
      <c r="AI679" s="20"/>
    </row>
    <row r="680" spans="1:35" ht="12.75" hidden="1" customHeight="1">
      <c r="A680" s="671"/>
      <c r="B680" s="671"/>
      <c r="C680" s="671"/>
      <c r="D680" s="671"/>
      <c r="E680" s="671"/>
      <c r="F680" s="671"/>
      <c r="G680" s="671"/>
      <c r="H680" s="485"/>
      <c r="I680" s="495"/>
      <c r="K680" s="258" t="s">
        <v>222</v>
      </c>
      <c r="L680" s="266" t="s">
        <v>61</v>
      </c>
      <c r="M680" s="196">
        <v>-252.5</v>
      </c>
      <c r="N680" s="538">
        <f t="shared" si="79"/>
        <v>2444.8300940000127</v>
      </c>
      <c r="O680" s="26"/>
      <c r="P680" s="133">
        <v>-475</v>
      </c>
      <c r="Q680" s="72">
        <f t="shared" ref="Q680:Q686" si="80">Q679+P680</f>
        <v>-13758.737278481007</v>
      </c>
      <c r="R680" s="45">
        <f t="shared" ref="R680:R686" si="81">15550+Q680</f>
        <v>1791.2627215189932</v>
      </c>
      <c r="S680" s="373" t="s">
        <v>445</v>
      </c>
      <c r="T680" s="390" t="s">
        <v>446</v>
      </c>
      <c r="U680" s="84"/>
      <c r="V680" s="20"/>
      <c r="W680" s="20"/>
      <c r="X680" s="20"/>
      <c r="Y680" s="111"/>
      <c r="Z680" s="239"/>
      <c r="AA680" s="94"/>
      <c r="AB680" s="26"/>
      <c r="AC680" s="20"/>
      <c r="AD680" s="20"/>
      <c r="AE680" s="20"/>
      <c r="AF680" s="20"/>
      <c r="AG680" s="628"/>
      <c r="AH680" s="20"/>
      <c r="AI680" s="20"/>
    </row>
    <row r="681" spans="1:35" ht="12.75" hidden="1" customHeight="1">
      <c r="A681" s="402"/>
      <c r="B681" s="402"/>
      <c r="C681" s="403"/>
      <c r="D681" s="404"/>
      <c r="E681" s="405"/>
      <c r="F681" s="406"/>
      <c r="G681" s="407"/>
      <c r="H681" s="485"/>
      <c r="I681" s="495"/>
      <c r="J681" s="517"/>
      <c r="K681" s="258" t="s">
        <v>371</v>
      </c>
      <c r="L681" s="266" t="s">
        <v>148</v>
      </c>
      <c r="M681" s="196">
        <v>250</v>
      </c>
      <c r="N681" s="538">
        <f t="shared" si="79"/>
        <v>2694.8300940000127</v>
      </c>
      <c r="O681" s="26"/>
      <c r="P681" s="133">
        <v>-103.15</v>
      </c>
      <c r="Q681" s="72">
        <f t="shared" si="80"/>
        <v>-13861.887278481006</v>
      </c>
      <c r="R681" s="45">
        <f t="shared" si="81"/>
        <v>1688.1127215189936</v>
      </c>
      <c r="S681" s="373" t="s">
        <v>447</v>
      </c>
      <c r="T681" s="390" t="s">
        <v>448</v>
      </c>
      <c r="U681" s="20"/>
      <c r="V681" s="20"/>
      <c r="W681" s="20"/>
      <c r="X681" s="20"/>
      <c r="Y681" s="111"/>
      <c r="Z681" s="239"/>
      <c r="AA681" s="94"/>
      <c r="AB681" s="26"/>
      <c r="AC681" s="20"/>
      <c r="AD681" s="20"/>
      <c r="AE681" s="20"/>
      <c r="AF681" s="20"/>
      <c r="AG681" s="20"/>
      <c r="AH681" s="20"/>
      <c r="AI681" s="20"/>
    </row>
    <row r="682" spans="1:35" ht="12.75" hidden="1" customHeight="1">
      <c r="A682" s="402"/>
      <c r="B682" s="402"/>
      <c r="C682" s="403"/>
      <c r="D682" s="404"/>
      <c r="E682" s="405"/>
      <c r="F682" s="406"/>
      <c r="G682" s="407"/>
      <c r="H682" s="485"/>
      <c r="I682" s="495"/>
      <c r="J682" s="517"/>
      <c r="K682" s="258"/>
      <c r="L682" s="266" t="s">
        <v>51</v>
      </c>
      <c r="M682" s="196">
        <f>E672-M674</f>
        <v>4502.7000000000007</v>
      </c>
      <c r="N682" s="538">
        <f t="shared" si="79"/>
        <v>7197.5300940000134</v>
      </c>
      <c r="O682" s="26"/>
      <c r="P682" s="133">
        <v>-138.97</v>
      </c>
      <c r="Q682" s="72">
        <f t="shared" si="80"/>
        <v>-14000.857278481006</v>
      </c>
      <c r="R682" s="45">
        <f t="shared" si="81"/>
        <v>1549.1427215189942</v>
      </c>
      <c r="S682" s="373" t="s">
        <v>452</v>
      </c>
      <c r="T682" s="390" t="s">
        <v>453</v>
      </c>
      <c r="U682" s="20"/>
      <c r="V682" s="20"/>
      <c r="W682" s="20"/>
      <c r="X682" s="20"/>
      <c r="Y682" s="111"/>
      <c r="Z682" s="239"/>
      <c r="AA682" s="94"/>
      <c r="AB682" s="26"/>
      <c r="AC682" s="20"/>
      <c r="AD682" s="20"/>
      <c r="AE682" s="20"/>
      <c r="AF682" s="20"/>
      <c r="AG682" s="20"/>
      <c r="AH682" s="20"/>
      <c r="AI682" s="20"/>
    </row>
    <row r="683" spans="1:35" ht="12.75" hidden="1" customHeight="1">
      <c r="A683" s="333"/>
      <c r="B683" s="333"/>
      <c r="C683" s="402"/>
      <c r="D683" s="408"/>
      <c r="E683" s="133"/>
      <c r="F683" s="50"/>
      <c r="G683" s="370"/>
      <c r="H683" s="632"/>
      <c r="I683" s="493"/>
      <c r="K683" s="85" t="s">
        <v>189</v>
      </c>
      <c r="L683" s="267" t="s">
        <v>16</v>
      </c>
      <c r="M683" s="175">
        <v>-493.99</v>
      </c>
      <c r="N683" s="538">
        <f t="shared" si="79"/>
        <v>6703.5400940000136</v>
      </c>
      <c r="O683" s="26"/>
      <c r="P683" s="133">
        <v>-79.989999999999995</v>
      </c>
      <c r="Q683" s="72">
        <f t="shared" si="80"/>
        <v>-14080.847278481006</v>
      </c>
      <c r="R683" s="45">
        <f t="shared" si="81"/>
        <v>1469.1527215189944</v>
      </c>
      <c r="S683" s="373" t="s">
        <v>449</v>
      </c>
      <c r="T683" s="390" t="s">
        <v>450</v>
      </c>
      <c r="U683" s="20"/>
      <c r="V683" s="26"/>
      <c r="W683" s="26"/>
      <c r="X683" s="91"/>
      <c r="Y683" s="20"/>
      <c r="Z683" s="239"/>
      <c r="AA683" s="94"/>
      <c r="AB683" s="26"/>
      <c r="AC683" s="20"/>
      <c r="AD683" s="20"/>
      <c r="AE683" s="20"/>
      <c r="AF683" s="20"/>
      <c r="AG683" s="20"/>
      <c r="AH683" s="20"/>
      <c r="AI683" s="20"/>
    </row>
    <row r="684" spans="1:35" ht="12.75" hidden="1" customHeight="1">
      <c r="A684" s="333"/>
      <c r="B684" s="333"/>
      <c r="C684" s="333"/>
      <c r="D684" s="408"/>
      <c r="E684" s="133"/>
      <c r="F684" s="50"/>
      <c r="G684" s="370"/>
      <c r="H684" s="632"/>
      <c r="I684" s="510"/>
      <c r="K684" s="258" t="s">
        <v>189</v>
      </c>
      <c r="L684" s="268" t="s">
        <v>56</v>
      </c>
      <c r="M684" s="175">
        <v>-900</v>
      </c>
      <c r="N684" s="538">
        <f t="shared" si="79"/>
        <v>5803.5400940000136</v>
      </c>
      <c r="O684" s="26"/>
      <c r="P684" s="133">
        <v>-118.15</v>
      </c>
      <c r="Q684" s="72">
        <f t="shared" si="80"/>
        <v>-14198.997278481005</v>
      </c>
      <c r="R684" s="45">
        <f t="shared" si="81"/>
        <v>1351.0027215189948</v>
      </c>
      <c r="S684" s="373" t="s">
        <v>454</v>
      </c>
      <c r="T684" s="390" t="s">
        <v>455</v>
      </c>
      <c r="U684" s="20"/>
      <c r="V684" s="26"/>
      <c r="W684" s="26"/>
      <c r="X684" s="91"/>
      <c r="Y684" s="20"/>
      <c r="Z684" s="239"/>
      <c r="AA684" s="94"/>
      <c r="AB684" s="26"/>
      <c r="AC684" s="20"/>
      <c r="AD684" s="20"/>
      <c r="AE684" s="20"/>
      <c r="AF684" s="20"/>
      <c r="AG684" s="20"/>
      <c r="AH684" s="20"/>
      <c r="AI684" s="20"/>
    </row>
    <row r="685" spans="1:35" ht="12.75" hidden="1" customHeight="1">
      <c r="A685" s="333"/>
      <c r="B685" s="333"/>
      <c r="C685" s="333"/>
      <c r="D685" s="408"/>
      <c r="E685" s="133"/>
      <c r="F685" s="50"/>
      <c r="G685" s="370"/>
      <c r="H685" s="634"/>
      <c r="I685" s="510"/>
      <c r="K685" s="258"/>
      <c r="L685" s="268" t="s">
        <v>456</v>
      </c>
      <c r="M685" s="175">
        <v>-750</v>
      </c>
      <c r="N685" s="538">
        <f t="shared" si="79"/>
        <v>5053.5400940000136</v>
      </c>
      <c r="O685" s="26"/>
      <c r="P685" s="133">
        <v>-796.96</v>
      </c>
      <c r="Q685" s="72">
        <f t="shared" si="80"/>
        <v>-14995.957278481004</v>
      </c>
      <c r="R685" s="45">
        <f t="shared" si="81"/>
        <v>554.04272151899568</v>
      </c>
      <c r="S685" s="373" t="s">
        <v>458</v>
      </c>
      <c r="T685" s="390" t="s">
        <v>459</v>
      </c>
      <c r="U685" s="20"/>
      <c r="V685" s="26"/>
      <c r="W685" s="26"/>
      <c r="X685" s="91"/>
      <c r="Y685" s="20"/>
      <c r="Z685" s="239"/>
      <c r="AA685" s="94"/>
      <c r="AB685" s="26"/>
      <c r="AC685" s="20"/>
      <c r="AD685" s="20"/>
      <c r="AE685" s="20"/>
      <c r="AF685" s="20"/>
      <c r="AG685" s="20"/>
      <c r="AH685" s="20"/>
      <c r="AI685" s="20"/>
    </row>
    <row r="686" spans="1:35" ht="12.75" hidden="1" customHeight="1">
      <c r="A686" s="333"/>
      <c r="B686" s="333"/>
      <c r="C686" s="333"/>
      <c r="D686" s="408"/>
      <c r="E686" s="133"/>
      <c r="F686" s="50"/>
      <c r="G686" s="370"/>
      <c r="H686" s="634"/>
      <c r="I686" s="510"/>
      <c r="K686" s="258"/>
      <c r="L686" s="268" t="s">
        <v>457</v>
      </c>
      <c r="M686" s="175">
        <v>-461.98</v>
      </c>
      <c r="N686" s="538">
        <f t="shared" si="79"/>
        <v>4591.5600940000131</v>
      </c>
      <c r="O686" s="26"/>
      <c r="P686" s="49">
        <f>E673</f>
        <v>2055.16</v>
      </c>
      <c r="Q686" s="73">
        <f t="shared" si="80"/>
        <v>-12940.797278481004</v>
      </c>
      <c r="R686" s="52">
        <f t="shared" si="81"/>
        <v>2609.2027215189955</v>
      </c>
      <c r="S686" s="373" t="s">
        <v>280</v>
      </c>
      <c r="T686" s="372"/>
      <c r="U686" s="20"/>
      <c r="V686" s="26"/>
      <c r="W686" s="26"/>
      <c r="X686" s="91"/>
      <c r="Y686" s="20"/>
      <c r="Z686" s="239"/>
      <c r="AA686" s="94"/>
      <c r="AB686" s="26"/>
      <c r="AC686" s="20"/>
      <c r="AD686" s="20"/>
      <c r="AE686" s="20"/>
      <c r="AF686" s="20"/>
      <c r="AG686" s="20"/>
      <c r="AH686" s="20"/>
      <c r="AI686" s="20"/>
    </row>
    <row r="687" spans="1:35" ht="12.75" hidden="1" customHeight="1">
      <c r="A687" s="333"/>
      <c r="B687" s="333"/>
      <c r="C687" s="333"/>
      <c r="D687" s="48"/>
      <c r="E687" s="133"/>
      <c r="F687" s="50"/>
      <c r="G687" s="409"/>
      <c r="H687" s="632"/>
      <c r="K687" s="258" t="s">
        <v>190</v>
      </c>
      <c r="L687" s="268" t="s">
        <v>375</v>
      </c>
      <c r="M687" s="175">
        <v>-63.85</v>
      </c>
      <c r="N687" s="538">
        <f t="shared" si="79"/>
        <v>4527.7100940000128</v>
      </c>
      <c r="O687" s="274"/>
      <c r="P687" s="64">
        <f>SUM(P667:P686)</f>
        <v>-12940.797278481004</v>
      </c>
      <c r="Q687" s="287" t="s">
        <v>243</v>
      </c>
      <c r="R687" s="317"/>
      <c r="S687" s="611"/>
      <c r="T687" s="372"/>
      <c r="U687" s="20"/>
      <c r="V687" s="26"/>
      <c r="W687" s="26"/>
      <c r="X687" s="91"/>
      <c r="Y687" s="20"/>
      <c r="Z687" s="239"/>
      <c r="AA687" s="94"/>
      <c r="AB687" s="26"/>
      <c r="AC687" s="20"/>
      <c r="AD687" s="20"/>
      <c r="AE687" s="20"/>
      <c r="AF687" s="20"/>
      <c r="AG687" s="20"/>
      <c r="AH687" s="20"/>
      <c r="AI687" s="20"/>
    </row>
    <row r="688" spans="1:35" ht="12.75" hidden="1" customHeight="1">
      <c r="A688" s="333"/>
      <c r="B688" s="333"/>
      <c r="C688" s="410"/>
      <c r="D688" s="404"/>
      <c r="E688" s="405"/>
      <c r="F688" s="50"/>
      <c r="G688" s="409"/>
      <c r="H688" s="632"/>
      <c r="K688" s="258" t="s">
        <v>223</v>
      </c>
      <c r="L688" s="116" t="s">
        <v>224</v>
      </c>
      <c r="M688" s="45">
        <v>-561.33000000000004</v>
      </c>
      <c r="N688" s="538">
        <f t="shared" si="79"/>
        <v>3966.3800940000128</v>
      </c>
      <c r="O688" s="253"/>
      <c r="P688" s="68"/>
      <c r="Q688" s="585"/>
      <c r="R688" s="131"/>
      <c r="S688" s="373"/>
      <c r="T688" s="372"/>
      <c r="U688" s="20"/>
      <c r="V688" s="26"/>
      <c r="W688" s="26"/>
      <c r="X688" s="91"/>
      <c r="Y688" s="20"/>
      <c r="Z688" s="239"/>
      <c r="AA688" s="94"/>
      <c r="AB688" s="26"/>
      <c r="AC688" s="20"/>
      <c r="AD688" s="20"/>
      <c r="AE688" s="20"/>
      <c r="AF688" s="20"/>
      <c r="AG688" s="20"/>
      <c r="AH688" s="20"/>
      <c r="AI688" s="20"/>
    </row>
    <row r="689" spans="1:35" ht="12.75" hidden="1" customHeight="1">
      <c r="A689" s="333"/>
      <c r="B689" s="333"/>
      <c r="C689" s="333"/>
      <c r="D689" s="411"/>
      <c r="E689" s="133"/>
      <c r="F689" s="50"/>
      <c r="G689" s="409"/>
      <c r="H689" s="632"/>
      <c r="I689" s="517"/>
      <c r="K689" s="321" t="s">
        <v>190</v>
      </c>
      <c r="L689" s="269" t="s">
        <v>23</v>
      </c>
      <c r="M689" s="366">
        <v>-268.36</v>
      </c>
      <c r="N689" s="566">
        <f t="shared" si="79"/>
        <v>3698.0200940000127</v>
      </c>
      <c r="O689" s="253"/>
      <c r="P689" s="68"/>
      <c r="Q689" s="585"/>
      <c r="R689" s="131"/>
      <c r="S689" s="373"/>
      <c r="T689" s="372"/>
      <c r="U689" s="20"/>
      <c r="V689" s="26"/>
      <c r="W689" s="26"/>
      <c r="X689" s="91"/>
      <c r="Y689" s="20"/>
      <c r="Z689" s="239"/>
      <c r="AA689" s="94"/>
      <c r="AB689" s="26"/>
      <c r="AC689" s="20"/>
      <c r="AD689" s="20"/>
      <c r="AE689" s="20"/>
      <c r="AF689" s="20"/>
      <c r="AG689" s="20"/>
      <c r="AH689" s="20"/>
      <c r="AI689" s="20"/>
    </row>
    <row r="690" spans="1:35" ht="12.75" hidden="1" customHeight="1">
      <c r="A690" s="333"/>
      <c r="B690" s="333"/>
      <c r="C690" s="333"/>
      <c r="D690" s="408"/>
      <c r="E690" s="133"/>
      <c r="F690" s="50"/>
      <c r="G690" s="409"/>
      <c r="H690" s="632"/>
      <c r="I690" s="401"/>
      <c r="J690" s="521"/>
      <c r="L690" s="23"/>
      <c r="M690" s="168">
        <f>SUM(M667:M689)</f>
        <v>3698.0200940000127</v>
      </c>
      <c r="N690" s="296"/>
      <c r="O690" s="253"/>
      <c r="P690" s="68"/>
      <c r="Q690" s="585"/>
      <c r="R690" s="131"/>
      <c r="S690" s="373"/>
      <c r="T690" s="372"/>
      <c r="U690" s="20"/>
      <c r="V690" s="26"/>
      <c r="W690" s="26"/>
      <c r="X690" s="91"/>
      <c r="Y690" s="20"/>
      <c r="Z690" s="239"/>
      <c r="AA690" s="94"/>
      <c r="AB690" s="26"/>
      <c r="AC690" s="20"/>
      <c r="AD690" s="20"/>
      <c r="AE690" s="20"/>
      <c r="AF690" s="20"/>
      <c r="AG690" s="20"/>
      <c r="AH690" s="20"/>
      <c r="AI690" s="20"/>
    </row>
    <row r="691" spans="1:35" s="78" customFormat="1" hidden="1">
      <c r="E691" s="15"/>
      <c r="G691" s="129"/>
      <c r="K691" s="257"/>
      <c r="M691" s="15"/>
      <c r="P691" s="15"/>
      <c r="Q691" s="15"/>
      <c r="R691" s="15"/>
      <c r="S691" s="385"/>
      <c r="Z691" s="15"/>
      <c r="AA691" s="130"/>
      <c r="AB691" s="15"/>
    </row>
    <row r="692" spans="1:35" hidden="1"/>
    <row r="693" spans="1:35" ht="12.75" hidden="1" customHeight="1">
      <c r="B693" s="1030" t="s">
        <v>432</v>
      </c>
      <c r="C693" s="1030"/>
      <c r="D693" s="1030"/>
      <c r="E693" s="1030"/>
      <c r="G693" s="261"/>
      <c r="H693" s="261"/>
      <c r="I693" s="26"/>
      <c r="K693" s="258"/>
      <c r="L693" s="100"/>
      <c r="M693" s="1031" t="s">
        <v>54</v>
      </c>
      <c r="N693" s="636"/>
      <c r="O693" s="639"/>
      <c r="P693" s="1033" t="s">
        <v>48</v>
      </c>
      <c r="Q693" s="1035" t="s">
        <v>242</v>
      </c>
      <c r="R693" s="1035"/>
      <c r="S693" s="377"/>
      <c r="X693" s="35"/>
      <c r="Y693" s="35"/>
      <c r="Z693" s="26"/>
      <c r="AA693" s="640"/>
      <c r="AB693" s="26"/>
      <c r="AC693" s="20"/>
      <c r="AD693" s="20"/>
      <c r="AE693" s="20"/>
      <c r="AF693" s="20"/>
      <c r="AG693" s="20"/>
      <c r="AH693" s="20"/>
      <c r="AI693" s="20"/>
    </row>
    <row r="694" spans="1:35" ht="12.75" hidden="1" customHeight="1">
      <c r="C694" s="17" t="s">
        <v>357</v>
      </c>
      <c r="D694" s="14"/>
      <c r="E694" s="44">
        <v>8425.39</v>
      </c>
      <c r="G694" s="1040"/>
      <c r="H694" s="1040"/>
      <c r="I694" s="26"/>
      <c r="K694" s="260" t="s">
        <v>221</v>
      </c>
      <c r="L694" s="156"/>
      <c r="M694" s="1032"/>
      <c r="N694" s="636" t="s">
        <v>43</v>
      </c>
      <c r="O694" s="639"/>
      <c r="P694" s="1034"/>
      <c r="Q694" s="637" t="s">
        <v>43</v>
      </c>
      <c r="R694" s="638" t="s">
        <v>53</v>
      </c>
      <c r="S694" s="377"/>
      <c r="X694" s="118"/>
      <c r="Y694" s="111"/>
      <c r="Z694" s="117"/>
      <c r="AA694" s="89"/>
      <c r="AB694" s="90"/>
      <c r="AC694" s="20"/>
      <c r="AD694" s="41"/>
      <c r="AE694" s="20"/>
      <c r="AF694" s="20"/>
      <c r="AG694" s="20"/>
      <c r="AH694" s="20"/>
      <c r="AI694" s="20"/>
    </row>
    <row r="695" spans="1:35" ht="12.75" hidden="1" customHeight="1">
      <c r="C695" s="17"/>
      <c r="D695" s="14" t="s">
        <v>24</v>
      </c>
      <c r="E695" s="44">
        <f>'[2]JAN ''13'!$C$36</f>
        <v>4054.54</v>
      </c>
      <c r="G695" s="30"/>
      <c r="H695" s="624">
        <f>SUM(E695:E696)</f>
        <v>4054.54</v>
      </c>
      <c r="I695" s="26"/>
      <c r="K695" s="273"/>
      <c r="L695" s="235" t="s">
        <v>226</v>
      </c>
      <c r="M695" s="45">
        <f>$M$690</f>
        <v>3698.0200940000127</v>
      </c>
      <c r="N695" s="71">
        <f>M695</f>
        <v>3698.0200940000127</v>
      </c>
      <c r="O695" s="26"/>
      <c r="P695" s="45">
        <f>$Q$686</f>
        <v>-12940.797278481004</v>
      </c>
      <c r="Q695" s="71">
        <f>P695</f>
        <v>-12940.797278481004</v>
      </c>
      <c r="R695" s="45">
        <f t="shared" ref="R695:R714" si="82">15550+Q695</f>
        <v>2609.2027215189955</v>
      </c>
      <c r="S695" s="378" t="s">
        <v>298</v>
      </c>
      <c r="T695" s="367" t="s">
        <v>299</v>
      </c>
      <c r="W695" s="392"/>
      <c r="X695" s="111"/>
      <c r="Y695" s="111"/>
      <c r="Z695" s="45"/>
      <c r="AA695" s="488"/>
      <c r="AB695" s="26"/>
      <c r="AC695" s="20"/>
      <c r="AD695" s="92"/>
      <c r="AE695" s="93"/>
      <c r="AF695" s="20"/>
      <c r="AG695" s="20"/>
      <c r="AH695" s="20"/>
      <c r="AI695" s="20"/>
    </row>
    <row r="696" spans="1:35" ht="12.75" hidden="1" customHeight="1">
      <c r="C696" s="17"/>
      <c r="D696" s="143" t="s">
        <v>225</v>
      </c>
      <c r="E696" s="15"/>
      <c r="G696"/>
      <c r="H696" s="624"/>
      <c r="I696" s="26"/>
      <c r="K696" s="273"/>
      <c r="L696" s="116" t="s">
        <v>102</v>
      </c>
      <c r="M696" s="45">
        <v>-3000</v>
      </c>
      <c r="N696" s="538">
        <f>N695+M696</f>
        <v>698.0200940000127</v>
      </c>
      <c r="O696" s="65"/>
      <c r="P696" s="133">
        <f>-M696</f>
        <v>3000</v>
      </c>
      <c r="Q696" s="72">
        <f t="shared" ref="Q696:Q714" si="83">Q695+P696</f>
        <v>-9940.7972784810045</v>
      </c>
      <c r="R696" s="45">
        <f t="shared" si="82"/>
        <v>5609.2027215189955</v>
      </c>
      <c r="S696" s="373" t="s">
        <v>247</v>
      </c>
      <c r="T696" s="391"/>
      <c r="W696" s="111"/>
      <c r="X696" s="111"/>
      <c r="Y696" s="112"/>
      <c r="Z696" s="55"/>
      <c r="AA696" s="489"/>
      <c r="AB696" s="95"/>
      <c r="AC696" s="20"/>
      <c r="AD696" s="41"/>
      <c r="AE696" s="93"/>
      <c r="AF696" s="20"/>
      <c r="AG696" s="20"/>
      <c r="AH696" s="20"/>
      <c r="AI696" s="20"/>
    </row>
    <row r="697" spans="1:35" ht="12.75" hidden="1" customHeight="1">
      <c r="C697" s="18" t="s">
        <v>5</v>
      </c>
      <c r="D697" s="14"/>
      <c r="E697" s="14">
        <f>SUM(E694:E696)</f>
        <v>12479.93</v>
      </c>
      <c r="G697" s="242"/>
      <c r="H697" s="492"/>
      <c r="I697" s="242"/>
      <c r="J697" s="315"/>
      <c r="K697" s="297" t="s">
        <v>223</v>
      </c>
      <c r="L697" s="184" t="s">
        <v>227</v>
      </c>
      <c r="M697" s="45">
        <v>-357</v>
      </c>
      <c r="N697" s="538">
        <f t="shared" ref="N697:N713" si="84">N696+M697</f>
        <v>341.0200940000127</v>
      </c>
      <c r="O697" s="49"/>
      <c r="P697" s="133">
        <v>-154.43</v>
      </c>
      <c r="Q697" s="72">
        <f t="shared" si="83"/>
        <v>-10095.227278481005</v>
      </c>
      <c r="R697" s="45">
        <f t="shared" si="82"/>
        <v>5454.7727215189952</v>
      </c>
      <c r="S697" s="373" t="s">
        <v>253</v>
      </c>
      <c r="T697" s="391"/>
      <c r="U697" s="111"/>
      <c r="V697" s="20"/>
      <c r="W697" s="111"/>
      <c r="X697" s="111"/>
      <c r="Y697" s="112"/>
      <c r="Z697" s="55"/>
      <c r="AA697" s="489"/>
      <c r="AB697" s="26"/>
      <c r="AC697" s="20"/>
      <c r="AD697" s="92"/>
      <c r="AE697" s="93"/>
      <c r="AF697" s="20"/>
      <c r="AG697" s="20"/>
      <c r="AH697" s="20"/>
      <c r="AI697" s="20"/>
    </row>
    <row r="698" spans="1:35" ht="12.75" hidden="1" customHeight="1">
      <c r="G698" s="20"/>
      <c r="H698" s="490"/>
      <c r="I698" s="45"/>
      <c r="J698" s="482"/>
      <c r="K698" s="258"/>
      <c r="L698" s="116" t="s">
        <v>461</v>
      </c>
      <c r="M698" s="45">
        <v>1000</v>
      </c>
      <c r="N698" s="538">
        <f t="shared" si="84"/>
        <v>1341.0200940000127</v>
      </c>
      <c r="O698" s="49"/>
      <c r="P698" s="133">
        <v>-164.99</v>
      </c>
      <c r="Q698" s="72">
        <f t="shared" si="83"/>
        <v>-10260.217278481005</v>
      </c>
      <c r="R698" s="45">
        <f t="shared" si="82"/>
        <v>5289.7827215189955</v>
      </c>
      <c r="S698" s="373" t="s">
        <v>280</v>
      </c>
      <c r="T698" s="391" t="s">
        <v>460</v>
      </c>
      <c r="U698" s="20"/>
      <c r="V698" s="45"/>
      <c r="W698" s="112"/>
      <c r="X698" s="112"/>
      <c r="Y698" s="112"/>
      <c r="Z698" s="55"/>
      <c r="AA698" s="489"/>
      <c r="AB698" s="26"/>
      <c r="AC698" s="20"/>
      <c r="AD698" s="92"/>
      <c r="AE698" s="93"/>
      <c r="AF698" s="20"/>
      <c r="AG698" s="20"/>
      <c r="AH698" s="20"/>
      <c r="AI698" s="20"/>
    </row>
    <row r="699" spans="1:35" ht="12.75" hidden="1" customHeight="1">
      <c r="A699" s="319"/>
      <c r="C699" s="81" t="s">
        <v>17</v>
      </c>
      <c r="E699" s="42"/>
      <c r="G699"/>
      <c r="H699" s="641"/>
      <c r="I699" s="315"/>
      <c r="J699" s="315"/>
      <c r="K699" s="258"/>
      <c r="L699" s="116" t="s">
        <v>102</v>
      </c>
      <c r="M699" s="45">
        <v>-1000</v>
      </c>
      <c r="N699" s="538">
        <f t="shared" si="84"/>
        <v>341.0200940000127</v>
      </c>
      <c r="O699" s="39"/>
      <c r="P699" s="133">
        <v>-192.18</v>
      </c>
      <c r="Q699" s="72">
        <f t="shared" si="83"/>
        <v>-10452.397278481005</v>
      </c>
      <c r="R699" s="45">
        <f t="shared" si="82"/>
        <v>5097.6027215189952</v>
      </c>
      <c r="S699" s="373" t="s">
        <v>280</v>
      </c>
      <c r="T699" s="391" t="s">
        <v>282</v>
      </c>
      <c r="U699" s="20"/>
      <c r="V699" s="45"/>
      <c r="W699" s="103"/>
      <c r="X699" s="111"/>
      <c r="Y699" s="112"/>
      <c r="Z699" s="55"/>
      <c r="AA699" s="489"/>
      <c r="AB699" s="95"/>
      <c r="AC699" s="20"/>
      <c r="AD699" s="96"/>
      <c r="AE699" s="93"/>
      <c r="AF699" s="20"/>
      <c r="AG699" s="20"/>
      <c r="AH699" s="20"/>
      <c r="AI699" s="20"/>
    </row>
    <row r="700" spans="1:35" ht="12.75" hidden="1" customHeight="1">
      <c r="A700" s="319"/>
      <c r="D700" s="20" t="s">
        <v>14</v>
      </c>
      <c r="E700" s="42">
        <f>E694</f>
        <v>8425.39</v>
      </c>
      <c r="F700" s="20"/>
      <c r="G700" s="20"/>
      <c r="H700" s="490">
        <f>G701+E701+G702+G703</f>
        <v>4054.54</v>
      </c>
      <c r="I700" s="315"/>
      <c r="J700" s="315"/>
      <c r="K700" s="258"/>
      <c r="L700" s="116" t="s">
        <v>466</v>
      </c>
      <c r="M700" s="45">
        <v>-191</v>
      </c>
      <c r="N700" s="538">
        <f t="shared" si="84"/>
        <v>150.0200940000127</v>
      </c>
      <c r="O700" s="39"/>
      <c r="P700" s="133">
        <v>-86.9</v>
      </c>
      <c r="Q700" s="72">
        <f t="shared" si="83"/>
        <v>-10539.297278481004</v>
      </c>
      <c r="R700" s="45">
        <f t="shared" si="82"/>
        <v>5010.7027215189955</v>
      </c>
      <c r="S700" s="373" t="s">
        <v>462</v>
      </c>
      <c r="T700" s="390" t="s">
        <v>463</v>
      </c>
      <c r="U700" s="20"/>
      <c r="V700" s="45"/>
      <c r="W700" s="111"/>
      <c r="X700" s="111"/>
      <c r="Y700" s="112"/>
      <c r="Z700" s="55"/>
      <c r="AA700" s="489"/>
      <c r="AB700" s="26"/>
      <c r="AC700" s="20"/>
      <c r="AD700" s="41"/>
      <c r="AE700" s="93"/>
      <c r="AF700" s="20"/>
      <c r="AG700" s="20"/>
      <c r="AH700" s="20"/>
      <c r="AI700" s="20"/>
    </row>
    <row r="701" spans="1:35" ht="12.75" hidden="1" customHeight="1">
      <c r="A701" s="319"/>
      <c r="D701" s="78" t="s">
        <v>13</v>
      </c>
      <c r="E701" s="483">
        <f>E695-G701-G702-G703</f>
        <v>4054.54</v>
      </c>
      <c r="F701" s="482" t="s">
        <v>364</v>
      </c>
      <c r="G701" s="1037"/>
      <c r="H701" s="1037"/>
      <c r="I701" s="315">
        <f>M701-E694</f>
        <v>77.31000000000131</v>
      </c>
      <c r="K701" s="258" t="s">
        <v>222</v>
      </c>
      <c r="L701" s="266" t="s">
        <v>51</v>
      </c>
      <c r="M701" s="146">
        <v>8502.7000000000007</v>
      </c>
      <c r="N701" s="538">
        <f t="shared" si="84"/>
        <v>8652.720094000013</v>
      </c>
      <c r="O701" s="39"/>
      <c r="P701" s="133">
        <v>-77.900000000000006</v>
      </c>
      <c r="Q701" s="72">
        <f t="shared" si="83"/>
        <v>-10617.197278481004</v>
      </c>
      <c r="R701" s="45">
        <f t="shared" si="82"/>
        <v>4932.8027215189959</v>
      </c>
      <c r="S701" s="373" t="s">
        <v>280</v>
      </c>
      <c r="T701" s="390" t="s">
        <v>464</v>
      </c>
      <c r="U701" s="20"/>
      <c r="V701" s="133"/>
      <c r="W701" s="20"/>
      <c r="X701" s="20"/>
      <c r="Y701" s="112"/>
      <c r="Z701" s="239"/>
      <c r="AA701" s="94"/>
      <c r="AB701" s="26"/>
      <c r="AC701" s="20"/>
      <c r="AD701" s="92"/>
      <c r="AE701" s="93"/>
      <c r="AF701" s="20"/>
      <c r="AG701" s="20"/>
      <c r="AH701" s="20"/>
      <c r="AI701" s="20"/>
    </row>
    <row r="702" spans="1:35" ht="12.75" hidden="1" customHeight="1">
      <c r="A702" s="319"/>
      <c r="D702" s="20"/>
      <c r="E702" s="26"/>
      <c r="F702" s="482" t="s">
        <v>364</v>
      </c>
      <c r="G702" s="1037"/>
      <c r="H702" s="1037"/>
      <c r="I702" s="315"/>
      <c r="J702" s="21"/>
      <c r="K702" s="258" t="s">
        <v>222</v>
      </c>
      <c r="L702" s="266" t="s">
        <v>369</v>
      </c>
      <c r="M702" s="45">
        <v>250</v>
      </c>
      <c r="N702" s="538">
        <f t="shared" si="84"/>
        <v>8902.720094000013</v>
      </c>
      <c r="O702" s="39"/>
      <c r="P702" s="133">
        <v>-125.29</v>
      </c>
      <c r="Q702" s="72">
        <f t="shared" si="83"/>
        <v>-10742.487278481005</v>
      </c>
      <c r="R702" s="45">
        <f t="shared" si="82"/>
        <v>4807.512721518995</v>
      </c>
      <c r="S702" s="373" t="s">
        <v>465</v>
      </c>
      <c r="T702" s="390" t="s">
        <v>334</v>
      </c>
      <c r="U702" s="20"/>
      <c r="V702" s="45"/>
      <c r="W702" s="26"/>
      <c r="X702" s="20"/>
      <c r="Y702" s="112"/>
      <c r="Z702" s="239"/>
      <c r="AA702" s="94"/>
      <c r="AB702" s="95"/>
      <c r="AC702" s="20"/>
      <c r="AD702" s="92"/>
      <c r="AE702" s="93"/>
      <c r="AF702" s="20"/>
      <c r="AG702" s="20"/>
      <c r="AH702" s="20"/>
      <c r="AI702" s="20"/>
    </row>
    <row r="703" spans="1:35" ht="12.75" hidden="1" customHeight="1" thickBot="1">
      <c r="A703" s="319"/>
      <c r="D703" s="20"/>
      <c r="E703" s="26"/>
      <c r="F703" s="482" t="s">
        <v>364</v>
      </c>
      <c r="G703" s="1037"/>
      <c r="H703" s="1037"/>
      <c r="I703" s="315"/>
      <c r="J703" s="21"/>
      <c r="K703" s="258" t="s">
        <v>222</v>
      </c>
      <c r="L703" s="266" t="s">
        <v>451</v>
      </c>
      <c r="M703" s="146">
        <v>-2700</v>
      </c>
      <c r="N703" s="538">
        <f t="shared" si="84"/>
        <v>6202.720094000013</v>
      </c>
      <c r="O703" s="39"/>
      <c r="P703" s="133">
        <f>-M699</f>
        <v>1000</v>
      </c>
      <c r="Q703" s="72">
        <f t="shared" si="83"/>
        <v>-9742.487278481005</v>
      </c>
      <c r="R703" s="45">
        <f t="shared" si="82"/>
        <v>5807.512721518995</v>
      </c>
      <c r="S703" s="373" t="s">
        <v>247</v>
      </c>
      <c r="T703" s="390"/>
      <c r="U703" s="20"/>
      <c r="V703" s="45"/>
      <c r="W703" s="26"/>
      <c r="X703" s="20"/>
      <c r="Y703" s="112"/>
      <c r="Z703" s="239"/>
      <c r="AA703" s="94"/>
      <c r="AB703" s="26"/>
      <c r="AC703" s="20"/>
      <c r="AD703" s="92"/>
      <c r="AE703" s="97"/>
      <c r="AF703" s="20"/>
      <c r="AG703" s="20"/>
      <c r="AH703" s="20"/>
      <c r="AI703" s="20"/>
    </row>
    <row r="704" spans="1:35" ht="12.75" hidden="1" customHeight="1" thickTop="1">
      <c r="A704" s="319"/>
      <c r="D704" s="20"/>
      <c r="E704" s="26"/>
      <c r="F704" s="122"/>
      <c r="G704" s="1038">
        <f>E700+E701+G702+G701+G703</f>
        <v>12479.93</v>
      </c>
      <c r="H704" s="1038"/>
      <c r="I704" s="315"/>
      <c r="K704" s="258" t="s">
        <v>222</v>
      </c>
      <c r="L704" s="266" t="s">
        <v>333</v>
      </c>
      <c r="M704" s="45">
        <v>-225</v>
      </c>
      <c r="N704" s="538">
        <f t="shared" si="84"/>
        <v>5977.720094000013</v>
      </c>
      <c r="O704" s="39"/>
      <c r="P704" s="133">
        <v>-564.92999999999995</v>
      </c>
      <c r="Q704" s="72">
        <f t="shared" si="83"/>
        <v>-10307.417278481005</v>
      </c>
      <c r="R704" s="45">
        <f t="shared" si="82"/>
        <v>5242.5827215189947</v>
      </c>
      <c r="S704" s="373" t="s">
        <v>280</v>
      </c>
      <c r="T704" s="390" t="s">
        <v>270</v>
      </c>
      <c r="U704" s="74"/>
      <c r="V704" s="26"/>
      <c r="W704" s="26"/>
      <c r="X704" s="91"/>
      <c r="Y704" s="20"/>
      <c r="Z704" s="239"/>
      <c r="AA704" s="94"/>
      <c r="AB704" s="95"/>
      <c r="AC704" s="20"/>
      <c r="AD704" s="98"/>
      <c r="AE704" s="93"/>
      <c r="AF704" s="640"/>
      <c r="AG704" s="20"/>
      <c r="AH704" s="20"/>
      <c r="AI704" s="20"/>
    </row>
    <row r="705" spans="1:35" ht="12.75" hidden="1" customHeight="1">
      <c r="A705" s="319"/>
      <c r="D705" s="20"/>
      <c r="E705" s="26"/>
      <c r="F705" s="122"/>
      <c r="G705" s="642"/>
      <c r="H705" s="642"/>
      <c r="I705" s="315"/>
      <c r="J705" s="511"/>
      <c r="K705" s="258" t="s">
        <v>222</v>
      </c>
      <c r="L705" s="266" t="s">
        <v>195</v>
      </c>
      <c r="M705" s="45">
        <v>-1738</v>
      </c>
      <c r="N705" s="538">
        <f t="shared" si="84"/>
        <v>4239.720094000013</v>
      </c>
      <c r="O705" s="39"/>
      <c r="P705" s="133">
        <v>-568.23</v>
      </c>
      <c r="Q705" s="72">
        <f t="shared" si="83"/>
        <v>-10875.647278481005</v>
      </c>
      <c r="R705" s="45">
        <f t="shared" si="82"/>
        <v>4674.3527215189952</v>
      </c>
      <c r="S705" s="373" t="s">
        <v>280</v>
      </c>
      <c r="T705" s="390" t="s">
        <v>270</v>
      </c>
      <c r="U705" s="65"/>
      <c r="V705" s="26"/>
      <c r="W705" s="26"/>
      <c r="X705" s="35"/>
      <c r="Y705" s="20"/>
      <c r="Z705" s="239"/>
      <c r="AA705" s="94"/>
      <c r="AB705" s="26"/>
      <c r="AC705" s="20"/>
      <c r="AD705" s="20"/>
      <c r="AE705" s="20"/>
      <c r="AF705" s="99"/>
      <c r="AG705" s="20"/>
      <c r="AH705" s="20"/>
      <c r="AI705" s="20"/>
    </row>
    <row r="706" spans="1:35" ht="12.75" hidden="1" customHeight="1">
      <c r="A706" s="635"/>
      <c r="B706" s="635"/>
      <c r="C706" s="635"/>
      <c r="D706" s="635"/>
      <c r="E706" s="635"/>
      <c r="F706" s="122"/>
      <c r="G706" s="642"/>
      <c r="H706" s="642"/>
      <c r="I706" s="493"/>
      <c r="J706" s="511"/>
      <c r="K706" s="85" t="s">
        <v>222</v>
      </c>
      <c r="L706" s="266" t="s">
        <v>180</v>
      </c>
      <c r="M706" s="45">
        <v>-59</v>
      </c>
      <c r="N706" s="538">
        <f t="shared" si="84"/>
        <v>4180.720094000013</v>
      </c>
      <c r="O706" s="39"/>
      <c r="P706" s="133">
        <v>-256.01</v>
      </c>
      <c r="Q706" s="72">
        <f t="shared" si="83"/>
        <v>-11131.657278481005</v>
      </c>
      <c r="R706" s="45">
        <f t="shared" si="82"/>
        <v>4418.3427215189949</v>
      </c>
      <c r="S706" s="373" t="s">
        <v>282</v>
      </c>
      <c r="T706" s="390"/>
      <c r="U706" s="65"/>
      <c r="V706" s="20"/>
      <c r="W706" s="20"/>
      <c r="X706" s="20"/>
      <c r="Y706" s="111"/>
      <c r="Z706" s="239"/>
      <c r="AA706" s="94"/>
      <c r="AB706" s="26"/>
      <c r="AC706" s="20"/>
      <c r="AD706" s="20"/>
      <c r="AE706" s="20"/>
      <c r="AF706" s="20"/>
      <c r="AG706" s="20"/>
      <c r="AH706" s="20"/>
      <c r="AI706" s="20"/>
    </row>
    <row r="707" spans="1:35" ht="12.75" hidden="1" customHeight="1">
      <c r="A707" s="402"/>
      <c r="B707" s="402"/>
      <c r="C707" s="403"/>
      <c r="D707" s="404"/>
      <c r="E707" s="405"/>
      <c r="F707" s="406"/>
      <c r="G707" s="407"/>
      <c r="H707" s="484"/>
      <c r="I707" s="494"/>
      <c r="K707" s="258" t="s">
        <v>222</v>
      </c>
      <c r="L707" s="266" t="s">
        <v>61</v>
      </c>
      <c r="M707" s="45">
        <v>-252.5</v>
      </c>
      <c r="N707" s="538">
        <f t="shared" si="84"/>
        <v>3928.220094000013</v>
      </c>
      <c r="O707" s="42"/>
      <c r="P707" s="133">
        <v>-612</v>
      </c>
      <c r="Q707" s="72">
        <f t="shared" si="83"/>
        <v>-11743.657278481005</v>
      </c>
      <c r="R707" s="45">
        <f t="shared" si="82"/>
        <v>3806.3427215189949</v>
      </c>
      <c r="S707" s="373" t="s">
        <v>441</v>
      </c>
      <c r="T707" s="390"/>
      <c r="U707" s="65"/>
      <c r="V707" s="20"/>
      <c r="W707" s="20"/>
      <c r="X707" s="91"/>
      <c r="Y707" s="111"/>
      <c r="Z707" s="239"/>
      <c r="AA707" s="94"/>
      <c r="AB707" s="95"/>
      <c r="AC707" s="20"/>
      <c r="AD707" s="20"/>
      <c r="AE707" s="20"/>
      <c r="AF707" s="20"/>
      <c r="AG707" s="20"/>
      <c r="AH707" s="20"/>
      <c r="AI707" s="20"/>
    </row>
    <row r="708" spans="1:35" ht="12.75" hidden="1" customHeight="1">
      <c r="A708" s="671" t="s">
        <v>421</v>
      </c>
      <c r="B708" s="671"/>
      <c r="C708" s="671"/>
      <c r="D708" s="671"/>
      <c r="E708" s="671"/>
      <c r="F708" s="671"/>
      <c r="G708" s="671"/>
      <c r="H708" s="485"/>
      <c r="I708" s="495"/>
      <c r="K708" s="258" t="s">
        <v>371</v>
      </c>
      <c r="L708" s="266" t="s">
        <v>148</v>
      </c>
      <c r="M708" s="45">
        <v>250</v>
      </c>
      <c r="N708" s="538">
        <f t="shared" si="84"/>
        <v>4178.220094000013</v>
      </c>
      <c r="O708" s="26"/>
      <c r="P708" s="133">
        <v>-332.62</v>
      </c>
      <c r="Q708" s="72">
        <f t="shared" si="83"/>
        <v>-12076.277278481006</v>
      </c>
      <c r="R708" s="45">
        <f t="shared" si="82"/>
        <v>3473.7227215189941</v>
      </c>
      <c r="S708" s="373" t="s">
        <v>270</v>
      </c>
      <c r="T708" s="390" t="s">
        <v>334</v>
      </c>
      <c r="U708" s="84"/>
      <c r="V708" s="20"/>
      <c r="W708" s="20"/>
      <c r="X708" s="20"/>
      <c r="Y708" s="111"/>
      <c r="Z708" s="239"/>
      <c r="AA708" s="94"/>
      <c r="AB708" s="26"/>
      <c r="AC708" s="20"/>
      <c r="AD708" s="20"/>
      <c r="AE708" s="20"/>
      <c r="AF708" s="20"/>
      <c r="AG708" s="640"/>
      <c r="AH708" s="20"/>
      <c r="AI708" s="20"/>
    </row>
    <row r="709" spans="1:35" ht="12.75" hidden="1" customHeight="1">
      <c r="A709" s="402"/>
      <c r="B709" s="402"/>
      <c r="C709" s="403"/>
      <c r="D709" s="404"/>
      <c r="E709" s="405"/>
      <c r="F709" s="406"/>
      <c r="G709" s="407"/>
      <c r="H709" s="485"/>
      <c r="I709" s="495"/>
      <c r="J709" s="517"/>
      <c r="K709" s="85" t="s">
        <v>189</v>
      </c>
      <c r="L709" s="267" t="s">
        <v>16</v>
      </c>
      <c r="M709" s="175">
        <v>-623.99</v>
      </c>
      <c r="N709" s="538">
        <f t="shared" si="84"/>
        <v>3554.2300940000132</v>
      </c>
      <c r="O709" s="26"/>
      <c r="P709" s="133">
        <v>-237.59</v>
      </c>
      <c r="Q709" s="72">
        <f t="shared" si="83"/>
        <v>-12313.867278481006</v>
      </c>
      <c r="R709" s="45">
        <f t="shared" si="82"/>
        <v>3236.132721518994</v>
      </c>
      <c r="S709" s="373" t="s">
        <v>280</v>
      </c>
      <c r="T709" s="390" t="s">
        <v>270</v>
      </c>
      <c r="U709" s="20"/>
      <c r="V709" s="20"/>
      <c r="W709" s="20"/>
      <c r="X709" s="20"/>
      <c r="Y709" s="111"/>
      <c r="Z709" s="239"/>
      <c r="AA709" s="94"/>
      <c r="AB709" s="26"/>
      <c r="AC709" s="20"/>
      <c r="AD709" s="20"/>
      <c r="AE709" s="20"/>
      <c r="AF709" s="20"/>
      <c r="AG709" s="20"/>
      <c r="AH709" s="20"/>
      <c r="AI709" s="20"/>
    </row>
    <row r="710" spans="1:35" ht="12.75" hidden="1" customHeight="1">
      <c r="A710" s="333"/>
      <c r="B710" s="333"/>
      <c r="C710" s="402"/>
      <c r="D710" s="408"/>
      <c r="E710" s="133"/>
      <c r="F710" s="50"/>
      <c r="G710" s="370"/>
      <c r="H710" s="642"/>
      <c r="I710" s="493"/>
      <c r="K710" s="258" t="s">
        <v>189</v>
      </c>
      <c r="L710" s="268" t="s">
        <v>56</v>
      </c>
      <c r="M710" s="175">
        <v>-900</v>
      </c>
      <c r="N710" s="538">
        <f t="shared" si="84"/>
        <v>2654.2300940000132</v>
      </c>
      <c r="O710" s="26"/>
      <c r="P710" s="133">
        <v>-69.95</v>
      </c>
      <c r="Q710" s="72">
        <f t="shared" si="83"/>
        <v>-12383.817278481007</v>
      </c>
      <c r="R710" s="45">
        <f t="shared" si="82"/>
        <v>3166.1827215189933</v>
      </c>
      <c r="S710" s="373" t="s">
        <v>462</v>
      </c>
      <c r="T710" s="390"/>
      <c r="U710" s="20"/>
      <c r="V710" s="26"/>
      <c r="W710" s="26"/>
      <c r="X710" s="91"/>
      <c r="Y710" s="20"/>
      <c r="Z710" s="239"/>
      <c r="AA710" s="94"/>
      <c r="AB710" s="26"/>
      <c r="AC710" s="20"/>
      <c r="AD710" s="20"/>
      <c r="AE710" s="20"/>
      <c r="AF710" s="20"/>
      <c r="AG710" s="20"/>
      <c r="AH710" s="20"/>
      <c r="AI710" s="20"/>
    </row>
    <row r="711" spans="1:35" ht="12.75" hidden="1" customHeight="1">
      <c r="A711" s="333"/>
      <c r="B711" s="333"/>
      <c r="C711" s="333"/>
      <c r="D711" s="408"/>
      <c r="E711" s="133"/>
      <c r="F711" s="50"/>
      <c r="G711" s="370"/>
      <c r="H711" s="642"/>
      <c r="I711" s="510"/>
      <c r="K711" s="258" t="s">
        <v>190</v>
      </c>
      <c r="L711" s="268" t="s">
        <v>375</v>
      </c>
      <c r="M711" s="175">
        <v>-63.85</v>
      </c>
      <c r="N711" s="538">
        <f t="shared" si="84"/>
        <v>2590.3800940000133</v>
      </c>
      <c r="O711" s="26"/>
      <c r="P711" s="133">
        <v>-627.54999999999995</v>
      </c>
      <c r="Q711" s="72">
        <f>Q710+P711</f>
        <v>-13011.367278481006</v>
      </c>
      <c r="R711" s="45">
        <f>15550+Q711</f>
        <v>2538.632721518994</v>
      </c>
      <c r="S711" s="373" t="s">
        <v>280</v>
      </c>
      <c r="T711" s="390" t="s">
        <v>270</v>
      </c>
      <c r="U711" s="20"/>
      <c r="V711" s="26"/>
      <c r="W711" s="26"/>
      <c r="X711" s="91"/>
      <c r="Y711" s="20"/>
      <c r="Z711" s="239"/>
      <c r="AA711" s="94"/>
      <c r="AB711" s="26"/>
      <c r="AC711" s="20"/>
      <c r="AD711" s="20"/>
      <c r="AE711" s="20"/>
      <c r="AF711" s="20"/>
      <c r="AG711" s="20"/>
      <c r="AH711" s="20"/>
      <c r="AI711" s="20"/>
    </row>
    <row r="712" spans="1:35" ht="12.75" hidden="1" customHeight="1">
      <c r="A712" s="333"/>
      <c r="B712" s="333"/>
      <c r="C712" s="333"/>
      <c r="D712" s="48"/>
      <c r="E712" s="133"/>
      <c r="F712" s="50"/>
      <c r="G712" s="409"/>
      <c r="H712" s="642"/>
      <c r="K712" s="258" t="s">
        <v>223</v>
      </c>
      <c r="L712" s="116" t="s">
        <v>224</v>
      </c>
      <c r="M712" s="45">
        <v>-561.33000000000004</v>
      </c>
      <c r="N712" s="538">
        <f t="shared" si="84"/>
        <v>2029.0500940000134</v>
      </c>
      <c r="O712" s="274"/>
      <c r="P712" s="133">
        <v>-304.95</v>
      </c>
      <c r="Q712" s="72">
        <f>Q711+P712</f>
        <v>-13316.317278481007</v>
      </c>
      <c r="R712" s="45">
        <f>15550+Q712</f>
        <v>2233.6827215189933</v>
      </c>
      <c r="S712" s="373" t="s">
        <v>280</v>
      </c>
      <c r="T712" s="390" t="s">
        <v>468</v>
      </c>
      <c r="U712" s="20"/>
      <c r="V712" s="26"/>
      <c r="W712" s="26"/>
      <c r="X712" s="91"/>
      <c r="Y712" s="20"/>
      <c r="Z712" s="239"/>
      <c r="AA712" s="94"/>
      <c r="AB712" s="26"/>
      <c r="AC712" s="20"/>
      <c r="AD712" s="20"/>
      <c r="AE712" s="20"/>
      <c r="AF712" s="20"/>
      <c r="AG712" s="20"/>
      <c r="AH712" s="20"/>
      <c r="AI712" s="20"/>
    </row>
    <row r="713" spans="1:35" ht="12.75" hidden="1" customHeight="1">
      <c r="A713" s="333"/>
      <c r="B713" s="333"/>
      <c r="C713" s="410"/>
      <c r="D713" s="404"/>
      <c r="E713" s="405"/>
      <c r="F713" s="50"/>
      <c r="G713" s="409"/>
      <c r="H713" s="642"/>
      <c r="K713" s="321" t="s">
        <v>190</v>
      </c>
      <c r="L713" s="269" t="s">
        <v>23</v>
      </c>
      <c r="M713" s="366">
        <v>-264.99</v>
      </c>
      <c r="N713" s="566">
        <f t="shared" si="84"/>
        <v>1764.0600940000134</v>
      </c>
      <c r="O713" s="253"/>
      <c r="P713" s="133">
        <v>-512</v>
      </c>
      <c r="Q713" s="72">
        <f>Q712+P713</f>
        <v>-13828.317278481007</v>
      </c>
      <c r="R713" s="45">
        <f>15550+Q713</f>
        <v>1721.6827215189933</v>
      </c>
      <c r="S713" s="373" t="s">
        <v>441</v>
      </c>
      <c r="T713" s="390"/>
      <c r="U713" s="20"/>
      <c r="V713" s="26"/>
      <c r="W713" s="26"/>
      <c r="X713" s="91"/>
      <c r="Y713" s="20"/>
      <c r="Z713" s="239"/>
      <c r="AA713" s="94"/>
      <c r="AB713" s="26"/>
      <c r="AC713" s="20"/>
      <c r="AD713" s="20"/>
      <c r="AE713" s="20"/>
      <c r="AF713" s="20"/>
      <c r="AG713" s="20"/>
      <c r="AH713" s="20"/>
      <c r="AI713" s="20"/>
    </row>
    <row r="714" spans="1:35" ht="12.75" hidden="1" customHeight="1">
      <c r="A714" s="333"/>
      <c r="B714" s="333"/>
      <c r="C714" s="333"/>
      <c r="D714" s="411"/>
      <c r="E714" s="133"/>
      <c r="F714" s="50"/>
      <c r="G714" s="409"/>
      <c r="H714" s="642"/>
      <c r="I714" s="517"/>
      <c r="L714" s="23"/>
      <c r="M714" s="168">
        <f>SUM(M695:M713)</f>
        <v>1764.0600940000134</v>
      </c>
      <c r="N714" s="657"/>
      <c r="O714" s="253"/>
      <c r="P714" s="49">
        <f>E701</f>
        <v>4054.54</v>
      </c>
      <c r="Q714" s="73">
        <f t="shared" si="83"/>
        <v>-9773.7772784810077</v>
      </c>
      <c r="R714" s="52">
        <f t="shared" si="82"/>
        <v>5776.2227215189923</v>
      </c>
      <c r="S714" s="373" t="s">
        <v>280</v>
      </c>
      <c r="T714" s="372"/>
      <c r="U714" s="20"/>
      <c r="V714" s="26"/>
      <c r="W714" s="26"/>
      <c r="X714" s="91"/>
      <c r="Y714" s="20"/>
      <c r="Z714" s="239"/>
      <c r="AA714" s="94"/>
      <c r="AB714" s="26"/>
      <c r="AC714" s="20"/>
      <c r="AD714" s="20"/>
      <c r="AE714" s="20"/>
      <c r="AF714" s="20"/>
      <c r="AG714" s="20"/>
      <c r="AH714" s="20"/>
      <c r="AI714" s="20"/>
    </row>
    <row r="715" spans="1:35" s="20" customFormat="1" ht="12.75" hidden="1" customHeight="1">
      <c r="A715" s="333"/>
      <c r="B715" s="333"/>
      <c r="C715" s="333"/>
      <c r="D715" s="408"/>
      <c r="E715" s="133"/>
      <c r="F715" s="50"/>
      <c r="G715" s="409"/>
      <c r="H715" s="644"/>
      <c r="I715" s="236"/>
      <c r="J715" s="650"/>
      <c r="K715" s="621"/>
      <c r="L715" s="46"/>
      <c r="M715" s="26"/>
      <c r="N715" s="651"/>
      <c r="O715" s="253"/>
      <c r="P715" s="64">
        <f>SUM(P695:P714)</f>
        <v>-9773.7772784810077</v>
      </c>
      <c r="Q715" s="287" t="s">
        <v>243</v>
      </c>
      <c r="R715" s="317"/>
      <c r="S715" s="611"/>
      <c r="T715" s="372"/>
      <c r="V715" s="26"/>
      <c r="W715" s="26"/>
      <c r="X715" s="91"/>
      <c r="Z715" s="239"/>
      <c r="AA715" s="94"/>
      <c r="AB715" s="26"/>
    </row>
    <row r="716" spans="1:35" s="78" customFormat="1" ht="12.75" hidden="1" customHeight="1">
      <c r="A716" s="424"/>
      <c r="B716" s="424"/>
      <c r="C716" s="424"/>
      <c r="D716" s="645"/>
      <c r="E716" s="652"/>
      <c r="F716" s="426"/>
      <c r="G716" s="427"/>
      <c r="H716" s="516"/>
      <c r="K716" s="653"/>
      <c r="L716" s="654"/>
      <c r="M716" s="655"/>
      <c r="N716" s="656"/>
      <c r="O716" s="646"/>
      <c r="P716" s="155"/>
      <c r="Q716" s="647"/>
      <c r="R716" s="648"/>
      <c r="S716" s="388"/>
      <c r="T716" s="649"/>
      <c r="V716" s="15"/>
      <c r="W716" s="15"/>
      <c r="X716" s="158"/>
      <c r="Z716" s="159"/>
      <c r="AA716" s="160"/>
      <c r="AB716" s="15"/>
    </row>
    <row r="717" spans="1:35" ht="12.75" hidden="1" customHeight="1">
      <c r="A717" s="333"/>
      <c r="B717" s="333"/>
      <c r="C717" s="410"/>
      <c r="D717" s="561"/>
      <c r="E717" s="405"/>
      <c r="F717" s="50"/>
      <c r="G717" s="409"/>
      <c r="H717" s="642"/>
      <c r="I717" s="532"/>
      <c r="J717" s="533"/>
      <c r="K717" s="544"/>
      <c r="L717" s="236"/>
      <c r="M717" s="233"/>
      <c r="N717" s="545"/>
      <c r="O717" s="253"/>
      <c r="P717" s="68"/>
      <c r="Q717" s="63"/>
      <c r="R717" s="63"/>
      <c r="S717" s="373"/>
      <c r="T717" s="643"/>
      <c r="U717" s="20"/>
      <c r="V717" s="26"/>
      <c r="W717" s="26"/>
      <c r="X717" s="91"/>
      <c r="Y717" s="20"/>
      <c r="Z717" s="239"/>
      <c r="AA717" s="94"/>
      <c r="AB717" s="26"/>
      <c r="AC717" s="20"/>
      <c r="AD717" s="20"/>
      <c r="AE717" s="20"/>
      <c r="AF717" s="20"/>
      <c r="AG717" s="20"/>
      <c r="AH717" s="20"/>
      <c r="AI717" s="20"/>
    </row>
    <row r="718" spans="1:35" ht="12.75" hidden="1" customHeight="1">
      <c r="B718" s="1030" t="s">
        <v>467</v>
      </c>
      <c r="C718" s="1030"/>
      <c r="D718" s="1030"/>
      <c r="E718" s="1030"/>
      <c r="G718" s="261"/>
      <c r="H718" s="658" t="s">
        <v>470</v>
      </c>
      <c r="I718" s="26"/>
      <c r="K718" s="258"/>
      <c r="L718" s="100"/>
      <c r="M718" s="1031" t="s">
        <v>54</v>
      </c>
      <c r="N718" s="672"/>
      <c r="O718" s="675"/>
      <c r="P718" s="1033" t="s">
        <v>48</v>
      </c>
      <c r="Q718" s="1035" t="s">
        <v>242</v>
      </c>
      <c r="R718" s="1035"/>
      <c r="S718" s="377"/>
      <c r="X718" s="35"/>
      <c r="Y718" s="35"/>
      <c r="Z718" s="26"/>
      <c r="AA718" s="676"/>
      <c r="AB718" s="26"/>
      <c r="AC718" s="20"/>
      <c r="AD718" s="20"/>
      <c r="AE718" s="20"/>
      <c r="AF718" s="20"/>
      <c r="AG718" s="20"/>
      <c r="AH718" s="20"/>
      <c r="AI718" s="20"/>
    </row>
    <row r="719" spans="1:35" ht="12.75" hidden="1" customHeight="1">
      <c r="C719" s="17" t="s">
        <v>357</v>
      </c>
      <c r="D719" s="14"/>
      <c r="E719" s="44">
        <f>8425.39-77.31</f>
        <v>8348.08</v>
      </c>
      <c r="G719" s="1036">
        <v>77.31</v>
      </c>
      <c r="H719" s="1036"/>
      <c r="I719" s="26"/>
      <c r="K719" s="260" t="s">
        <v>221</v>
      </c>
      <c r="L719" s="156"/>
      <c r="M719" s="1032"/>
      <c r="N719" s="672" t="s">
        <v>43</v>
      </c>
      <c r="O719" s="675"/>
      <c r="P719" s="1034"/>
      <c r="Q719" s="673" t="s">
        <v>43</v>
      </c>
      <c r="R719" s="674" t="s">
        <v>53</v>
      </c>
      <c r="S719" s="377"/>
      <c r="X719" s="118"/>
      <c r="Y719" s="111"/>
      <c r="Z719" s="117"/>
      <c r="AA719" s="89"/>
      <c r="AB719" s="90"/>
      <c r="AC719" s="20"/>
      <c r="AD719" s="41"/>
      <c r="AE719" s="20"/>
      <c r="AF719" s="20"/>
      <c r="AG719" s="20"/>
      <c r="AH719" s="20"/>
      <c r="AI719" s="20"/>
    </row>
    <row r="720" spans="1:35" ht="12.75" hidden="1" customHeight="1">
      <c r="C720" s="17"/>
      <c r="D720" s="14" t="s">
        <v>24</v>
      </c>
      <c r="E720" s="44">
        <f>'[2]FEB ''13'!$C$30</f>
        <v>1374.56</v>
      </c>
      <c r="G720" s="30"/>
      <c r="H720" s="624"/>
      <c r="I720" s="26"/>
      <c r="K720" s="273"/>
      <c r="L720" s="235" t="s">
        <v>226</v>
      </c>
      <c r="M720" s="45">
        <f>$M$714</f>
        <v>1764.0600940000134</v>
      </c>
      <c r="N720" s="664">
        <f>M720</f>
        <v>1764.0600940000134</v>
      </c>
      <c r="O720" s="26"/>
      <c r="P720" s="45">
        <f>$Q$714</f>
        <v>-9773.7772784810077</v>
      </c>
      <c r="Q720" s="71">
        <f>P720</f>
        <v>-9773.7772784810077</v>
      </c>
      <c r="R720" s="45">
        <f t="shared" ref="R720:R728" si="85">15550+Q720</f>
        <v>5776.2227215189923</v>
      </c>
      <c r="S720" s="378" t="s">
        <v>298</v>
      </c>
      <c r="T720" s="367" t="s">
        <v>299</v>
      </c>
      <c r="W720" s="392"/>
      <c r="X720" s="111"/>
      <c r="Y720" s="111"/>
      <c r="Z720" s="45"/>
      <c r="AA720" s="488"/>
      <c r="AB720" s="26"/>
      <c r="AC720" s="20"/>
      <c r="AD720" s="92"/>
      <c r="AE720" s="93"/>
      <c r="AF720" s="20"/>
      <c r="AG720" s="20"/>
      <c r="AH720" s="20"/>
      <c r="AI720" s="20"/>
    </row>
    <row r="721" spans="1:35" ht="12.75" hidden="1" customHeight="1">
      <c r="C721" s="17"/>
      <c r="D721" s="143" t="s">
        <v>225</v>
      </c>
      <c r="E721" s="15"/>
      <c r="G721"/>
      <c r="H721" s="624"/>
      <c r="I721" s="26"/>
      <c r="K721" s="297" t="s">
        <v>223</v>
      </c>
      <c r="L721" s="184" t="s">
        <v>227</v>
      </c>
      <c r="M721" s="665">
        <v>-357</v>
      </c>
      <c r="N721" s="538">
        <f>N720+M721</f>
        <v>1407.0600940000134</v>
      </c>
      <c r="O721" s="65"/>
      <c r="P721" s="668">
        <v>-126.8</v>
      </c>
      <c r="Q721" s="72">
        <f t="shared" ref="Q721:Q728" si="86">Q720+P721</f>
        <v>-9900.5772784810069</v>
      </c>
      <c r="R721" s="45">
        <f t="shared" si="85"/>
        <v>5649.4227215189931</v>
      </c>
      <c r="S721" s="373" t="s">
        <v>378</v>
      </c>
      <c r="T721" s="391"/>
      <c r="W721" s="111"/>
      <c r="X721" s="111"/>
      <c r="Y721" s="112"/>
      <c r="Z721" s="55"/>
      <c r="AA721" s="489"/>
      <c r="AB721" s="95"/>
      <c r="AC721" s="20"/>
      <c r="AD721" s="41"/>
      <c r="AE721" s="93"/>
      <c r="AF721" s="20"/>
      <c r="AG721" s="20"/>
      <c r="AH721" s="20"/>
      <c r="AI721" s="20"/>
    </row>
    <row r="722" spans="1:35" ht="12.75" hidden="1" customHeight="1">
      <c r="C722" s="18" t="s">
        <v>5</v>
      </c>
      <c r="D722" s="14"/>
      <c r="E722" s="14">
        <f>SUM(E719:E721)</f>
        <v>9722.64</v>
      </c>
      <c r="G722" s="242"/>
      <c r="H722" s="492"/>
      <c r="I722" s="242"/>
      <c r="J722" s="315"/>
      <c r="K722" s="297"/>
      <c r="L722" s="184"/>
      <c r="M722" s="45">
        <v>5</v>
      </c>
      <c r="N722" s="538">
        <f t="shared" ref="N722:N742" si="87">N721+M722</f>
        <v>1412.0600940000134</v>
      </c>
      <c r="O722" s="49"/>
      <c r="P722" s="668">
        <v>-490</v>
      </c>
      <c r="Q722" s="72">
        <f t="shared" si="86"/>
        <v>-10390.577278481007</v>
      </c>
      <c r="R722" s="45">
        <f t="shared" si="85"/>
        <v>5159.4227215189931</v>
      </c>
      <c r="S722" s="373" t="s">
        <v>471</v>
      </c>
      <c r="T722" s="391"/>
      <c r="U722" s="111"/>
      <c r="V722" s="20"/>
      <c r="W722" s="111"/>
      <c r="X722" s="111"/>
      <c r="Y722" s="112"/>
      <c r="Z722" s="55"/>
      <c r="AA722" s="489"/>
      <c r="AB722" s="26"/>
      <c r="AC722" s="20"/>
      <c r="AD722" s="92"/>
      <c r="AE722" s="93"/>
      <c r="AF722" s="20"/>
      <c r="AG722" s="20"/>
      <c r="AH722" s="20"/>
      <c r="AI722" s="20"/>
    </row>
    <row r="723" spans="1:35" ht="12.75" hidden="1" customHeight="1">
      <c r="G723" s="20"/>
      <c r="H723" s="490"/>
      <c r="I723" s="45"/>
      <c r="J723" s="482"/>
      <c r="K723" s="258"/>
      <c r="L723" s="116" t="s">
        <v>102</v>
      </c>
      <c r="M723" s="45">
        <v>-1000</v>
      </c>
      <c r="N723" s="538">
        <f t="shared" si="87"/>
        <v>412.06009400001335</v>
      </c>
      <c r="O723" s="49"/>
      <c r="P723" s="668">
        <v>-515.79999999999995</v>
      </c>
      <c r="Q723" s="72">
        <f t="shared" si="86"/>
        <v>-10906.377278481006</v>
      </c>
      <c r="R723" s="45">
        <f t="shared" si="85"/>
        <v>4643.6227215189938</v>
      </c>
      <c r="S723" s="373" t="s">
        <v>472</v>
      </c>
      <c r="T723" s="391"/>
      <c r="U723" s="20"/>
      <c r="V723" s="45"/>
      <c r="W723" s="112"/>
      <c r="X723" s="112"/>
      <c r="Y723" s="112"/>
      <c r="Z723" s="55"/>
      <c r="AA723" s="489"/>
      <c r="AB723" s="26"/>
      <c r="AC723" s="20"/>
      <c r="AD723" s="92"/>
      <c r="AE723" s="93"/>
      <c r="AF723" s="20"/>
      <c r="AG723" s="20"/>
      <c r="AH723" s="20"/>
      <c r="AI723" s="20"/>
    </row>
    <row r="724" spans="1:35" ht="12.75" hidden="1" customHeight="1">
      <c r="A724" s="319"/>
      <c r="C724" s="81" t="s">
        <v>17</v>
      </c>
      <c r="E724" s="42"/>
      <c r="G724"/>
      <c r="H724" s="677"/>
      <c r="I724" s="315"/>
      <c r="J724" s="315"/>
      <c r="K724" s="258"/>
      <c r="L724" s="116" t="s">
        <v>145</v>
      </c>
      <c r="M724" s="45">
        <v>-400</v>
      </c>
      <c r="N724" s="538">
        <f t="shared" si="87"/>
        <v>12.060094000013351</v>
      </c>
      <c r="O724" s="39"/>
      <c r="P724" s="668">
        <v>-244.1</v>
      </c>
      <c r="Q724" s="72">
        <f t="shared" si="86"/>
        <v>-11150.477278481007</v>
      </c>
      <c r="R724" s="45">
        <f t="shared" si="85"/>
        <v>4399.5227215189934</v>
      </c>
      <c r="S724" s="373" t="s">
        <v>473</v>
      </c>
      <c r="T724" s="391" t="s">
        <v>474</v>
      </c>
      <c r="U724" s="20"/>
      <c r="V724" s="45"/>
      <c r="W724" s="103"/>
      <c r="X724" s="111"/>
      <c r="Y724" s="112"/>
      <c r="Z724" s="55"/>
      <c r="AA724" s="489"/>
      <c r="AB724" s="95"/>
      <c r="AC724" s="20"/>
      <c r="AD724" s="96"/>
      <c r="AE724" s="93"/>
      <c r="AF724" s="20"/>
      <c r="AG724" s="20"/>
      <c r="AH724" s="20"/>
      <c r="AI724" s="20"/>
    </row>
    <row r="725" spans="1:35" ht="12.75" hidden="1" customHeight="1">
      <c r="A725" s="319"/>
      <c r="D725" s="20" t="s">
        <v>14</v>
      </c>
      <c r="E725" s="42">
        <f>E719</f>
        <v>8348.08</v>
      </c>
      <c r="F725" s="20"/>
      <c r="G725" s="20"/>
      <c r="H725" s="490"/>
      <c r="I725" s="315"/>
      <c r="J725" s="315"/>
      <c r="K725" s="258"/>
      <c r="L725" s="116" t="s">
        <v>24</v>
      </c>
      <c r="M725" s="45">
        <v>1000</v>
      </c>
      <c r="N725" s="538">
        <f t="shared" si="87"/>
        <v>1012.0600940000134</v>
      </c>
      <c r="O725" s="39"/>
      <c r="P725" s="668">
        <v>-340.61</v>
      </c>
      <c r="Q725" s="72">
        <f t="shared" si="86"/>
        <v>-11491.087278481007</v>
      </c>
      <c r="R725" s="45">
        <f t="shared" si="85"/>
        <v>4058.9127215189928</v>
      </c>
      <c r="S725" s="373" t="s">
        <v>270</v>
      </c>
      <c r="T725" s="390" t="s">
        <v>334</v>
      </c>
      <c r="U725" s="20"/>
      <c r="V725" s="45"/>
      <c r="W725" s="111"/>
      <c r="X725" s="111"/>
      <c r="Y725" s="112"/>
      <c r="Z725" s="55"/>
      <c r="AA725" s="489"/>
      <c r="AB725" s="26"/>
      <c r="AC725" s="20"/>
      <c r="AD725" s="41"/>
      <c r="AE725" s="93"/>
      <c r="AF725" s="20"/>
      <c r="AG725" s="20"/>
      <c r="AH725" s="20"/>
      <c r="AI725" s="20"/>
    </row>
    <row r="726" spans="1:35" ht="12.75" hidden="1" customHeight="1">
      <c r="A726" s="319"/>
      <c r="D726" s="78" t="s">
        <v>13</v>
      </c>
      <c r="E726" s="483">
        <f>E720-G726-G727-G728</f>
        <v>1374.56</v>
      </c>
      <c r="F726" s="482"/>
      <c r="G726" s="1037"/>
      <c r="H726" s="1037"/>
      <c r="I726" s="315"/>
      <c r="K726" s="258"/>
      <c r="L726" s="116" t="s">
        <v>385</v>
      </c>
      <c r="M726" s="45">
        <v>-500</v>
      </c>
      <c r="N726" s="538">
        <f t="shared" si="87"/>
        <v>512.06009400001335</v>
      </c>
      <c r="O726" s="39"/>
      <c r="P726" s="668">
        <f>-M723</f>
        <v>1000</v>
      </c>
      <c r="Q726" s="72">
        <f t="shared" si="86"/>
        <v>-10491.087278481007</v>
      </c>
      <c r="R726" s="665">
        <f t="shared" si="85"/>
        <v>5058.9127215189928</v>
      </c>
      <c r="S726" s="373" t="s">
        <v>247</v>
      </c>
      <c r="T726" s="390"/>
      <c r="U726" s="20"/>
      <c r="V726" s="133"/>
      <c r="W726" s="20"/>
      <c r="X726" s="20"/>
      <c r="Y726" s="112"/>
      <c r="Z726" s="239"/>
      <c r="AA726" s="94"/>
      <c r="AB726" s="26"/>
      <c r="AC726" s="20"/>
      <c r="AD726" s="92"/>
      <c r="AE726" s="93"/>
      <c r="AF726" s="20"/>
      <c r="AG726" s="20"/>
      <c r="AH726" s="20"/>
      <c r="AI726" s="20"/>
    </row>
    <row r="727" spans="1:35" ht="12.75" hidden="1" customHeight="1">
      <c r="A727" s="319"/>
      <c r="D727" s="20"/>
      <c r="E727" s="26"/>
      <c r="F727" s="482"/>
      <c r="G727" s="1037"/>
      <c r="H727" s="1037"/>
      <c r="I727" s="315"/>
      <c r="J727" s="21"/>
      <c r="K727" s="258"/>
      <c r="L727" s="116" t="s">
        <v>142</v>
      </c>
      <c r="M727" s="45">
        <v>-105.89</v>
      </c>
      <c r="N727" s="538">
        <f t="shared" si="87"/>
        <v>406.17009400001336</v>
      </c>
      <c r="O727" s="39"/>
      <c r="P727" s="668">
        <v>-37.799999999999997</v>
      </c>
      <c r="Q727" s="72">
        <f t="shared" si="86"/>
        <v>-10528.887278481006</v>
      </c>
      <c r="R727" s="45">
        <f t="shared" si="85"/>
        <v>5021.1127215189936</v>
      </c>
      <c r="S727" s="373" t="s">
        <v>433</v>
      </c>
      <c r="T727" s="390"/>
      <c r="U727" s="20"/>
      <c r="V727" s="45"/>
      <c r="W727" s="26"/>
      <c r="X727" s="20"/>
      <c r="Y727" s="112"/>
      <c r="Z727" s="239"/>
      <c r="AA727" s="94"/>
      <c r="AB727" s="95"/>
      <c r="AC727" s="20"/>
      <c r="AD727" s="92"/>
      <c r="AE727" s="93"/>
      <c r="AF727" s="20"/>
      <c r="AG727" s="20"/>
      <c r="AH727" s="20"/>
      <c r="AI727" s="20"/>
    </row>
    <row r="728" spans="1:35" ht="12.75" hidden="1" customHeight="1">
      <c r="A728" s="319"/>
      <c r="D728" s="20"/>
      <c r="E728" s="26"/>
      <c r="F728" s="482"/>
      <c r="G728" s="1037"/>
      <c r="H728" s="1037"/>
      <c r="I728" s="315"/>
      <c r="J728" s="21"/>
      <c r="K728" s="258"/>
      <c r="L728" s="116" t="s">
        <v>478</v>
      </c>
      <c r="M728" s="45">
        <v>-97.37</v>
      </c>
      <c r="N728" s="538">
        <f t="shared" si="87"/>
        <v>308.80009400001336</v>
      </c>
      <c r="O728" s="39"/>
      <c r="P728" s="668">
        <v>-426.63</v>
      </c>
      <c r="Q728" s="72">
        <f t="shared" si="86"/>
        <v>-10955.517278481006</v>
      </c>
      <c r="R728" s="45">
        <f t="shared" si="85"/>
        <v>4594.4827215189944</v>
      </c>
      <c r="S728" s="373" t="s">
        <v>280</v>
      </c>
      <c r="T728" s="390" t="s">
        <v>476</v>
      </c>
      <c r="U728" s="20"/>
      <c r="V728" s="45"/>
      <c r="W728" s="26"/>
      <c r="X728" s="20"/>
      <c r="Y728" s="112"/>
      <c r="Z728" s="239"/>
      <c r="AA728" s="94"/>
      <c r="AB728" s="26"/>
      <c r="AC728" s="20"/>
      <c r="AD728" s="92"/>
      <c r="AE728" s="97"/>
      <c r="AF728" s="20"/>
      <c r="AG728" s="20"/>
      <c r="AH728" s="20"/>
      <c r="AI728" s="20"/>
    </row>
    <row r="729" spans="1:35" ht="12.75" hidden="1" customHeight="1">
      <c r="A729" s="319"/>
      <c r="D729" s="20"/>
      <c r="E729" s="26"/>
      <c r="F729" s="122"/>
      <c r="G729" s="1039"/>
      <c r="H729" s="1039"/>
      <c r="I729" s="315"/>
      <c r="K729" s="258"/>
      <c r="L729" s="116" t="s">
        <v>496</v>
      </c>
      <c r="M729" s="45">
        <v>-200</v>
      </c>
      <c r="N729" s="538">
        <f t="shared" si="87"/>
        <v>108.80009400001336</v>
      </c>
      <c r="O729" s="39"/>
      <c r="P729" s="133">
        <v>-4499</v>
      </c>
      <c r="Q729" s="72">
        <f>Q728+P729</f>
        <v>-15454.517278481006</v>
      </c>
      <c r="R729" s="45">
        <f>15550+Q729</f>
        <v>95.482721518994367</v>
      </c>
      <c r="S729" s="373" t="s">
        <v>475</v>
      </c>
      <c r="T729" s="390"/>
      <c r="U729" s="74"/>
      <c r="V729" s="26"/>
      <c r="W729" s="26"/>
      <c r="X729" s="91"/>
      <c r="Y729" s="20"/>
      <c r="Z729" s="239"/>
      <c r="AA729" s="94"/>
      <c r="AB729" s="95"/>
      <c r="AC729" s="20"/>
      <c r="AD729" s="98"/>
      <c r="AE729" s="93"/>
      <c r="AF729" s="676"/>
      <c r="AG729" s="20"/>
      <c r="AH729" s="20"/>
      <c r="AI729" s="20"/>
    </row>
    <row r="730" spans="1:35" ht="12.75" hidden="1" customHeight="1">
      <c r="A730" s="319"/>
      <c r="D730" s="20"/>
      <c r="E730" s="26"/>
      <c r="F730" s="122"/>
      <c r="G730" s="678"/>
      <c r="H730" s="678"/>
      <c r="I730" s="315"/>
      <c r="J730" s="511"/>
      <c r="K730" s="258" t="s">
        <v>222</v>
      </c>
      <c r="L730" s="266" t="s">
        <v>51</v>
      </c>
      <c r="M730" s="146">
        <f>E725</f>
        <v>8348.08</v>
      </c>
      <c r="N730" s="538">
        <f t="shared" si="87"/>
        <v>8456.8800940000128</v>
      </c>
      <c r="O730" s="39"/>
      <c r="P730" s="49">
        <f>E726</f>
        <v>1374.56</v>
      </c>
      <c r="Q730" s="73">
        <f>Q729+P730</f>
        <v>-14079.957278481006</v>
      </c>
      <c r="R730" s="52">
        <f>15550+Q730</f>
        <v>1470.0427215189939</v>
      </c>
      <c r="S730" s="373" t="s">
        <v>280</v>
      </c>
      <c r="T730" s="372"/>
      <c r="U730" s="65"/>
      <c r="V730" s="26"/>
      <c r="W730" s="26"/>
      <c r="X730" s="35"/>
      <c r="Y730" s="20"/>
      <c r="Z730" s="239"/>
      <c r="AA730" s="94"/>
      <c r="AB730" s="26"/>
      <c r="AC730" s="20"/>
      <c r="AD730" s="20"/>
      <c r="AE730" s="20"/>
      <c r="AF730" s="99"/>
      <c r="AG730" s="20"/>
      <c r="AH730" s="20"/>
      <c r="AI730" s="20"/>
    </row>
    <row r="731" spans="1:35" ht="12.75" hidden="1" customHeight="1">
      <c r="A731" s="671"/>
      <c r="B731" s="671"/>
      <c r="C731" s="671"/>
      <c r="D731" s="671"/>
      <c r="E731" s="671"/>
      <c r="F731" s="122"/>
      <c r="G731" s="678"/>
      <c r="H731" s="678"/>
      <c r="I731" s="493"/>
      <c r="J731" s="511"/>
      <c r="K731" s="258" t="s">
        <v>222</v>
      </c>
      <c r="L731" s="266" t="s">
        <v>369</v>
      </c>
      <c r="M731" s="45">
        <v>250</v>
      </c>
      <c r="N731" s="538">
        <f t="shared" si="87"/>
        <v>8706.8800940000128</v>
      </c>
      <c r="O731" s="39"/>
      <c r="P731" s="64">
        <f>SUM(P720:P730)</f>
        <v>-14079.957278481006</v>
      </c>
      <c r="Q731" s="287" t="s">
        <v>243</v>
      </c>
      <c r="R731" s="317"/>
      <c r="S731" s="611"/>
      <c r="T731" s="372"/>
      <c r="U731" s="65"/>
      <c r="V731" s="20"/>
      <c r="W731" s="20"/>
      <c r="X731" s="20"/>
      <c r="Y731" s="111"/>
      <c r="Z731" s="239"/>
      <c r="AA731" s="94"/>
      <c r="AB731" s="26"/>
      <c r="AC731" s="20"/>
      <c r="AD731" s="20"/>
      <c r="AE731" s="20"/>
      <c r="AF731" s="20"/>
      <c r="AG731" s="20"/>
      <c r="AH731" s="20"/>
      <c r="AI731" s="20"/>
    </row>
    <row r="732" spans="1:35" ht="12.75" hidden="1" customHeight="1">
      <c r="A732" s="402"/>
      <c r="B732" s="402"/>
      <c r="C732" s="403"/>
      <c r="D732" s="404"/>
      <c r="E732" s="405"/>
      <c r="F732" s="406"/>
      <c r="G732" s="407"/>
      <c r="H732" s="484"/>
      <c r="I732" s="494"/>
      <c r="K732" s="258" t="s">
        <v>222</v>
      </c>
      <c r="L732" s="266" t="s">
        <v>480</v>
      </c>
      <c r="M732" s="146">
        <v>-2700</v>
      </c>
      <c r="N732" s="538">
        <f t="shared" si="87"/>
        <v>6006.8800940000128</v>
      </c>
      <c r="O732" s="42"/>
      <c r="P732" s="68"/>
      <c r="Q732" s="585"/>
      <c r="R732" s="131"/>
      <c r="S732" s="373"/>
      <c r="T732" s="372"/>
      <c r="U732" s="84"/>
      <c r="V732" s="20"/>
      <c r="W732" s="20"/>
      <c r="X732" s="91"/>
      <c r="Y732" s="111"/>
      <c r="Z732" s="239"/>
      <c r="AA732" s="94"/>
      <c r="AB732" s="95"/>
      <c r="AC732" s="20"/>
      <c r="AD732" s="20"/>
      <c r="AE732" s="20"/>
      <c r="AF732" s="20"/>
      <c r="AG732" s="20"/>
      <c r="AH732" s="20"/>
      <c r="AI732" s="20"/>
    </row>
    <row r="733" spans="1:35" ht="12.75" hidden="1" customHeight="1">
      <c r="A733" s="671" t="s">
        <v>421</v>
      </c>
      <c r="B733" s="671"/>
      <c r="C733" s="671"/>
      <c r="D733" s="671"/>
      <c r="E733" s="671"/>
      <c r="F733" s="671"/>
      <c r="G733" s="671"/>
      <c r="H733" s="485"/>
      <c r="I733" s="495"/>
      <c r="K733" s="258" t="s">
        <v>222</v>
      </c>
      <c r="L733" s="266" t="s">
        <v>333</v>
      </c>
      <c r="M733" s="45">
        <v>-250</v>
      </c>
      <c r="N733" s="538">
        <f t="shared" si="87"/>
        <v>5756.8800940000128</v>
      </c>
      <c r="O733" s="26"/>
      <c r="P733" s="68"/>
      <c r="Q733" s="63"/>
      <c r="R733" s="63"/>
      <c r="S733" s="373"/>
      <c r="T733" s="670"/>
      <c r="U733" s="20"/>
      <c r="V733" s="20"/>
      <c r="W733" s="20"/>
      <c r="X733" s="20"/>
      <c r="Y733" s="111"/>
      <c r="Z733" s="239"/>
      <c r="AA733" s="94"/>
      <c r="AB733" s="26"/>
      <c r="AC733" s="20"/>
      <c r="AD733" s="20"/>
      <c r="AE733" s="20"/>
      <c r="AF733" s="20"/>
      <c r="AG733" s="676"/>
      <c r="AH733" s="20"/>
      <c r="AI733" s="20"/>
    </row>
    <row r="734" spans="1:35" ht="12.75" hidden="1" customHeight="1">
      <c r="A734" s="402"/>
      <c r="B734" s="402"/>
      <c r="C734" s="403"/>
      <c r="D734" s="404"/>
      <c r="E734" s="405"/>
      <c r="F734" s="406"/>
      <c r="G734" s="407"/>
      <c r="H734" s="485"/>
      <c r="I734" s="495"/>
      <c r="J734" s="517"/>
      <c r="K734" s="258" t="s">
        <v>222</v>
      </c>
      <c r="L734" s="266" t="s">
        <v>195</v>
      </c>
      <c r="M734" s="45">
        <v>-1738</v>
      </c>
      <c r="N734" s="538">
        <f t="shared" si="87"/>
        <v>4018.8800940000128</v>
      </c>
      <c r="O734" s="26"/>
      <c r="P734" s="418"/>
      <c r="Q734" s="270"/>
      <c r="R734" s="63"/>
      <c r="S734" s="373"/>
      <c r="T734" s="594"/>
      <c r="U734" s="20"/>
      <c r="V734" s="20"/>
      <c r="W734" s="20"/>
      <c r="X734" s="20"/>
      <c r="Y734" s="111"/>
      <c r="Z734" s="239"/>
      <c r="AA734" s="94"/>
      <c r="AB734" s="26"/>
      <c r="AC734" s="20"/>
      <c r="AD734" s="20"/>
      <c r="AE734" s="20"/>
      <c r="AF734" s="20"/>
      <c r="AG734" s="20"/>
      <c r="AH734" s="20"/>
      <c r="AI734" s="20"/>
    </row>
    <row r="735" spans="1:35" ht="12.75" hidden="1" customHeight="1">
      <c r="A735" s="333"/>
      <c r="B735" s="333"/>
      <c r="C735" s="402"/>
      <c r="D735" s="408"/>
      <c r="E735" s="133"/>
      <c r="F735" s="50"/>
      <c r="G735" s="370"/>
      <c r="H735" s="678"/>
      <c r="I735" s="493"/>
      <c r="K735" s="85" t="s">
        <v>222</v>
      </c>
      <c r="L735" s="266" t="s">
        <v>180</v>
      </c>
      <c r="M735" s="45">
        <v>-59</v>
      </c>
      <c r="N735" s="538">
        <f t="shared" si="87"/>
        <v>3959.8800940000128</v>
      </c>
      <c r="O735" s="26"/>
      <c r="P735" s="666"/>
      <c r="Q735" s="667"/>
      <c r="R735" s="253"/>
      <c r="S735" s="373"/>
      <c r="T735" s="670"/>
      <c r="U735" s="20"/>
      <c r="V735" s="26"/>
      <c r="W735" s="26"/>
      <c r="X735" s="91"/>
      <c r="Y735" s="20"/>
      <c r="Z735" s="239"/>
      <c r="AA735" s="94"/>
      <c r="AB735" s="26"/>
      <c r="AC735" s="20"/>
      <c r="AD735" s="20"/>
      <c r="AE735" s="20"/>
      <c r="AF735" s="20"/>
      <c r="AG735" s="20"/>
      <c r="AH735" s="20"/>
      <c r="AI735" s="20"/>
    </row>
    <row r="736" spans="1:35" ht="12.75" hidden="1" customHeight="1">
      <c r="A736" s="333"/>
      <c r="B736" s="333"/>
      <c r="C736" s="333"/>
      <c r="D736" s="408"/>
      <c r="E736" s="133"/>
      <c r="F736" s="50"/>
      <c r="G736" s="370"/>
      <c r="H736" s="678"/>
      <c r="I736" s="510"/>
      <c r="K736" s="258" t="s">
        <v>222</v>
      </c>
      <c r="L736" s="266" t="s">
        <v>61</v>
      </c>
      <c r="M736" s="45">
        <v>-252.5</v>
      </c>
      <c r="N736" s="538">
        <f t="shared" si="87"/>
        <v>3707.3800940000128</v>
      </c>
      <c r="O736" s="26"/>
      <c r="P736" s="588"/>
      <c r="Q736" s="589"/>
      <c r="R736" s="63"/>
      <c r="S736" s="373"/>
      <c r="T736" s="670"/>
      <c r="U736" s="20"/>
      <c r="V736" s="26"/>
      <c r="W736" s="26"/>
      <c r="X736" s="91"/>
      <c r="Y736" s="20"/>
      <c r="Z736" s="239"/>
      <c r="AA736" s="94"/>
      <c r="AB736" s="26"/>
      <c r="AC736" s="20"/>
      <c r="AD736" s="20"/>
      <c r="AE736" s="20"/>
      <c r="AF736" s="20"/>
      <c r="AG736" s="20"/>
      <c r="AH736" s="20"/>
      <c r="AI736" s="20"/>
    </row>
    <row r="737" spans="1:35" ht="12.75" hidden="1" customHeight="1">
      <c r="A737" s="333"/>
      <c r="B737" s="333"/>
      <c r="C737" s="333"/>
      <c r="D737" s="48"/>
      <c r="E737" s="133"/>
      <c r="F737" s="50"/>
      <c r="G737" s="409"/>
      <c r="H737" s="678"/>
      <c r="K737" s="258" t="s">
        <v>371</v>
      </c>
      <c r="L737" s="266" t="s">
        <v>148</v>
      </c>
      <c r="M737" s="45">
        <v>250</v>
      </c>
      <c r="N737" s="538">
        <f t="shared" si="87"/>
        <v>3957.3800940000128</v>
      </c>
      <c r="O737" s="274"/>
      <c r="P737" s="588"/>
      <c r="Q737" s="589"/>
      <c r="R737" s="591"/>
      <c r="S737" s="502"/>
      <c r="T737" s="670"/>
      <c r="U737" s="20"/>
      <c r="V737" s="26"/>
      <c r="W737" s="26"/>
      <c r="X737" s="91"/>
      <c r="Y737" s="20"/>
      <c r="Z737" s="239"/>
      <c r="AA737" s="94"/>
      <c r="AB737" s="26"/>
      <c r="AC737" s="20"/>
      <c r="AD737" s="20"/>
      <c r="AE737" s="20"/>
      <c r="AF737" s="20"/>
      <c r="AG737" s="20"/>
      <c r="AH737" s="20"/>
      <c r="AI737" s="20"/>
    </row>
    <row r="738" spans="1:35" ht="12.75" hidden="1" customHeight="1">
      <c r="A738" s="333"/>
      <c r="B738" s="333"/>
      <c r="C738" s="410"/>
      <c r="D738" s="404"/>
      <c r="E738" s="405"/>
      <c r="F738" s="50"/>
      <c r="G738" s="409"/>
      <c r="H738" s="678"/>
      <c r="K738" s="85" t="s">
        <v>189</v>
      </c>
      <c r="L738" s="267" t="s">
        <v>16</v>
      </c>
      <c r="M738" s="175">
        <v>-623.99</v>
      </c>
      <c r="N738" s="538">
        <f t="shared" si="87"/>
        <v>3333.3900940000131</v>
      </c>
      <c r="O738" s="253"/>
      <c r="P738" s="588"/>
      <c r="Q738" s="589"/>
      <c r="R738" s="591"/>
      <c r="S738" s="502"/>
      <c r="T738" s="716"/>
      <c r="U738" s="20"/>
      <c r="V738" s="26"/>
      <c r="W738" s="26"/>
      <c r="X738" s="91"/>
      <c r="Y738" s="20"/>
      <c r="Z738" s="239"/>
      <c r="AA738" s="94"/>
      <c r="AB738" s="26"/>
      <c r="AC738" s="20"/>
      <c r="AD738" s="20"/>
      <c r="AE738" s="20"/>
      <c r="AF738" s="20"/>
      <c r="AG738" s="20"/>
      <c r="AH738" s="20"/>
      <c r="AI738" s="20"/>
    </row>
    <row r="739" spans="1:35" ht="12.75" hidden="1" customHeight="1">
      <c r="A739" s="333"/>
      <c r="B739" s="333"/>
      <c r="C739" s="333"/>
      <c r="D739" s="411"/>
      <c r="E739" s="133"/>
      <c r="F739" s="50"/>
      <c r="G739" s="409"/>
      <c r="H739" s="678"/>
      <c r="I739" s="517"/>
      <c r="K739" s="258" t="s">
        <v>189</v>
      </c>
      <c r="L739" s="268" t="s">
        <v>56</v>
      </c>
      <c r="M739" s="175">
        <v>-900</v>
      </c>
      <c r="N739" s="538">
        <f t="shared" si="87"/>
        <v>2433.3900940000131</v>
      </c>
      <c r="O739" s="253"/>
      <c r="P739" s="588"/>
      <c r="Q739" s="589"/>
      <c r="R739" s="591"/>
      <c r="S739" s="502"/>
      <c r="T739" s="670"/>
      <c r="U739" s="20"/>
      <c r="V739" s="26"/>
      <c r="W739" s="26"/>
      <c r="X739" s="91"/>
      <c r="Y739" s="20"/>
      <c r="Z739" s="239"/>
      <c r="AA739" s="94"/>
      <c r="AB739" s="26"/>
      <c r="AC739" s="20"/>
      <c r="AD739" s="20"/>
      <c r="AE739" s="20"/>
      <c r="AF739" s="20"/>
      <c r="AG739" s="20"/>
      <c r="AH739" s="20"/>
      <c r="AI739" s="20"/>
    </row>
    <row r="740" spans="1:35" ht="12.75" hidden="1" customHeight="1">
      <c r="A740" s="333"/>
      <c r="B740" s="333"/>
      <c r="C740" s="333"/>
      <c r="D740" s="408"/>
      <c r="E740" s="133"/>
      <c r="F740" s="50"/>
      <c r="G740" s="409"/>
      <c r="H740" s="678"/>
      <c r="I740" s="401"/>
      <c r="J740" s="521"/>
      <c r="K740" s="258" t="s">
        <v>190</v>
      </c>
      <c r="L740" s="268" t="s">
        <v>375</v>
      </c>
      <c r="M740" s="175">
        <v>-63.85</v>
      </c>
      <c r="N740" s="538">
        <f t="shared" si="87"/>
        <v>2369.5400940000131</v>
      </c>
      <c r="O740" s="253"/>
      <c r="P740" s="588"/>
      <c r="Q740" s="589"/>
      <c r="R740" s="591"/>
      <c r="S740" s="502"/>
      <c r="T740" s="670"/>
      <c r="U740" s="20"/>
      <c r="V740" s="26"/>
      <c r="W740" s="26"/>
      <c r="X740" s="91"/>
      <c r="Y740" s="20"/>
      <c r="Z740" s="239"/>
      <c r="AA740" s="94"/>
      <c r="AB740" s="26"/>
      <c r="AC740" s="20"/>
      <c r="AD740" s="20"/>
      <c r="AE740" s="20"/>
      <c r="AF740" s="20"/>
      <c r="AG740" s="20"/>
      <c r="AH740" s="20"/>
      <c r="AI740" s="20"/>
    </row>
    <row r="741" spans="1:35" ht="12.75" hidden="1" customHeight="1">
      <c r="A741" s="333"/>
      <c r="B741" s="333"/>
      <c r="C741" s="333"/>
      <c r="D741" s="408"/>
      <c r="E741" s="412"/>
      <c r="F741" s="50"/>
      <c r="G741" s="409"/>
      <c r="H741" s="678"/>
      <c r="K741" s="258" t="s">
        <v>223</v>
      </c>
      <c r="L741" s="116" t="s">
        <v>224</v>
      </c>
      <c r="M741" s="45">
        <v>-561.33000000000004</v>
      </c>
      <c r="N741" s="538">
        <f t="shared" si="87"/>
        <v>1808.2100940000132</v>
      </c>
      <c r="O741" s="253"/>
      <c r="P741" s="588"/>
      <c r="Q741" s="589"/>
      <c r="R741" s="591"/>
      <c r="S741" s="502"/>
      <c r="T741" s="670"/>
      <c r="U741" s="20"/>
      <c r="V741" s="26"/>
      <c r="W741" s="26"/>
      <c r="X741" s="91"/>
      <c r="Y741" s="20"/>
      <c r="Z741" s="239"/>
      <c r="AA741" s="94"/>
      <c r="AB741" s="26"/>
      <c r="AC741" s="20"/>
      <c r="AD741" s="20"/>
      <c r="AE741" s="20"/>
      <c r="AF741" s="20"/>
      <c r="AG741" s="20"/>
      <c r="AH741" s="20"/>
      <c r="AI741" s="20"/>
    </row>
    <row r="742" spans="1:35" ht="12.75" hidden="1" customHeight="1">
      <c r="A742" s="333"/>
      <c r="B742" s="333"/>
      <c r="C742" s="410"/>
      <c r="D742" s="561"/>
      <c r="E742" s="405"/>
      <c r="F742" s="50"/>
      <c r="G742" s="409"/>
      <c r="H742" s="678"/>
      <c r="I742" s="532"/>
      <c r="J742" s="533"/>
      <c r="K742" s="321" t="s">
        <v>190</v>
      </c>
      <c r="L742" s="269" t="s">
        <v>23</v>
      </c>
      <c r="M742" s="366">
        <v>-249.65</v>
      </c>
      <c r="N742" s="566">
        <f t="shared" si="87"/>
        <v>1558.5600940000131</v>
      </c>
      <c r="O742" s="253"/>
      <c r="P742" s="588"/>
      <c r="Q742" s="589"/>
      <c r="R742" s="591"/>
      <c r="S742" s="502"/>
      <c r="T742" s="670"/>
      <c r="U742" s="20"/>
      <c r="V742" s="26"/>
      <c r="W742" s="26"/>
      <c r="X742" s="91"/>
      <c r="Y742" s="20"/>
      <c r="Z742" s="239"/>
      <c r="AA742" s="94"/>
      <c r="AB742" s="26"/>
      <c r="AC742" s="20"/>
      <c r="AD742" s="20"/>
      <c r="AE742" s="20"/>
      <c r="AF742" s="20"/>
      <c r="AG742" s="20"/>
      <c r="AH742" s="20"/>
      <c r="AI742" s="20"/>
    </row>
    <row r="743" spans="1:35" ht="12.75" hidden="1" customHeight="1">
      <c r="A743" s="333"/>
      <c r="B743" s="333"/>
      <c r="C743" s="333"/>
      <c r="D743" s="408"/>
      <c r="E743" s="133"/>
      <c r="F743" s="50"/>
      <c r="G743" s="409"/>
      <c r="H743" s="678"/>
      <c r="I743" s="20"/>
      <c r="J743" s="534"/>
      <c r="L743" s="23"/>
      <c r="M743" s="168">
        <f>SUM(M720:M742)</f>
        <v>1558.5600940000131</v>
      </c>
      <c r="N743" s="296"/>
      <c r="O743" s="253"/>
      <c r="P743" s="588"/>
      <c r="Q743" s="589"/>
      <c r="R743" s="591"/>
      <c r="S743" s="502"/>
      <c r="T743" s="670"/>
      <c r="U743" s="20"/>
      <c r="V743" s="26"/>
      <c r="W743" s="26"/>
      <c r="X743" s="91"/>
      <c r="Y743" s="20"/>
      <c r="Z743" s="239"/>
      <c r="AA743" s="94"/>
      <c r="AB743" s="26"/>
      <c r="AC743" s="20"/>
      <c r="AD743" s="20"/>
      <c r="AE743" s="20"/>
      <c r="AF743" s="20"/>
      <c r="AG743" s="20"/>
      <c r="AH743" s="20"/>
      <c r="AI743" s="20"/>
    </row>
    <row r="744" spans="1:35" s="78" customFormat="1" ht="12.75" hidden="1" customHeight="1">
      <c r="A744" s="424"/>
      <c r="B744" s="424"/>
      <c r="C744" s="424"/>
      <c r="D744" s="645"/>
      <c r="E744" s="425"/>
      <c r="F744" s="426"/>
      <c r="G744" s="427"/>
      <c r="H744" s="516"/>
      <c r="J744" s="583"/>
      <c r="K744" s="469"/>
      <c r="L744" s="129"/>
      <c r="M744" s="15"/>
      <c r="N744" s="584"/>
      <c r="O744" s="15"/>
      <c r="P744" s="680"/>
      <c r="Q744" s="681"/>
      <c r="R744" s="682"/>
      <c r="S744" s="683"/>
      <c r="T744" s="684"/>
      <c r="V744" s="15"/>
      <c r="W744" s="15"/>
      <c r="X744" s="158"/>
      <c r="Z744" s="159"/>
      <c r="AA744" s="160"/>
      <c r="AB744" s="15"/>
    </row>
    <row r="745" spans="1:35" ht="12.75" hidden="1" customHeight="1">
      <c r="A745" s="333"/>
      <c r="B745" s="333"/>
      <c r="C745" s="333"/>
      <c r="D745" s="408"/>
      <c r="E745" s="133"/>
      <c r="F745" s="50"/>
      <c r="G745" s="409"/>
      <c r="H745" s="678"/>
      <c r="I745" s="20"/>
      <c r="J745" s="504"/>
      <c r="K745" s="582"/>
      <c r="L745" s="430"/>
      <c r="M745" s="226"/>
      <c r="N745" s="679"/>
      <c r="O745" s="239"/>
      <c r="P745" s="588"/>
      <c r="Q745" s="595"/>
      <c r="R745" s="591"/>
      <c r="S745" s="502"/>
      <c r="T745" s="503"/>
      <c r="U745" s="20"/>
      <c r="V745" s="26"/>
      <c r="W745" s="26"/>
      <c r="X745" s="91"/>
      <c r="Y745" s="20"/>
      <c r="Z745" s="239"/>
      <c r="AA745" s="94"/>
      <c r="AB745" s="26"/>
      <c r="AC745" s="20"/>
      <c r="AD745" s="20"/>
      <c r="AE745" s="20"/>
      <c r="AF745" s="20"/>
      <c r="AG745" s="20"/>
      <c r="AH745" s="20"/>
      <c r="AI745" s="20"/>
    </row>
    <row r="746" spans="1:35" ht="12.75" hidden="1" customHeight="1">
      <c r="B746" s="1030" t="s">
        <v>479</v>
      </c>
      <c r="C746" s="1030"/>
      <c r="D746" s="1030"/>
      <c r="E746" s="1030"/>
      <c r="G746" s="261"/>
      <c r="H746" s="658"/>
      <c r="I746" s="26"/>
      <c r="K746" s="258"/>
      <c r="L746" s="100"/>
      <c r="M746" s="1031" t="s">
        <v>54</v>
      </c>
      <c r="N746" s="718"/>
      <c r="O746" s="722"/>
      <c r="P746" s="1033" t="s">
        <v>48</v>
      </c>
      <c r="Q746" s="1035" t="s">
        <v>507</v>
      </c>
      <c r="R746" s="1035"/>
      <c r="S746" s="377"/>
      <c r="X746" s="35"/>
      <c r="Y746" s="35"/>
      <c r="Z746" s="26"/>
      <c r="AA746" s="723"/>
      <c r="AB746" s="26"/>
      <c r="AC746" s="20"/>
      <c r="AD746" s="20"/>
      <c r="AE746" s="20"/>
      <c r="AF746" s="20"/>
      <c r="AG746" s="20"/>
      <c r="AH746" s="20"/>
      <c r="AI746" s="20"/>
    </row>
    <row r="747" spans="1:35" ht="12.75" hidden="1" customHeight="1">
      <c r="C747" s="17" t="s">
        <v>357</v>
      </c>
      <c r="D747" s="14"/>
      <c r="E747" s="44">
        <v>8490.68</v>
      </c>
      <c r="G747" s="1036"/>
      <c r="H747" s="1036"/>
      <c r="I747" s="26"/>
      <c r="K747" s="260" t="s">
        <v>221</v>
      </c>
      <c r="L747" s="156"/>
      <c r="M747" s="1032"/>
      <c r="N747" s="718" t="s">
        <v>43</v>
      </c>
      <c r="O747" s="722"/>
      <c r="P747" s="1034"/>
      <c r="Q747" s="719" t="s">
        <v>43</v>
      </c>
      <c r="R747" s="720" t="s">
        <v>53</v>
      </c>
      <c r="S747" s="377"/>
      <c r="X747" s="118"/>
      <c r="Y747" s="111"/>
      <c r="Z747" s="117"/>
      <c r="AA747" s="89"/>
      <c r="AB747" s="90"/>
      <c r="AC747" s="20"/>
      <c r="AD747" s="41"/>
      <c r="AE747" s="20"/>
      <c r="AF747" s="20"/>
      <c r="AG747" s="20"/>
      <c r="AH747" s="20"/>
      <c r="AI747" s="20"/>
    </row>
    <row r="748" spans="1:35" ht="12.75" hidden="1" customHeight="1">
      <c r="C748" s="17"/>
      <c r="D748" s="14" t="s">
        <v>24</v>
      </c>
      <c r="E748" s="44">
        <f>'[2]MARCH ''13'!$C$29</f>
        <v>3237.2599999999998</v>
      </c>
      <c r="G748" s="30"/>
      <c r="H748" s="624">
        <f>SUM(E748:E749)</f>
        <v>3237.2599999999998</v>
      </c>
      <c r="I748" s="26"/>
      <c r="K748" s="273"/>
      <c r="L748" s="235" t="s">
        <v>226</v>
      </c>
      <c r="M748" s="45">
        <f>$M$743</f>
        <v>1558.5600940000131</v>
      </c>
      <c r="N748" s="71">
        <f>M748</f>
        <v>1558.5600940000131</v>
      </c>
      <c r="O748" s="26"/>
      <c r="P748" s="45">
        <f>$Q$730</f>
        <v>-14079.957278481006</v>
      </c>
      <c r="Q748" s="71">
        <f>P748</f>
        <v>-14079.957278481006</v>
      </c>
      <c r="R748" s="45">
        <f t="shared" ref="R748:R756" si="88">15550+Q748</f>
        <v>1470.0427215189939</v>
      </c>
      <c r="S748" s="378" t="s">
        <v>298</v>
      </c>
      <c r="T748" s="367" t="s">
        <v>299</v>
      </c>
      <c r="W748" s="392"/>
      <c r="X748" s="111"/>
      <c r="Y748" s="111"/>
      <c r="Z748" s="45"/>
      <c r="AA748" s="488"/>
      <c r="AB748" s="26"/>
      <c r="AC748" s="20"/>
      <c r="AD748" s="92"/>
      <c r="AE748" s="93"/>
      <c r="AF748" s="20"/>
      <c r="AG748" s="20"/>
      <c r="AH748" s="20"/>
      <c r="AI748" s="20"/>
    </row>
    <row r="749" spans="1:35" ht="12.75" hidden="1" customHeight="1">
      <c r="C749" s="17"/>
      <c r="D749" s="143" t="s">
        <v>225</v>
      </c>
      <c r="E749" s="15"/>
      <c r="G749"/>
      <c r="H749" s="624"/>
      <c r="I749" s="26"/>
      <c r="K749" s="273"/>
      <c r="L749" s="235" t="s">
        <v>313</v>
      </c>
      <c r="M749" s="45">
        <v>-758.11</v>
      </c>
      <c r="N749" s="538">
        <f>N748+M749</f>
        <v>800.45009400001311</v>
      </c>
      <c r="O749" s="65"/>
      <c r="P749" s="133">
        <v>-1045.9000000000001</v>
      </c>
      <c r="Q749" s="72">
        <f t="shared" ref="Q749:Q756" si="89">Q748+P749</f>
        <v>-15125.857278481006</v>
      </c>
      <c r="R749" s="45">
        <f t="shared" si="88"/>
        <v>424.14272151899422</v>
      </c>
      <c r="S749" s="373" t="s">
        <v>498</v>
      </c>
      <c r="T749" s="391" t="s">
        <v>499</v>
      </c>
      <c r="W749" s="111"/>
      <c r="X749" s="111"/>
      <c r="Y749" s="112"/>
      <c r="Z749" s="55"/>
      <c r="AA749" s="489"/>
      <c r="AB749" s="95"/>
      <c r="AC749" s="20"/>
      <c r="AD749" s="41"/>
      <c r="AE749" s="93"/>
      <c r="AF749" s="20"/>
      <c r="AG749" s="20"/>
      <c r="AH749" s="20"/>
      <c r="AI749" s="20"/>
    </row>
    <row r="750" spans="1:35" ht="12.75" hidden="1" customHeight="1">
      <c r="C750" s="18" t="s">
        <v>5</v>
      </c>
      <c r="D750" s="14"/>
      <c r="E750" s="14">
        <f>SUM(E747:E749)</f>
        <v>11727.94</v>
      </c>
      <c r="G750" s="242"/>
      <c r="H750" s="492"/>
      <c r="I750" s="242"/>
      <c r="J750" s="315"/>
      <c r="K750" s="297" t="s">
        <v>347</v>
      </c>
      <c r="L750" s="184" t="s">
        <v>235</v>
      </c>
      <c r="M750" s="45">
        <v>500.8</v>
      </c>
      <c r="N750" s="538">
        <f t="shared" ref="N750:N786" si="90">N749+M750</f>
        <v>1301.2500940000132</v>
      </c>
      <c r="O750" s="49"/>
      <c r="P750" s="133">
        <v>-186.08</v>
      </c>
      <c r="Q750" s="72">
        <f t="shared" si="89"/>
        <v>-15311.937278481006</v>
      </c>
      <c r="R750" s="45">
        <f t="shared" si="88"/>
        <v>238.06272151899429</v>
      </c>
      <c r="S750" s="373" t="s">
        <v>378</v>
      </c>
      <c r="T750" s="391"/>
      <c r="U750" s="111"/>
      <c r="V750" s="20"/>
      <c r="W750" s="111"/>
      <c r="X750" s="111"/>
      <c r="Y750" s="112"/>
      <c r="Z750" s="55"/>
      <c r="AA750" s="489"/>
      <c r="AB750" s="26"/>
      <c r="AC750" s="20"/>
      <c r="AD750" s="92"/>
      <c r="AE750" s="93"/>
      <c r="AF750" s="20"/>
      <c r="AG750" s="20"/>
      <c r="AH750" s="20"/>
      <c r="AI750" s="20"/>
    </row>
    <row r="751" spans="1:35" ht="12.75" hidden="1" customHeight="1">
      <c r="G751" s="20"/>
      <c r="H751" s="490"/>
      <c r="I751" s="45"/>
      <c r="J751" s="482"/>
      <c r="K751" s="297" t="s">
        <v>223</v>
      </c>
      <c r="L751" s="184" t="s">
        <v>227</v>
      </c>
      <c r="M751" s="45">
        <v>-357</v>
      </c>
      <c r="N751" s="538">
        <f t="shared" si="90"/>
        <v>944.25009400001318</v>
      </c>
      <c r="O751" s="49"/>
      <c r="P751" s="133">
        <f>-M757</f>
        <v>800</v>
      </c>
      <c r="Q751" s="72">
        <f t="shared" si="89"/>
        <v>-14511.937278481006</v>
      </c>
      <c r="R751" s="45">
        <f t="shared" si="88"/>
        <v>1038.0627215189943</v>
      </c>
      <c r="S751" s="373" t="s">
        <v>247</v>
      </c>
      <c r="T751" s="391"/>
      <c r="U751" s="20"/>
      <c r="V751" s="45"/>
      <c r="W751" s="112"/>
      <c r="X751" s="112"/>
      <c r="Y751" s="112"/>
      <c r="Z751" s="55"/>
      <c r="AA751" s="489"/>
      <c r="AB751" s="26"/>
      <c r="AC751" s="20"/>
      <c r="AD751" s="92"/>
      <c r="AE751" s="93"/>
      <c r="AF751" s="20"/>
      <c r="AG751" s="20"/>
      <c r="AH751" s="20"/>
      <c r="AI751" s="20"/>
    </row>
    <row r="752" spans="1:35" ht="12.75" hidden="1" customHeight="1">
      <c r="A752" s="319"/>
      <c r="C752" s="81" t="s">
        <v>17</v>
      </c>
      <c r="E752" s="42"/>
      <c r="G752"/>
      <c r="H752" s="725"/>
      <c r="I752" s="315"/>
      <c r="J752" s="315"/>
      <c r="K752" s="297"/>
      <c r="L752" s="184" t="s">
        <v>313</v>
      </c>
      <c r="M752" s="45">
        <v>-112.61</v>
      </c>
      <c r="N752" s="538">
        <f t="shared" si="90"/>
        <v>831.64009400001316</v>
      </c>
      <c r="O752" s="39"/>
      <c r="P752" s="133">
        <v>-45.6</v>
      </c>
      <c r="Q752" s="72">
        <f t="shared" si="89"/>
        <v>-14557.537278481006</v>
      </c>
      <c r="R752" s="45">
        <f t="shared" si="88"/>
        <v>992.46272151899393</v>
      </c>
      <c r="S752" s="373" t="s">
        <v>502</v>
      </c>
      <c r="T752" s="391"/>
      <c r="U752" s="20"/>
      <c r="V752" s="45"/>
      <c r="W752" s="103"/>
      <c r="X752" s="111"/>
      <c r="Y752" s="112"/>
      <c r="Z752" s="55"/>
      <c r="AA752" s="489"/>
      <c r="AB752" s="95"/>
      <c r="AC752" s="20"/>
      <c r="AD752" s="96"/>
      <c r="AE752" s="93"/>
      <c r="AF752" s="20"/>
      <c r="AG752" s="20"/>
      <c r="AH752" s="20"/>
      <c r="AI752" s="20"/>
    </row>
    <row r="753" spans="1:35" ht="12.75" hidden="1" customHeight="1">
      <c r="A753" s="319"/>
      <c r="D753" s="20" t="s">
        <v>14</v>
      </c>
      <c r="E753" s="42">
        <f>E747</f>
        <v>8490.68</v>
      </c>
      <c r="F753" s="20"/>
      <c r="G753" s="20"/>
      <c r="H753" s="490">
        <f>G754+E754</f>
        <v>3237.2599999999998</v>
      </c>
      <c r="I753" s="315"/>
      <c r="J753" s="315"/>
      <c r="K753" s="297"/>
      <c r="L753" s="184" t="s">
        <v>24</v>
      </c>
      <c r="M753" s="45">
        <v>1000</v>
      </c>
      <c r="N753" s="538">
        <f t="shared" si="90"/>
        <v>1831.6400940000131</v>
      </c>
      <c r="O753" s="39"/>
      <c r="P753" s="133">
        <v>-412</v>
      </c>
      <c r="Q753" s="72">
        <f t="shared" si="89"/>
        <v>-14969.537278481006</v>
      </c>
      <c r="R753" s="45">
        <f t="shared" si="88"/>
        <v>580.46272151899393</v>
      </c>
      <c r="S753" s="373" t="s">
        <v>441</v>
      </c>
      <c r="T753" s="391"/>
      <c r="U753" s="20"/>
      <c r="V753" s="45"/>
      <c r="W753" s="111"/>
      <c r="X753" s="111"/>
      <c r="Y753" s="112"/>
      <c r="Z753" s="55"/>
      <c r="AA753" s="489"/>
      <c r="AB753" s="26"/>
      <c r="AC753" s="20"/>
      <c r="AD753" s="41"/>
      <c r="AE753" s="93"/>
      <c r="AF753" s="20"/>
      <c r="AG753" s="20"/>
      <c r="AH753" s="20"/>
      <c r="AI753" s="20"/>
    </row>
    <row r="754" spans="1:35" ht="12.75" hidden="1" customHeight="1" thickBot="1">
      <c r="A754" s="319"/>
      <c r="D754" s="78" t="s">
        <v>13</v>
      </c>
      <c r="E754" s="483">
        <f>E748-G754</f>
        <v>3237.2599999999998</v>
      </c>
      <c r="F754" s="482" t="s">
        <v>364</v>
      </c>
      <c r="G754" s="1037"/>
      <c r="H754" s="1037"/>
      <c r="I754" s="315"/>
      <c r="K754" s="258"/>
      <c r="L754" s="116" t="s">
        <v>506</v>
      </c>
      <c r="M754" s="45">
        <v>92.95</v>
      </c>
      <c r="N754" s="538">
        <f t="shared" si="90"/>
        <v>1924.5900940000131</v>
      </c>
      <c r="O754" s="39"/>
      <c r="P754" s="133">
        <v>-147.97</v>
      </c>
      <c r="Q754" s="72">
        <f t="shared" si="89"/>
        <v>-15117.507278481005</v>
      </c>
      <c r="R754" s="45">
        <f t="shared" si="88"/>
        <v>432.49272151899459</v>
      </c>
      <c r="S754" s="373" t="s">
        <v>270</v>
      </c>
      <c r="T754" s="391"/>
      <c r="U754" s="20"/>
      <c r="V754" s="133"/>
      <c r="W754" s="20"/>
      <c r="X754" s="20"/>
      <c r="Y754" s="112"/>
      <c r="Z754" s="239"/>
      <c r="AA754" s="94"/>
      <c r="AB754" s="26"/>
      <c r="AC754" s="20"/>
      <c r="AD754" s="92"/>
      <c r="AE754" s="93"/>
      <c r="AF754" s="20"/>
      <c r="AG754" s="20"/>
      <c r="AH754" s="20"/>
      <c r="AI754" s="20"/>
    </row>
    <row r="755" spans="1:35" ht="12.75" hidden="1" customHeight="1" thickTop="1">
      <c r="A755" s="319"/>
      <c r="D755" s="20"/>
      <c r="E755" s="26"/>
      <c r="F755" s="122"/>
      <c r="G755" s="1038">
        <f>E753+E754+G754</f>
        <v>11727.94</v>
      </c>
      <c r="H755" s="1038"/>
      <c r="I755" s="315"/>
      <c r="J755" s="21"/>
      <c r="K755" s="258"/>
      <c r="L755" s="116" t="s">
        <v>500</v>
      </c>
      <c r="M755" s="45">
        <v>-527.66999999999996</v>
      </c>
      <c r="N755" s="538">
        <f t="shared" si="90"/>
        <v>1396.9200940000133</v>
      </c>
      <c r="O755" s="39"/>
      <c r="P755" s="133">
        <v>-320</v>
      </c>
      <c r="Q755" s="72">
        <f t="shared" si="89"/>
        <v>-15437.507278481005</v>
      </c>
      <c r="R755" s="45">
        <f t="shared" si="88"/>
        <v>112.49272151899459</v>
      </c>
      <c r="S755" s="373" t="s">
        <v>504</v>
      </c>
      <c r="T755" s="391"/>
      <c r="U755" s="20"/>
      <c r="V755" s="45"/>
      <c r="W755" s="26"/>
      <c r="X755" s="20"/>
      <c r="Y755" s="112"/>
      <c r="Z755" s="239"/>
      <c r="AA755" s="94"/>
      <c r="AB755" s="95"/>
      <c r="AC755" s="20"/>
      <c r="AD755" s="92"/>
      <c r="AE755" s="93"/>
      <c r="AF755" s="20"/>
      <c r="AG755" s="20"/>
      <c r="AH755" s="20"/>
      <c r="AI755" s="20"/>
    </row>
    <row r="756" spans="1:35" ht="12.75" hidden="1" customHeight="1">
      <c r="A756" s="319"/>
      <c r="D756" s="20"/>
      <c r="E756" s="26"/>
      <c r="F756" s="122"/>
      <c r="G756" s="721"/>
      <c r="H756" s="721"/>
      <c r="I756" s="315"/>
      <c r="J756" s="21"/>
      <c r="K756" s="258"/>
      <c r="L756" s="116" t="s">
        <v>112</v>
      </c>
      <c r="M756" s="45">
        <v>-500</v>
      </c>
      <c r="N756" s="538">
        <f t="shared" si="90"/>
        <v>896.92009400001325</v>
      </c>
      <c r="O756" s="39"/>
      <c r="P756" s="133">
        <v>-312</v>
      </c>
      <c r="Q756" s="72">
        <f t="shared" si="89"/>
        <v>-15749.507278481005</v>
      </c>
      <c r="R756" s="45">
        <f t="shared" si="88"/>
        <v>-199.50727848100541</v>
      </c>
      <c r="S756" s="373" t="s">
        <v>441</v>
      </c>
      <c r="T756" s="391"/>
      <c r="U756" s="20"/>
      <c r="V756" s="45"/>
      <c r="W756" s="26"/>
      <c r="X756" s="20"/>
      <c r="Y756" s="112"/>
      <c r="Z756" s="239"/>
      <c r="AA756" s="94"/>
      <c r="AB756" s="26"/>
      <c r="AC756" s="20"/>
      <c r="AD756" s="92"/>
      <c r="AE756" s="97"/>
      <c r="AF756" s="20"/>
      <c r="AG756" s="20"/>
      <c r="AH756" s="20"/>
      <c r="AI756" s="20"/>
    </row>
    <row r="757" spans="1:35" ht="12.75" hidden="1" customHeight="1">
      <c r="A757" s="319"/>
      <c r="D757" s="20"/>
      <c r="E757" s="26"/>
      <c r="F757" s="122"/>
      <c r="G757" s="721"/>
      <c r="H757" s="721"/>
      <c r="I757" s="315"/>
      <c r="K757" s="258"/>
      <c r="L757" s="116" t="s">
        <v>102</v>
      </c>
      <c r="M757" s="45">
        <v>-800</v>
      </c>
      <c r="N757" s="538">
        <f t="shared" si="90"/>
        <v>96.92009400001325</v>
      </c>
      <c r="O757" s="39"/>
      <c r="P757" s="133">
        <v>1012</v>
      </c>
      <c r="Q757" s="72">
        <f>Q756+P757</f>
        <v>-14737.507278481005</v>
      </c>
      <c r="R757" s="45">
        <f>15550+Q757</f>
        <v>812.49272151899459</v>
      </c>
      <c r="S757" s="373" t="s">
        <v>407</v>
      </c>
      <c r="T757" s="391"/>
      <c r="U757" s="74"/>
      <c r="V757" s="26"/>
      <c r="W757" s="26"/>
      <c r="X757" s="91"/>
      <c r="Y757" s="20"/>
      <c r="Z757" s="239"/>
      <c r="AA757" s="94"/>
      <c r="AB757" s="95"/>
      <c r="AC757" s="20"/>
      <c r="AD757" s="98"/>
      <c r="AE757" s="93"/>
      <c r="AF757" s="723"/>
      <c r="AG757" s="20"/>
      <c r="AH757" s="20"/>
      <c r="AI757" s="20"/>
    </row>
    <row r="758" spans="1:35" ht="12.75" hidden="1" customHeight="1">
      <c r="A758" s="319"/>
      <c r="D758" s="20"/>
      <c r="E758" s="26"/>
      <c r="F758" s="406"/>
      <c r="G758" s="407"/>
      <c r="H758" s="484"/>
      <c r="I758" s="315"/>
      <c r="J758" s="511"/>
      <c r="K758" s="258"/>
      <c r="L758" s="116" t="s">
        <v>24</v>
      </c>
      <c r="M758" s="45">
        <v>1000</v>
      </c>
      <c r="N758" s="538">
        <f t="shared" si="90"/>
        <v>1096.9200940000133</v>
      </c>
      <c r="O758" s="39"/>
      <c r="P758" s="49">
        <f>E754-M778</f>
        <v>2168.25</v>
      </c>
      <c r="Q758" s="73">
        <f>Q757+P758</f>
        <v>-12569.257278481005</v>
      </c>
      <c r="R758" s="45">
        <f>15550+Q758</f>
        <v>2980.7427215189946</v>
      </c>
      <c r="S758" s="373" t="s">
        <v>280</v>
      </c>
      <c r="T758" s="372"/>
      <c r="U758" s="65"/>
      <c r="V758" s="26"/>
      <c r="W758" s="26"/>
      <c r="X758" s="35"/>
      <c r="Y758" s="20"/>
      <c r="Z758" s="239"/>
      <c r="AA758" s="94"/>
      <c r="AB758" s="26"/>
      <c r="AC758" s="20"/>
      <c r="AD758" s="20"/>
      <c r="AE758" s="20"/>
      <c r="AF758" s="99"/>
      <c r="AG758" s="20"/>
      <c r="AH758" s="20"/>
      <c r="AI758" s="20"/>
    </row>
    <row r="759" spans="1:35" ht="12.75" hidden="1" customHeight="1">
      <c r="A759" s="671"/>
      <c r="B759" s="671"/>
      <c r="C759" s="671"/>
      <c r="D759" s="671"/>
      <c r="E759" s="671"/>
      <c r="F759" s="671"/>
      <c r="G759" s="671"/>
      <c r="H759" s="485"/>
      <c r="I759" s="493"/>
      <c r="J759" s="511"/>
      <c r="K759" s="258"/>
      <c r="L759" s="116" t="s">
        <v>142</v>
      </c>
      <c r="M759" s="45">
        <v>-765.18</v>
      </c>
      <c r="N759" s="538">
        <f t="shared" si="90"/>
        <v>331.7400940000133</v>
      </c>
      <c r="O759" s="39"/>
      <c r="P759" s="64">
        <f>SUM(P748:P758)</f>
        <v>-12569.257278481005</v>
      </c>
      <c r="Q759" s="287" t="s">
        <v>243</v>
      </c>
      <c r="R759" s="317"/>
      <c r="S759" s="611"/>
      <c r="T759" s="372"/>
      <c r="U759" s="65"/>
      <c r="V759" s="20"/>
      <c r="W759" s="20"/>
      <c r="X759" s="20"/>
      <c r="Y759" s="111"/>
      <c r="Z759" s="239"/>
      <c r="AA759" s="94"/>
      <c r="AB759" s="26"/>
      <c r="AC759" s="20"/>
      <c r="AD759" s="20"/>
      <c r="AE759" s="20"/>
      <c r="AF759" s="20"/>
      <c r="AG759" s="20"/>
      <c r="AH759" s="20"/>
      <c r="AI759" s="20"/>
    </row>
    <row r="760" spans="1:35" ht="12.75" hidden="1" customHeight="1">
      <c r="A760" s="402"/>
      <c r="B760" s="402"/>
      <c r="C760" s="403"/>
      <c r="D760" s="404"/>
      <c r="E760" s="405"/>
      <c r="F760" s="406"/>
      <c r="G760" s="407"/>
      <c r="H760" s="485"/>
      <c r="I760" s="494"/>
      <c r="K760" s="258"/>
      <c r="L760" s="116" t="s">
        <v>501</v>
      </c>
      <c r="M760" s="45">
        <v>-43.41</v>
      </c>
      <c r="N760" s="538">
        <f t="shared" si="90"/>
        <v>288.33009400001333</v>
      </c>
      <c r="O760" s="42"/>
      <c r="P760" s="68"/>
      <c r="Q760" s="585"/>
      <c r="R760" s="131"/>
      <c r="S760" s="373"/>
      <c r="T760" s="372"/>
      <c r="U760" s="65"/>
      <c r="V760" s="20"/>
      <c r="W760" s="20"/>
      <c r="X760" s="91"/>
      <c r="Y760" s="111"/>
      <c r="Z760" s="239"/>
      <c r="AA760" s="94"/>
      <c r="AB760" s="95"/>
      <c r="AC760" s="20"/>
      <c r="AD760" s="20"/>
      <c r="AE760" s="20"/>
      <c r="AF760" s="20"/>
      <c r="AG760" s="20"/>
      <c r="AH760" s="20"/>
      <c r="AI760" s="20"/>
    </row>
    <row r="761" spans="1:35" ht="12.75" hidden="1" customHeight="1">
      <c r="A761" s="671" t="s">
        <v>421</v>
      </c>
      <c r="B761" s="671"/>
      <c r="C761" s="671"/>
      <c r="D761" s="671"/>
      <c r="E761" s="671"/>
      <c r="F761" s="50"/>
      <c r="G761" s="370"/>
      <c r="H761" s="721"/>
      <c r="I761" s="495"/>
      <c r="K761" s="258"/>
      <c r="L761" s="116" t="s">
        <v>503</v>
      </c>
      <c r="M761" s="45">
        <v>-200</v>
      </c>
      <c r="N761" s="538">
        <f t="shared" si="90"/>
        <v>88.330094000013332</v>
      </c>
      <c r="O761" s="26"/>
      <c r="P761" s="68"/>
      <c r="Q761" s="63"/>
      <c r="R761" s="63"/>
      <c r="S761" s="373"/>
      <c r="T761" s="724"/>
      <c r="U761" s="84"/>
      <c r="V761" s="20"/>
      <c r="W761" s="20"/>
      <c r="X761" s="20"/>
      <c r="Y761" s="111"/>
      <c r="Z761" s="239"/>
      <c r="AA761" s="94"/>
      <c r="AB761" s="26"/>
      <c r="AC761" s="20"/>
      <c r="AD761" s="20"/>
      <c r="AE761" s="20"/>
      <c r="AF761" s="20"/>
      <c r="AG761" s="723"/>
      <c r="AH761" s="20"/>
      <c r="AI761" s="20"/>
    </row>
    <row r="762" spans="1:35" ht="12.75" hidden="1" customHeight="1">
      <c r="A762" s="402"/>
      <c r="B762" s="402"/>
      <c r="C762" s="403"/>
      <c r="D762" s="404"/>
      <c r="E762" s="405"/>
      <c r="F762" s="50"/>
      <c r="G762" s="370"/>
      <c r="H762" s="721"/>
      <c r="I762" s="495"/>
      <c r="J762" s="517"/>
      <c r="K762" s="258"/>
      <c r="L762" s="116" t="s">
        <v>505</v>
      </c>
      <c r="M762" s="45">
        <v>-54</v>
      </c>
      <c r="N762" s="538">
        <f t="shared" si="90"/>
        <v>34.330094000013332</v>
      </c>
      <c r="O762" s="26"/>
      <c r="P762" s="418"/>
      <c r="Q762" s="270"/>
      <c r="R762" s="63"/>
      <c r="S762" s="373"/>
      <c r="T762" s="594"/>
      <c r="U762" s="20"/>
      <c r="V762" s="20"/>
      <c r="W762" s="20"/>
      <c r="X762" s="20"/>
      <c r="Y762" s="111"/>
      <c r="Z762" s="239"/>
      <c r="AA762" s="94"/>
      <c r="AB762" s="26"/>
      <c r="AC762" s="20"/>
      <c r="AD762" s="20"/>
      <c r="AE762" s="20"/>
      <c r="AF762" s="20"/>
      <c r="AG762" s="20"/>
      <c r="AH762" s="20"/>
      <c r="AI762" s="20"/>
    </row>
    <row r="763" spans="1:35" ht="12.75" hidden="1" customHeight="1">
      <c r="A763" s="333"/>
      <c r="B763" s="333"/>
      <c r="C763" s="402"/>
      <c r="D763" s="408"/>
      <c r="E763" s="133"/>
      <c r="F763" s="50"/>
      <c r="G763" s="370"/>
      <c r="H763" s="721"/>
      <c r="I763" s="709"/>
      <c r="K763" s="258" t="s">
        <v>248</v>
      </c>
      <c r="L763" s="266" t="s">
        <v>51</v>
      </c>
      <c r="M763" s="146">
        <v>3000</v>
      </c>
      <c r="N763" s="538">
        <f t="shared" si="90"/>
        <v>3034.3300940000136</v>
      </c>
      <c r="O763" s="26"/>
      <c r="P763" s="666"/>
      <c r="Q763" s="667"/>
      <c r="R763" s="253"/>
      <c r="S763" s="373"/>
      <c r="T763" s="724"/>
      <c r="U763" s="20"/>
      <c r="V763" s="26"/>
      <c r="W763" s="26"/>
      <c r="X763" s="91"/>
      <c r="Y763" s="20"/>
      <c r="Z763" s="239"/>
      <c r="AA763" s="94"/>
      <c r="AB763" s="26"/>
      <c r="AC763" s="20"/>
      <c r="AD763" s="20"/>
      <c r="AE763" s="20"/>
      <c r="AF763" s="20"/>
      <c r="AG763" s="20"/>
      <c r="AH763" s="20"/>
      <c r="AI763" s="20"/>
    </row>
    <row r="764" spans="1:35" ht="12.75" hidden="1" customHeight="1">
      <c r="A764" s="333"/>
      <c r="B764" s="333"/>
      <c r="C764" s="402"/>
      <c r="D764" s="408"/>
      <c r="E764" s="133"/>
      <c r="F764" s="50"/>
      <c r="G764" s="370"/>
      <c r="H764" s="727"/>
      <c r="I764" s="709"/>
      <c r="K764" s="258" t="s">
        <v>248</v>
      </c>
      <c r="L764" s="266" t="s">
        <v>195</v>
      </c>
      <c r="M764" s="45">
        <v>-1738</v>
      </c>
      <c r="N764" s="538">
        <f t="shared" si="90"/>
        <v>1296.3300940000136</v>
      </c>
      <c r="O764" s="26"/>
      <c r="P764" s="588"/>
      <c r="Q764" s="589"/>
      <c r="R764" s="63"/>
      <c r="S764" s="373"/>
      <c r="T764" s="724"/>
      <c r="U764" s="20"/>
      <c r="V764" s="26"/>
      <c r="W764" s="26"/>
      <c r="X764" s="91"/>
      <c r="Y764" s="20"/>
      <c r="Z764" s="239"/>
      <c r="AA764" s="94"/>
      <c r="AB764" s="26"/>
      <c r="AC764" s="20"/>
      <c r="AD764" s="20"/>
      <c r="AE764" s="20"/>
      <c r="AF764" s="20"/>
      <c r="AG764" s="20"/>
      <c r="AH764" s="20"/>
      <c r="AI764" s="20"/>
    </row>
    <row r="765" spans="1:35" ht="12.75" hidden="1" customHeight="1">
      <c r="A765" s="333"/>
      <c r="B765" s="333"/>
      <c r="C765" s="402"/>
      <c r="D765" s="408"/>
      <c r="E765" s="133"/>
      <c r="F765" s="50"/>
      <c r="G765" s="370"/>
      <c r="H765" s="727"/>
      <c r="I765" s="709"/>
      <c r="K765" s="258" t="s">
        <v>248</v>
      </c>
      <c r="L765" s="266" t="s">
        <v>511</v>
      </c>
      <c r="M765" s="45">
        <v>-556.11</v>
      </c>
      <c r="N765" s="538">
        <f t="shared" si="90"/>
        <v>740.22009400001355</v>
      </c>
      <c r="O765" s="26"/>
      <c r="P765" s="588"/>
      <c r="Q765" s="589"/>
      <c r="R765" s="63"/>
      <c r="S765" s="373"/>
      <c r="T765" s="728"/>
      <c r="U765" s="20"/>
      <c r="V765" s="26"/>
      <c r="W765" s="26"/>
      <c r="X765" s="91"/>
      <c r="Y765" s="20"/>
      <c r="Z765" s="239"/>
      <c r="AA765" s="94"/>
      <c r="AB765" s="26"/>
      <c r="AC765" s="20"/>
      <c r="AD765" s="20"/>
      <c r="AE765" s="20"/>
      <c r="AF765" s="20"/>
      <c r="AG765" s="20"/>
      <c r="AH765" s="20"/>
      <c r="AI765" s="20"/>
    </row>
    <row r="766" spans="1:35" ht="12.75" hidden="1" customHeight="1">
      <c r="A766" s="333"/>
      <c r="B766" s="333"/>
      <c r="C766" s="402"/>
      <c r="D766" s="408"/>
      <c r="E766" s="133"/>
      <c r="F766" s="50"/>
      <c r="G766" s="370"/>
      <c r="H766" s="729"/>
      <c r="I766" s="709"/>
      <c r="K766" s="258"/>
      <c r="L766" s="266" t="s">
        <v>313</v>
      </c>
      <c r="M766" s="45">
        <v>-127.94</v>
      </c>
      <c r="N766" s="538">
        <f t="shared" si="90"/>
        <v>612.28009400001361</v>
      </c>
      <c r="O766" s="26"/>
      <c r="P766" s="588"/>
      <c r="Q766" s="589"/>
      <c r="R766" s="63"/>
      <c r="S766" s="373"/>
      <c r="T766" s="728"/>
      <c r="U766" s="20"/>
      <c r="V766" s="26"/>
      <c r="W766" s="26"/>
      <c r="X766" s="91"/>
      <c r="Y766" s="20"/>
      <c r="Z766" s="239"/>
      <c r="AA766" s="94"/>
      <c r="AB766" s="26"/>
      <c r="AC766" s="20"/>
      <c r="AD766" s="20"/>
      <c r="AE766" s="20"/>
      <c r="AF766" s="20"/>
      <c r="AG766" s="20"/>
      <c r="AH766" s="20"/>
      <c r="AI766" s="20"/>
    </row>
    <row r="767" spans="1:35" ht="12.75" hidden="1" customHeight="1">
      <c r="A767" s="333"/>
      <c r="B767" s="333"/>
      <c r="C767" s="402"/>
      <c r="D767" s="408"/>
      <c r="E767" s="133"/>
      <c r="F767" s="50"/>
      <c r="G767" s="370"/>
      <c r="H767" s="727"/>
      <c r="I767" s="709"/>
      <c r="K767" s="264" t="s">
        <v>222</v>
      </c>
      <c r="L767" s="266" t="s">
        <v>51</v>
      </c>
      <c r="M767" s="45">
        <f>3000</f>
        <v>3000</v>
      </c>
      <c r="N767" s="538">
        <f t="shared" si="90"/>
        <v>3612.2800940000134</v>
      </c>
      <c r="O767" s="26"/>
      <c r="P767" s="588"/>
      <c r="Q767" s="589"/>
      <c r="R767" s="63"/>
      <c r="S767" s="373"/>
      <c r="T767" s="730"/>
      <c r="U767" s="20"/>
      <c r="V767" s="26"/>
      <c r="W767" s="26"/>
      <c r="X767" s="91"/>
      <c r="Y767" s="20"/>
      <c r="Z767" s="239"/>
      <c r="AA767" s="94"/>
      <c r="AB767" s="26"/>
      <c r="AC767" s="20"/>
      <c r="AD767" s="20"/>
      <c r="AE767" s="20"/>
      <c r="AF767" s="20"/>
      <c r="AG767" s="20"/>
      <c r="AH767" s="20"/>
      <c r="AI767" s="20"/>
    </row>
    <row r="768" spans="1:35" ht="12.75" hidden="1" customHeight="1">
      <c r="A768" s="333"/>
      <c r="B768" s="333"/>
      <c r="C768" s="402"/>
      <c r="D768" s="408"/>
      <c r="E768" s="133"/>
      <c r="F768" s="50"/>
      <c r="G768" s="370"/>
      <c r="H768" s="729"/>
      <c r="I768" s="709"/>
      <c r="K768" s="258"/>
      <c r="L768" s="266" t="s">
        <v>514</v>
      </c>
      <c r="M768" s="45">
        <v>-200.39</v>
      </c>
      <c r="N768" s="538">
        <f t="shared" si="90"/>
        <v>3411.8900940000135</v>
      </c>
      <c r="O768" s="26"/>
      <c r="P768" s="588"/>
      <c r="Q768" s="589"/>
      <c r="R768" s="63"/>
      <c r="S768" s="373"/>
      <c r="T768" s="728"/>
      <c r="U768" s="20"/>
      <c r="V768" s="26"/>
      <c r="W768" s="26"/>
      <c r="X768" s="91"/>
      <c r="Y768" s="20"/>
      <c r="Z768" s="239"/>
      <c r="AA768" s="94"/>
      <c r="AB768" s="26"/>
      <c r="AC768" s="20"/>
      <c r="AD768" s="20"/>
      <c r="AE768" s="20"/>
      <c r="AF768" s="20"/>
      <c r="AG768" s="20"/>
      <c r="AH768" s="20"/>
      <c r="AI768" s="20"/>
    </row>
    <row r="769" spans="1:35" ht="12.75" hidden="1" customHeight="1">
      <c r="A769" s="333"/>
      <c r="B769" s="333"/>
      <c r="C769" s="402"/>
      <c r="D769" s="408"/>
      <c r="E769" s="133"/>
      <c r="F769" s="50"/>
      <c r="G769" s="370"/>
      <c r="H769" s="729"/>
      <c r="I769" s="709"/>
      <c r="K769" s="258"/>
      <c r="L769" s="266" t="s">
        <v>512</v>
      </c>
      <c r="M769" s="45">
        <v>-109</v>
      </c>
      <c r="N769" s="538">
        <f t="shared" si="90"/>
        <v>3302.8900940000135</v>
      </c>
      <c r="O769" s="26"/>
      <c r="P769" s="588"/>
      <c r="Q769" s="589"/>
      <c r="R769" s="63"/>
      <c r="S769" s="373"/>
      <c r="T769" s="730"/>
      <c r="U769" s="20"/>
      <c r="V769" s="26"/>
      <c r="W769" s="26"/>
      <c r="X769" s="91"/>
      <c r="Y769" s="20"/>
      <c r="Z769" s="239"/>
      <c r="AA769" s="94"/>
      <c r="AB769" s="26"/>
      <c r="AC769" s="20"/>
      <c r="AD769" s="20"/>
      <c r="AE769" s="20"/>
      <c r="AF769" s="20"/>
      <c r="AG769" s="20"/>
      <c r="AH769" s="20"/>
      <c r="AI769" s="20"/>
    </row>
    <row r="770" spans="1:35" ht="12.75" hidden="1" customHeight="1">
      <c r="A770" s="333"/>
      <c r="B770" s="333"/>
      <c r="C770" s="402"/>
      <c r="D770" s="408"/>
      <c r="E770" s="133"/>
      <c r="F770" s="50"/>
      <c r="G770" s="370"/>
      <c r="H770" s="729"/>
      <c r="I770" s="709"/>
      <c r="K770" s="258"/>
      <c r="L770" s="266" t="s">
        <v>388</v>
      </c>
      <c r="M770" s="45">
        <v>-72</v>
      </c>
      <c r="N770" s="538">
        <f t="shared" si="90"/>
        <v>3230.8900940000135</v>
      </c>
      <c r="O770" s="26"/>
      <c r="P770" s="588"/>
      <c r="Q770" s="589"/>
      <c r="R770" s="63"/>
      <c r="S770" s="373"/>
      <c r="T770" s="730"/>
      <c r="U770" s="20"/>
      <c r="V770" s="26"/>
      <c r="W770" s="26"/>
      <c r="X770" s="91"/>
      <c r="Y770" s="20"/>
      <c r="Z770" s="239"/>
      <c r="AA770" s="94"/>
      <c r="AB770" s="26"/>
      <c r="AC770" s="20"/>
      <c r="AD770" s="20"/>
      <c r="AE770" s="20"/>
      <c r="AF770" s="20"/>
      <c r="AG770" s="20"/>
      <c r="AH770" s="20"/>
      <c r="AI770" s="20"/>
    </row>
    <row r="771" spans="1:35" ht="12.75" hidden="1" customHeight="1">
      <c r="A771" s="333"/>
      <c r="B771" s="333"/>
      <c r="C771" s="402"/>
      <c r="D771" s="408"/>
      <c r="E771" s="133"/>
      <c r="F771" s="50"/>
      <c r="G771" s="370"/>
      <c r="H771" s="729"/>
      <c r="I771" s="709"/>
      <c r="K771" s="258"/>
      <c r="L771" s="266" t="s">
        <v>313</v>
      </c>
      <c r="M771" s="45">
        <v>-191.42</v>
      </c>
      <c r="N771" s="538">
        <f t="shared" si="90"/>
        <v>3039.4700940000134</v>
      </c>
      <c r="O771" s="26"/>
      <c r="P771" s="588"/>
      <c r="Q771" s="589"/>
      <c r="R771" s="63"/>
      <c r="S771" s="373"/>
      <c r="T771" s="730"/>
      <c r="U771" s="20"/>
      <c r="V771" s="26"/>
      <c r="W771" s="26"/>
      <c r="X771" s="91"/>
      <c r="Y771" s="20"/>
      <c r="Z771" s="239"/>
      <c r="AA771" s="94"/>
      <c r="AB771" s="26"/>
      <c r="AC771" s="20"/>
      <c r="AD771" s="20"/>
      <c r="AE771" s="20"/>
      <c r="AF771" s="20"/>
      <c r="AG771" s="20"/>
      <c r="AH771" s="20"/>
      <c r="AI771" s="20"/>
    </row>
    <row r="772" spans="1:35" ht="12.75" hidden="1" customHeight="1">
      <c r="A772" s="333"/>
      <c r="B772" s="333"/>
      <c r="C772" s="402"/>
      <c r="D772" s="408"/>
      <c r="E772" s="133"/>
      <c r="F772" s="50"/>
      <c r="G772" s="370"/>
      <c r="H772" s="729"/>
      <c r="I772" s="709"/>
      <c r="K772" s="258"/>
      <c r="L772" s="266" t="s">
        <v>513</v>
      </c>
      <c r="M772" s="45">
        <v>-900</v>
      </c>
      <c r="N772" s="538">
        <f t="shared" si="90"/>
        <v>2139.4700940000134</v>
      </c>
      <c r="O772" s="26"/>
      <c r="P772" s="588"/>
      <c r="Q772" s="589"/>
      <c r="R772" s="63"/>
      <c r="S772" s="373"/>
      <c r="T772" s="730"/>
      <c r="U772" s="20"/>
      <c r="V772" s="26"/>
      <c r="W772" s="26"/>
      <c r="X772" s="91"/>
      <c r="Y772" s="20"/>
      <c r="Z772" s="239"/>
      <c r="AA772" s="94"/>
      <c r="AB772" s="26"/>
      <c r="AC772" s="20"/>
      <c r="AD772" s="20"/>
      <c r="AE772" s="20"/>
      <c r="AF772" s="20"/>
      <c r="AG772" s="20"/>
      <c r="AH772" s="20"/>
      <c r="AI772" s="20"/>
    </row>
    <row r="773" spans="1:35" ht="12.75" hidden="1" customHeight="1">
      <c r="A773" s="333"/>
      <c r="B773" s="333"/>
      <c r="C773" s="402"/>
      <c r="D773" s="408"/>
      <c r="E773" s="133"/>
      <c r="F773" s="50"/>
      <c r="G773" s="370"/>
      <c r="H773" s="729"/>
      <c r="I773" s="709"/>
      <c r="K773" s="85" t="s">
        <v>222</v>
      </c>
      <c r="L773" s="266" t="s">
        <v>180</v>
      </c>
      <c r="M773" s="45">
        <v>-59</v>
      </c>
      <c r="N773" s="538">
        <f t="shared" si="90"/>
        <v>2080.4700940000134</v>
      </c>
      <c r="O773" s="26"/>
      <c r="P773" s="588"/>
      <c r="Q773" s="589"/>
      <c r="R773" s="63"/>
      <c r="S773" s="373"/>
      <c r="T773" s="730"/>
      <c r="U773" s="20"/>
      <c r="V773" s="26"/>
      <c r="W773" s="26"/>
      <c r="X773" s="91"/>
      <c r="Y773" s="20"/>
      <c r="Z773" s="239"/>
      <c r="AA773" s="94"/>
      <c r="AB773" s="26"/>
      <c r="AC773" s="20"/>
      <c r="AD773" s="20"/>
      <c r="AE773" s="20"/>
      <c r="AF773" s="20"/>
      <c r="AG773" s="20"/>
      <c r="AH773" s="20"/>
      <c r="AI773" s="20"/>
    </row>
    <row r="774" spans="1:35" ht="12.75" hidden="1" customHeight="1">
      <c r="A774" s="333"/>
      <c r="B774" s="333"/>
      <c r="C774" s="402"/>
      <c r="D774" s="408"/>
      <c r="E774" s="133"/>
      <c r="F774" s="50"/>
      <c r="G774" s="370"/>
      <c r="H774" s="729"/>
      <c r="I774" s="709"/>
      <c r="K774" s="258" t="s">
        <v>222</v>
      </c>
      <c r="L774" s="266" t="s">
        <v>61</v>
      </c>
      <c r="M774" s="45">
        <v>-252.5</v>
      </c>
      <c r="N774" s="538">
        <f t="shared" si="90"/>
        <v>1827.9700940000134</v>
      </c>
      <c r="O774" s="26"/>
      <c r="P774" s="588"/>
      <c r="Q774" s="589"/>
      <c r="R774" s="63"/>
      <c r="S774" s="373"/>
      <c r="T774" s="730"/>
      <c r="U774" s="20"/>
      <c r="V774" s="26"/>
      <c r="W774" s="26"/>
      <c r="X774" s="91"/>
      <c r="Y774" s="20"/>
      <c r="Z774" s="239"/>
      <c r="AA774" s="94"/>
      <c r="AB774" s="26"/>
      <c r="AC774" s="20"/>
      <c r="AD774" s="20"/>
      <c r="AE774" s="20"/>
      <c r="AF774" s="20"/>
      <c r="AG774" s="20"/>
      <c r="AH774" s="20"/>
      <c r="AI774" s="20"/>
    </row>
    <row r="775" spans="1:35" ht="12.75" hidden="1" customHeight="1">
      <c r="A775" s="333"/>
      <c r="B775" s="333"/>
      <c r="C775" s="402"/>
      <c r="D775" s="408"/>
      <c r="E775" s="133"/>
      <c r="F775" s="50"/>
      <c r="G775" s="370"/>
      <c r="H775" s="729"/>
      <c r="I775" s="709"/>
      <c r="K775" s="258" t="s">
        <v>189</v>
      </c>
      <c r="L775" s="268" t="s">
        <v>23</v>
      </c>
      <c r="M775" s="733">
        <v>-240.97</v>
      </c>
      <c r="N775" s="538">
        <f t="shared" si="90"/>
        <v>1587.0000940000134</v>
      </c>
      <c r="O775" s="26"/>
      <c r="P775" s="588"/>
      <c r="Q775" s="589"/>
      <c r="R775" s="63"/>
      <c r="S775" s="373"/>
      <c r="T775" s="730"/>
      <c r="U775" s="20"/>
      <c r="V775" s="26"/>
      <c r="W775" s="26"/>
      <c r="X775" s="91"/>
      <c r="Y775" s="20"/>
      <c r="Z775" s="239"/>
      <c r="AA775" s="94"/>
      <c r="AB775" s="26"/>
      <c r="AC775" s="20"/>
      <c r="AD775" s="20"/>
      <c r="AE775" s="20"/>
      <c r="AF775" s="20"/>
      <c r="AG775" s="20"/>
      <c r="AH775" s="20"/>
      <c r="AI775" s="20"/>
    </row>
    <row r="776" spans="1:35" ht="12.75" hidden="1" customHeight="1">
      <c r="A776" s="333"/>
      <c r="B776" s="333"/>
      <c r="C776" s="402"/>
      <c r="D776" s="408"/>
      <c r="E776" s="133"/>
      <c r="F776" s="50"/>
      <c r="G776" s="370"/>
      <c r="H776" s="729"/>
      <c r="I776" s="709"/>
      <c r="K776" s="264" t="s">
        <v>189</v>
      </c>
      <c r="L776" s="732" t="s">
        <v>16</v>
      </c>
      <c r="M776" s="147">
        <v>-623.99</v>
      </c>
      <c r="N776" s="566">
        <f t="shared" si="90"/>
        <v>963.0100940000134</v>
      </c>
      <c r="O776" s="26"/>
      <c r="P776" s="588"/>
      <c r="Q776" s="589"/>
      <c r="R776" s="63"/>
      <c r="S776" s="373"/>
      <c r="T776" s="730"/>
      <c r="U776" s="20"/>
      <c r="V776" s="26"/>
      <c r="W776" s="26"/>
      <c r="X776" s="91"/>
      <c r="Y776" s="20"/>
      <c r="Z776" s="239"/>
      <c r="AA776" s="94"/>
      <c r="AB776" s="26"/>
      <c r="AC776" s="20"/>
      <c r="AD776" s="20"/>
      <c r="AE776" s="20"/>
      <c r="AF776" s="20"/>
      <c r="AG776" s="20"/>
      <c r="AH776" s="20"/>
      <c r="AI776" s="20"/>
    </row>
    <row r="777" spans="1:35" ht="12.75" hidden="1" customHeight="1">
      <c r="A777" s="333"/>
      <c r="B777" s="333"/>
      <c r="C777" s="402"/>
      <c r="D777" s="408"/>
      <c r="E777" s="133"/>
      <c r="F777" s="50"/>
      <c r="G777" s="370"/>
      <c r="H777" s="729"/>
      <c r="I777" s="709"/>
      <c r="K777" s="258"/>
      <c r="L777" s="268" t="s">
        <v>51</v>
      </c>
      <c r="M777" s="133">
        <f>E753-M763-M767</f>
        <v>2490.6800000000003</v>
      </c>
      <c r="N777" s="538">
        <f t="shared" si="90"/>
        <v>3453.6900940000137</v>
      </c>
      <c r="O777" s="26"/>
      <c r="P777" s="588"/>
      <c r="Q777" s="589"/>
      <c r="R777" s="63"/>
      <c r="S777" s="373"/>
      <c r="T777" s="730"/>
      <c r="U777" s="20"/>
      <c r="V777" s="26"/>
      <c r="W777" s="26"/>
      <c r="X777" s="91"/>
      <c r="Y777" s="20"/>
      <c r="Z777" s="239"/>
      <c r="AA777" s="94"/>
      <c r="AB777" s="26"/>
      <c r="AC777" s="20"/>
      <c r="AD777" s="20"/>
      <c r="AE777" s="20"/>
      <c r="AF777" s="20"/>
      <c r="AG777" s="20"/>
      <c r="AH777" s="20"/>
      <c r="AI777" s="20"/>
    </row>
    <row r="778" spans="1:35" ht="12.75" hidden="1" customHeight="1">
      <c r="A778" s="333"/>
      <c r="B778" s="333"/>
      <c r="C778" s="402"/>
      <c r="D778" s="408"/>
      <c r="E778" s="133"/>
      <c r="F778" s="50"/>
      <c r="G778" s="370"/>
      <c r="H778" s="729"/>
      <c r="I778" s="709"/>
      <c r="K778" s="258"/>
      <c r="L778" s="268" t="s">
        <v>24</v>
      </c>
      <c r="M778" s="133">
        <v>1069.01</v>
      </c>
      <c r="N778" s="538">
        <f t="shared" si="90"/>
        <v>4522.7000940000135</v>
      </c>
      <c r="O778" s="26"/>
      <c r="P778" s="588"/>
      <c r="Q778" s="589"/>
      <c r="R778" s="63"/>
      <c r="S778" s="373"/>
      <c r="T778" s="730"/>
      <c r="U778" s="20"/>
      <c r="V778" s="26"/>
      <c r="W778" s="26"/>
      <c r="X778" s="91"/>
      <c r="Y778" s="20"/>
      <c r="Z778" s="239"/>
      <c r="AA778" s="94"/>
      <c r="AB778" s="26"/>
      <c r="AC778" s="20"/>
      <c r="AD778" s="20"/>
      <c r="AE778" s="20"/>
      <c r="AF778" s="20"/>
      <c r="AG778" s="20"/>
      <c r="AH778" s="20"/>
      <c r="AI778" s="20"/>
    </row>
    <row r="779" spans="1:35" ht="12.75" hidden="1" customHeight="1">
      <c r="A779" s="333"/>
      <c r="B779" s="333"/>
      <c r="C779" s="333"/>
      <c r="D779" s="408"/>
      <c r="E779" s="133"/>
      <c r="F779" s="50"/>
      <c r="G779" s="370"/>
      <c r="H779" s="721"/>
      <c r="I779" s="510"/>
      <c r="K779" s="258" t="s">
        <v>222</v>
      </c>
      <c r="L779" s="266" t="s">
        <v>369</v>
      </c>
      <c r="M779" s="45">
        <v>250</v>
      </c>
      <c r="N779" s="538">
        <f t="shared" si="90"/>
        <v>4772.7000940000135</v>
      </c>
      <c r="O779" s="26"/>
      <c r="P779" s="588"/>
      <c r="Q779" s="589"/>
      <c r="R779" s="63"/>
      <c r="S779" s="373"/>
      <c r="T779" s="730"/>
      <c r="U779" s="20"/>
      <c r="V779" s="26"/>
      <c r="W779" s="26"/>
      <c r="X779" s="91"/>
      <c r="Y779" s="20"/>
      <c r="Z779" s="239"/>
      <c r="AA779" s="94"/>
      <c r="AB779" s="26"/>
      <c r="AC779" s="20"/>
      <c r="AD779" s="20"/>
      <c r="AE779" s="20"/>
      <c r="AF779" s="20"/>
      <c r="AG779" s="20"/>
      <c r="AH779" s="20"/>
      <c r="AI779" s="20"/>
    </row>
    <row r="780" spans="1:35" ht="12.75" hidden="1" customHeight="1">
      <c r="A780" s="333"/>
      <c r="B780" s="333"/>
      <c r="C780" s="333"/>
      <c r="D780" s="48"/>
      <c r="E780" s="133"/>
      <c r="F780" s="50"/>
      <c r="G780" s="409"/>
      <c r="H780" s="721"/>
      <c r="K780" s="258" t="s">
        <v>222</v>
      </c>
      <c r="L780" s="266" t="s">
        <v>497</v>
      </c>
      <c r="M780" s="146">
        <v>-2700</v>
      </c>
      <c r="N780" s="538">
        <f t="shared" si="90"/>
        <v>2072.7000940000135</v>
      </c>
      <c r="O780" s="274"/>
      <c r="P780" s="588"/>
      <c r="Q780" s="595"/>
      <c r="R780" s="591"/>
      <c r="S780" s="502"/>
      <c r="T780" s="503"/>
      <c r="U780" s="20"/>
      <c r="V780" s="26"/>
      <c r="W780" s="26"/>
      <c r="X780" s="91"/>
      <c r="Y780" s="20"/>
      <c r="Z780" s="239"/>
      <c r="AA780" s="94"/>
      <c r="AB780" s="26"/>
      <c r="AC780" s="20"/>
      <c r="AD780" s="20"/>
      <c r="AE780" s="20"/>
      <c r="AF780" s="20"/>
      <c r="AG780" s="20"/>
      <c r="AH780" s="20"/>
      <c r="AI780" s="20"/>
    </row>
    <row r="781" spans="1:35" ht="12.75" hidden="1" customHeight="1">
      <c r="A781" s="333"/>
      <c r="B781" s="333"/>
      <c r="C781" s="410"/>
      <c r="D781" s="404"/>
      <c r="E781" s="405"/>
      <c r="F781" s="50"/>
      <c r="G781" s="409"/>
      <c r="H781" s="721"/>
      <c r="K781" s="258" t="s">
        <v>222</v>
      </c>
      <c r="L781" s="266" t="s">
        <v>333</v>
      </c>
      <c r="M781" s="45">
        <v>-250</v>
      </c>
      <c r="N781" s="538">
        <f t="shared" si="90"/>
        <v>1822.7000940000135</v>
      </c>
      <c r="O781" s="253"/>
      <c r="P781" s="588"/>
      <c r="Q781" s="595"/>
      <c r="R781" s="591"/>
      <c r="S781" s="502"/>
      <c r="T781" s="503"/>
      <c r="U781" s="20"/>
      <c r="V781" s="26"/>
      <c r="W781" s="26"/>
      <c r="X781" s="91"/>
      <c r="Y781" s="20"/>
      <c r="Z781" s="239"/>
      <c r="AA781" s="94"/>
      <c r="AB781" s="26"/>
      <c r="AC781" s="20"/>
      <c r="AD781" s="20"/>
      <c r="AE781" s="20"/>
      <c r="AF781" s="20"/>
      <c r="AG781" s="20"/>
      <c r="AH781" s="20"/>
      <c r="AI781" s="20"/>
    </row>
    <row r="782" spans="1:35" ht="12.75" hidden="1" customHeight="1">
      <c r="A782" s="333"/>
      <c r="B782" s="333"/>
      <c r="C782" s="410"/>
      <c r="D782" s="561"/>
      <c r="E782" s="405"/>
      <c r="F782" s="50"/>
      <c r="G782" s="409"/>
      <c r="H782" s="721"/>
      <c r="I782" s="532"/>
      <c r="J782" s="533"/>
      <c r="K782" s="258" t="s">
        <v>371</v>
      </c>
      <c r="L782" s="266" t="s">
        <v>148</v>
      </c>
      <c r="M782" s="45">
        <v>250</v>
      </c>
      <c r="N782" s="538">
        <f t="shared" si="90"/>
        <v>2072.7000940000135</v>
      </c>
      <c r="O782" s="253"/>
      <c r="P782" s="588"/>
      <c r="Q782" s="595"/>
      <c r="R782" s="591"/>
      <c r="S782" s="502"/>
      <c r="T782" s="503"/>
      <c r="U782" s="20"/>
      <c r="V782" s="26"/>
      <c r="W782" s="26"/>
      <c r="X782" s="91"/>
      <c r="Y782" s="20"/>
      <c r="Z782" s="239"/>
      <c r="AA782" s="94"/>
      <c r="AB782" s="26"/>
      <c r="AC782" s="20"/>
      <c r="AD782" s="20"/>
      <c r="AE782" s="20"/>
      <c r="AF782" s="20"/>
      <c r="AG782" s="20"/>
      <c r="AH782" s="20"/>
      <c r="AI782" s="20"/>
    </row>
    <row r="783" spans="1:35" ht="12.75" hidden="1" customHeight="1">
      <c r="A783" s="333"/>
      <c r="B783" s="333"/>
      <c r="C783" s="333"/>
      <c r="D783" s="408"/>
      <c r="E783" s="133"/>
      <c r="F783" s="50"/>
      <c r="G783" s="409"/>
      <c r="H783" s="721"/>
      <c r="I783" s="20"/>
      <c r="J783" s="504"/>
      <c r="K783" s="258" t="s">
        <v>189</v>
      </c>
      <c r="L783" s="268" t="s">
        <v>56</v>
      </c>
      <c r="M783" s="175">
        <v>-900</v>
      </c>
      <c r="N783" s="538">
        <f t="shared" si="90"/>
        <v>1172.7000940000135</v>
      </c>
      <c r="O783" s="26"/>
      <c r="P783" s="588"/>
      <c r="Q783" s="595"/>
      <c r="R783" s="591"/>
      <c r="S783" s="502"/>
      <c r="T783" s="503"/>
      <c r="U783" s="20"/>
      <c r="V783" s="26"/>
      <c r="W783" s="26"/>
      <c r="X783" s="91"/>
      <c r="Y783" s="20"/>
      <c r="Z783" s="239"/>
      <c r="AA783" s="94"/>
      <c r="AB783" s="26"/>
      <c r="AC783" s="20"/>
      <c r="AD783" s="20"/>
      <c r="AE783" s="20"/>
      <c r="AF783" s="20"/>
      <c r="AG783" s="20"/>
      <c r="AH783" s="20"/>
      <c r="AI783" s="20"/>
    </row>
    <row r="784" spans="1:35" ht="12.75" hidden="1" customHeight="1">
      <c r="A784" s="333"/>
      <c r="B784" s="333"/>
      <c r="C784" s="333"/>
      <c r="D784" s="408"/>
      <c r="E784" s="133"/>
      <c r="F784" s="50"/>
      <c r="G784" s="409"/>
      <c r="H784" s="721"/>
      <c r="I784" s="20"/>
      <c r="J784" s="504"/>
      <c r="K784" s="258" t="s">
        <v>189</v>
      </c>
      <c r="L784" s="116" t="s">
        <v>224</v>
      </c>
      <c r="M784" s="45">
        <v>-561.33000000000004</v>
      </c>
      <c r="N784" s="538">
        <f t="shared" si="90"/>
        <v>611.37009400001341</v>
      </c>
      <c r="O784" s="239"/>
      <c r="P784" s="588"/>
      <c r="Q784" s="595"/>
      <c r="R784" s="591"/>
      <c r="S784" s="502"/>
      <c r="T784" s="503"/>
      <c r="U784" s="20"/>
      <c r="V784" s="26"/>
      <c r="W784" s="26"/>
      <c r="X784" s="91"/>
      <c r="Y784" s="20"/>
      <c r="Z784" s="239"/>
      <c r="AA784" s="94"/>
      <c r="AB784" s="26"/>
      <c r="AC784" s="20"/>
      <c r="AD784" s="20"/>
      <c r="AE784" s="20"/>
      <c r="AF784" s="20"/>
      <c r="AG784" s="20"/>
      <c r="AH784" s="20"/>
      <c r="AI784" s="20"/>
    </row>
    <row r="785" spans="1:35" ht="12.75" hidden="1" customHeight="1">
      <c r="A785" s="333"/>
      <c r="B785" s="333"/>
      <c r="C785" s="333"/>
      <c r="D785" s="408"/>
      <c r="E785" s="133"/>
      <c r="F785" s="50"/>
      <c r="G785" s="409"/>
      <c r="H785" s="731"/>
      <c r="I785" s="20"/>
      <c r="J785" s="504"/>
      <c r="K785" s="258"/>
      <c r="L785" s="116" t="s">
        <v>515</v>
      </c>
      <c r="M785" s="45">
        <v>-47.52</v>
      </c>
      <c r="N785" s="538">
        <f t="shared" si="90"/>
        <v>563.85009400001343</v>
      </c>
      <c r="O785" s="239"/>
      <c r="P785" s="588"/>
      <c r="Q785" s="595"/>
      <c r="R785" s="591"/>
      <c r="S785" s="502"/>
      <c r="T785" s="503"/>
      <c r="U785" s="20"/>
      <c r="V785" s="26"/>
      <c r="W785" s="26"/>
      <c r="X785" s="91"/>
      <c r="Y785" s="20"/>
      <c r="Z785" s="239"/>
      <c r="AA785" s="94"/>
      <c r="AB785" s="26"/>
      <c r="AC785" s="20"/>
      <c r="AD785" s="20"/>
      <c r="AE785" s="20"/>
      <c r="AF785" s="20"/>
      <c r="AG785" s="20"/>
      <c r="AH785" s="20"/>
      <c r="AI785" s="20"/>
    </row>
    <row r="786" spans="1:35" ht="12.75" hidden="1" customHeight="1">
      <c r="A786" s="333"/>
      <c r="B786" s="333"/>
      <c r="C786" s="333"/>
      <c r="D786" s="408"/>
      <c r="E786" s="133"/>
      <c r="F786" s="50"/>
      <c r="G786" s="409"/>
      <c r="H786" s="721"/>
      <c r="I786" s="510"/>
      <c r="J786" s="504"/>
      <c r="K786" s="264" t="s">
        <v>190</v>
      </c>
      <c r="L786" s="269" t="s">
        <v>375</v>
      </c>
      <c r="M786" s="147">
        <f>-63.85</f>
        <v>-63.85</v>
      </c>
      <c r="N786" s="566">
        <f t="shared" si="90"/>
        <v>500.00009400001341</v>
      </c>
      <c r="O786" s="239"/>
      <c r="P786" s="588"/>
      <c r="Q786" s="595"/>
      <c r="R786" s="591"/>
      <c r="S786" s="502"/>
      <c r="T786" s="503"/>
      <c r="U786" s="20"/>
      <c r="V786" s="26"/>
      <c r="W786" s="26"/>
      <c r="X786" s="91"/>
      <c r="Y786" s="20"/>
      <c r="Z786" s="239"/>
      <c r="AA786" s="94"/>
      <c r="AB786" s="26"/>
      <c r="AC786" s="20"/>
      <c r="AD786" s="20"/>
      <c r="AE786" s="20"/>
      <c r="AF786" s="20"/>
      <c r="AG786" s="20"/>
      <c r="AH786" s="20"/>
      <c r="AI786" s="20"/>
    </row>
    <row r="787" spans="1:35" ht="12.75" hidden="1" customHeight="1">
      <c r="A787" s="333"/>
      <c r="B787" s="333"/>
      <c r="C787" s="333"/>
      <c r="D787" s="133"/>
      <c r="E787" s="133"/>
      <c r="F787" s="50"/>
      <c r="G787" s="409"/>
      <c r="H787" s="509"/>
      <c r="I787" s="508"/>
      <c r="J787" s="504"/>
      <c r="L787" s="23"/>
      <c r="M787" s="168">
        <f>SUM(M748:M786)</f>
        <v>500.00009400001341</v>
      </c>
      <c r="N787" s="296"/>
      <c r="O787" s="274"/>
      <c r="P787" s="588"/>
      <c r="Q787" s="595"/>
      <c r="R787" s="591"/>
      <c r="S787" s="502"/>
      <c r="T787" s="503"/>
      <c r="U787" s="20"/>
      <c r="V787" s="26"/>
      <c r="W787" s="26"/>
      <c r="X787" s="91"/>
      <c r="Y787" s="20"/>
      <c r="Z787" s="239"/>
      <c r="AA787" s="94"/>
      <c r="AB787" s="26"/>
      <c r="AC787" s="20"/>
      <c r="AD787" s="20"/>
      <c r="AE787" s="20"/>
      <c r="AF787" s="20"/>
      <c r="AG787" s="20"/>
      <c r="AH787" s="20"/>
      <c r="AI787" s="20"/>
    </row>
    <row r="788" spans="1:35" s="78" customFormat="1" ht="12.75" hidden="1" customHeight="1">
      <c r="A788" s="424"/>
      <c r="B788" s="424"/>
      <c r="C788" s="424"/>
      <c r="D788" s="645"/>
      <c r="E788" s="425"/>
      <c r="F788" s="426"/>
      <c r="G788" s="427"/>
      <c r="H788" s="516"/>
      <c r="I788" s="726"/>
      <c r="J788" s="583"/>
      <c r="K788" s="653"/>
      <c r="L788" s="654"/>
      <c r="M788" s="655"/>
      <c r="N788" s="656"/>
      <c r="O788" s="159"/>
      <c r="P788" s="680"/>
      <c r="Q788" s="681"/>
      <c r="R788" s="682"/>
      <c r="S788" s="683"/>
      <c r="T788" s="684"/>
      <c r="V788" s="15"/>
      <c r="W788" s="15"/>
      <c r="X788" s="158"/>
      <c r="Z788" s="159"/>
      <c r="AA788" s="160"/>
      <c r="AB788" s="15"/>
    </row>
    <row r="789" spans="1:35" ht="12.75" hidden="1" customHeight="1">
      <c r="A789" s="333"/>
      <c r="B789" s="333"/>
      <c r="C789" s="333"/>
      <c r="D789" s="133"/>
      <c r="E789" s="133"/>
      <c r="F789" s="50"/>
      <c r="G789" s="409"/>
      <c r="H789" s="678"/>
      <c r="I789" s="510"/>
      <c r="J789" s="504"/>
      <c r="K789" s="544"/>
      <c r="L789" s="236"/>
      <c r="M789" s="233"/>
      <c r="N789" s="679"/>
      <c r="O789" s="240"/>
      <c r="P789" s="588"/>
      <c r="Q789" s="595"/>
      <c r="R789" s="591"/>
      <c r="S789" s="502"/>
      <c r="T789" s="503"/>
      <c r="U789" s="20"/>
      <c r="V789" s="26"/>
      <c r="W789" s="26"/>
      <c r="X789" s="91"/>
      <c r="Y789" s="20"/>
      <c r="Z789" s="239"/>
      <c r="AA789" s="94"/>
      <c r="AB789" s="26"/>
      <c r="AC789" s="20"/>
      <c r="AD789" s="20"/>
      <c r="AE789" s="20"/>
      <c r="AF789" s="20"/>
      <c r="AG789" s="20"/>
      <c r="AH789" s="20"/>
      <c r="AI789" s="20"/>
    </row>
    <row r="790" spans="1:35" ht="12.75" hidden="1" customHeight="1">
      <c r="B790" s="1030" t="s">
        <v>508</v>
      </c>
      <c r="C790" s="1030"/>
      <c r="D790" s="1030"/>
      <c r="E790" s="1030"/>
      <c r="G790" s="261"/>
      <c r="H790" s="658"/>
      <c r="I790" s="26"/>
      <c r="K790" s="258"/>
      <c r="L790" s="100"/>
      <c r="M790" s="1031" t="s">
        <v>54</v>
      </c>
      <c r="N790" s="736"/>
      <c r="O790" s="740"/>
      <c r="P790" s="1033" t="s">
        <v>48</v>
      </c>
      <c r="Q790" s="1035" t="s">
        <v>510</v>
      </c>
      <c r="R790" s="1035"/>
      <c r="S790" s="377"/>
      <c r="X790" s="35"/>
      <c r="Y790" s="35"/>
      <c r="Z790" s="26"/>
      <c r="AA790" s="741"/>
      <c r="AB790" s="26"/>
      <c r="AC790" s="20"/>
      <c r="AD790" s="20"/>
      <c r="AE790" s="20"/>
      <c r="AF790" s="20"/>
      <c r="AG790" s="20"/>
      <c r="AH790" s="20"/>
      <c r="AI790" s="20"/>
    </row>
    <row r="791" spans="1:35" ht="12.75" hidden="1" customHeight="1">
      <c r="C791" s="17" t="s">
        <v>357</v>
      </c>
      <c r="D791" s="14"/>
      <c r="E791" s="44">
        <v>8490.68</v>
      </c>
      <c r="G791" s="1036"/>
      <c r="H791" s="1036"/>
      <c r="I791" s="26"/>
      <c r="K791" s="260" t="s">
        <v>221</v>
      </c>
      <c r="L791" s="156"/>
      <c r="M791" s="1032"/>
      <c r="N791" s="736" t="s">
        <v>43</v>
      </c>
      <c r="O791" s="740"/>
      <c r="P791" s="1034"/>
      <c r="Q791" s="737" t="s">
        <v>43</v>
      </c>
      <c r="R791" s="738" t="s">
        <v>53</v>
      </c>
      <c r="S791" s="377"/>
      <c r="X791" s="118"/>
      <c r="Y791" s="111"/>
      <c r="Z791" s="117"/>
      <c r="AA791" s="89"/>
      <c r="AB791" s="90"/>
      <c r="AC791" s="20"/>
      <c r="AD791" s="41"/>
      <c r="AE791" s="20"/>
      <c r="AF791" s="20"/>
      <c r="AG791" s="20"/>
      <c r="AH791" s="20"/>
      <c r="AI791" s="20"/>
    </row>
    <row r="792" spans="1:35" ht="12.75" hidden="1" customHeight="1">
      <c r="C792" s="17"/>
      <c r="D792" s="14" t="s">
        <v>24</v>
      </c>
      <c r="E792" s="44">
        <f>'[2]APRIL ''13'!$C$34</f>
        <v>1789.71</v>
      </c>
      <c r="G792" s="30"/>
      <c r="H792" s="624">
        <f>SUM(E792:E793)</f>
        <v>1789.71</v>
      </c>
      <c r="I792" s="26"/>
      <c r="K792" s="273"/>
      <c r="L792" s="235" t="s">
        <v>226</v>
      </c>
      <c r="M792" s="45">
        <f>$M$787</f>
        <v>500.00009400001341</v>
      </c>
      <c r="N792" s="71">
        <f>M792</f>
        <v>500.00009400001341</v>
      </c>
      <c r="O792" s="26"/>
      <c r="P792" s="45">
        <f>$Q$758</f>
        <v>-12569.257278481005</v>
      </c>
      <c r="Q792" s="71">
        <f>P792</f>
        <v>-12569.257278481005</v>
      </c>
      <c r="R792" s="45">
        <f>20000+Q792</f>
        <v>7430.7427215189946</v>
      </c>
      <c r="S792" s="378" t="s">
        <v>298</v>
      </c>
      <c r="T792" s="367" t="s">
        <v>299</v>
      </c>
      <c r="W792" s="392"/>
      <c r="X792" s="111"/>
      <c r="Y792" s="111"/>
      <c r="Z792" s="45"/>
      <c r="AA792" s="488"/>
      <c r="AB792" s="26"/>
      <c r="AC792" s="20"/>
      <c r="AD792" s="92"/>
      <c r="AE792" s="93"/>
      <c r="AF792" s="20"/>
      <c r="AG792" s="20"/>
      <c r="AH792" s="20"/>
      <c r="AI792" s="20"/>
    </row>
    <row r="793" spans="1:35" ht="12.75" hidden="1" customHeight="1">
      <c r="C793" s="17"/>
      <c r="D793" s="143" t="s">
        <v>225</v>
      </c>
      <c r="E793" s="15"/>
      <c r="G793"/>
      <c r="H793" s="624"/>
      <c r="I793" s="26"/>
      <c r="K793" s="273"/>
      <c r="L793" s="235" t="s">
        <v>102</v>
      </c>
      <c r="M793" s="45">
        <f>-P793</f>
        <v>800</v>
      </c>
      <c r="N793" s="538">
        <f>N792+M793</f>
        <v>1300.0000940000134</v>
      </c>
      <c r="O793" s="65"/>
      <c r="P793" s="133">
        <v>-800</v>
      </c>
      <c r="Q793" s="72">
        <f t="shared" ref="Q793:Q800" si="91">Q792+P793</f>
        <v>-13369.257278481005</v>
      </c>
      <c r="R793" s="45">
        <f t="shared" ref="R793:R800" si="92">20000+Q793</f>
        <v>6630.7427215189946</v>
      </c>
      <c r="S793" s="373" t="s">
        <v>247</v>
      </c>
      <c r="T793" s="391"/>
      <c r="W793" s="111"/>
      <c r="X793" s="111"/>
      <c r="Y793" s="112"/>
      <c r="Z793" s="55"/>
      <c r="AA793" s="489"/>
      <c r="AB793" s="95"/>
      <c r="AC793" s="20"/>
      <c r="AD793" s="41"/>
      <c r="AE793" s="93"/>
      <c r="AF793" s="20"/>
      <c r="AG793" s="20"/>
      <c r="AH793" s="20"/>
      <c r="AI793" s="20"/>
    </row>
    <row r="794" spans="1:35" ht="12.75" hidden="1" customHeight="1">
      <c r="C794" s="18" t="s">
        <v>5</v>
      </c>
      <c r="D794" s="14"/>
      <c r="E794" s="14">
        <f>SUM(E791:E793)</f>
        <v>10280.39</v>
      </c>
      <c r="G794" s="242"/>
      <c r="H794" s="492"/>
      <c r="I794" s="242"/>
      <c r="J794" s="315"/>
      <c r="K794" s="297"/>
      <c r="L794" s="184" t="s">
        <v>516</v>
      </c>
      <c r="M794" s="45">
        <v>-900</v>
      </c>
      <c r="N794" s="538">
        <f>N793+M794</f>
        <v>400.00009400001341</v>
      </c>
      <c r="O794" s="49"/>
      <c r="P794" s="133">
        <v>-512</v>
      </c>
      <c r="Q794" s="72">
        <f t="shared" si="91"/>
        <v>-13881.257278481005</v>
      </c>
      <c r="R794" s="45">
        <f t="shared" si="92"/>
        <v>6118.7427215189946</v>
      </c>
      <c r="S794" s="373" t="s">
        <v>518</v>
      </c>
      <c r="T794" s="373" t="s">
        <v>517</v>
      </c>
      <c r="U794" s="111"/>
      <c r="V794" s="20"/>
      <c r="W794" s="111"/>
      <c r="X794" s="111"/>
      <c r="Y794" s="112"/>
      <c r="Z794" s="55"/>
      <c r="AA794" s="489"/>
      <c r="AB794" s="26"/>
      <c r="AC794" s="20"/>
      <c r="AD794" s="92"/>
      <c r="AE794" s="93"/>
      <c r="AF794" s="20"/>
      <c r="AG794" s="20"/>
      <c r="AH794" s="20"/>
      <c r="AI794" s="20"/>
    </row>
    <row r="795" spans="1:35" ht="12.75" hidden="1" customHeight="1">
      <c r="G795" s="20"/>
      <c r="H795" s="490"/>
      <c r="I795" s="45"/>
      <c r="J795" s="482"/>
      <c r="K795" s="297"/>
      <c r="L795" s="184" t="s">
        <v>521</v>
      </c>
      <c r="M795" s="45">
        <v>-45</v>
      </c>
      <c r="N795" s="538">
        <f t="shared" ref="N795:N827" si="93">N794+M795</f>
        <v>355.00009400001341</v>
      </c>
      <c r="O795" s="49"/>
      <c r="P795" s="133">
        <v>-219.45</v>
      </c>
      <c r="Q795" s="72">
        <f t="shared" si="91"/>
        <v>-14100.707278481006</v>
      </c>
      <c r="R795" s="45">
        <f t="shared" si="92"/>
        <v>5899.2927215189939</v>
      </c>
      <c r="S795" s="373" t="s">
        <v>378</v>
      </c>
      <c r="T795" s="391"/>
      <c r="U795" s="20"/>
      <c r="V795" s="45"/>
      <c r="W795" s="112"/>
      <c r="X795" s="112"/>
      <c r="Y795" s="112"/>
      <c r="Z795" s="55"/>
      <c r="AA795" s="489"/>
      <c r="AB795" s="26"/>
      <c r="AC795" s="20"/>
      <c r="AD795" s="92"/>
      <c r="AE795" s="93"/>
      <c r="AF795" s="20"/>
      <c r="AG795" s="20"/>
      <c r="AH795" s="20"/>
      <c r="AI795" s="20"/>
    </row>
    <row r="796" spans="1:35" ht="12.75" hidden="1" customHeight="1">
      <c r="A796" s="319"/>
      <c r="C796" s="81" t="s">
        <v>17</v>
      </c>
      <c r="E796" s="42"/>
      <c r="G796"/>
      <c r="H796" s="743"/>
      <c r="I796" s="315"/>
      <c r="J796" s="315"/>
      <c r="K796" s="297" t="s">
        <v>223</v>
      </c>
      <c r="L796" s="184" t="s">
        <v>227</v>
      </c>
      <c r="M796" s="45">
        <v>-337</v>
      </c>
      <c r="N796" s="735">
        <f t="shared" si="93"/>
        <v>18.000094000013405</v>
      </c>
      <c r="O796" s="39"/>
      <c r="P796" s="133">
        <v>-562</v>
      </c>
      <c r="Q796" s="72">
        <f t="shared" si="91"/>
        <v>-14662.707278481006</v>
      </c>
      <c r="R796" s="45">
        <f t="shared" si="92"/>
        <v>5337.2927215189939</v>
      </c>
      <c r="S796" s="373" t="s">
        <v>441</v>
      </c>
      <c r="T796" s="391"/>
      <c r="U796" s="20"/>
      <c r="V796" s="45"/>
      <c r="W796" s="103"/>
      <c r="X796" s="111"/>
      <c r="Y796" s="112"/>
      <c r="Z796" s="55"/>
      <c r="AA796" s="489"/>
      <c r="AB796" s="95"/>
      <c r="AC796" s="20"/>
      <c r="AD796" s="96"/>
      <c r="AE796" s="93"/>
      <c r="AF796" s="20"/>
      <c r="AG796" s="20"/>
      <c r="AH796" s="20"/>
      <c r="AI796" s="20"/>
    </row>
    <row r="797" spans="1:35" ht="12.75" hidden="1" customHeight="1">
      <c r="A797" s="319"/>
      <c r="D797" s="20" t="s">
        <v>14</v>
      </c>
      <c r="E797" s="42">
        <f>E791</f>
        <v>8490.68</v>
      </c>
      <c r="F797" s="20"/>
      <c r="G797" s="20"/>
      <c r="H797" s="490">
        <f>G798+E798</f>
        <v>1789.71</v>
      </c>
      <c r="I797" s="315"/>
      <c r="J797" s="315"/>
      <c r="K797" s="297"/>
      <c r="L797" s="184" t="s">
        <v>524</v>
      </c>
      <c r="M797" s="665">
        <v>-9</v>
      </c>
      <c r="N797" s="735">
        <f t="shared" si="93"/>
        <v>9.0000940000134051</v>
      </c>
      <c r="O797" s="39"/>
      <c r="P797" s="133">
        <v>-697</v>
      </c>
      <c r="Q797" s="72">
        <f t="shared" si="91"/>
        <v>-15359.707278481006</v>
      </c>
      <c r="R797" s="45">
        <f t="shared" si="92"/>
        <v>4640.2927215189939</v>
      </c>
      <c r="S797" s="373" t="s">
        <v>519</v>
      </c>
      <c r="T797" s="391" t="s">
        <v>520</v>
      </c>
      <c r="U797" s="20"/>
      <c r="V797" s="45"/>
      <c r="W797" s="111"/>
      <c r="X797" s="111"/>
      <c r="Y797" s="112"/>
      <c r="Z797" s="55"/>
      <c r="AA797" s="489"/>
      <c r="AB797" s="26"/>
      <c r="AC797" s="20"/>
      <c r="AD797" s="41"/>
      <c r="AE797" s="93"/>
      <c r="AF797" s="20"/>
      <c r="AG797" s="20"/>
      <c r="AH797" s="20"/>
      <c r="AI797" s="20"/>
    </row>
    <row r="798" spans="1:35" ht="12.75" hidden="1" customHeight="1" thickBot="1">
      <c r="A798" s="319"/>
      <c r="D798" s="78" t="s">
        <v>13</v>
      </c>
      <c r="E798" s="483">
        <f>E792-G798</f>
        <v>1789.71</v>
      </c>
      <c r="F798" s="482" t="s">
        <v>364</v>
      </c>
      <c r="G798" s="1037"/>
      <c r="H798" s="1037"/>
      <c r="I798" s="315"/>
      <c r="K798" s="258"/>
      <c r="L798" s="184" t="s">
        <v>24</v>
      </c>
      <c r="M798" s="45">
        <v>1000</v>
      </c>
      <c r="N798" s="538">
        <f t="shared" si="93"/>
        <v>1009.0000940000134</v>
      </c>
      <c r="O798" s="39"/>
      <c r="P798" s="133">
        <v>-95</v>
      </c>
      <c r="Q798" s="72">
        <f t="shared" si="91"/>
        <v>-15454.707278481006</v>
      </c>
      <c r="R798" s="45">
        <f t="shared" si="92"/>
        <v>4545.2927215189939</v>
      </c>
      <c r="S798" s="373" t="s">
        <v>282</v>
      </c>
      <c r="T798" s="391" t="s">
        <v>280</v>
      </c>
      <c r="U798" s="20"/>
      <c r="V798" s="133"/>
      <c r="W798" s="20"/>
      <c r="X798" s="20"/>
      <c r="Y798" s="112"/>
      <c r="Z798" s="239"/>
      <c r="AA798" s="94"/>
      <c r="AB798" s="26"/>
      <c r="AC798" s="20"/>
      <c r="AD798" s="92"/>
      <c r="AE798" s="93"/>
      <c r="AF798" s="20"/>
      <c r="AG798" s="20"/>
      <c r="AH798" s="20"/>
      <c r="AI798" s="20"/>
    </row>
    <row r="799" spans="1:35" ht="12.75" hidden="1" customHeight="1" thickTop="1">
      <c r="A799" s="319"/>
      <c r="D799" s="20"/>
      <c r="E799" s="26"/>
      <c r="F799" s="122"/>
      <c r="G799" s="1038">
        <f>E797+E798+G798</f>
        <v>10280.39</v>
      </c>
      <c r="H799" s="1038"/>
      <c r="I799" s="315"/>
      <c r="J799" s="21"/>
      <c r="K799" s="258"/>
      <c r="L799" s="116" t="s">
        <v>159</v>
      </c>
      <c r="M799" s="45">
        <v>2768</v>
      </c>
      <c r="N799" s="538">
        <f t="shared" si="93"/>
        <v>3777.0000940000136</v>
      </c>
      <c r="O799" s="39"/>
      <c r="P799" s="133">
        <v>-417.27</v>
      </c>
      <c r="Q799" s="72">
        <f t="shared" si="91"/>
        <v>-15871.977278481007</v>
      </c>
      <c r="R799" s="45">
        <f t="shared" si="92"/>
        <v>4128.0227215189934</v>
      </c>
      <c r="S799" s="373" t="s">
        <v>270</v>
      </c>
      <c r="T799" s="391" t="s">
        <v>280</v>
      </c>
      <c r="U799" s="20"/>
      <c r="V799" s="45"/>
      <c r="W799" s="26"/>
      <c r="X799" s="20"/>
      <c r="Y799" s="112"/>
      <c r="Z799" s="239"/>
      <c r="AA799" s="94"/>
      <c r="AB799" s="95"/>
      <c r="AC799" s="20"/>
      <c r="AD799" s="92"/>
      <c r="AE799" s="93"/>
      <c r="AF799" s="20"/>
      <c r="AG799" s="20"/>
      <c r="AH799" s="20"/>
      <c r="AI799" s="20"/>
    </row>
    <row r="800" spans="1:35" ht="12.75" hidden="1" customHeight="1">
      <c r="A800" s="319"/>
      <c r="D800" s="20"/>
      <c r="E800" s="26"/>
      <c r="F800" s="122"/>
      <c r="G800" s="739"/>
      <c r="H800" s="739"/>
      <c r="I800" s="315"/>
      <c r="J800" s="21"/>
      <c r="K800" s="258"/>
      <c r="L800" s="116" t="s">
        <v>343</v>
      </c>
      <c r="M800" s="45">
        <v>-480.02</v>
      </c>
      <c r="N800" s="538">
        <f t="shared" si="93"/>
        <v>3296.9800940000137</v>
      </c>
      <c r="O800" s="39"/>
      <c r="P800" s="133">
        <v>-233.75</v>
      </c>
      <c r="Q800" s="72">
        <f t="shared" si="91"/>
        <v>-16105.727278481007</v>
      </c>
      <c r="R800" s="45">
        <f t="shared" si="92"/>
        <v>3894.2727215189934</v>
      </c>
      <c r="S800" s="373" t="s">
        <v>258</v>
      </c>
      <c r="T800" s="391"/>
      <c r="U800" s="20"/>
      <c r="V800" s="45"/>
      <c r="W800" s="26"/>
      <c r="X800" s="20"/>
      <c r="Y800" s="112"/>
      <c r="Z800" s="239"/>
      <c r="AA800" s="94"/>
      <c r="AB800" s="26"/>
      <c r="AC800" s="20"/>
      <c r="AD800" s="92"/>
      <c r="AE800" s="97"/>
      <c r="AF800" s="20"/>
      <c r="AG800" s="20"/>
      <c r="AH800" s="20"/>
      <c r="AI800" s="20"/>
    </row>
    <row r="801" spans="1:35" ht="12.75" hidden="1" customHeight="1">
      <c r="A801" s="319"/>
      <c r="D801" s="20"/>
      <c r="E801" s="26"/>
      <c r="F801" s="122"/>
      <c r="G801" s="739"/>
      <c r="H801" s="739"/>
      <c r="I801" s="315"/>
      <c r="J801" s="709"/>
      <c r="K801" s="258"/>
      <c r="L801" s="116" t="s">
        <v>112</v>
      </c>
      <c r="M801" s="45">
        <v>-500</v>
      </c>
      <c r="N801" s="538">
        <f t="shared" si="93"/>
        <v>2796.9800940000137</v>
      </c>
      <c r="O801" s="39"/>
      <c r="P801" s="133">
        <v>-3552</v>
      </c>
      <c r="Q801" s="72">
        <f>Q800+P801</f>
        <v>-19657.727278481005</v>
      </c>
      <c r="R801" s="45">
        <f>20000+Q801</f>
        <v>342.27272151899524</v>
      </c>
      <c r="S801" s="373" t="s">
        <v>522</v>
      </c>
      <c r="T801" s="391" t="s">
        <v>523</v>
      </c>
      <c r="U801" s="74"/>
      <c r="V801" s="26"/>
      <c r="W801" s="26"/>
      <c r="X801" s="91"/>
      <c r="Y801" s="20"/>
      <c r="Z801" s="239"/>
      <c r="AA801" s="94"/>
      <c r="AB801" s="95"/>
      <c r="AC801" s="20"/>
      <c r="AD801" s="98"/>
      <c r="AE801" s="93"/>
      <c r="AF801" s="741"/>
      <c r="AG801" s="20"/>
      <c r="AH801" s="20"/>
      <c r="AI801" s="20"/>
    </row>
    <row r="802" spans="1:35" ht="12.75" hidden="1" customHeight="1">
      <c r="A802" s="319"/>
      <c r="D802" s="20"/>
      <c r="E802" s="26"/>
      <c r="F802" s="406"/>
      <c r="G802" s="407"/>
      <c r="H802" s="484"/>
      <c r="I802" s="315"/>
      <c r="J802" s="511"/>
      <c r="K802" s="258"/>
      <c r="L802" s="116" t="s">
        <v>525</v>
      </c>
      <c r="M802" s="45">
        <v>-600</v>
      </c>
      <c r="N802" s="538">
        <f t="shared" si="93"/>
        <v>2196.9800940000137</v>
      </c>
      <c r="O802" s="39"/>
      <c r="P802" s="133">
        <f>-M806</f>
        <v>1500</v>
      </c>
      <c r="Q802" s="72">
        <f>Q801+P802</f>
        <v>-18157.727278481005</v>
      </c>
      <c r="R802" s="45">
        <f>20000+Q802</f>
        <v>1842.2727215189952</v>
      </c>
      <c r="S802" s="373" t="s">
        <v>247</v>
      </c>
      <c r="T802" s="391"/>
      <c r="U802" s="65"/>
      <c r="V802" s="26"/>
      <c r="W802" s="26"/>
      <c r="X802" s="35"/>
      <c r="Y802" s="20"/>
      <c r="Z802" s="239"/>
      <c r="AA802" s="94"/>
      <c r="AB802" s="26"/>
      <c r="AC802" s="20"/>
      <c r="AD802" s="20"/>
      <c r="AE802" s="20"/>
      <c r="AF802" s="99"/>
      <c r="AG802" s="20"/>
      <c r="AH802" s="20"/>
      <c r="AI802" s="20"/>
    </row>
    <row r="803" spans="1:35" ht="12.75" hidden="1" customHeight="1">
      <c r="A803" s="671"/>
      <c r="B803" s="671"/>
      <c r="C803" s="671"/>
      <c r="D803" s="671"/>
      <c r="E803" s="671"/>
      <c r="F803" s="671"/>
      <c r="G803" s="671"/>
      <c r="H803" s="485">
        <f>10000-E791</f>
        <v>1509.3199999999997</v>
      </c>
      <c r="I803" s="493"/>
      <c r="J803" s="511"/>
      <c r="K803" s="258"/>
      <c r="L803" s="116" t="s">
        <v>313</v>
      </c>
      <c r="M803" s="45">
        <v>-121.05</v>
      </c>
      <c r="N803" s="538">
        <f t="shared" si="93"/>
        <v>2075.9300940000135</v>
      </c>
      <c r="O803" s="39"/>
      <c r="P803" s="133">
        <v>-1012</v>
      </c>
      <c r="Q803" s="72">
        <f>Q802+P803</f>
        <v>-19169.727278481005</v>
      </c>
      <c r="R803" s="45">
        <f>20000+Q803</f>
        <v>830.27272151899524</v>
      </c>
      <c r="S803" s="373" t="s">
        <v>441</v>
      </c>
      <c r="T803" s="391"/>
      <c r="U803" s="65"/>
      <c r="V803" s="20"/>
      <c r="W803" s="20"/>
      <c r="X803" s="20"/>
      <c r="Y803" s="111"/>
      <c r="Z803" s="239"/>
      <c r="AA803" s="94"/>
      <c r="AB803" s="26"/>
      <c r="AC803" s="20"/>
      <c r="AD803" s="20"/>
      <c r="AE803" s="20"/>
      <c r="AF803" s="20"/>
      <c r="AG803" s="20"/>
      <c r="AH803" s="20"/>
      <c r="AI803" s="20"/>
    </row>
    <row r="804" spans="1:35" ht="12.75" hidden="1" customHeight="1">
      <c r="A804" s="402"/>
      <c r="B804" s="402"/>
      <c r="C804" s="403"/>
      <c r="D804" s="404"/>
      <c r="E804" s="405"/>
      <c r="F804" s="406"/>
      <c r="G804" s="407"/>
      <c r="H804" s="485"/>
      <c r="I804" s="494"/>
      <c r="J804" s="709"/>
      <c r="K804" s="258"/>
      <c r="L804" s="116" t="s">
        <v>313</v>
      </c>
      <c r="M804" s="45">
        <v>-82.7</v>
      </c>
      <c r="N804" s="538">
        <f t="shared" si="93"/>
        <v>1993.2300940000134</v>
      </c>
      <c r="O804" s="42"/>
      <c r="P804" s="133">
        <v>-110</v>
      </c>
      <c r="Q804" s="72">
        <f>Q803+P804</f>
        <v>-19279.727278481005</v>
      </c>
      <c r="R804" s="45">
        <f>20000+Q804</f>
        <v>720.27272151899524</v>
      </c>
      <c r="S804" s="373" t="s">
        <v>531</v>
      </c>
      <c r="T804" s="391"/>
      <c r="U804" s="20"/>
      <c r="V804" s="20"/>
      <c r="W804" s="20"/>
      <c r="X804" s="91"/>
      <c r="Y804" s="111"/>
      <c r="Z804" s="239"/>
      <c r="AA804" s="94"/>
      <c r="AB804" s="95"/>
      <c r="AC804" s="20"/>
      <c r="AD804" s="20"/>
      <c r="AE804" s="20"/>
      <c r="AF804" s="20"/>
      <c r="AG804" s="20"/>
      <c r="AH804" s="20"/>
      <c r="AI804" s="20"/>
    </row>
    <row r="805" spans="1:35" ht="12.75" hidden="1" customHeight="1">
      <c r="A805" s="671" t="s">
        <v>421</v>
      </c>
      <c r="B805" s="671"/>
      <c r="C805" s="671"/>
      <c r="D805" s="671"/>
      <c r="E805" s="671"/>
      <c r="F805" s="50"/>
      <c r="G805" s="370"/>
      <c r="H805" s="739"/>
      <c r="I805" s="495"/>
      <c r="J805" s="709"/>
      <c r="K805" s="258"/>
      <c r="L805" s="116" t="s">
        <v>521</v>
      </c>
      <c r="M805" s="45">
        <v>-241.96</v>
      </c>
      <c r="N805" s="538">
        <f t="shared" si="93"/>
        <v>1751.2700940000134</v>
      </c>
      <c r="O805" s="26"/>
      <c r="P805" s="49">
        <f>E798</f>
        <v>1789.71</v>
      </c>
      <c r="Q805" s="73">
        <f>Q804+P805</f>
        <v>-17490.017278481006</v>
      </c>
      <c r="R805" s="45">
        <f>20000+Q805</f>
        <v>2509.9827215189944</v>
      </c>
      <c r="S805" s="373"/>
      <c r="T805" s="372"/>
      <c r="U805" s="20"/>
      <c r="V805" s="20"/>
      <c r="W805" s="20"/>
      <c r="X805" s="20"/>
      <c r="Y805" s="111"/>
      <c r="Z805" s="239"/>
      <c r="AA805" s="94"/>
      <c r="AB805" s="26"/>
      <c r="AC805" s="20"/>
      <c r="AD805" s="20"/>
      <c r="AE805" s="20"/>
      <c r="AF805" s="20"/>
      <c r="AG805" s="741"/>
      <c r="AH805" s="20"/>
      <c r="AI805" s="20"/>
    </row>
    <row r="806" spans="1:35" ht="12.75" hidden="1" customHeight="1">
      <c r="A806" s="402"/>
      <c r="B806" s="402"/>
      <c r="C806" s="403"/>
      <c r="D806" s="404"/>
      <c r="E806" s="405"/>
      <c r="F806" s="50"/>
      <c r="G806" s="370"/>
      <c r="H806" s="739"/>
      <c r="I806" s="495"/>
      <c r="J806" s="517"/>
      <c r="K806" s="258"/>
      <c r="L806" s="116" t="s">
        <v>102</v>
      </c>
      <c r="M806" s="45">
        <v>-1500</v>
      </c>
      <c r="N806" s="538">
        <f t="shared" si="93"/>
        <v>251.27009400001339</v>
      </c>
      <c r="O806" s="26"/>
      <c r="P806" s="64">
        <f>SUM(P792:P805)</f>
        <v>-17490.017278481006</v>
      </c>
      <c r="Q806" s="287" t="s">
        <v>243</v>
      </c>
      <c r="R806" s="317"/>
      <c r="S806" s="611"/>
      <c r="T806" s="372"/>
      <c r="U806" s="20"/>
      <c r="V806" s="20"/>
      <c r="W806" s="20"/>
      <c r="X806" s="20"/>
      <c r="Y806" s="111"/>
      <c r="Z806" s="239"/>
      <c r="AA806" s="94"/>
      <c r="AB806" s="26"/>
      <c r="AC806" s="20"/>
      <c r="AD806" s="20"/>
      <c r="AE806" s="20"/>
      <c r="AF806" s="20"/>
      <c r="AG806" s="20"/>
      <c r="AH806" s="20"/>
      <c r="AI806" s="20"/>
    </row>
    <row r="807" spans="1:35" ht="12.75" hidden="1" customHeight="1">
      <c r="A807" s="333"/>
      <c r="B807" s="333"/>
      <c r="C807" s="402"/>
      <c r="D807" s="408"/>
      <c r="E807" s="133"/>
      <c r="F807" s="50"/>
      <c r="G807" s="370"/>
      <c r="H807" s="739"/>
      <c r="I807" s="709"/>
      <c r="J807" s="709"/>
      <c r="K807" s="258"/>
      <c r="L807" s="116" t="s">
        <v>136</v>
      </c>
      <c r="M807" s="45">
        <v>900</v>
      </c>
      <c r="N807" s="538">
        <f t="shared" si="93"/>
        <v>1151.2700940000134</v>
      </c>
      <c r="O807" s="26"/>
      <c r="P807" s="68"/>
      <c r="Q807" s="585"/>
      <c r="R807" s="131"/>
      <c r="S807" s="373"/>
      <c r="T807" s="372"/>
      <c r="U807" s="20"/>
      <c r="V807" s="26"/>
      <c r="W807" s="26"/>
      <c r="X807" s="91"/>
      <c r="Y807" s="20"/>
      <c r="Z807" s="239"/>
      <c r="AA807" s="94"/>
      <c r="AB807" s="26"/>
      <c r="AC807" s="20"/>
      <c r="AD807" s="20"/>
      <c r="AE807" s="20"/>
      <c r="AF807" s="20"/>
      <c r="AG807" s="20"/>
      <c r="AH807" s="20"/>
      <c r="AI807" s="20"/>
    </row>
    <row r="808" spans="1:35" ht="12.75" hidden="1" customHeight="1">
      <c r="A808" s="333"/>
      <c r="B808" s="333"/>
      <c r="C808" s="333"/>
      <c r="D808" s="408"/>
      <c r="E808" s="133"/>
      <c r="F808" s="50"/>
      <c r="G808" s="370"/>
      <c r="H808" s="739"/>
      <c r="I808" s="510"/>
      <c r="K808" s="258"/>
      <c r="L808" s="116" t="s">
        <v>142</v>
      </c>
      <c r="M808" s="45">
        <v>-121.94</v>
      </c>
      <c r="N808" s="538">
        <f t="shared" si="93"/>
        <v>1029.3300940000133</v>
      </c>
      <c r="O808" s="26"/>
      <c r="P808" s="68"/>
      <c r="Q808" s="63"/>
      <c r="R808" s="63"/>
      <c r="S808" s="373"/>
      <c r="T808" s="742"/>
      <c r="U808" s="20"/>
      <c r="V808" s="26"/>
      <c r="W808" s="26"/>
      <c r="X808" s="91"/>
      <c r="Y808" s="20"/>
      <c r="Z808" s="239"/>
      <c r="AA808" s="94"/>
      <c r="AB808" s="26"/>
      <c r="AC808" s="20"/>
      <c r="AD808" s="20"/>
      <c r="AE808" s="20"/>
      <c r="AF808" s="20"/>
      <c r="AG808" s="20"/>
      <c r="AH808" s="20"/>
      <c r="AI808" s="20"/>
    </row>
    <row r="809" spans="1:35" ht="12.75" hidden="1" customHeight="1">
      <c r="A809" s="333"/>
      <c r="B809" s="333"/>
      <c r="C809" s="333"/>
      <c r="D809" s="48"/>
      <c r="E809" s="133"/>
      <c r="F809" s="50"/>
      <c r="G809" s="409"/>
      <c r="H809" s="739"/>
      <c r="K809" s="258"/>
      <c r="L809" s="116" t="s">
        <v>529</v>
      </c>
      <c r="M809" s="45">
        <v>-51.8</v>
      </c>
      <c r="N809" s="538">
        <f t="shared" si="93"/>
        <v>977.53009400001338</v>
      </c>
      <c r="O809" s="274"/>
      <c r="P809" s="418"/>
      <c r="Q809" s="270"/>
      <c r="R809" s="63"/>
      <c r="S809" s="373"/>
      <c r="T809" s="594"/>
      <c r="U809" s="20"/>
      <c r="V809" s="26"/>
      <c r="W809" s="26"/>
      <c r="X809" s="91"/>
      <c r="Y809" s="20"/>
      <c r="Z809" s="239"/>
      <c r="AA809" s="94"/>
      <c r="AB809" s="26"/>
      <c r="AC809" s="20"/>
      <c r="AD809" s="20"/>
      <c r="AE809" s="20"/>
      <c r="AF809" s="20"/>
      <c r="AG809" s="20"/>
      <c r="AH809" s="20"/>
      <c r="AI809" s="20"/>
    </row>
    <row r="810" spans="1:35" ht="12.75" hidden="1" customHeight="1">
      <c r="A810" s="333"/>
      <c r="B810" s="333"/>
      <c r="C810" s="410"/>
      <c r="D810" s="404"/>
      <c r="E810" s="405"/>
      <c r="F810" s="50"/>
      <c r="G810" s="409"/>
      <c r="H810" s="739"/>
      <c r="J810" s="709"/>
      <c r="K810" s="258"/>
      <c r="L810" s="116" t="s">
        <v>530</v>
      </c>
      <c r="M810" s="45">
        <v>-144.94999999999999</v>
      </c>
      <c r="N810" s="538">
        <f t="shared" si="93"/>
        <v>832.58009400001333</v>
      </c>
      <c r="O810" s="253"/>
      <c r="P810" s="418"/>
      <c r="Q810" s="270"/>
      <c r="R810" s="63"/>
      <c r="S810" s="373"/>
      <c r="T810" s="594"/>
      <c r="U810" s="20"/>
      <c r="V810" s="26"/>
      <c r="W810" s="26"/>
      <c r="X810" s="91"/>
      <c r="Y810" s="20"/>
      <c r="Z810" s="239"/>
      <c r="AA810" s="94"/>
      <c r="AB810" s="26"/>
      <c r="AC810" s="20"/>
      <c r="AD810" s="20"/>
      <c r="AE810" s="20"/>
      <c r="AF810" s="20"/>
      <c r="AG810" s="20"/>
      <c r="AH810" s="20"/>
      <c r="AI810" s="20"/>
    </row>
    <row r="811" spans="1:35" ht="12.75" hidden="1" customHeight="1">
      <c r="A811" s="333"/>
      <c r="B811" s="333"/>
      <c r="C811" s="410"/>
      <c r="D811" s="404"/>
      <c r="E811" s="405"/>
      <c r="F811" s="50"/>
      <c r="G811" s="409"/>
      <c r="H811" s="745"/>
      <c r="J811" s="709"/>
      <c r="K811" s="258"/>
      <c r="L811" s="116" t="s">
        <v>51</v>
      </c>
      <c r="M811" s="45">
        <v>6100</v>
      </c>
      <c r="N811" s="538">
        <f t="shared" si="93"/>
        <v>6932.5800940000136</v>
      </c>
      <c r="O811" s="253"/>
      <c r="P811" s="666"/>
      <c r="Q811" s="667"/>
      <c r="R811" s="45"/>
      <c r="S811" s="373"/>
      <c r="T811" s="742"/>
      <c r="U811" s="20"/>
      <c r="V811" s="26"/>
      <c r="W811" s="26"/>
      <c r="X811" s="91"/>
      <c r="Y811" s="20"/>
      <c r="Z811" s="239"/>
      <c r="AA811" s="94"/>
      <c r="AB811" s="26"/>
      <c r="AC811" s="20"/>
      <c r="AD811" s="20"/>
      <c r="AE811" s="20"/>
      <c r="AF811" s="20"/>
      <c r="AG811" s="20"/>
      <c r="AH811" s="20"/>
      <c r="AI811" s="20"/>
    </row>
    <row r="812" spans="1:35" ht="12.75" hidden="1" customHeight="1">
      <c r="A812" s="333"/>
      <c r="B812" s="333"/>
      <c r="C812" s="333"/>
      <c r="D812" s="408"/>
      <c r="E812" s="412"/>
      <c r="F812" s="50"/>
      <c r="G812" s="409"/>
      <c r="H812" s="739"/>
      <c r="J812" s="533"/>
      <c r="K812" s="258" t="s">
        <v>222</v>
      </c>
      <c r="L812" s="266" t="s">
        <v>509</v>
      </c>
      <c r="M812" s="146">
        <v>-2700</v>
      </c>
      <c r="N812" s="538">
        <f t="shared" si="93"/>
        <v>4232.5800940000136</v>
      </c>
      <c r="O812" s="253"/>
      <c r="P812" s="588"/>
      <c r="Q812" s="595"/>
      <c r="R812" s="591"/>
      <c r="S812" s="502"/>
      <c r="T812" s="503"/>
      <c r="U812" s="20"/>
      <c r="V812" s="26"/>
      <c r="W812" s="26"/>
      <c r="X812" s="91"/>
      <c r="Y812" s="20"/>
      <c r="Z812" s="239"/>
      <c r="AA812" s="94"/>
      <c r="AB812" s="26"/>
      <c r="AC812" s="20"/>
      <c r="AD812" s="20"/>
      <c r="AE812" s="20"/>
      <c r="AF812" s="20"/>
      <c r="AG812" s="20"/>
      <c r="AH812" s="20"/>
      <c r="AI812" s="20"/>
    </row>
    <row r="813" spans="1:35" ht="12.75" hidden="1" customHeight="1">
      <c r="A813" s="333"/>
      <c r="B813" s="333"/>
      <c r="C813" s="410"/>
      <c r="D813" s="561"/>
      <c r="E813" s="405"/>
      <c r="F813" s="50"/>
      <c r="G813" s="409"/>
      <c r="H813" s="739"/>
      <c r="I813" s="532"/>
      <c r="J813" s="534"/>
      <c r="K813" s="258" t="s">
        <v>222</v>
      </c>
      <c r="L813" s="266" t="s">
        <v>333</v>
      </c>
      <c r="M813" s="45">
        <v>-250</v>
      </c>
      <c r="N813" s="538">
        <f t="shared" si="93"/>
        <v>3982.5800940000136</v>
      </c>
      <c r="O813" s="253"/>
      <c r="P813" s="588"/>
      <c r="Q813" s="595"/>
      <c r="R813" s="591"/>
      <c r="S813" s="502"/>
      <c r="T813" s="503"/>
      <c r="U813" s="20"/>
      <c r="V813" s="26"/>
      <c r="W813" s="26"/>
      <c r="X813" s="91"/>
      <c r="Y813" s="20"/>
      <c r="Z813" s="239"/>
      <c r="AA813" s="94"/>
      <c r="AB813" s="26"/>
      <c r="AC813" s="20"/>
      <c r="AD813" s="20"/>
      <c r="AE813" s="20"/>
      <c r="AF813" s="20"/>
      <c r="AG813" s="20"/>
      <c r="AH813" s="20"/>
      <c r="AI813" s="20"/>
    </row>
    <row r="814" spans="1:35" ht="12.75" hidden="1" customHeight="1">
      <c r="A814" s="333"/>
      <c r="B814" s="333"/>
      <c r="C814" s="333"/>
      <c r="D814" s="408"/>
      <c r="E814" s="133"/>
      <c r="F814" s="50"/>
      <c r="G814" s="409"/>
      <c r="H814" s="739"/>
      <c r="I814" s="20"/>
      <c r="J814" s="504"/>
      <c r="K814" s="258" t="s">
        <v>222</v>
      </c>
      <c r="L814" s="266" t="s">
        <v>195</v>
      </c>
      <c r="M814" s="45">
        <v>-1738</v>
      </c>
      <c r="N814" s="538">
        <f t="shared" si="93"/>
        <v>2244.5800940000136</v>
      </c>
      <c r="O814" s="26"/>
      <c r="P814" s="588"/>
      <c r="Q814" s="595"/>
      <c r="R814" s="591"/>
      <c r="S814" s="502"/>
      <c r="T814" s="503"/>
      <c r="U814" s="20"/>
      <c r="V814" s="26"/>
      <c r="W814" s="26"/>
      <c r="X814" s="91"/>
      <c r="Y814" s="20"/>
      <c r="Z814" s="239"/>
      <c r="AA814" s="94"/>
      <c r="AB814" s="26"/>
      <c r="AC814" s="20"/>
      <c r="AD814" s="20"/>
      <c r="AE814" s="20"/>
      <c r="AF814" s="20"/>
      <c r="AG814" s="20"/>
      <c r="AH814" s="20"/>
      <c r="AI814" s="20"/>
    </row>
    <row r="815" spans="1:35" ht="12.75" hidden="1" customHeight="1">
      <c r="A815" s="333"/>
      <c r="B815" s="333"/>
      <c r="C815" s="333"/>
      <c r="D815" s="408"/>
      <c r="E815" s="133"/>
      <c r="F815" s="50"/>
      <c r="G815" s="409"/>
      <c r="H815" s="739"/>
      <c r="I815" s="20"/>
      <c r="J815" s="504"/>
      <c r="K815" s="85" t="s">
        <v>222</v>
      </c>
      <c r="L815" s="266" t="s">
        <v>180</v>
      </c>
      <c r="M815" s="45">
        <v>-59</v>
      </c>
      <c r="N815" s="538">
        <f t="shared" si="93"/>
        <v>2185.5800940000136</v>
      </c>
      <c r="O815" s="239"/>
      <c r="P815" s="588"/>
      <c r="Q815" s="595"/>
      <c r="R815" s="591"/>
      <c r="S815" s="502"/>
      <c r="T815" s="503"/>
      <c r="U815" s="20"/>
      <c r="V815" s="26"/>
      <c r="W815" s="26"/>
      <c r="X815" s="91"/>
      <c r="Y815" s="20"/>
      <c r="Z815" s="239"/>
      <c r="AA815" s="94"/>
      <c r="AB815" s="26"/>
      <c r="AC815" s="20"/>
      <c r="AD815" s="20"/>
      <c r="AE815" s="20"/>
      <c r="AF815" s="20"/>
      <c r="AG815" s="20"/>
      <c r="AH815" s="20"/>
      <c r="AI815" s="20"/>
    </row>
    <row r="816" spans="1:35" ht="12.75" hidden="1" customHeight="1">
      <c r="A816" s="333"/>
      <c r="B816" s="333"/>
      <c r="C816" s="333"/>
      <c r="D816" s="408"/>
      <c r="E816" s="133"/>
      <c r="F816" s="50"/>
      <c r="G816" s="409"/>
      <c r="H816" s="739"/>
      <c r="I816" s="510"/>
      <c r="J816" s="504"/>
      <c r="K816" s="258" t="s">
        <v>222</v>
      </c>
      <c r="L816" s="266" t="s">
        <v>61</v>
      </c>
      <c r="M816" s="45">
        <v>-252.5</v>
      </c>
      <c r="N816" s="538">
        <f t="shared" si="93"/>
        <v>1933.0800940000136</v>
      </c>
      <c r="O816" s="239"/>
      <c r="P816" s="588"/>
      <c r="Q816" s="595"/>
      <c r="R816" s="591"/>
      <c r="S816" s="502"/>
      <c r="T816" s="503"/>
      <c r="U816" s="20"/>
      <c r="V816" s="26"/>
      <c r="W816" s="26"/>
      <c r="X816" s="91"/>
      <c r="Y816" s="20"/>
      <c r="Z816" s="239"/>
      <c r="AA816" s="94"/>
      <c r="AB816" s="26"/>
      <c r="AC816" s="20"/>
      <c r="AD816" s="20"/>
      <c r="AE816" s="20"/>
      <c r="AF816" s="20"/>
      <c r="AG816" s="20"/>
      <c r="AH816" s="20"/>
      <c r="AI816" s="20"/>
    </row>
    <row r="817" spans="1:35" ht="12.75" hidden="1" customHeight="1">
      <c r="A817" s="333"/>
      <c r="B817" s="333"/>
      <c r="C817" s="333"/>
      <c r="D817" s="133"/>
      <c r="E817" s="133"/>
      <c r="F817" s="50"/>
      <c r="G817" s="409"/>
      <c r="H817" s="739"/>
      <c r="I817" s="510"/>
      <c r="J817" s="504"/>
      <c r="K817" s="258" t="s">
        <v>222</v>
      </c>
      <c r="L817" s="266" t="s">
        <v>148</v>
      </c>
      <c r="M817" s="45">
        <v>250</v>
      </c>
      <c r="N817" s="538">
        <f t="shared" si="93"/>
        <v>2183.0800940000136</v>
      </c>
      <c r="O817" s="240"/>
      <c r="P817" s="588"/>
      <c r="Q817" s="595"/>
      <c r="R817" s="591"/>
      <c r="S817" s="502"/>
      <c r="T817" s="503"/>
      <c r="U817" s="20"/>
      <c r="V817" s="26"/>
      <c r="W817" s="26"/>
      <c r="X817" s="91"/>
      <c r="Y817" s="20"/>
      <c r="Z817" s="239"/>
      <c r="AA817" s="94"/>
      <c r="AB817" s="26"/>
      <c r="AC817" s="20"/>
      <c r="AD817" s="20"/>
      <c r="AE817" s="20"/>
      <c r="AF817" s="20"/>
      <c r="AG817" s="20"/>
      <c r="AH817" s="20"/>
      <c r="AI817" s="20"/>
    </row>
    <row r="818" spans="1:35" ht="12.75" hidden="1" customHeight="1">
      <c r="A818" s="333"/>
      <c r="B818" s="333"/>
      <c r="C818" s="333"/>
      <c r="D818" s="133"/>
      <c r="E818" s="133"/>
      <c r="F818" s="50"/>
      <c r="G818" s="409"/>
      <c r="H818" s="509"/>
      <c r="I818" s="508"/>
      <c r="J818" s="504"/>
      <c r="K818" s="85" t="s">
        <v>189</v>
      </c>
      <c r="L818" s="267" t="s">
        <v>16</v>
      </c>
      <c r="M818" s="175">
        <v>-623.99</v>
      </c>
      <c r="N818" s="538">
        <f t="shared" si="93"/>
        <v>1559.0900940000136</v>
      </c>
      <c r="O818" s="274"/>
      <c r="P818" s="588"/>
      <c r="Q818" s="595"/>
      <c r="R818" s="591"/>
      <c r="S818" s="502"/>
      <c r="T818" s="503"/>
      <c r="U818" s="20"/>
      <c r="V818" s="26"/>
      <c r="W818" s="26"/>
      <c r="X818" s="91"/>
      <c r="Y818" s="20"/>
      <c r="Z818" s="239"/>
      <c r="AA818" s="94"/>
      <c r="AB818" s="26"/>
      <c r="AC818" s="20"/>
      <c r="AD818" s="20"/>
      <c r="AE818" s="20"/>
      <c r="AF818" s="20"/>
      <c r="AG818" s="20"/>
      <c r="AH818" s="20"/>
      <c r="AI818" s="20"/>
    </row>
    <row r="819" spans="1:35" ht="12.75" hidden="1" customHeight="1">
      <c r="A819" s="333"/>
      <c r="B819" s="333"/>
      <c r="C819" s="333"/>
      <c r="D819" s="413"/>
      <c r="E819" s="34"/>
      <c r="F819" s="50"/>
      <c r="G819" s="414"/>
      <c r="H819" s="509"/>
      <c r="I819" s="508"/>
      <c r="J819" s="504"/>
      <c r="K819" s="258" t="s">
        <v>189</v>
      </c>
      <c r="L819" s="268" t="s">
        <v>56</v>
      </c>
      <c r="M819" s="175">
        <v>-900</v>
      </c>
      <c r="N819" s="538">
        <f t="shared" si="93"/>
        <v>659.09009400001355</v>
      </c>
      <c r="O819" s="551"/>
      <c r="P819" s="26"/>
      <c r="Q819" s="26"/>
      <c r="R819" s="26"/>
      <c r="S819" s="384"/>
      <c r="T819" s="20"/>
      <c r="V819" s="26"/>
      <c r="W819" s="26"/>
      <c r="X819" s="91"/>
      <c r="Y819" s="20"/>
      <c r="Z819" s="239"/>
      <c r="AA819" s="94"/>
      <c r="AB819" s="26"/>
      <c r="AC819" s="20"/>
      <c r="AD819" s="20"/>
      <c r="AE819" s="20"/>
      <c r="AF819" s="20"/>
      <c r="AG819" s="20"/>
      <c r="AH819" s="20"/>
      <c r="AI819" s="20"/>
    </row>
    <row r="820" spans="1:35" ht="12.75" hidden="1" customHeight="1">
      <c r="A820" s="333"/>
      <c r="B820" s="333"/>
      <c r="C820" s="333"/>
      <c r="D820" s="413"/>
      <c r="E820" s="34"/>
      <c r="F820" s="50"/>
      <c r="G820" s="414"/>
      <c r="H820" s="509"/>
      <c r="I820" s="508"/>
      <c r="J820" s="504"/>
      <c r="K820" s="258"/>
      <c r="L820" s="268" t="s">
        <v>532</v>
      </c>
      <c r="M820" s="133">
        <f>900-115</f>
        <v>785</v>
      </c>
      <c r="N820" s="538">
        <f t="shared" si="93"/>
        <v>1444.0900940000136</v>
      </c>
      <c r="O820" s="551"/>
      <c r="P820" s="26"/>
      <c r="Q820" s="26"/>
      <c r="R820" s="26"/>
      <c r="S820" s="384"/>
      <c r="T820" s="20"/>
      <c r="V820" s="26"/>
      <c r="W820" s="26"/>
      <c r="X820" s="91"/>
      <c r="Y820" s="20"/>
      <c r="Z820" s="239"/>
      <c r="AA820" s="94"/>
      <c r="AB820" s="26"/>
      <c r="AC820" s="20"/>
      <c r="AD820" s="20"/>
      <c r="AE820" s="20"/>
      <c r="AF820" s="20"/>
      <c r="AG820" s="20"/>
      <c r="AH820" s="20"/>
      <c r="AI820" s="20"/>
    </row>
    <row r="821" spans="1:35" s="20" customFormat="1" hidden="1">
      <c r="E821" s="26"/>
      <c r="G821" s="46"/>
      <c r="K821" s="258" t="s">
        <v>189</v>
      </c>
      <c r="L821" s="116" t="s">
        <v>224</v>
      </c>
      <c r="M821" s="45">
        <v>-561.33000000000004</v>
      </c>
      <c r="N821" s="538">
        <f t="shared" si="93"/>
        <v>882.76009400001351</v>
      </c>
      <c r="P821" s="14"/>
      <c r="Q821" s="14"/>
      <c r="R821" s="14"/>
      <c r="S821" s="374"/>
      <c r="T821"/>
      <c r="Z821" s="26"/>
      <c r="AA821" s="744"/>
      <c r="AB821" s="26"/>
    </row>
    <row r="822" spans="1:35" s="20" customFormat="1" hidden="1">
      <c r="E822" s="26"/>
      <c r="G822" s="46"/>
      <c r="K822" s="258"/>
      <c r="L822" s="116" t="s">
        <v>51</v>
      </c>
      <c r="M822" s="45">
        <v>1000</v>
      </c>
      <c r="N822" s="538">
        <f t="shared" si="93"/>
        <v>1882.7600940000134</v>
      </c>
      <c r="P822" s="26"/>
      <c r="Q822" s="26"/>
      <c r="R822" s="26"/>
      <c r="S822" s="384"/>
      <c r="Z822" s="26"/>
      <c r="AA822" s="748"/>
      <c r="AB822" s="26"/>
    </row>
    <row r="823" spans="1:35" hidden="1">
      <c r="K823" s="258" t="s">
        <v>190</v>
      </c>
      <c r="L823" s="268" t="s">
        <v>375</v>
      </c>
      <c r="M823" s="175">
        <f>-47.52</f>
        <v>-47.52</v>
      </c>
      <c r="N823" s="538">
        <f t="shared" si="93"/>
        <v>1835.2400940000134</v>
      </c>
      <c r="P823" s="26"/>
      <c r="Q823" s="26"/>
      <c r="R823" s="26"/>
      <c r="S823" s="384"/>
      <c r="T823" s="20"/>
      <c r="U823" s="20"/>
    </row>
    <row r="824" spans="1:35" s="20" customFormat="1" hidden="1">
      <c r="E824" s="26"/>
      <c r="G824" s="46"/>
      <c r="K824" s="747" t="s">
        <v>190</v>
      </c>
      <c r="L824" s="268" t="s">
        <v>23</v>
      </c>
      <c r="M824" s="733">
        <v>-233.93</v>
      </c>
      <c r="N824" s="538">
        <f t="shared" si="93"/>
        <v>1601.3100940000134</v>
      </c>
      <c r="P824" s="26"/>
      <c r="Q824" s="26"/>
      <c r="R824" s="26"/>
      <c r="S824" s="384"/>
      <c r="Z824" s="26"/>
      <c r="AA824" s="746"/>
      <c r="AB824" s="26"/>
    </row>
    <row r="825" spans="1:35" s="20" customFormat="1" hidden="1">
      <c r="E825" s="26"/>
      <c r="G825" s="46"/>
      <c r="K825" s="258" t="s">
        <v>190</v>
      </c>
      <c r="L825" s="268" t="s">
        <v>375</v>
      </c>
      <c r="M825" s="175">
        <f>-63.85</f>
        <v>-63.85</v>
      </c>
      <c r="N825" s="538">
        <f t="shared" si="93"/>
        <v>1537.4600940000134</v>
      </c>
      <c r="P825" s="26"/>
      <c r="Q825" s="26"/>
      <c r="R825" s="26"/>
      <c r="S825" s="384"/>
      <c r="Z825" s="26"/>
      <c r="AA825" s="750"/>
      <c r="AB825" s="26"/>
    </row>
    <row r="826" spans="1:35" s="20" customFormat="1" hidden="1">
      <c r="E826" s="26"/>
      <c r="G826" s="46"/>
      <c r="K826" s="747"/>
      <c r="L826" s="268" t="s">
        <v>369</v>
      </c>
      <c r="M826" s="733">
        <v>250</v>
      </c>
      <c r="N826" s="538">
        <f t="shared" si="93"/>
        <v>1787.4600940000134</v>
      </c>
      <c r="P826" s="26"/>
      <c r="Q826" s="26"/>
      <c r="R826" s="26"/>
      <c r="S826" s="384"/>
      <c r="U826"/>
      <c r="Z826" s="26"/>
      <c r="AA826" s="746"/>
      <c r="AB826" s="26"/>
    </row>
    <row r="827" spans="1:35" s="20" customFormat="1" hidden="1">
      <c r="E827" s="26"/>
      <c r="G827" s="46"/>
      <c r="K827" s="258" t="s">
        <v>222</v>
      </c>
      <c r="L827" s="266" t="s">
        <v>51</v>
      </c>
      <c r="M827" s="749">
        <v>0</v>
      </c>
      <c r="N827" s="566">
        <f t="shared" si="93"/>
        <v>1787.4600940000134</v>
      </c>
      <c r="P827" s="26"/>
      <c r="Q827" s="26"/>
      <c r="R827" s="26"/>
      <c r="S827" s="384"/>
      <c r="U827"/>
      <c r="Z827" s="26"/>
      <c r="AA827" s="746"/>
      <c r="AB827" s="26"/>
    </row>
    <row r="828" spans="1:35" ht="11.25" hidden="1" customHeight="1">
      <c r="L828" s="23"/>
      <c r="M828" s="168">
        <f>SUM(M792:M827)</f>
        <v>1787.4600940000134</v>
      </c>
      <c r="N828" s="296"/>
    </row>
    <row r="829" spans="1:35" s="78" customFormat="1" hidden="1">
      <c r="E829" s="15"/>
      <c r="G829" s="129"/>
      <c r="K829" s="257"/>
      <c r="M829" s="15"/>
      <c r="P829" s="15"/>
      <c r="Q829" s="15"/>
      <c r="R829" s="15"/>
      <c r="S829" s="385"/>
      <c r="Z829" s="15"/>
      <c r="AA829" s="130"/>
      <c r="AB829" s="15"/>
    </row>
    <row r="830" spans="1:35" hidden="1">
      <c r="K830" s="256"/>
      <c r="L830" s="20"/>
      <c r="M830" s="26"/>
      <c r="N830" s="20"/>
    </row>
    <row r="831" spans="1:35" ht="12.75" hidden="1" customHeight="1">
      <c r="B831" s="1030" t="s">
        <v>527</v>
      </c>
      <c r="C831" s="1030"/>
      <c r="D831" s="1030"/>
      <c r="E831" s="1030"/>
      <c r="G831" s="261"/>
      <c r="H831" s="658"/>
      <c r="I831" s="26"/>
      <c r="K831" s="258"/>
      <c r="L831" s="100"/>
      <c r="M831" s="1031" t="s">
        <v>54</v>
      </c>
      <c r="N831" s="754"/>
      <c r="O831" s="760"/>
      <c r="P831" s="1033" t="s">
        <v>48</v>
      </c>
      <c r="Q831" s="1035" t="s">
        <v>510</v>
      </c>
      <c r="R831" s="1035"/>
      <c r="S831" s="377"/>
      <c r="X831" s="35"/>
      <c r="Y831" s="35"/>
      <c r="Z831" s="26"/>
      <c r="AA831" s="761"/>
      <c r="AB831" s="26"/>
      <c r="AC831" s="20"/>
      <c r="AD831" s="20"/>
      <c r="AE831" s="20"/>
      <c r="AF831" s="20"/>
      <c r="AG831" s="20"/>
      <c r="AH831" s="20"/>
      <c r="AI831" s="20"/>
    </row>
    <row r="832" spans="1:35" ht="12.75" hidden="1" customHeight="1">
      <c r="C832" s="17" t="s">
        <v>357</v>
      </c>
      <c r="D832" s="14"/>
      <c r="E832" s="44">
        <v>8490.68</v>
      </c>
      <c r="G832" s="1036"/>
      <c r="H832" s="1036"/>
      <c r="I832" s="26"/>
      <c r="K832" s="260" t="s">
        <v>221</v>
      </c>
      <c r="L832" s="156"/>
      <c r="M832" s="1032"/>
      <c r="N832" s="754" t="s">
        <v>43</v>
      </c>
      <c r="O832" s="760"/>
      <c r="P832" s="1034"/>
      <c r="Q832" s="755" t="s">
        <v>43</v>
      </c>
      <c r="R832" s="756" t="s">
        <v>53</v>
      </c>
      <c r="S832" s="377"/>
      <c r="X832" s="118"/>
      <c r="Y832" s="111"/>
      <c r="Z832" s="117"/>
      <c r="AA832" s="89"/>
      <c r="AB832" s="90"/>
      <c r="AC832" s="20"/>
      <c r="AD832" s="41"/>
      <c r="AE832" s="20"/>
      <c r="AF832" s="20"/>
      <c r="AG832" s="20"/>
      <c r="AH832" s="20"/>
      <c r="AI832" s="20"/>
    </row>
    <row r="833" spans="1:35" ht="12.75" hidden="1" customHeight="1">
      <c r="C833" s="17"/>
      <c r="D833" s="14" t="s">
        <v>24</v>
      </c>
      <c r="E833" s="44">
        <f>'[2]MAY ''13'!$C$40</f>
        <v>1406.46</v>
      </c>
      <c r="G833" s="30"/>
      <c r="H833" s="624">
        <f>SUM(E833:E834)</f>
        <v>2204.29</v>
      </c>
      <c r="I833" s="26"/>
      <c r="K833" s="273"/>
      <c r="L833" s="235" t="s">
        <v>226</v>
      </c>
      <c r="M833" s="45">
        <f>$M$828</f>
        <v>1787.4600940000134</v>
      </c>
      <c r="N833" s="71">
        <f>M833</f>
        <v>1787.4600940000134</v>
      </c>
      <c r="O833" s="26"/>
      <c r="P833" s="45">
        <f>$Q$805</f>
        <v>-17490.017278481006</v>
      </c>
      <c r="Q833" s="71">
        <f>P833</f>
        <v>-17490.017278481006</v>
      </c>
      <c r="R833" s="45">
        <f>20000+Q833</f>
        <v>2509.9827215189944</v>
      </c>
      <c r="S833" s="378" t="s">
        <v>298</v>
      </c>
      <c r="T833" s="367" t="s">
        <v>299</v>
      </c>
      <c r="W833" s="392"/>
      <c r="X833" s="111"/>
      <c r="Y833" s="111"/>
      <c r="Z833" s="45"/>
      <c r="AA833" s="488"/>
      <c r="AB833" s="26"/>
      <c r="AC833" s="20"/>
      <c r="AD833" s="92"/>
      <c r="AE833" s="93"/>
      <c r="AF833" s="20"/>
      <c r="AG833" s="20"/>
      <c r="AH833" s="20"/>
      <c r="AI833" s="20"/>
    </row>
    <row r="834" spans="1:35" ht="12.75" hidden="1" customHeight="1">
      <c r="C834" s="17"/>
      <c r="D834" s="143" t="s">
        <v>225</v>
      </c>
      <c r="E834" s="15">
        <f>'[2]APRIL ''13'!$C$37</f>
        <v>797.82999999999993</v>
      </c>
      <c r="G834"/>
      <c r="H834" s="624"/>
      <c r="I834" s="26"/>
      <c r="K834" s="273"/>
      <c r="L834" s="116" t="s">
        <v>526</v>
      </c>
      <c r="M834" s="45">
        <v>-400</v>
      </c>
      <c r="N834" s="538">
        <f>N833+M834</f>
        <v>1387.4600940000134</v>
      </c>
      <c r="O834" s="65"/>
      <c r="P834" s="133">
        <v>-178.26</v>
      </c>
      <c r="Q834" s="72">
        <f t="shared" ref="Q834:Q848" si="94">Q833+P834</f>
        <v>-17668.277278481004</v>
      </c>
      <c r="R834" s="45">
        <f t="shared" ref="R834:R848" si="95">20000+Q834</f>
        <v>2331.722721518996</v>
      </c>
      <c r="S834" s="373" t="s">
        <v>378</v>
      </c>
      <c r="T834" s="391"/>
      <c r="W834" s="111"/>
      <c r="X834" s="111"/>
      <c r="Y834" s="112"/>
      <c r="Z834" s="55"/>
      <c r="AA834" s="489"/>
      <c r="AB834" s="95"/>
      <c r="AC834" s="20"/>
      <c r="AD834" s="41"/>
      <c r="AE834" s="93"/>
      <c r="AF834" s="20"/>
      <c r="AG834" s="20"/>
      <c r="AH834" s="20"/>
      <c r="AI834" s="20"/>
    </row>
    <row r="835" spans="1:35" ht="12.75" hidden="1" customHeight="1">
      <c r="C835" s="18" t="s">
        <v>5</v>
      </c>
      <c r="D835" s="14"/>
      <c r="E835" s="14">
        <f>SUM(E832:E834)</f>
        <v>10694.97</v>
      </c>
      <c r="G835" s="242"/>
      <c r="H835" s="492"/>
      <c r="I835" s="242"/>
      <c r="J835" s="315"/>
      <c r="K835" s="297"/>
      <c r="L835" s="116" t="s">
        <v>56</v>
      </c>
      <c r="M835" s="45">
        <v>-900</v>
      </c>
      <c r="N835" s="538">
        <f t="shared" ref="N835:N856" si="96">N834+M835</f>
        <v>487.46009400001344</v>
      </c>
      <c r="O835" s="49"/>
      <c r="P835" s="133">
        <v>-260</v>
      </c>
      <c r="Q835" s="72">
        <f t="shared" si="94"/>
        <v>-17928.277278481004</v>
      </c>
      <c r="R835" s="45">
        <f t="shared" si="95"/>
        <v>2071.722721518996</v>
      </c>
      <c r="S835" s="373" t="s">
        <v>533</v>
      </c>
      <c r="T835" s="373"/>
      <c r="U835" s="111"/>
      <c r="V835" s="20"/>
      <c r="W835" s="111"/>
      <c r="X835" s="111"/>
      <c r="Y835" s="112"/>
      <c r="Z835" s="55"/>
      <c r="AA835" s="489"/>
      <c r="AB835" s="26"/>
      <c r="AC835" s="20"/>
      <c r="AD835" s="92"/>
      <c r="AE835" s="93"/>
      <c r="AF835" s="20"/>
      <c r="AG835" s="20"/>
      <c r="AH835" s="20"/>
      <c r="AI835" s="20"/>
    </row>
    <row r="836" spans="1:35" ht="12.75" hidden="1" customHeight="1">
      <c r="G836" s="20"/>
      <c r="H836" s="490"/>
      <c r="I836" s="45"/>
      <c r="J836" s="482"/>
      <c r="K836" s="297" t="s">
        <v>223</v>
      </c>
      <c r="L836" s="184" t="s">
        <v>227</v>
      </c>
      <c r="M836" s="45">
        <v>-337</v>
      </c>
      <c r="N836" s="538">
        <f t="shared" si="96"/>
        <v>150.46009400001344</v>
      </c>
      <c r="O836" s="49"/>
      <c r="P836" s="133">
        <v>-248.65</v>
      </c>
      <c r="Q836" s="72">
        <f t="shared" si="94"/>
        <v>-18176.927278481005</v>
      </c>
      <c r="R836" s="45">
        <f t="shared" si="95"/>
        <v>1823.0727215189945</v>
      </c>
      <c r="S836" s="373" t="s">
        <v>270</v>
      </c>
      <c r="T836" s="391"/>
      <c r="U836" s="20"/>
      <c r="V836" s="45"/>
      <c r="W836" s="112"/>
      <c r="X836" s="112"/>
      <c r="Y836" s="112"/>
      <c r="Z836" s="55"/>
      <c r="AA836" s="489"/>
      <c r="AB836" s="26"/>
      <c r="AC836" s="20"/>
      <c r="AD836" s="92"/>
      <c r="AE836" s="93"/>
      <c r="AF836" s="20"/>
      <c r="AG836" s="20"/>
      <c r="AH836" s="20"/>
      <c r="AI836" s="20"/>
    </row>
    <row r="837" spans="1:35" ht="12.75" hidden="1" customHeight="1">
      <c r="A837" s="319"/>
      <c r="C837" s="81" t="s">
        <v>17</v>
      </c>
      <c r="E837" s="42"/>
      <c r="G837"/>
      <c r="H837" s="757"/>
      <c r="I837" s="315"/>
      <c r="J837" s="315"/>
      <c r="K837" s="297"/>
      <c r="L837" s="184" t="s">
        <v>51</v>
      </c>
      <c r="M837" s="45">
        <f>E797-M811-M822</f>
        <v>1390.6800000000003</v>
      </c>
      <c r="N837" s="538">
        <f t="shared" si="96"/>
        <v>1541.1400940000137</v>
      </c>
      <c r="O837" s="39"/>
      <c r="P837" s="133">
        <f>-M838</f>
        <v>1000</v>
      </c>
      <c r="Q837" s="72">
        <f t="shared" si="94"/>
        <v>-17176.927278481005</v>
      </c>
      <c r="R837" s="45">
        <f t="shared" si="95"/>
        <v>2823.0727215189945</v>
      </c>
      <c r="S837" s="373" t="s">
        <v>247</v>
      </c>
      <c r="T837" s="391"/>
      <c r="U837" s="20"/>
      <c r="V837" s="45"/>
      <c r="W837" s="103"/>
      <c r="X837" s="111"/>
      <c r="Y837" s="112"/>
      <c r="Z837" s="55"/>
      <c r="AA837" s="489"/>
      <c r="AB837" s="95"/>
      <c r="AC837" s="20"/>
      <c r="AD837" s="96"/>
      <c r="AE837" s="93"/>
      <c r="AF837" s="20"/>
      <c r="AG837" s="20"/>
      <c r="AH837" s="20"/>
      <c r="AI837" s="20"/>
    </row>
    <row r="838" spans="1:35" ht="12.75" hidden="1" customHeight="1">
      <c r="A838" s="319"/>
      <c r="D838" s="20" t="s">
        <v>14</v>
      </c>
      <c r="E838" s="42">
        <f>E832</f>
        <v>8490.68</v>
      </c>
      <c r="F838" s="20"/>
      <c r="G838" s="20"/>
      <c r="H838" s="490">
        <f>G839+E839</f>
        <v>2204.29</v>
      </c>
      <c r="I838" s="315"/>
      <c r="J838" s="315"/>
      <c r="K838" s="297"/>
      <c r="L838" s="184" t="s">
        <v>102</v>
      </c>
      <c r="M838" s="45">
        <v>-1000</v>
      </c>
      <c r="N838" s="538">
        <f t="shared" si="96"/>
        <v>541.14009400001373</v>
      </c>
      <c r="O838" s="39"/>
      <c r="P838" s="133">
        <v>-196.19</v>
      </c>
      <c r="Q838" s="72">
        <f t="shared" si="94"/>
        <v>-17373.117278481004</v>
      </c>
      <c r="R838" s="45">
        <f t="shared" si="95"/>
        <v>2626.8827215189958</v>
      </c>
      <c r="S838" s="373" t="s">
        <v>534</v>
      </c>
      <c r="T838" s="391" t="s">
        <v>535</v>
      </c>
      <c r="U838" s="20"/>
      <c r="V838" s="45"/>
      <c r="W838" s="111"/>
      <c r="X838" s="111"/>
      <c r="Y838" s="112"/>
      <c r="Z838" s="55"/>
      <c r="AA838" s="489"/>
      <c r="AB838" s="26"/>
      <c r="AC838" s="20"/>
      <c r="AD838" s="41"/>
      <c r="AE838" s="93"/>
      <c r="AF838" s="20"/>
      <c r="AG838" s="20"/>
      <c r="AH838" s="20"/>
      <c r="AI838" s="20"/>
    </row>
    <row r="839" spans="1:35" ht="12.75" hidden="1" customHeight="1" thickBot="1">
      <c r="A839" s="319"/>
      <c r="D839" s="78" t="s">
        <v>13</v>
      </c>
      <c r="E839" s="483">
        <f>SUM(E833:E834)</f>
        <v>2204.29</v>
      </c>
      <c r="F839" s="482" t="s">
        <v>364</v>
      </c>
      <c r="G839" s="1037"/>
      <c r="H839" s="1037"/>
      <c r="I839" s="315"/>
      <c r="K839" s="297"/>
      <c r="L839" s="184" t="s">
        <v>540</v>
      </c>
      <c r="M839" s="45">
        <v>-457.75</v>
      </c>
      <c r="N839" s="538">
        <f t="shared" si="96"/>
        <v>83.390094000013733</v>
      </c>
      <c r="O839" s="39"/>
      <c r="P839" s="133">
        <v>-199</v>
      </c>
      <c r="Q839" s="72">
        <f t="shared" si="94"/>
        <v>-17572.117278481004</v>
      </c>
      <c r="R839" s="45">
        <f t="shared" si="95"/>
        <v>2427.8827215189958</v>
      </c>
      <c r="S839" s="373" t="s">
        <v>536</v>
      </c>
      <c r="T839" s="391"/>
      <c r="U839" s="20"/>
      <c r="V839" s="133"/>
      <c r="W839" s="20"/>
      <c r="X839" s="20"/>
      <c r="Y839" s="112"/>
      <c r="Z839" s="239"/>
      <c r="AA839" s="94"/>
      <c r="AB839" s="26"/>
      <c r="AC839" s="20"/>
      <c r="AD839" s="92"/>
      <c r="AE839" s="93"/>
      <c r="AF839" s="20"/>
      <c r="AG839" s="20"/>
      <c r="AH839" s="20"/>
      <c r="AI839" s="20"/>
    </row>
    <row r="840" spans="1:35" ht="12.75" hidden="1" customHeight="1" thickTop="1">
      <c r="A840" s="319"/>
      <c r="D840" s="20"/>
      <c r="E840" s="26"/>
      <c r="F840" s="122"/>
      <c r="G840" s="1038">
        <f>E838+E839+G839</f>
        <v>10694.970000000001</v>
      </c>
      <c r="H840" s="1038"/>
      <c r="I840" s="315"/>
      <c r="J840" s="21"/>
      <c r="K840" s="297"/>
      <c r="L840" s="184" t="s">
        <v>524</v>
      </c>
      <c r="M840" s="45">
        <v>-9</v>
      </c>
      <c r="N840" s="538">
        <f t="shared" si="96"/>
        <v>74.390094000013733</v>
      </c>
      <c r="O840" s="39"/>
      <c r="P840" s="133">
        <v>-137.1</v>
      </c>
      <c r="Q840" s="72">
        <f t="shared" si="94"/>
        <v>-17709.217278481003</v>
      </c>
      <c r="R840" s="45">
        <f t="shared" si="95"/>
        <v>2290.7827215189973</v>
      </c>
      <c r="S840" s="373" t="s">
        <v>537</v>
      </c>
      <c r="T840" s="391"/>
      <c r="U840" s="20"/>
      <c r="V840" s="45"/>
      <c r="W840" s="26"/>
      <c r="X840" s="20"/>
      <c r="Y840" s="112"/>
      <c r="Z840" s="239"/>
      <c r="AA840" s="94"/>
      <c r="AB840" s="95"/>
      <c r="AC840" s="20"/>
      <c r="AD840" s="92"/>
      <c r="AE840" s="93"/>
      <c r="AF840" s="20"/>
      <c r="AG840" s="20"/>
      <c r="AH840" s="20"/>
      <c r="AI840" s="20"/>
    </row>
    <row r="841" spans="1:35" ht="12.75" hidden="1" customHeight="1">
      <c r="A841" s="319"/>
      <c r="D841" s="20"/>
      <c r="E841" s="26"/>
      <c r="F841" s="122"/>
      <c r="G841" s="758"/>
      <c r="H841" s="758"/>
      <c r="I841" s="315"/>
      <c r="J841" s="21"/>
      <c r="K841" s="297"/>
      <c r="L841" s="184" t="s">
        <v>24</v>
      </c>
      <c r="M841" s="45">
        <v>1000</v>
      </c>
      <c r="N841" s="538">
        <f t="shared" si="96"/>
        <v>1074.3900940000137</v>
      </c>
      <c r="O841" s="39"/>
      <c r="P841" s="133">
        <v>-378</v>
      </c>
      <c r="Q841" s="72">
        <f t="shared" si="94"/>
        <v>-18087.217278481003</v>
      </c>
      <c r="R841" s="45">
        <f t="shared" si="95"/>
        <v>1912.7827215189973</v>
      </c>
      <c r="S841" s="373" t="s">
        <v>538</v>
      </c>
      <c r="T841" s="391"/>
      <c r="U841" s="20"/>
      <c r="V841" s="45"/>
      <c r="W841" s="26"/>
      <c r="X841" s="20"/>
      <c r="Y841" s="112"/>
      <c r="Z841" s="239"/>
      <c r="AA841" s="94"/>
      <c r="AB841" s="26"/>
      <c r="AC841" s="20"/>
      <c r="AD841" s="92"/>
      <c r="AE841" s="97"/>
      <c r="AF841" s="20"/>
      <c r="AG841" s="20"/>
      <c r="AH841" s="20"/>
      <c r="AI841" s="20"/>
    </row>
    <row r="842" spans="1:35" ht="12.75" hidden="1" customHeight="1">
      <c r="A842" s="319"/>
      <c r="D842" s="20"/>
      <c r="E842" s="26"/>
      <c r="F842" s="122"/>
      <c r="G842" s="758"/>
      <c r="H842" s="758"/>
      <c r="I842" s="315"/>
      <c r="J842" s="21"/>
      <c r="K842" s="297"/>
      <c r="L842" s="184" t="s">
        <v>466</v>
      </c>
      <c r="M842" s="45">
        <v>-246</v>
      </c>
      <c r="N842" s="538">
        <f t="shared" si="96"/>
        <v>828.39009400001373</v>
      </c>
      <c r="O842" s="39"/>
      <c r="P842" s="133">
        <v>-120</v>
      </c>
      <c r="Q842" s="72">
        <f t="shared" si="94"/>
        <v>-18207.217278481003</v>
      </c>
      <c r="R842" s="45">
        <f t="shared" si="95"/>
        <v>1792.7827215189973</v>
      </c>
      <c r="S842" s="373" t="s">
        <v>539</v>
      </c>
      <c r="T842" s="391"/>
      <c r="U842" s="74"/>
      <c r="V842" s="26"/>
      <c r="W842" s="26"/>
      <c r="X842" s="91"/>
      <c r="Y842" s="20"/>
      <c r="Z842" s="239"/>
      <c r="AA842" s="94"/>
      <c r="AB842" s="95"/>
      <c r="AC842" s="20"/>
      <c r="AD842" s="98"/>
      <c r="AE842" s="93"/>
      <c r="AF842" s="761"/>
      <c r="AG842" s="20"/>
      <c r="AH842" s="20"/>
      <c r="AI842" s="20"/>
    </row>
    <row r="843" spans="1:35" ht="12.75" hidden="1" customHeight="1">
      <c r="A843" s="319"/>
      <c r="D843" s="20"/>
      <c r="E843" s="26"/>
      <c r="F843" s="406"/>
      <c r="G843" s="407"/>
      <c r="H843" s="484"/>
      <c r="I843" s="315"/>
      <c r="J843" s="709"/>
      <c r="K843" s="258" t="s">
        <v>222</v>
      </c>
      <c r="L843" s="266" t="s">
        <v>51</v>
      </c>
      <c r="M843" s="146">
        <f>E838</f>
        <v>8490.68</v>
      </c>
      <c r="N843" s="538">
        <f t="shared" si="96"/>
        <v>9319.0700940000133</v>
      </c>
      <c r="O843" s="39"/>
      <c r="P843" s="133">
        <v>-745.4</v>
      </c>
      <c r="Q843" s="72">
        <f t="shared" si="94"/>
        <v>-18952.617278481004</v>
      </c>
      <c r="R843" s="45">
        <f t="shared" si="95"/>
        <v>1047.3827215189958</v>
      </c>
      <c r="S843" s="373" t="s">
        <v>270</v>
      </c>
      <c r="T843" s="391" t="s">
        <v>280</v>
      </c>
      <c r="U843" s="65"/>
      <c r="V843" s="26"/>
      <c r="W843" s="26"/>
      <c r="X843" s="35"/>
      <c r="Y843" s="20"/>
      <c r="Z843" s="239"/>
      <c r="AA843" s="94"/>
      <c r="AB843" s="26"/>
      <c r="AC843" s="20"/>
      <c r="AD843" s="20"/>
      <c r="AE843" s="20"/>
      <c r="AF843" s="99"/>
      <c r="AG843" s="20"/>
      <c r="AH843" s="20"/>
      <c r="AI843" s="20"/>
    </row>
    <row r="844" spans="1:35" ht="12.75" hidden="1" customHeight="1">
      <c r="A844" s="671"/>
      <c r="B844" s="671"/>
      <c r="C844" s="671"/>
      <c r="D844" s="671"/>
      <c r="E844" s="671"/>
      <c r="F844" s="671"/>
      <c r="G844" s="671"/>
      <c r="H844" s="485"/>
      <c r="I844" s="493"/>
      <c r="J844" s="511"/>
      <c r="K844" s="258" t="s">
        <v>222</v>
      </c>
      <c r="L844" s="266" t="s">
        <v>369</v>
      </c>
      <c r="M844" s="45">
        <v>250</v>
      </c>
      <c r="N844" s="538">
        <f t="shared" si="96"/>
        <v>9569.0700940000133</v>
      </c>
      <c r="O844" s="39"/>
      <c r="P844" s="133">
        <v>-10</v>
      </c>
      <c r="Q844" s="72">
        <f t="shared" si="94"/>
        <v>-18962.617278481004</v>
      </c>
      <c r="R844" s="45">
        <f t="shared" si="95"/>
        <v>1037.3827215189958</v>
      </c>
      <c r="S844" s="373" t="s">
        <v>541</v>
      </c>
      <c r="T844" s="391" t="s">
        <v>427</v>
      </c>
      <c r="U844" s="65"/>
      <c r="V844" s="20"/>
      <c r="W844" s="20"/>
      <c r="X844" s="20"/>
      <c r="Y844" s="111"/>
      <c r="Z844" s="239"/>
      <c r="AA844" s="94"/>
      <c r="AB844" s="26"/>
      <c r="AC844" s="20"/>
      <c r="AD844" s="20"/>
      <c r="AE844" s="20"/>
      <c r="AF844" s="20"/>
      <c r="AG844" s="20"/>
      <c r="AH844" s="20"/>
      <c r="AI844" s="20"/>
    </row>
    <row r="845" spans="1:35" ht="12.75" hidden="1" customHeight="1">
      <c r="A845" s="402"/>
      <c r="B845" s="402"/>
      <c r="C845" s="403"/>
      <c r="D845" s="404"/>
      <c r="E845" s="405"/>
      <c r="F845" s="406"/>
      <c r="G845" s="407"/>
      <c r="H845" s="485"/>
      <c r="I845" s="494"/>
      <c r="J845" s="511"/>
      <c r="K845" s="258" t="s">
        <v>222</v>
      </c>
      <c r="L845" s="266" t="s">
        <v>528</v>
      </c>
      <c r="M845" s="146">
        <v>-2700</v>
      </c>
      <c r="N845" s="538">
        <f t="shared" si="96"/>
        <v>6869.0700940000133</v>
      </c>
      <c r="O845" s="42"/>
      <c r="P845" s="133">
        <v>-262</v>
      </c>
      <c r="Q845" s="72">
        <f t="shared" si="94"/>
        <v>-19224.617278481004</v>
      </c>
      <c r="R845" s="45">
        <f t="shared" si="95"/>
        <v>775.38272151899582</v>
      </c>
      <c r="S845" s="373" t="s">
        <v>441</v>
      </c>
      <c r="T845" s="391"/>
      <c r="U845" s="65"/>
      <c r="V845" s="20"/>
      <c r="W845" s="20"/>
      <c r="X845" s="91"/>
      <c r="Y845" s="111"/>
      <c r="Z845" s="239"/>
      <c r="AA845" s="94"/>
      <c r="AB845" s="95"/>
      <c r="AC845" s="20"/>
      <c r="AD845" s="20"/>
      <c r="AE845" s="20"/>
      <c r="AF845" s="20"/>
      <c r="AG845" s="20"/>
      <c r="AH845" s="20"/>
      <c r="AI845" s="20"/>
    </row>
    <row r="846" spans="1:35" ht="12.75" hidden="1" customHeight="1">
      <c r="A846" s="671" t="s">
        <v>421</v>
      </c>
      <c r="B846" s="671"/>
      <c r="C846" s="671"/>
      <c r="D846" s="671"/>
      <c r="E846" s="671"/>
      <c r="F846" s="50"/>
      <c r="G846" s="370"/>
      <c r="H846" s="758"/>
      <c r="I846" s="495"/>
      <c r="J846" s="709"/>
      <c r="K846" s="258" t="s">
        <v>222</v>
      </c>
      <c r="L846" s="266" t="s">
        <v>333</v>
      </c>
      <c r="M846" s="45">
        <v>-250</v>
      </c>
      <c r="N846" s="538">
        <f t="shared" si="96"/>
        <v>6619.0700940000133</v>
      </c>
      <c r="O846" s="26"/>
      <c r="P846" s="133">
        <v>-488.6</v>
      </c>
      <c r="Q846" s="72">
        <f>Q845+P846</f>
        <v>-19713.217278481003</v>
      </c>
      <c r="R846" s="45">
        <f>20000+Q846</f>
        <v>286.78272151899728</v>
      </c>
      <c r="S846" s="373" t="s">
        <v>258</v>
      </c>
      <c r="T846" s="391"/>
      <c r="U846" s="84"/>
      <c r="V846" s="20"/>
      <c r="W846" s="20"/>
      <c r="X846" s="20"/>
      <c r="Y846" s="111"/>
      <c r="Z846" s="239"/>
      <c r="AA846" s="94"/>
      <c r="AB846" s="26"/>
      <c r="AC846" s="20"/>
      <c r="AD846" s="20"/>
      <c r="AE846" s="20"/>
      <c r="AF846" s="20"/>
      <c r="AG846" s="761"/>
      <c r="AH846" s="20"/>
      <c r="AI846" s="20"/>
    </row>
    <row r="847" spans="1:35" ht="12.75" hidden="1" customHeight="1">
      <c r="A847" s="402"/>
      <c r="B847" s="402"/>
      <c r="C847" s="403"/>
      <c r="D847" s="404"/>
      <c r="E847" s="405"/>
      <c r="F847" s="50"/>
      <c r="G847" s="370"/>
      <c r="H847" s="758"/>
      <c r="I847" s="495"/>
      <c r="J847" s="709"/>
      <c r="K847" s="258" t="s">
        <v>222</v>
      </c>
      <c r="L847" s="266" t="s">
        <v>195</v>
      </c>
      <c r="M847" s="45">
        <v>-1738</v>
      </c>
      <c r="N847" s="538">
        <f t="shared" si="96"/>
        <v>4881.0700940000133</v>
      </c>
      <c r="O847" s="26"/>
      <c r="P847" s="133">
        <v>800</v>
      </c>
      <c r="Q847" s="72">
        <f>Q846+P847</f>
        <v>-18913.217278481003</v>
      </c>
      <c r="R847" s="45">
        <f>20000+Q847</f>
        <v>1086.7827215189973</v>
      </c>
      <c r="S847" s="373" t="s">
        <v>544</v>
      </c>
      <c r="T847" s="391" t="s">
        <v>545</v>
      </c>
      <c r="U847" s="20"/>
      <c r="V847" s="20"/>
      <c r="W847" s="20"/>
      <c r="X847" s="20"/>
      <c r="Y847" s="111"/>
      <c r="Z847" s="239"/>
      <c r="AA847" s="94"/>
      <c r="AB847" s="26"/>
      <c r="AC847" s="20"/>
      <c r="AD847" s="20"/>
      <c r="AE847" s="20"/>
      <c r="AF847" s="20"/>
      <c r="AG847" s="20"/>
      <c r="AH847" s="20"/>
      <c r="AI847" s="20"/>
    </row>
    <row r="848" spans="1:35" ht="12.75" hidden="1" customHeight="1">
      <c r="A848" s="333"/>
      <c r="B848" s="333"/>
      <c r="C848" s="402"/>
      <c r="D848" s="408"/>
      <c r="E848" s="133"/>
      <c r="F848" s="50"/>
      <c r="G848" s="370"/>
      <c r="H848" s="758"/>
      <c r="I848" s="753"/>
      <c r="J848" s="517"/>
      <c r="K848" s="85" t="s">
        <v>222</v>
      </c>
      <c r="L848" s="266" t="s">
        <v>180</v>
      </c>
      <c r="M848" s="45">
        <v>-59</v>
      </c>
      <c r="N848" s="538">
        <f t="shared" si="96"/>
        <v>4822.0700940000133</v>
      </c>
      <c r="O848" s="26"/>
      <c r="P848" s="49">
        <f>E839</f>
        <v>2204.29</v>
      </c>
      <c r="Q848" s="73">
        <f t="shared" si="94"/>
        <v>-16708.927278481002</v>
      </c>
      <c r="R848" s="45">
        <f t="shared" si="95"/>
        <v>3291.0727215189982</v>
      </c>
      <c r="S848" s="373" t="s">
        <v>546</v>
      </c>
      <c r="T848" s="372" t="s">
        <v>280</v>
      </c>
      <c r="U848" s="20"/>
      <c r="V848" s="26"/>
      <c r="W848" s="26"/>
      <c r="X848" s="91"/>
      <c r="Y848" s="20"/>
      <c r="Z848" s="239"/>
      <c r="AA848" s="94"/>
      <c r="AB848" s="26"/>
      <c r="AC848" s="20"/>
      <c r="AD848" s="20"/>
      <c r="AE848" s="20"/>
      <c r="AF848" s="20"/>
      <c r="AG848" s="20"/>
      <c r="AH848" s="20"/>
      <c r="AI848" s="20"/>
    </row>
    <row r="849" spans="1:35" ht="12.75" hidden="1" customHeight="1">
      <c r="A849" s="333"/>
      <c r="B849" s="333"/>
      <c r="C849" s="333"/>
      <c r="D849" s="408"/>
      <c r="E849" s="133"/>
      <c r="F849" s="50"/>
      <c r="G849" s="370"/>
      <c r="H849" s="758"/>
      <c r="I849" s="510"/>
      <c r="J849" s="709"/>
      <c r="K849" s="258" t="s">
        <v>222</v>
      </c>
      <c r="L849" s="266" t="s">
        <v>61</v>
      </c>
      <c r="M849" s="45">
        <v>-252.5</v>
      </c>
      <c r="N849" s="538">
        <f t="shared" si="96"/>
        <v>4569.5700940000133</v>
      </c>
      <c r="O849" s="26"/>
      <c r="P849" s="64">
        <f>SUM(P833:P848)</f>
        <v>-16708.927278481002</v>
      </c>
      <c r="Q849" s="287" t="s">
        <v>243</v>
      </c>
      <c r="R849" s="317"/>
      <c r="S849" s="611"/>
      <c r="T849" s="372"/>
      <c r="U849" s="20"/>
      <c r="V849" s="26"/>
      <c r="W849" s="26"/>
      <c r="X849" s="91"/>
      <c r="Y849" s="20"/>
      <c r="Z849" s="239"/>
      <c r="AA849" s="94"/>
      <c r="AB849" s="26"/>
      <c r="AC849" s="20"/>
      <c r="AD849" s="20"/>
      <c r="AE849" s="20"/>
      <c r="AF849" s="20"/>
      <c r="AG849" s="20"/>
      <c r="AH849" s="20"/>
      <c r="AI849" s="20"/>
    </row>
    <row r="850" spans="1:35" ht="12.75" hidden="1" customHeight="1">
      <c r="A850" s="333"/>
      <c r="B850" s="333"/>
      <c r="C850" s="333"/>
      <c r="D850" s="48"/>
      <c r="E850" s="133"/>
      <c r="F850" s="50"/>
      <c r="G850" s="409"/>
      <c r="H850" s="758"/>
      <c r="K850" s="258" t="s">
        <v>371</v>
      </c>
      <c r="L850" s="266" t="s">
        <v>148</v>
      </c>
      <c r="M850" s="45">
        <v>250</v>
      </c>
      <c r="N850" s="538">
        <f t="shared" si="96"/>
        <v>4819.5700940000133</v>
      </c>
      <c r="O850" s="274"/>
      <c r="P850" s="68"/>
      <c r="Q850" s="585"/>
      <c r="R850" s="131"/>
      <c r="S850" s="373"/>
      <c r="T850" s="372"/>
      <c r="U850" s="20"/>
      <c r="V850" s="26"/>
      <c r="W850" s="26"/>
      <c r="X850" s="91"/>
      <c r="Y850" s="20"/>
      <c r="Z850" s="239"/>
      <c r="AA850" s="94"/>
      <c r="AB850" s="26"/>
      <c r="AC850" s="20"/>
      <c r="AD850" s="20"/>
      <c r="AE850" s="20"/>
      <c r="AF850" s="20"/>
      <c r="AG850" s="20"/>
      <c r="AH850" s="20"/>
      <c r="AI850" s="20"/>
    </row>
    <row r="851" spans="1:35" ht="12.75" hidden="1" customHeight="1">
      <c r="A851" s="333"/>
      <c r="B851" s="333"/>
      <c r="C851" s="410"/>
      <c r="D851" s="404"/>
      <c r="E851" s="405"/>
      <c r="F851" s="50"/>
      <c r="G851" s="409"/>
      <c r="H851" s="758"/>
      <c r="K851" s="85" t="s">
        <v>189</v>
      </c>
      <c r="L851" s="267" t="s">
        <v>16</v>
      </c>
      <c r="M851" s="175">
        <v>-713.99</v>
      </c>
      <c r="N851" s="538">
        <f t="shared" si="96"/>
        <v>4105.5800940000136</v>
      </c>
      <c r="O851" s="253"/>
      <c r="P851" s="68"/>
      <c r="Q851" s="63"/>
      <c r="R851" s="63"/>
      <c r="S851" s="373"/>
      <c r="T851" s="759"/>
      <c r="U851" s="20"/>
      <c r="V851" s="26"/>
      <c r="W851" s="26"/>
      <c r="X851" s="91"/>
      <c r="Y851" s="20"/>
      <c r="Z851" s="239"/>
      <c r="AA851" s="94"/>
      <c r="AB851" s="26"/>
      <c r="AC851" s="20"/>
      <c r="AD851" s="20"/>
      <c r="AE851" s="20"/>
      <c r="AF851" s="20"/>
      <c r="AG851" s="20"/>
      <c r="AH851" s="20"/>
      <c r="AI851" s="20"/>
    </row>
    <row r="852" spans="1:35" ht="12.75" hidden="1" customHeight="1">
      <c r="A852" s="333"/>
      <c r="B852" s="333"/>
      <c r="C852" s="333"/>
      <c r="D852" s="411"/>
      <c r="E852" s="133"/>
      <c r="F852" s="50"/>
      <c r="G852" s="409"/>
      <c r="H852" s="758"/>
      <c r="I852" s="235"/>
      <c r="J852" s="709"/>
      <c r="K852" s="258" t="s">
        <v>189</v>
      </c>
      <c r="L852" s="268" t="s">
        <v>56</v>
      </c>
      <c r="M852" s="175">
        <v>-900</v>
      </c>
      <c r="N852" s="538">
        <f t="shared" si="96"/>
        <v>3205.5800940000136</v>
      </c>
      <c r="O852" s="253"/>
      <c r="P852" s="666"/>
      <c r="Q852" s="667"/>
      <c r="R852" s="45"/>
      <c r="S852" s="373"/>
      <c r="T852" s="759"/>
      <c r="U852" s="20"/>
      <c r="V852" s="26"/>
      <c r="W852" s="26"/>
      <c r="X852" s="91"/>
      <c r="Y852" s="20"/>
      <c r="Z852" s="239"/>
      <c r="AA852" s="94"/>
      <c r="AB852" s="26"/>
      <c r="AC852" s="20"/>
      <c r="AD852" s="20"/>
      <c r="AE852" s="20"/>
      <c r="AF852" s="20"/>
      <c r="AG852" s="20"/>
      <c r="AH852" s="20"/>
      <c r="AI852" s="20"/>
    </row>
    <row r="853" spans="1:35" ht="12.75" hidden="1" customHeight="1">
      <c r="A853" s="333"/>
      <c r="B853" s="333"/>
      <c r="C853" s="333"/>
      <c r="D853" s="408"/>
      <c r="E853" s="133"/>
      <c r="F853" s="50"/>
      <c r="G853" s="409"/>
      <c r="H853" s="758"/>
      <c r="I853" s="543"/>
      <c r="J853" s="521"/>
      <c r="K853" s="258" t="s">
        <v>189</v>
      </c>
      <c r="L853" s="116" t="s">
        <v>224</v>
      </c>
      <c r="M853" s="45">
        <v>-561.33000000000004</v>
      </c>
      <c r="N853" s="538">
        <f t="shared" si="96"/>
        <v>2644.2500940000136</v>
      </c>
      <c r="O853" s="253"/>
      <c r="P853" s="588"/>
      <c r="Q853" s="589"/>
      <c r="R853" s="63"/>
      <c r="S853" s="373"/>
      <c r="T853" s="759"/>
      <c r="U853" s="20"/>
      <c r="V853" s="26"/>
      <c r="W853" s="26"/>
      <c r="X853" s="91"/>
      <c r="Y853" s="20"/>
      <c r="Z853" s="239"/>
      <c r="AA853" s="94"/>
      <c r="AB853" s="26"/>
      <c r="AC853" s="20"/>
      <c r="AD853" s="20"/>
      <c r="AE853" s="20"/>
      <c r="AF853" s="20"/>
      <c r="AG853" s="20"/>
      <c r="AH853" s="20"/>
      <c r="AI853" s="20"/>
    </row>
    <row r="854" spans="1:35" ht="12.75" hidden="1" customHeight="1">
      <c r="A854" s="333"/>
      <c r="B854" s="333"/>
      <c r="C854" s="333"/>
      <c r="D854" s="408"/>
      <c r="E854" s="133"/>
      <c r="F854" s="50"/>
      <c r="G854" s="409"/>
      <c r="H854" s="762"/>
      <c r="I854" s="543"/>
      <c r="J854" s="521"/>
      <c r="K854" s="258"/>
      <c r="L854" s="116" t="s">
        <v>548</v>
      </c>
      <c r="M854" s="45">
        <v>-47.52</v>
      </c>
      <c r="N854" s="538">
        <f t="shared" si="96"/>
        <v>2596.7300940000137</v>
      </c>
      <c r="O854" s="253"/>
      <c r="P854" s="588"/>
      <c r="Q854" s="589"/>
      <c r="R854" s="63"/>
      <c r="S854" s="373"/>
      <c r="T854" s="763"/>
      <c r="U854" s="20"/>
      <c r="V854" s="26"/>
      <c r="W854" s="26"/>
      <c r="X854" s="91"/>
      <c r="Y854" s="20"/>
      <c r="Z854" s="239"/>
      <c r="AA854" s="94"/>
      <c r="AB854" s="26"/>
      <c r="AC854" s="20"/>
      <c r="AD854" s="20"/>
      <c r="AE854" s="20"/>
      <c r="AF854" s="20"/>
      <c r="AG854" s="20"/>
      <c r="AH854" s="20"/>
      <c r="AI854" s="20"/>
    </row>
    <row r="855" spans="1:35" ht="12.75" hidden="1" customHeight="1">
      <c r="A855" s="333"/>
      <c r="B855" s="333"/>
      <c r="C855" s="333"/>
      <c r="D855" s="408"/>
      <c r="E855" s="412"/>
      <c r="F855" s="50"/>
      <c r="G855" s="409"/>
      <c r="H855" s="758"/>
      <c r="K855" s="258" t="s">
        <v>190</v>
      </c>
      <c r="L855" s="268" t="s">
        <v>375</v>
      </c>
      <c r="M855" s="175">
        <f>-63.85</f>
        <v>-63.85</v>
      </c>
      <c r="N855" s="538">
        <f t="shared" si="96"/>
        <v>2532.8800940000137</v>
      </c>
      <c r="O855" s="253"/>
      <c r="U855" s="20"/>
      <c r="V855" s="26"/>
      <c r="W855" s="26"/>
      <c r="X855" s="91"/>
      <c r="Y855" s="20"/>
      <c r="Z855" s="239"/>
      <c r="AA855" s="94"/>
      <c r="AB855" s="26"/>
      <c r="AC855" s="20"/>
      <c r="AD855" s="20"/>
      <c r="AE855" s="20"/>
      <c r="AF855" s="20"/>
      <c r="AG855" s="20"/>
      <c r="AH855" s="20"/>
      <c r="AI855" s="20"/>
    </row>
    <row r="856" spans="1:35" ht="12.75" hidden="1" customHeight="1">
      <c r="A856" s="333"/>
      <c r="B856" s="333"/>
      <c r="C856" s="410"/>
      <c r="D856" s="561"/>
      <c r="E856" s="405"/>
      <c r="F856" s="50"/>
      <c r="G856" s="409"/>
      <c r="H856" s="758"/>
      <c r="I856" s="532"/>
      <c r="J856" s="533"/>
      <c r="K856" s="321" t="s">
        <v>190</v>
      </c>
      <c r="L856" s="269" t="s">
        <v>23</v>
      </c>
      <c r="M856" s="366">
        <v>-272.7</v>
      </c>
      <c r="N856" s="566">
        <f t="shared" si="96"/>
        <v>2260.1800940000139</v>
      </c>
      <c r="O856" s="253"/>
      <c r="U856" s="20"/>
      <c r="V856" s="26"/>
      <c r="W856" s="26"/>
      <c r="X856" s="91"/>
      <c r="Y856" s="20"/>
      <c r="Z856" s="239"/>
      <c r="AA856" s="94"/>
      <c r="AB856" s="26"/>
      <c r="AC856" s="20"/>
      <c r="AD856" s="20"/>
      <c r="AE856" s="20"/>
      <c r="AF856" s="20"/>
      <c r="AG856" s="20"/>
      <c r="AH856" s="20"/>
      <c r="AI856" s="20"/>
    </row>
    <row r="857" spans="1:35" ht="12.75" hidden="1" customHeight="1">
      <c r="A857" s="333"/>
      <c r="B857" s="333"/>
      <c r="C857" s="333"/>
      <c r="D857" s="408"/>
      <c r="E857" s="133"/>
      <c r="F857" s="50"/>
      <c r="G857" s="409"/>
      <c r="H857" s="758"/>
      <c r="I857" s="20"/>
      <c r="J857" s="534"/>
      <c r="L857" s="23"/>
      <c r="M857" s="168">
        <f>SUM(M833:M856)</f>
        <v>2260.1800940000139</v>
      </c>
      <c r="N857" s="296"/>
      <c r="O857" s="253"/>
      <c r="U857" s="20"/>
      <c r="V857" s="26"/>
      <c r="W857" s="26"/>
      <c r="X857" s="91"/>
      <c r="Y857" s="20"/>
      <c r="Z857" s="239"/>
      <c r="AA857" s="94"/>
      <c r="AB857" s="26"/>
      <c r="AC857" s="20"/>
      <c r="AD857" s="20"/>
      <c r="AE857" s="20"/>
      <c r="AF857" s="20"/>
      <c r="AG857" s="20"/>
      <c r="AH857" s="20"/>
      <c r="AI857" s="20"/>
    </row>
    <row r="858" spans="1:35" s="78" customFormat="1" ht="12.75" hidden="1" customHeight="1">
      <c r="A858" s="424"/>
      <c r="B858" s="424"/>
      <c r="C858" s="424"/>
      <c r="D858" s="645"/>
      <c r="E858" s="425"/>
      <c r="F858" s="426"/>
      <c r="G858" s="427"/>
      <c r="H858" s="516"/>
      <c r="J858" s="583"/>
      <c r="K858" s="257"/>
      <c r="M858" s="15"/>
      <c r="O858" s="15"/>
      <c r="P858" s="15"/>
      <c r="Q858" s="15"/>
      <c r="R858" s="15"/>
      <c r="S858" s="385"/>
      <c r="V858" s="15"/>
      <c r="W858" s="15"/>
      <c r="X858" s="158"/>
      <c r="Z858" s="159"/>
      <c r="AA858" s="160"/>
      <c r="AB858" s="15"/>
    </row>
    <row r="859" spans="1:35" hidden="1"/>
    <row r="860" spans="1:35" ht="12.75" hidden="1" customHeight="1">
      <c r="B860" s="1030" t="s">
        <v>543</v>
      </c>
      <c r="C860" s="1030"/>
      <c r="D860" s="1030"/>
      <c r="E860" s="1030"/>
      <c r="G860" s="261"/>
      <c r="H860" s="658"/>
      <c r="I860" s="26"/>
      <c r="K860" s="258"/>
      <c r="L860" s="100"/>
      <c r="M860" s="1031" t="s">
        <v>54</v>
      </c>
      <c r="N860" s="764"/>
      <c r="O860" s="770"/>
      <c r="P860" s="1033" t="s">
        <v>48</v>
      </c>
      <c r="Q860" s="1035" t="s">
        <v>510</v>
      </c>
      <c r="R860" s="1035"/>
      <c r="S860" s="377"/>
      <c r="X860" s="35"/>
      <c r="Y860" s="35"/>
      <c r="Z860" s="26"/>
      <c r="AA860" s="771"/>
      <c r="AB860" s="26"/>
      <c r="AC860" s="20"/>
      <c r="AD860" s="20"/>
      <c r="AE860" s="20"/>
      <c r="AF860" s="20"/>
      <c r="AG860" s="20"/>
      <c r="AH860" s="20"/>
      <c r="AI860" s="20"/>
    </row>
    <row r="861" spans="1:35" ht="12.75" hidden="1" customHeight="1">
      <c r="C861" s="17" t="s">
        <v>357</v>
      </c>
      <c r="D861" s="14"/>
      <c r="E861" s="44">
        <v>8490.68</v>
      </c>
      <c r="G861" s="1036"/>
      <c r="H861" s="1036"/>
      <c r="I861" s="26"/>
      <c r="K861" s="260" t="s">
        <v>221</v>
      </c>
      <c r="L861" s="156"/>
      <c r="M861" s="1032"/>
      <c r="N861" s="764" t="s">
        <v>43</v>
      </c>
      <c r="O861" s="770"/>
      <c r="P861" s="1034"/>
      <c r="Q861" s="765" t="s">
        <v>43</v>
      </c>
      <c r="R861" s="766" t="s">
        <v>53</v>
      </c>
      <c r="S861" s="377"/>
      <c r="X861" s="118"/>
      <c r="Y861" s="111"/>
      <c r="Z861" s="117"/>
      <c r="AA861" s="89"/>
      <c r="AB861" s="90"/>
      <c r="AC861" s="20"/>
      <c r="AD861" s="41"/>
      <c r="AE861" s="20"/>
      <c r="AF861" s="20"/>
      <c r="AG861" s="20"/>
      <c r="AH861" s="20"/>
      <c r="AI861" s="20"/>
    </row>
    <row r="862" spans="1:35" ht="12.75" hidden="1" customHeight="1">
      <c r="C862" s="17"/>
      <c r="D862" s="14" t="s">
        <v>24</v>
      </c>
      <c r="E862" s="44">
        <f>'[2]JUNE ''13'!$C$35</f>
        <v>2941.8999999999996</v>
      </c>
      <c r="G862" s="30"/>
      <c r="H862" s="624">
        <f>SUM(E862:E863)</f>
        <v>2941.8999999999996</v>
      </c>
      <c r="I862" s="26"/>
      <c r="K862" s="273"/>
      <c r="L862" s="235" t="s">
        <v>226</v>
      </c>
      <c r="M862" s="45">
        <f>$M$857</f>
        <v>2260.1800940000139</v>
      </c>
      <c r="N862" s="71">
        <f>M862</f>
        <v>2260.1800940000139</v>
      </c>
      <c r="O862" s="26"/>
      <c r="P862" s="45">
        <f>$Q$848</f>
        <v>-16708.927278481002</v>
      </c>
      <c r="Q862" s="71">
        <f>P862</f>
        <v>-16708.927278481002</v>
      </c>
      <c r="R862" s="45">
        <f>20000+Q862</f>
        <v>3291.0727215189982</v>
      </c>
      <c r="S862" s="378" t="s">
        <v>298</v>
      </c>
      <c r="T862" s="367" t="s">
        <v>299</v>
      </c>
      <c r="W862" s="392"/>
      <c r="X862" s="111"/>
      <c r="Y862" s="111"/>
      <c r="Z862" s="45"/>
      <c r="AA862" s="488"/>
      <c r="AB862" s="26"/>
      <c r="AC862" s="20"/>
      <c r="AD862" s="92"/>
      <c r="AE862" s="93"/>
      <c r="AF862" s="20"/>
      <c r="AG862" s="20"/>
      <c r="AH862" s="20"/>
      <c r="AI862" s="20"/>
    </row>
    <row r="863" spans="1:35" ht="12.75" hidden="1" customHeight="1">
      <c r="C863" s="17"/>
      <c r="D863" s="143" t="s">
        <v>225</v>
      </c>
      <c r="E863" s="15"/>
      <c r="G863"/>
      <c r="H863" s="624"/>
      <c r="I863" s="26"/>
      <c r="K863" s="273"/>
      <c r="L863" s="235" t="s">
        <v>385</v>
      </c>
      <c r="M863" s="45">
        <v>-498.05</v>
      </c>
      <c r="N863" s="538">
        <f>N862+M863</f>
        <v>1762.130094000014</v>
      </c>
      <c r="O863" s="65"/>
      <c r="P863" s="133">
        <v>-133.47999999999999</v>
      </c>
      <c r="Q863" s="72">
        <f t="shared" ref="Q863:Q877" si="97">Q862+P863</f>
        <v>-16842.407278481001</v>
      </c>
      <c r="R863" s="45">
        <f t="shared" ref="R863:R877" si="98">20000+Q863</f>
        <v>3157.5927215189986</v>
      </c>
      <c r="S863" s="373" t="s">
        <v>258</v>
      </c>
      <c r="T863" s="391"/>
      <c r="W863" s="111"/>
      <c r="X863" s="111"/>
      <c r="Y863" s="112"/>
      <c r="Z863" s="55"/>
      <c r="AA863" s="489"/>
      <c r="AB863" s="95"/>
      <c r="AC863" s="20"/>
      <c r="AD863" s="41"/>
      <c r="AE863" s="93"/>
      <c r="AF863" s="20"/>
      <c r="AG863" s="20"/>
      <c r="AH863" s="20"/>
      <c r="AI863" s="20"/>
    </row>
    <row r="864" spans="1:35" ht="12.75" hidden="1" customHeight="1">
      <c r="C864" s="18" t="s">
        <v>5</v>
      </c>
      <c r="D864" s="14"/>
      <c r="E864" s="14">
        <f>SUM(E861:E863)</f>
        <v>11432.58</v>
      </c>
      <c r="G864" s="242"/>
      <c r="H864" s="492"/>
      <c r="I864" s="242"/>
      <c r="J864" s="315"/>
      <c r="K864" s="273"/>
      <c r="L864" s="235" t="s">
        <v>102</v>
      </c>
      <c r="M864" s="45">
        <v>-1000</v>
      </c>
      <c r="N864" s="538">
        <f>N863+M864</f>
        <v>762.13009400001397</v>
      </c>
      <c r="O864" s="49"/>
      <c r="P864" s="133">
        <v>-150</v>
      </c>
      <c r="Q864" s="72">
        <f t="shared" si="97"/>
        <v>-16992.407278481001</v>
      </c>
      <c r="R864" s="45">
        <f t="shared" si="98"/>
        <v>3007.5927215189986</v>
      </c>
      <c r="S864" s="373" t="s">
        <v>547</v>
      </c>
      <c r="T864" s="373"/>
      <c r="U864" s="111"/>
      <c r="V864" s="20"/>
      <c r="W864" s="111"/>
      <c r="X864" s="111"/>
      <c r="Y864" s="112"/>
      <c r="Z864" s="55"/>
      <c r="AA864" s="489"/>
      <c r="AB864" s="26"/>
      <c r="AC864" s="20"/>
      <c r="AD864" s="92"/>
      <c r="AE864" s="93"/>
      <c r="AF864" s="20"/>
      <c r="AG864" s="20"/>
      <c r="AH864" s="20"/>
      <c r="AI864" s="20"/>
    </row>
    <row r="865" spans="1:35" ht="12.75" hidden="1" customHeight="1">
      <c r="G865" s="20"/>
      <c r="H865" s="490"/>
      <c r="I865" s="45"/>
      <c r="J865" s="482"/>
      <c r="K865" s="297" t="s">
        <v>223</v>
      </c>
      <c r="L865" s="184" t="s">
        <v>227</v>
      </c>
      <c r="M865" s="45">
        <v>-337</v>
      </c>
      <c r="N865" s="538">
        <f t="shared" ref="N865:N888" si="99">N864+M865</f>
        <v>425.13009400001397</v>
      </c>
      <c r="O865" s="49"/>
      <c r="P865" s="133">
        <v>-562.29999999999995</v>
      </c>
      <c r="Q865" s="72">
        <f t="shared" si="97"/>
        <v>-17554.707278481001</v>
      </c>
      <c r="R865" s="45">
        <f t="shared" si="98"/>
        <v>2445.2927215189993</v>
      </c>
      <c r="S865" s="373" t="s">
        <v>270</v>
      </c>
      <c r="T865" s="373" t="s">
        <v>549</v>
      </c>
      <c r="U865" s="20"/>
      <c r="V865" s="45"/>
      <c r="W865" s="112"/>
      <c r="X865" s="112"/>
      <c r="Y865" s="112"/>
      <c r="Z865" s="55"/>
      <c r="AA865" s="489"/>
      <c r="AB865" s="26"/>
      <c r="AC865" s="20"/>
      <c r="AD865" s="92"/>
      <c r="AE865" s="93"/>
      <c r="AF865" s="20"/>
      <c r="AG865" s="20"/>
      <c r="AH865" s="20"/>
      <c r="AI865" s="20"/>
    </row>
    <row r="866" spans="1:35" ht="12.75" hidden="1" customHeight="1">
      <c r="A866" s="319"/>
      <c r="C866" s="81" t="s">
        <v>17</v>
      </c>
      <c r="E866" s="42"/>
      <c r="G866"/>
      <c r="H866" s="767"/>
      <c r="I866" s="315"/>
      <c r="J866" s="315"/>
      <c r="K866" s="273"/>
      <c r="L866" s="184" t="s">
        <v>24</v>
      </c>
      <c r="M866" s="45">
        <v>1000</v>
      </c>
      <c r="N866" s="538">
        <f t="shared" si="99"/>
        <v>1425.130094000014</v>
      </c>
      <c r="O866" s="39"/>
      <c r="P866" s="133">
        <v>-238.32</v>
      </c>
      <c r="Q866" s="72">
        <f t="shared" si="97"/>
        <v>-17793.027278481</v>
      </c>
      <c r="R866" s="45">
        <f t="shared" si="98"/>
        <v>2206.9727215189996</v>
      </c>
      <c r="S866" s="373" t="s">
        <v>378</v>
      </c>
      <c r="T866" s="391"/>
      <c r="U866" s="20"/>
      <c r="V866" s="45"/>
      <c r="W866" s="103"/>
      <c r="X866" s="111"/>
      <c r="Y866" s="112"/>
      <c r="Z866" s="55"/>
      <c r="AA866" s="489"/>
      <c r="AB866" s="95"/>
      <c r="AC866" s="20"/>
      <c r="AD866" s="96"/>
      <c r="AE866" s="93"/>
      <c r="AF866" s="20"/>
      <c r="AG866" s="20"/>
      <c r="AH866" s="20"/>
      <c r="AI866" s="20"/>
    </row>
    <row r="867" spans="1:35" ht="12.75" hidden="1" customHeight="1">
      <c r="A867" s="319"/>
      <c r="D867" s="20" t="s">
        <v>14</v>
      </c>
      <c r="E867" s="42">
        <f>E861</f>
        <v>8490.68</v>
      </c>
      <c r="F867" s="20"/>
      <c r="G867" s="20"/>
      <c r="H867" s="490">
        <f>G868+E868</f>
        <v>2941.8999999999996</v>
      </c>
      <c r="I867" s="315"/>
      <c r="J867" s="315"/>
      <c r="K867" s="273"/>
      <c r="L867" s="184" t="s">
        <v>385</v>
      </c>
      <c r="M867" s="45">
        <v>-512.79</v>
      </c>
      <c r="N867" s="538">
        <f t="shared" si="99"/>
        <v>912.34009400001401</v>
      </c>
      <c r="O867" s="39"/>
      <c r="P867" s="133">
        <f>-M864</f>
        <v>1000</v>
      </c>
      <c r="Q867" s="72">
        <f t="shared" si="97"/>
        <v>-16793.027278481</v>
      </c>
      <c r="R867" s="45">
        <f t="shared" si="98"/>
        <v>3206.9727215189996</v>
      </c>
      <c r="S867" s="373" t="s">
        <v>247</v>
      </c>
      <c r="T867" s="391"/>
      <c r="U867" s="20"/>
      <c r="V867" s="45"/>
      <c r="W867" s="111"/>
      <c r="X867" s="111"/>
      <c r="Y867" s="112"/>
      <c r="Z867" s="55"/>
      <c r="AA867" s="489"/>
      <c r="AB867" s="26"/>
      <c r="AC867" s="20"/>
      <c r="AD867" s="41"/>
      <c r="AE867" s="93"/>
      <c r="AF867" s="20"/>
      <c r="AG867" s="20"/>
      <c r="AH867" s="20"/>
      <c r="AI867" s="20"/>
    </row>
    <row r="868" spans="1:35" ht="12.75" hidden="1" customHeight="1" thickBot="1">
      <c r="A868" s="319"/>
      <c r="D868" s="78" t="s">
        <v>13</v>
      </c>
      <c r="E868" s="483">
        <f>SUM(E862:E863)</f>
        <v>2941.8999999999996</v>
      </c>
      <c r="F868" s="482" t="s">
        <v>364</v>
      </c>
      <c r="G868" s="1037"/>
      <c r="H868" s="1037"/>
      <c r="I868" s="315"/>
      <c r="K868" s="297"/>
      <c r="L868" s="116" t="s">
        <v>524</v>
      </c>
      <c r="M868" s="45">
        <v>-9</v>
      </c>
      <c r="N868" s="538">
        <f t="shared" si="99"/>
        <v>903.34009400001401</v>
      </c>
      <c r="O868" s="39"/>
      <c r="P868" s="133">
        <v>-90</v>
      </c>
      <c r="Q868" s="72">
        <f t="shared" si="97"/>
        <v>-16883.027278481</v>
      </c>
      <c r="R868" s="45">
        <f t="shared" si="98"/>
        <v>3116.9727215189996</v>
      </c>
      <c r="S868" s="373" t="s">
        <v>551</v>
      </c>
      <c r="T868" s="391"/>
      <c r="U868" s="20"/>
      <c r="V868" s="133"/>
      <c r="W868" s="20"/>
      <c r="X868" s="20"/>
      <c r="Y868" s="112"/>
      <c r="Z868" s="239"/>
      <c r="AA868" s="94"/>
      <c r="AB868" s="26"/>
      <c r="AC868" s="20"/>
      <c r="AD868" s="92"/>
      <c r="AE868" s="93"/>
      <c r="AF868" s="20"/>
      <c r="AG868" s="20"/>
      <c r="AH868" s="20"/>
      <c r="AI868" s="20"/>
    </row>
    <row r="869" spans="1:35" ht="12.75" hidden="1" customHeight="1" thickTop="1">
      <c r="A869" s="319"/>
      <c r="D869" s="20"/>
      <c r="E869" s="26"/>
      <c r="F869" s="122"/>
      <c r="G869" s="1038">
        <f>E867+E868+G868</f>
        <v>11432.58</v>
      </c>
      <c r="H869" s="1038"/>
      <c r="I869" s="315"/>
      <c r="J869" s="21"/>
      <c r="K869" s="297"/>
      <c r="L869" s="116" t="s">
        <v>556</v>
      </c>
      <c r="M869" s="45">
        <v>100</v>
      </c>
      <c r="N869" s="538">
        <f t="shared" si="99"/>
        <v>1003.340094000014</v>
      </c>
      <c r="O869" s="39"/>
      <c r="P869" s="133">
        <v>-549.58000000000004</v>
      </c>
      <c r="Q869" s="72">
        <f t="shared" si="97"/>
        <v>-17432.607278481002</v>
      </c>
      <c r="R869" s="45">
        <f t="shared" si="98"/>
        <v>2567.3927215189979</v>
      </c>
      <c r="S869" s="373" t="s">
        <v>270</v>
      </c>
      <c r="T869" s="391" t="s">
        <v>549</v>
      </c>
      <c r="U869" s="20"/>
      <c r="V869" s="45"/>
      <c r="W869" s="26"/>
      <c r="X869" s="20"/>
      <c r="Y869" s="112"/>
      <c r="Z869" s="239"/>
      <c r="AA869" s="94"/>
      <c r="AB869" s="95"/>
      <c r="AC869" s="20"/>
      <c r="AD869" s="92"/>
      <c r="AE869" s="93"/>
      <c r="AF869" s="20"/>
      <c r="AG869" s="20"/>
      <c r="AH869" s="20"/>
      <c r="AI869" s="20"/>
    </row>
    <row r="870" spans="1:35" ht="12.75" hidden="1" customHeight="1">
      <c r="A870" s="319"/>
      <c r="D870" s="20"/>
      <c r="E870" s="26"/>
      <c r="F870" s="122"/>
      <c r="G870" s="768"/>
      <c r="H870" s="768"/>
      <c r="I870" s="315"/>
      <c r="J870" s="21"/>
      <c r="K870" s="297"/>
      <c r="L870" s="116" t="s">
        <v>385</v>
      </c>
      <c r="M870" s="45">
        <v>-499.06</v>
      </c>
      <c r="N870" s="538">
        <f t="shared" si="99"/>
        <v>504.280094000014</v>
      </c>
      <c r="O870" s="39"/>
      <c r="P870" s="133">
        <v>-338</v>
      </c>
      <c r="Q870" s="72">
        <f t="shared" si="97"/>
        <v>-17770.607278481002</v>
      </c>
      <c r="R870" s="45">
        <f t="shared" si="98"/>
        <v>2229.3927215189979</v>
      </c>
      <c r="S870" s="373" t="s">
        <v>270</v>
      </c>
      <c r="T870" s="391" t="s">
        <v>549</v>
      </c>
      <c r="U870" s="20"/>
      <c r="V870" s="45"/>
      <c r="W870" s="26"/>
      <c r="X870" s="20"/>
      <c r="Y870" s="112"/>
      <c r="Z870" s="239"/>
      <c r="AA870" s="94"/>
      <c r="AB870" s="26"/>
      <c r="AC870" s="20"/>
      <c r="AD870" s="92"/>
      <c r="AE870" s="97"/>
      <c r="AF870" s="20"/>
      <c r="AG870" s="20"/>
      <c r="AH870" s="20"/>
      <c r="AI870" s="20"/>
    </row>
    <row r="871" spans="1:35" ht="12.75" hidden="1" customHeight="1">
      <c r="A871" s="319"/>
      <c r="D871" s="20"/>
      <c r="E871" s="26"/>
      <c r="F871" s="122"/>
      <c r="G871" s="768"/>
      <c r="H871" s="768"/>
      <c r="I871" s="315"/>
      <c r="J871" s="21"/>
      <c r="K871" s="297"/>
      <c r="L871" s="116" t="s">
        <v>557</v>
      </c>
      <c r="M871" s="45">
        <v>-370.6</v>
      </c>
      <c r="N871" s="538">
        <f t="shared" si="99"/>
        <v>133.68009400001398</v>
      </c>
      <c r="O871" s="39"/>
      <c r="P871" s="133">
        <v>-249.95</v>
      </c>
      <c r="Q871" s="72">
        <f t="shared" si="97"/>
        <v>-18020.557278481003</v>
      </c>
      <c r="R871" s="45">
        <f t="shared" si="98"/>
        <v>1979.4427215189971</v>
      </c>
      <c r="S871" s="373" t="s">
        <v>553</v>
      </c>
      <c r="T871" s="391"/>
      <c r="U871" s="74"/>
      <c r="V871" s="26"/>
      <c r="W871" s="26"/>
      <c r="X871" s="91"/>
      <c r="Y871" s="20"/>
      <c r="Z871" s="239"/>
      <c r="AA871" s="94"/>
      <c r="AB871" s="95"/>
      <c r="AC871" s="20"/>
      <c r="AD871" s="98"/>
      <c r="AE871" s="93"/>
      <c r="AF871" s="771"/>
      <c r="AG871" s="20"/>
      <c r="AH871" s="20"/>
      <c r="AI871" s="20"/>
    </row>
    <row r="872" spans="1:35" ht="12.75" hidden="1" customHeight="1">
      <c r="A872" s="319"/>
      <c r="D872" s="20"/>
      <c r="E872" s="26"/>
      <c r="F872" s="406"/>
      <c r="G872" s="407"/>
      <c r="H872" s="484"/>
      <c r="I872" s="315"/>
      <c r="J872" s="709"/>
      <c r="K872" s="297"/>
      <c r="L872" s="116" t="s">
        <v>24</v>
      </c>
      <c r="M872" s="45">
        <v>532.53</v>
      </c>
      <c r="N872" s="538">
        <f t="shared" si="99"/>
        <v>666.2100940000139</v>
      </c>
      <c r="O872" s="39"/>
      <c r="P872" s="133">
        <v>-297</v>
      </c>
      <c r="Q872" s="72">
        <f t="shared" si="97"/>
        <v>-18317.557278481003</v>
      </c>
      <c r="R872" s="45">
        <f t="shared" si="98"/>
        <v>1682.4427215189971</v>
      </c>
      <c r="S872" s="373" t="s">
        <v>473</v>
      </c>
      <c r="T872" s="391"/>
      <c r="U872" s="65"/>
      <c r="V872" s="26"/>
      <c r="W872" s="26"/>
      <c r="X872" s="35"/>
      <c r="Y872" s="20"/>
      <c r="Z872" s="239"/>
      <c r="AA872" s="94"/>
      <c r="AB872" s="26"/>
      <c r="AC872" s="20"/>
      <c r="AD872" s="20"/>
      <c r="AE872" s="20"/>
      <c r="AF872" s="99"/>
      <c r="AG872" s="20"/>
      <c r="AH872" s="20"/>
      <c r="AI872" s="20"/>
    </row>
    <row r="873" spans="1:35" ht="12.75" hidden="1" customHeight="1">
      <c r="A873" s="671"/>
      <c r="B873" s="671"/>
      <c r="C873" s="671"/>
      <c r="D873" s="671"/>
      <c r="E873" s="671"/>
      <c r="F873" s="671"/>
      <c r="G873" s="671"/>
      <c r="H873" s="485"/>
      <c r="I873" s="493"/>
      <c r="J873" s="511"/>
      <c r="K873" s="297"/>
      <c r="L873" s="116" t="s">
        <v>343</v>
      </c>
      <c r="M873" s="45">
        <v>-517.29</v>
      </c>
      <c r="N873" s="538">
        <f t="shared" si="99"/>
        <v>148.92009400001393</v>
      </c>
      <c r="O873" s="39"/>
      <c r="P873" s="133">
        <v>-460.19</v>
      </c>
      <c r="Q873" s="72">
        <f t="shared" si="97"/>
        <v>-18777.747278481002</v>
      </c>
      <c r="R873" s="45">
        <f t="shared" si="98"/>
        <v>1222.2527215189984</v>
      </c>
      <c r="S873" s="373" t="s">
        <v>270</v>
      </c>
      <c r="T873" s="391" t="s">
        <v>554</v>
      </c>
      <c r="U873" s="65"/>
      <c r="V873" s="20"/>
      <c r="W873" s="20"/>
      <c r="X873" s="20"/>
      <c r="Y873" s="111"/>
      <c r="Z873" s="239"/>
      <c r="AA873" s="94"/>
      <c r="AB873" s="26"/>
      <c r="AC873" s="20"/>
      <c r="AD873" s="20"/>
      <c r="AE873" s="20"/>
      <c r="AF873" s="20"/>
      <c r="AG873" s="20"/>
      <c r="AH873" s="20"/>
      <c r="AI873" s="20"/>
    </row>
    <row r="874" spans="1:35" ht="12.75" hidden="1" customHeight="1">
      <c r="A874" s="402"/>
      <c r="B874" s="402"/>
      <c r="C874" s="403"/>
      <c r="D874" s="404"/>
      <c r="E874" s="405"/>
      <c r="F874" s="406"/>
      <c r="G874" s="407"/>
      <c r="H874" s="485"/>
      <c r="I874" s="494"/>
      <c r="J874" s="511"/>
      <c r="K874" s="297"/>
      <c r="L874" s="116" t="s">
        <v>112</v>
      </c>
      <c r="M874" s="45">
        <v>-100</v>
      </c>
      <c r="N874" s="538">
        <f t="shared" si="99"/>
        <v>48.920094000013933</v>
      </c>
      <c r="O874" s="42"/>
      <c r="P874" s="133">
        <v>-266.89</v>
      </c>
      <c r="Q874" s="72">
        <f t="shared" si="97"/>
        <v>-19044.637278481001</v>
      </c>
      <c r="R874" s="45">
        <f t="shared" si="98"/>
        <v>955.36272151899902</v>
      </c>
      <c r="S874" s="373" t="s">
        <v>270</v>
      </c>
      <c r="T874" s="391"/>
      <c r="U874" s="65"/>
      <c r="V874" s="20"/>
      <c r="W874" s="20"/>
      <c r="X874" s="91"/>
      <c r="Y874" s="111"/>
      <c r="Z874" s="239"/>
      <c r="AA874" s="94"/>
      <c r="AB874" s="95"/>
      <c r="AC874" s="20"/>
      <c r="AD874" s="20"/>
      <c r="AE874" s="20"/>
      <c r="AF874" s="20"/>
      <c r="AG874" s="20"/>
      <c r="AH874" s="20"/>
      <c r="AI874" s="20"/>
    </row>
    <row r="875" spans="1:35" ht="12.75" hidden="1" customHeight="1">
      <c r="A875" s="671" t="s">
        <v>421</v>
      </c>
      <c r="B875" s="671"/>
      <c r="C875" s="671"/>
      <c r="D875" s="671"/>
      <c r="E875" s="671"/>
      <c r="F875" s="50"/>
      <c r="G875" s="370"/>
      <c r="H875" s="768"/>
      <c r="I875" s="495"/>
      <c r="J875" s="709"/>
      <c r="K875" s="258" t="s">
        <v>222</v>
      </c>
      <c r="L875" s="266" t="s">
        <v>51</v>
      </c>
      <c r="M875" s="146">
        <v>4000</v>
      </c>
      <c r="N875" s="538">
        <f t="shared" si="99"/>
        <v>4048.9200940000137</v>
      </c>
      <c r="O875" s="26"/>
      <c r="P875" s="133">
        <v>1000</v>
      </c>
      <c r="Q875" s="72">
        <f t="shared" si="97"/>
        <v>-18044.637278481001</v>
      </c>
      <c r="R875" s="45">
        <f t="shared" si="98"/>
        <v>1955.362721518999</v>
      </c>
      <c r="S875" s="373" t="s">
        <v>280</v>
      </c>
      <c r="T875" s="391"/>
      <c r="U875" s="84"/>
      <c r="V875" s="20"/>
      <c r="W875" s="20"/>
      <c r="X875" s="20"/>
      <c r="Y875" s="111"/>
      <c r="Z875" s="239"/>
      <c r="AA875" s="94"/>
      <c r="AB875" s="26"/>
      <c r="AC875" s="20"/>
      <c r="AD875" s="20"/>
      <c r="AE875" s="20"/>
      <c r="AF875" s="20"/>
      <c r="AG875" s="771"/>
      <c r="AH875" s="20"/>
      <c r="AI875" s="20"/>
    </row>
    <row r="876" spans="1:35" ht="12.75" hidden="1" customHeight="1">
      <c r="A876" s="402"/>
      <c r="B876" s="402"/>
      <c r="C876" s="403"/>
      <c r="D876" s="404"/>
      <c r="E876" s="405"/>
      <c r="F876" s="50"/>
      <c r="G876" s="370"/>
      <c r="H876" s="768"/>
      <c r="I876" s="495"/>
      <c r="J876" s="709"/>
      <c r="K876" s="258" t="s">
        <v>222</v>
      </c>
      <c r="L876" s="266" t="s">
        <v>542</v>
      </c>
      <c r="M876" s="146">
        <v>-2700</v>
      </c>
      <c r="N876" s="538">
        <f t="shared" si="99"/>
        <v>1348.9200940000137</v>
      </c>
      <c r="O876" s="26"/>
      <c r="P876" s="133">
        <v>-186.21</v>
      </c>
      <c r="Q876" s="72">
        <f t="shared" si="97"/>
        <v>-18230.847278481</v>
      </c>
      <c r="R876" s="45">
        <f t="shared" si="98"/>
        <v>1769.1527215189999</v>
      </c>
      <c r="S876" s="373" t="s">
        <v>258</v>
      </c>
      <c r="T876" s="391"/>
      <c r="U876" s="20"/>
      <c r="V876" s="20"/>
      <c r="W876" s="20"/>
      <c r="X876" s="20"/>
      <c r="Y876" s="111"/>
      <c r="Z876" s="239"/>
      <c r="AA876" s="94"/>
      <c r="AB876" s="26"/>
      <c r="AC876" s="20"/>
      <c r="AD876" s="20"/>
      <c r="AE876" s="20"/>
      <c r="AF876" s="20"/>
      <c r="AG876" s="20"/>
      <c r="AH876" s="20"/>
      <c r="AI876" s="20"/>
    </row>
    <row r="877" spans="1:35" ht="12.75" hidden="1" customHeight="1">
      <c r="A877" s="333"/>
      <c r="B877" s="333"/>
      <c r="C877" s="402"/>
      <c r="D877" s="408"/>
      <c r="E877" s="133"/>
      <c r="F877" s="50"/>
      <c r="G877" s="370"/>
      <c r="H877" s="768"/>
      <c r="I877" s="753"/>
      <c r="J877" s="517"/>
      <c r="K877" s="258" t="s">
        <v>222</v>
      </c>
      <c r="L877" s="266" t="s">
        <v>333</v>
      </c>
      <c r="M877" s="45">
        <v>-250</v>
      </c>
      <c r="N877" s="538">
        <f t="shared" si="99"/>
        <v>1098.9200940000137</v>
      </c>
      <c r="O877" s="26"/>
      <c r="P877" s="133">
        <v>-147.85</v>
      </c>
      <c r="Q877" s="72">
        <f t="shared" si="97"/>
        <v>-18378.697278480999</v>
      </c>
      <c r="R877" s="45">
        <f t="shared" si="98"/>
        <v>1621.3027215190014</v>
      </c>
      <c r="S877" s="373" t="s">
        <v>462</v>
      </c>
      <c r="T877" s="391"/>
      <c r="U877" s="20"/>
      <c r="V877" s="26"/>
      <c r="W877" s="26"/>
      <c r="X877" s="91"/>
      <c r="Y877" s="20"/>
      <c r="Z877" s="239"/>
      <c r="AA877" s="94"/>
      <c r="AB877" s="26"/>
      <c r="AC877" s="20"/>
      <c r="AD877" s="20"/>
      <c r="AE877" s="20"/>
      <c r="AF877" s="20"/>
      <c r="AG877" s="20"/>
      <c r="AH877" s="20"/>
      <c r="AI877" s="20"/>
    </row>
    <row r="878" spans="1:35" ht="12.75" hidden="1" customHeight="1">
      <c r="A878" s="333"/>
      <c r="B878" s="333"/>
      <c r="C878" s="333"/>
      <c r="D878" s="408"/>
      <c r="E878" s="133"/>
      <c r="F878" s="50"/>
      <c r="G878" s="370"/>
      <c r="H878" s="768"/>
      <c r="I878" s="510"/>
      <c r="J878" s="709"/>
      <c r="K878" s="258" t="s">
        <v>222</v>
      </c>
      <c r="L878" s="266" t="s">
        <v>195</v>
      </c>
      <c r="M878" s="45">
        <v>-1738</v>
      </c>
      <c r="N878" s="538">
        <f t="shared" si="99"/>
        <v>-639.07990599998629</v>
      </c>
      <c r="O878" s="26"/>
      <c r="P878" s="133">
        <v>-532.53</v>
      </c>
      <c r="Q878" s="72">
        <f>Q877+P878</f>
        <v>-18911.227278480997</v>
      </c>
      <c r="R878" s="45">
        <f>20000+Q878</f>
        <v>1088.7727215190025</v>
      </c>
      <c r="S878" s="373" t="s">
        <v>270</v>
      </c>
      <c r="T878" s="391" t="s">
        <v>549</v>
      </c>
      <c r="U878" s="20"/>
      <c r="V878" s="26"/>
      <c r="W878" s="26"/>
      <c r="X878" s="91"/>
      <c r="Y878" s="20"/>
      <c r="Z878" s="239"/>
      <c r="AA878" s="94"/>
      <c r="AB878" s="26"/>
      <c r="AC878" s="20"/>
      <c r="AD878" s="20"/>
      <c r="AE878" s="20"/>
      <c r="AF878" s="20"/>
      <c r="AG878" s="20"/>
      <c r="AH878" s="20"/>
      <c r="AI878" s="20"/>
    </row>
    <row r="879" spans="1:35" ht="12.75" hidden="1" customHeight="1">
      <c r="A879" s="333"/>
      <c r="B879" s="333"/>
      <c r="C879" s="333"/>
      <c r="D879" s="48"/>
      <c r="E879" s="133"/>
      <c r="F879" s="50"/>
      <c r="G879" s="409"/>
      <c r="H879" s="768"/>
      <c r="K879" s="85" t="s">
        <v>222</v>
      </c>
      <c r="L879" s="266" t="s">
        <v>180</v>
      </c>
      <c r="M879" s="45">
        <v>-59</v>
      </c>
      <c r="N879" s="538">
        <f t="shared" si="99"/>
        <v>-698.07990599998629</v>
      </c>
      <c r="O879" s="274"/>
      <c r="P879" s="49">
        <f>E868</f>
        <v>2941.8999999999996</v>
      </c>
      <c r="Q879" s="73">
        <f>Q878+P879</f>
        <v>-15969.327278480998</v>
      </c>
      <c r="R879" s="45">
        <f>20000+Q879</f>
        <v>4030.6727215190022</v>
      </c>
      <c r="S879" s="373"/>
      <c r="T879" s="372"/>
      <c r="U879" s="20"/>
      <c r="V879" s="26"/>
      <c r="W879" s="26"/>
      <c r="X879" s="91"/>
      <c r="Y879" s="20"/>
      <c r="Z879" s="239"/>
      <c r="AA879" s="94"/>
      <c r="AB879" s="26"/>
      <c r="AC879" s="20"/>
      <c r="AD879" s="20"/>
      <c r="AE879" s="20"/>
      <c r="AF879" s="20"/>
      <c r="AG879" s="20"/>
      <c r="AH879" s="20"/>
      <c r="AI879" s="20"/>
    </row>
    <row r="880" spans="1:35" ht="12.75" hidden="1" customHeight="1">
      <c r="A880" s="333"/>
      <c r="B880" s="333"/>
      <c r="C880" s="410"/>
      <c r="D880" s="404"/>
      <c r="E880" s="405"/>
      <c r="F880" s="50"/>
      <c r="G880" s="409"/>
      <c r="H880" s="768"/>
      <c r="K880" s="258" t="s">
        <v>222</v>
      </c>
      <c r="L880" s="266" t="s">
        <v>61</v>
      </c>
      <c r="M880" s="45">
        <v>-252.5</v>
      </c>
      <c r="N880" s="538">
        <f t="shared" si="99"/>
        <v>-950.57990599998629</v>
      </c>
      <c r="O880" s="253"/>
      <c r="P880" s="64">
        <f>SUM(P862:P879)</f>
        <v>-15969.327278480998</v>
      </c>
      <c r="Q880" s="287" t="s">
        <v>243</v>
      </c>
      <c r="R880" s="317"/>
      <c r="S880" s="611"/>
      <c r="T880" s="372"/>
      <c r="U880" s="20"/>
      <c r="V880" s="26"/>
      <c r="W880" s="26"/>
      <c r="X880" s="91"/>
      <c r="Y880" s="20"/>
      <c r="Z880" s="239"/>
      <c r="AA880" s="94"/>
      <c r="AB880" s="26"/>
      <c r="AC880" s="20"/>
      <c r="AD880" s="20"/>
      <c r="AE880" s="20"/>
      <c r="AF880" s="20"/>
      <c r="AG880" s="20"/>
      <c r="AH880" s="20"/>
      <c r="AI880" s="20"/>
    </row>
    <row r="881" spans="1:35" ht="12.75" hidden="1" customHeight="1">
      <c r="A881" s="333"/>
      <c r="B881" s="333"/>
      <c r="C881" s="333"/>
      <c r="D881" s="411"/>
      <c r="E881" s="133"/>
      <c r="F881" s="50"/>
      <c r="G881" s="409"/>
      <c r="H881" s="768"/>
      <c r="I881" s="235"/>
      <c r="J881" s="709"/>
      <c r="K881" s="258" t="s">
        <v>371</v>
      </c>
      <c r="L881" s="266" t="s">
        <v>148</v>
      </c>
      <c r="M881" s="45">
        <v>1000</v>
      </c>
      <c r="N881" s="538">
        <f t="shared" si="99"/>
        <v>49.420094000013705</v>
      </c>
      <c r="O881" s="253"/>
      <c r="P881" s="68"/>
      <c r="Q881" s="585"/>
      <c r="R881" s="131"/>
      <c r="S881" s="373"/>
      <c r="T881" s="372"/>
      <c r="U881" s="20"/>
      <c r="V881" s="26"/>
      <c r="W881" s="26"/>
      <c r="X881" s="91"/>
      <c r="Y881" s="20"/>
      <c r="Z881" s="239"/>
      <c r="AA881" s="94"/>
      <c r="AB881" s="26"/>
      <c r="AC881" s="20"/>
      <c r="AD881" s="20"/>
      <c r="AE881" s="20"/>
      <c r="AF881" s="20"/>
      <c r="AG881" s="20"/>
      <c r="AH881" s="20"/>
      <c r="AI881" s="20"/>
    </row>
    <row r="882" spans="1:35" ht="12.75" hidden="1" customHeight="1">
      <c r="A882" s="333"/>
      <c r="B882" s="333"/>
      <c r="C882" s="333"/>
      <c r="D882" s="408"/>
      <c r="E882" s="133"/>
      <c r="F882" s="50"/>
      <c r="G882" s="409"/>
      <c r="H882" s="768"/>
      <c r="I882" s="543"/>
      <c r="J882" s="521"/>
      <c r="K882" s="258"/>
      <c r="L882" s="266" t="s">
        <v>51</v>
      </c>
      <c r="M882" s="45">
        <f>E867-M875</f>
        <v>4490.68</v>
      </c>
      <c r="N882" s="538">
        <f t="shared" si="99"/>
        <v>4540.100094000014</v>
      </c>
      <c r="O882" s="253"/>
      <c r="P882" s="68"/>
      <c r="Q882" s="63"/>
      <c r="R882" s="63"/>
      <c r="S882" s="373"/>
      <c r="T882" s="769"/>
      <c r="U882" s="20"/>
      <c r="V882" s="26"/>
      <c r="W882" s="26"/>
      <c r="X882" s="91"/>
      <c r="Y882" s="20"/>
      <c r="Z882" s="239"/>
      <c r="AA882" s="94"/>
      <c r="AB882" s="26"/>
      <c r="AC882" s="20"/>
      <c r="AD882" s="20"/>
      <c r="AE882" s="20"/>
      <c r="AF882" s="20"/>
      <c r="AG882" s="20"/>
      <c r="AH882" s="20"/>
      <c r="AI882" s="20"/>
    </row>
    <row r="883" spans="1:35" ht="12.75" hidden="1" customHeight="1">
      <c r="A883" s="333"/>
      <c r="B883" s="333"/>
      <c r="C883" s="333"/>
      <c r="D883" s="408"/>
      <c r="E883" s="412"/>
      <c r="F883" s="50"/>
      <c r="G883" s="409"/>
      <c r="H883" s="768"/>
      <c r="K883" s="85" t="s">
        <v>189</v>
      </c>
      <c r="L883" s="267" t="s">
        <v>16</v>
      </c>
      <c r="M883" s="175">
        <v>-723.99</v>
      </c>
      <c r="N883" s="538">
        <f t="shared" si="99"/>
        <v>3816.1100940000142</v>
      </c>
      <c r="O883" s="253"/>
      <c r="P883" s="666"/>
      <c r="Q883" s="667"/>
      <c r="R883" s="45"/>
      <c r="S883" s="373"/>
      <c r="T883" s="769"/>
      <c r="U883" s="20"/>
      <c r="V883" s="26"/>
      <c r="W883" s="26"/>
      <c r="X883" s="91"/>
      <c r="Y883" s="20"/>
      <c r="Z883" s="239"/>
      <c r="AA883" s="94"/>
      <c r="AB883" s="26"/>
      <c r="AC883" s="20"/>
      <c r="AD883" s="20"/>
      <c r="AE883" s="20"/>
      <c r="AF883" s="20"/>
      <c r="AG883" s="20"/>
      <c r="AH883" s="20"/>
      <c r="AI883" s="20"/>
    </row>
    <row r="884" spans="1:35" ht="12.75" hidden="1" customHeight="1">
      <c r="A884" s="333"/>
      <c r="B884" s="333"/>
      <c r="C884" s="410"/>
      <c r="D884" s="561"/>
      <c r="E884" s="405"/>
      <c r="F884" s="50"/>
      <c r="G884" s="409"/>
      <c r="H884" s="768"/>
      <c r="I884" s="532"/>
      <c r="J884" s="533"/>
      <c r="K884" s="258" t="s">
        <v>189</v>
      </c>
      <c r="L884" s="268" t="s">
        <v>56</v>
      </c>
      <c r="M884" s="175">
        <v>-1060</v>
      </c>
      <c r="N884" s="538">
        <f t="shared" si="99"/>
        <v>2756.1100940000142</v>
      </c>
      <c r="O884" s="253"/>
      <c r="P884" s="588"/>
      <c r="Q884" s="589"/>
      <c r="R884" s="63"/>
      <c r="S884" s="373"/>
      <c r="T884" s="769"/>
      <c r="U884" s="20"/>
      <c r="V884" s="26"/>
      <c r="W884" s="26"/>
      <c r="X884" s="91"/>
      <c r="Y884" s="20"/>
      <c r="Z884" s="239"/>
      <c r="AA884" s="94"/>
      <c r="AB884" s="26"/>
      <c r="AC884" s="20"/>
      <c r="AD884" s="20"/>
      <c r="AE884" s="20"/>
      <c r="AF884" s="20"/>
      <c r="AG884" s="20"/>
      <c r="AH884" s="20"/>
      <c r="AI884" s="20"/>
    </row>
    <row r="885" spans="1:35" ht="12.75" hidden="1" customHeight="1">
      <c r="A885" s="333"/>
      <c r="B885" s="333"/>
      <c r="C885" s="333"/>
      <c r="D885" s="408"/>
      <c r="E885" s="133"/>
      <c r="F885" s="50"/>
      <c r="G885" s="409"/>
      <c r="H885" s="768"/>
      <c r="I885" s="20"/>
      <c r="J885" s="534"/>
      <c r="K885" s="258" t="s">
        <v>189</v>
      </c>
      <c r="L885" s="116" t="s">
        <v>224</v>
      </c>
      <c r="M885" s="45">
        <v>-561.33000000000004</v>
      </c>
      <c r="N885" s="538">
        <f t="shared" si="99"/>
        <v>2194.7800940000143</v>
      </c>
      <c r="O885" s="253"/>
      <c r="P885" s="588"/>
      <c r="Q885" s="595"/>
      <c r="R885" s="591"/>
      <c r="S885" s="502"/>
      <c r="T885" s="503"/>
      <c r="U885" s="20"/>
      <c r="V885" s="26"/>
      <c r="W885" s="26"/>
      <c r="X885" s="91"/>
      <c r="Y885" s="20"/>
      <c r="Z885" s="239"/>
      <c r="AA885" s="94"/>
      <c r="AB885" s="26"/>
      <c r="AC885" s="20"/>
      <c r="AD885" s="20"/>
      <c r="AE885" s="20"/>
      <c r="AF885" s="20"/>
      <c r="AG885" s="20"/>
      <c r="AH885" s="20"/>
      <c r="AI885" s="20"/>
    </row>
    <row r="886" spans="1:35" ht="12.75" hidden="1" customHeight="1">
      <c r="A886" s="333"/>
      <c r="B886" s="333"/>
      <c r="C886" s="333"/>
      <c r="D886" s="408"/>
      <c r="E886" s="133"/>
      <c r="F886" s="50"/>
      <c r="G886" s="409"/>
      <c r="H886" s="768"/>
      <c r="I886" s="20"/>
      <c r="J886" s="504"/>
      <c r="K886" s="258" t="s">
        <v>190</v>
      </c>
      <c r="L886" s="268" t="s">
        <v>375</v>
      </c>
      <c r="M886" s="175">
        <f>-63.85</f>
        <v>-63.85</v>
      </c>
      <c r="N886" s="538">
        <f t="shared" si="99"/>
        <v>2130.9300940000144</v>
      </c>
      <c r="O886" s="26"/>
      <c r="P886" s="588"/>
      <c r="Q886" s="595"/>
      <c r="R886" s="591"/>
      <c r="S886" s="502"/>
      <c r="T886" s="503"/>
      <c r="U886" s="20"/>
      <c r="V886" s="26"/>
      <c r="W886" s="26"/>
      <c r="X886" s="91"/>
      <c r="Y886" s="20"/>
      <c r="Z886" s="239"/>
      <c r="AA886" s="94"/>
      <c r="AB886" s="26"/>
      <c r="AC886" s="20"/>
      <c r="AD886" s="20"/>
      <c r="AE886" s="20"/>
      <c r="AF886" s="20"/>
      <c r="AG886" s="20"/>
      <c r="AH886" s="20"/>
      <c r="AI886" s="20"/>
    </row>
    <row r="887" spans="1:35" ht="12.75" hidden="1" customHeight="1">
      <c r="A887" s="333"/>
      <c r="B887" s="333"/>
      <c r="C887" s="333"/>
      <c r="D887" s="408"/>
      <c r="E887" s="133"/>
      <c r="F887" s="50"/>
      <c r="G887" s="409"/>
      <c r="H887" s="773"/>
      <c r="I887" s="20"/>
      <c r="J887" s="504"/>
      <c r="K887" s="258" t="s">
        <v>190</v>
      </c>
      <c r="L887" s="268" t="s">
        <v>559</v>
      </c>
      <c r="M887" s="175">
        <v>-47.52</v>
      </c>
      <c r="N887" s="538">
        <f t="shared" si="99"/>
        <v>2083.4100940000144</v>
      </c>
      <c r="O887" s="26"/>
      <c r="P887" s="588"/>
      <c r="Q887" s="595"/>
      <c r="R887" s="591"/>
      <c r="S887" s="502"/>
      <c r="T887" s="503"/>
      <c r="U887" s="20"/>
      <c r="V887" s="26"/>
      <c r="W887" s="26"/>
      <c r="X887" s="91"/>
      <c r="Y887" s="20"/>
      <c r="Z887" s="239"/>
      <c r="AA887" s="94"/>
      <c r="AB887" s="26"/>
      <c r="AC887" s="20"/>
      <c r="AD887" s="20"/>
      <c r="AE887" s="20"/>
      <c r="AF887" s="20"/>
      <c r="AG887" s="20"/>
      <c r="AH887" s="20"/>
      <c r="AI887" s="20"/>
    </row>
    <row r="888" spans="1:35" ht="12.75" hidden="1" customHeight="1">
      <c r="A888" s="333"/>
      <c r="B888" s="333"/>
      <c r="C888" s="333"/>
      <c r="D888" s="408"/>
      <c r="E888" s="133"/>
      <c r="F888" s="50"/>
      <c r="G888" s="409"/>
      <c r="H888" s="768"/>
      <c r="I888" s="20"/>
      <c r="J888" s="504"/>
      <c r="K888" s="321" t="s">
        <v>190</v>
      </c>
      <c r="L888" s="269" t="s">
        <v>23</v>
      </c>
      <c r="M888" s="366">
        <v>-256.92</v>
      </c>
      <c r="N888" s="566">
        <f t="shared" si="99"/>
        <v>1826.4900940000143</v>
      </c>
      <c r="O888" s="239"/>
      <c r="P888" s="588"/>
      <c r="Q888" s="595"/>
      <c r="R888" s="591"/>
      <c r="S888" s="502"/>
      <c r="T888" s="503"/>
      <c r="U888" s="20"/>
      <c r="V888" s="26"/>
      <c r="W888" s="26"/>
      <c r="X888" s="91"/>
      <c r="Y888" s="20"/>
      <c r="Z888" s="239"/>
      <c r="AA888" s="94"/>
      <c r="AB888" s="26"/>
      <c r="AC888" s="20"/>
      <c r="AD888" s="20"/>
      <c r="AE888" s="20"/>
      <c r="AF888" s="20"/>
      <c r="AG888" s="20"/>
      <c r="AH888" s="20"/>
      <c r="AI888" s="20"/>
    </row>
    <row r="889" spans="1:35" ht="12.75" hidden="1" customHeight="1">
      <c r="A889" s="333"/>
      <c r="B889" s="333"/>
      <c r="C889" s="333"/>
      <c r="D889" s="408"/>
      <c r="E889" s="133"/>
      <c r="F889" s="50"/>
      <c r="G889" s="409"/>
      <c r="H889" s="768"/>
      <c r="I889" s="20"/>
      <c r="J889" s="504"/>
      <c r="L889" s="23"/>
      <c r="M889" s="168">
        <f>SUM(M862:M888)</f>
        <v>1826.4900940000143</v>
      </c>
      <c r="N889" s="296"/>
      <c r="O889" s="239"/>
      <c r="P889" s="588"/>
      <c r="Q889" s="595"/>
      <c r="R889" s="591"/>
      <c r="S889" s="502"/>
      <c r="T889" s="503"/>
      <c r="U889" s="20"/>
      <c r="V889" s="26"/>
      <c r="W889" s="26"/>
      <c r="X889" s="91"/>
      <c r="Y889" s="20"/>
      <c r="Z889" s="239"/>
      <c r="AA889" s="94"/>
      <c r="AB889" s="26"/>
      <c r="AC889" s="20"/>
      <c r="AD889" s="20"/>
      <c r="AE889" s="20"/>
      <c r="AF889" s="20"/>
      <c r="AG889" s="20"/>
      <c r="AH889" s="20"/>
      <c r="AI889" s="20"/>
    </row>
    <row r="890" spans="1:35" s="78" customFormat="1" ht="12.75" hidden="1" customHeight="1">
      <c r="A890" s="424"/>
      <c r="B890" s="424"/>
      <c r="C890" s="424"/>
      <c r="D890" s="425"/>
      <c r="E890" s="425"/>
      <c r="F890" s="426"/>
      <c r="G890" s="427"/>
      <c r="H890" s="516"/>
      <c r="I890" s="726"/>
      <c r="J890" s="583"/>
      <c r="K890" s="469"/>
      <c r="L890" s="129"/>
      <c r="M890" s="710"/>
      <c r="N890" s="584"/>
      <c r="O890" s="608"/>
      <c r="P890" s="680"/>
      <c r="Q890" s="681"/>
      <c r="R890" s="682"/>
      <c r="S890" s="683"/>
      <c r="T890" s="684"/>
      <c r="V890" s="15"/>
      <c r="W890" s="15"/>
      <c r="X890" s="158"/>
      <c r="Z890" s="159"/>
      <c r="AA890" s="160"/>
      <c r="AB890" s="15"/>
    </row>
    <row r="891" spans="1:35" ht="12.75" hidden="1" customHeight="1">
      <c r="A891" s="333"/>
      <c r="B891" s="333"/>
      <c r="C891" s="333"/>
      <c r="D891" s="133"/>
      <c r="E891" s="133"/>
      <c r="F891" s="50"/>
      <c r="G891" s="409"/>
      <c r="H891" s="509"/>
      <c r="I891" s="508"/>
      <c r="J891" s="504"/>
      <c r="K891" s="299"/>
      <c r="L891" s="184"/>
      <c r="M891" s="226"/>
      <c r="N891" s="679"/>
      <c r="O891" s="274"/>
      <c r="P891" s="588"/>
      <c r="Q891" s="590"/>
      <c r="R891" s="591"/>
      <c r="S891" s="592"/>
      <c r="T891" s="593"/>
      <c r="U891" s="20"/>
      <c r="V891" s="26"/>
      <c r="W891" s="26"/>
      <c r="X891" s="91"/>
      <c r="Y891" s="20"/>
      <c r="Z891" s="239"/>
      <c r="AA891" s="94"/>
      <c r="AB891" s="26"/>
      <c r="AC891" s="20"/>
      <c r="AD891" s="20"/>
      <c r="AE891" s="20"/>
      <c r="AF891" s="20"/>
      <c r="AG891" s="20"/>
      <c r="AH891" s="20"/>
      <c r="AI891" s="20"/>
    </row>
    <row r="892" spans="1:35" ht="12.75" hidden="1" customHeight="1">
      <c r="B892" s="1030" t="s">
        <v>558</v>
      </c>
      <c r="C892" s="1030"/>
      <c r="D892" s="1030"/>
      <c r="E892" s="1030"/>
      <c r="G892" s="261"/>
      <c r="H892" s="658"/>
      <c r="I892" s="26"/>
      <c r="K892" s="258"/>
      <c r="L892" s="100"/>
      <c r="M892" s="1031" t="s">
        <v>54</v>
      </c>
      <c r="N892" s="783"/>
      <c r="O892" s="789"/>
      <c r="P892" s="1033" t="s">
        <v>48</v>
      </c>
      <c r="Q892" s="1035" t="s">
        <v>510</v>
      </c>
      <c r="R892" s="1035"/>
      <c r="S892" s="377"/>
      <c r="X892" s="35"/>
      <c r="Y892" s="35"/>
      <c r="Z892" s="26"/>
      <c r="AA892" s="790"/>
      <c r="AB892" s="26"/>
      <c r="AC892" s="20"/>
      <c r="AD892" s="20"/>
      <c r="AE892" s="20"/>
      <c r="AF892" s="20"/>
      <c r="AG892" s="20"/>
      <c r="AH892" s="20"/>
      <c r="AI892" s="20"/>
    </row>
    <row r="893" spans="1:35" ht="12.75" hidden="1" customHeight="1">
      <c r="C893" s="17" t="s">
        <v>357</v>
      </c>
      <c r="D893" s="14"/>
      <c r="E893" s="44">
        <v>8490.68</v>
      </c>
      <c r="G893" s="1036"/>
      <c r="H893" s="1036"/>
      <c r="I893" s="26"/>
      <c r="K893" s="260" t="s">
        <v>221</v>
      </c>
      <c r="L893" s="156"/>
      <c r="M893" s="1032"/>
      <c r="N893" s="783" t="s">
        <v>43</v>
      </c>
      <c r="O893" s="789"/>
      <c r="P893" s="1034"/>
      <c r="Q893" s="784" t="s">
        <v>43</v>
      </c>
      <c r="R893" s="785" t="s">
        <v>53</v>
      </c>
      <c r="S893" s="377"/>
      <c r="X893" s="118"/>
      <c r="Y893" s="111"/>
      <c r="Z893" s="117"/>
      <c r="AA893" s="89"/>
      <c r="AB893" s="90"/>
      <c r="AC893" s="20"/>
      <c r="AD893" s="41"/>
      <c r="AE893" s="20"/>
      <c r="AF893" s="20"/>
      <c r="AG893" s="20"/>
      <c r="AH893" s="20"/>
      <c r="AI893" s="20"/>
    </row>
    <row r="894" spans="1:35" ht="12.75" hidden="1" customHeight="1">
      <c r="C894" s="17"/>
      <c r="D894" s="14" t="s">
        <v>24</v>
      </c>
      <c r="E894" s="44">
        <f>'[2]JULY ''13'!$C$35</f>
        <v>974.9200000000003</v>
      </c>
      <c r="G894" s="30"/>
      <c r="H894" s="624">
        <f>SUM(E894:E895)</f>
        <v>974.9200000000003</v>
      </c>
      <c r="I894" s="26"/>
      <c r="K894" s="273"/>
      <c r="L894" s="235" t="s">
        <v>226</v>
      </c>
      <c r="M894" s="45">
        <f>$M$889</f>
        <v>1826.4900940000143</v>
      </c>
      <c r="N894" s="71">
        <f>M894</f>
        <v>1826.4900940000143</v>
      </c>
      <c r="O894" s="26"/>
      <c r="P894" s="45">
        <f>$Q$879</f>
        <v>-15969.327278480998</v>
      </c>
      <c r="Q894" s="71">
        <f>P894</f>
        <v>-15969.327278480998</v>
      </c>
      <c r="R894" s="45">
        <f>20000+Q894</f>
        <v>4030.6727215190022</v>
      </c>
      <c r="S894" s="378" t="s">
        <v>298</v>
      </c>
      <c r="T894" s="367" t="s">
        <v>299</v>
      </c>
      <c r="W894" s="392"/>
      <c r="X894" s="111"/>
      <c r="Y894" s="111"/>
      <c r="Z894" s="45"/>
      <c r="AA894" s="488"/>
      <c r="AB894" s="26"/>
      <c r="AC894" s="20"/>
      <c r="AD894" s="92"/>
      <c r="AE894" s="93"/>
      <c r="AF894" s="20"/>
      <c r="AG894" s="20"/>
      <c r="AH894" s="20"/>
      <c r="AI894" s="20"/>
    </row>
    <row r="895" spans="1:35" ht="12.75" hidden="1" customHeight="1">
      <c r="C895" s="17"/>
      <c r="D895" s="143" t="s">
        <v>225</v>
      </c>
      <c r="E895" s="15"/>
      <c r="G895"/>
      <c r="H895" s="624"/>
      <c r="I895" s="26"/>
      <c r="K895" s="273"/>
      <c r="L895" s="116" t="s">
        <v>555</v>
      </c>
      <c r="M895" s="45">
        <v>-400</v>
      </c>
      <c r="N895" s="538">
        <f>N894+M895</f>
        <v>1426.4900940000143</v>
      </c>
      <c r="O895" s="65"/>
      <c r="P895" s="133">
        <v>-181.3</v>
      </c>
      <c r="Q895" s="72">
        <f t="shared" ref="Q895:Q909" si="100">Q894+P895</f>
        <v>-16150.627278480997</v>
      </c>
      <c r="R895" s="45">
        <f t="shared" ref="R895:R909" si="101">20000+Q895</f>
        <v>3849.3727215190029</v>
      </c>
      <c r="S895" s="373" t="s">
        <v>253</v>
      </c>
      <c r="T895" s="391"/>
      <c r="W895" s="111"/>
      <c r="X895" s="111"/>
      <c r="Y895" s="112"/>
      <c r="Z895" s="55"/>
      <c r="AA895" s="489"/>
      <c r="AB895" s="95"/>
      <c r="AC895" s="20"/>
      <c r="AD895" s="41"/>
      <c r="AE895" s="93"/>
      <c r="AF895" s="20"/>
      <c r="AG895" s="20"/>
      <c r="AH895" s="20"/>
      <c r="AI895" s="20"/>
    </row>
    <row r="896" spans="1:35" ht="12.75" hidden="1" customHeight="1">
      <c r="C896" s="18" t="s">
        <v>5</v>
      </c>
      <c r="D896" s="14"/>
      <c r="E896" s="14">
        <f>SUM(E893:E895)</f>
        <v>9465.6</v>
      </c>
      <c r="G896" s="242"/>
      <c r="H896" s="492"/>
      <c r="I896" s="242"/>
      <c r="J896" s="315"/>
      <c r="K896" s="297" t="s">
        <v>223</v>
      </c>
      <c r="L896" s="184" t="s">
        <v>227</v>
      </c>
      <c r="M896" s="45">
        <v>-337</v>
      </c>
      <c r="N896" s="538">
        <f>N895+M896</f>
        <v>1089.4900940000143</v>
      </c>
      <c r="O896" s="49"/>
      <c r="P896" s="133">
        <v>-401.51</v>
      </c>
      <c r="Q896" s="72">
        <f t="shared" si="100"/>
        <v>-16552.137278480997</v>
      </c>
      <c r="R896" s="45">
        <f t="shared" si="101"/>
        <v>3447.8627215190027</v>
      </c>
      <c r="S896" s="373" t="s">
        <v>270</v>
      </c>
      <c r="T896" s="373" t="s">
        <v>549</v>
      </c>
      <c r="U896" s="111"/>
      <c r="V896" s="20"/>
      <c r="W896" s="111"/>
      <c r="X896" s="111"/>
      <c r="Y896" s="112"/>
      <c r="Z896" s="55"/>
      <c r="AA896" s="489"/>
      <c r="AB896" s="26"/>
      <c r="AC896" s="20"/>
      <c r="AD896" s="92"/>
      <c r="AE896" s="93"/>
      <c r="AF896" s="20"/>
      <c r="AG896" s="20"/>
      <c r="AH896" s="20"/>
      <c r="AI896" s="20"/>
    </row>
    <row r="897" spans="1:35" ht="12.75" hidden="1" customHeight="1">
      <c r="G897" s="20"/>
      <c r="H897" s="490"/>
      <c r="I897" s="45"/>
      <c r="J897" s="482"/>
      <c r="K897" s="297"/>
      <c r="L897" s="116" t="s">
        <v>343</v>
      </c>
      <c r="M897" s="45">
        <v>-536.12</v>
      </c>
      <c r="N897" s="538">
        <f t="shared" ref="N897:N919" si="102">N896+M897</f>
        <v>553.37009400001432</v>
      </c>
      <c r="O897" s="49"/>
      <c r="P897" s="133">
        <v>-320</v>
      </c>
      <c r="Q897" s="72">
        <f t="shared" si="100"/>
        <v>-16872.137278480997</v>
      </c>
      <c r="R897" s="45">
        <f t="shared" si="101"/>
        <v>3127.8627215190027</v>
      </c>
      <c r="S897" s="373" t="s">
        <v>561</v>
      </c>
      <c r="T897" s="373" t="s">
        <v>560</v>
      </c>
      <c r="U897" s="20"/>
      <c r="V897" s="45"/>
      <c r="W897" s="112"/>
      <c r="X897" s="112"/>
      <c r="Y897" s="112"/>
      <c r="Z897" s="55"/>
      <c r="AA897" s="489"/>
      <c r="AB897" s="26"/>
      <c r="AC897" s="20"/>
      <c r="AD897" s="92"/>
      <c r="AE897" s="93"/>
      <c r="AF897" s="20"/>
      <c r="AG897" s="20"/>
      <c r="AH897" s="20"/>
      <c r="AI897" s="20"/>
    </row>
    <row r="898" spans="1:35" ht="12.75" hidden="1" customHeight="1">
      <c r="A898" s="319"/>
      <c r="C898" s="81" t="s">
        <v>17</v>
      </c>
      <c r="E898" s="42"/>
      <c r="G898"/>
      <c r="H898" s="787"/>
      <c r="I898" s="315"/>
      <c r="J898" s="315"/>
      <c r="K898" s="297"/>
      <c r="L898" s="116" t="s">
        <v>102</v>
      </c>
      <c r="M898" s="45">
        <f>-P898</f>
        <v>800</v>
      </c>
      <c r="N898" s="538">
        <f t="shared" si="102"/>
        <v>1353.3700940000144</v>
      </c>
      <c r="O898" s="39"/>
      <c r="P898" s="133">
        <v>-800</v>
      </c>
      <c r="Q898" s="72">
        <f t="shared" si="100"/>
        <v>-17672.137278480997</v>
      </c>
      <c r="R898" s="45">
        <f t="shared" si="101"/>
        <v>2327.8627215190027</v>
      </c>
      <c r="S898" s="373" t="s">
        <v>247</v>
      </c>
      <c r="T898" s="391"/>
      <c r="U898" s="20"/>
      <c r="V898" s="45"/>
      <c r="W898" s="103"/>
      <c r="X898" s="111"/>
      <c r="Y898" s="112"/>
      <c r="Z898" s="55"/>
      <c r="AA898" s="489"/>
      <c r="AB898" s="95"/>
      <c r="AC898" s="20"/>
      <c r="AD898" s="96"/>
      <c r="AE898" s="93"/>
      <c r="AF898" s="20"/>
      <c r="AG898" s="20"/>
      <c r="AH898" s="20"/>
      <c r="AI898" s="20"/>
    </row>
    <row r="899" spans="1:35" ht="12.75" hidden="1" customHeight="1">
      <c r="A899" s="319"/>
      <c r="D899" s="20" t="s">
        <v>14</v>
      </c>
      <c r="E899" s="42">
        <f>E893</f>
        <v>8490.68</v>
      </c>
      <c r="F899" s="20"/>
      <c r="G899" s="20"/>
      <c r="H899" s="490">
        <f>G900+E900</f>
        <v>974.9200000000003</v>
      </c>
      <c r="I899" s="315"/>
      <c r="J899" s="315"/>
      <c r="K899" s="297"/>
      <c r="L899" s="116" t="s">
        <v>562</v>
      </c>
      <c r="M899" s="45">
        <v>120</v>
      </c>
      <c r="N899" s="538">
        <f t="shared" si="102"/>
        <v>1473.3700940000144</v>
      </c>
      <c r="O899" s="39"/>
      <c r="P899" s="133">
        <v>1000</v>
      </c>
      <c r="Q899" s="72">
        <f t="shared" si="100"/>
        <v>-16672.137278480997</v>
      </c>
      <c r="R899" s="45">
        <f t="shared" si="101"/>
        <v>3327.8627215190027</v>
      </c>
      <c r="S899" s="373" t="s">
        <v>280</v>
      </c>
      <c r="T899" s="391"/>
      <c r="U899" s="20"/>
      <c r="V899" s="45"/>
      <c r="W899" s="111"/>
      <c r="X899" s="111"/>
      <c r="Y899" s="112"/>
      <c r="Z899" s="55"/>
      <c r="AA899" s="489"/>
      <c r="AB899" s="26"/>
      <c r="AC899" s="20"/>
      <c r="AD899" s="41"/>
      <c r="AE899" s="93"/>
      <c r="AF899" s="20"/>
      <c r="AG899" s="20"/>
      <c r="AH899" s="20"/>
      <c r="AI899" s="20"/>
    </row>
    <row r="900" spans="1:35" ht="12.75" hidden="1" customHeight="1" thickBot="1">
      <c r="A900" s="319"/>
      <c r="D900" s="78" t="s">
        <v>13</v>
      </c>
      <c r="E900" s="483">
        <f>SUM(E894:E895)</f>
        <v>974.9200000000003</v>
      </c>
      <c r="F900" s="482" t="s">
        <v>364</v>
      </c>
      <c r="G900" s="1037"/>
      <c r="H900" s="1037"/>
      <c r="I900" s="315"/>
      <c r="K900" s="297"/>
      <c r="L900" s="116" t="s">
        <v>524</v>
      </c>
      <c r="M900" s="45">
        <v>-9</v>
      </c>
      <c r="N900" s="538">
        <f t="shared" si="102"/>
        <v>1464.3700940000144</v>
      </c>
      <c r="O900" s="39"/>
      <c r="P900" s="133">
        <v>-66.97</v>
      </c>
      <c r="Q900" s="72">
        <f t="shared" si="100"/>
        <v>-16739.107278480999</v>
      </c>
      <c r="R900" s="45">
        <f t="shared" si="101"/>
        <v>3260.8927215190015</v>
      </c>
      <c r="S900" s="373" t="s">
        <v>270</v>
      </c>
      <c r="T900" s="391" t="s">
        <v>549</v>
      </c>
      <c r="U900" s="20"/>
      <c r="V900" s="133"/>
      <c r="W900" s="20"/>
      <c r="X900" s="20"/>
      <c r="Y900" s="112"/>
      <c r="Z900" s="239"/>
      <c r="AA900" s="94"/>
      <c r="AB900" s="26"/>
      <c r="AC900" s="20"/>
      <c r="AD900" s="92"/>
      <c r="AE900" s="93"/>
      <c r="AF900" s="20"/>
      <c r="AG900" s="20"/>
      <c r="AH900" s="20"/>
      <c r="AI900" s="20"/>
    </row>
    <row r="901" spans="1:35" ht="12.75" hidden="1" customHeight="1" thickTop="1">
      <c r="A901" s="319"/>
      <c r="D901" s="20"/>
      <c r="E901" s="26"/>
      <c r="F901" s="122"/>
      <c r="G901" s="1038">
        <f>E899+E900+G900</f>
        <v>9465.6</v>
      </c>
      <c r="H901" s="1038"/>
      <c r="I901" s="315"/>
      <c r="J901" s="21"/>
      <c r="K901" s="297"/>
      <c r="L901" s="116" t="s">
        <v>550</v>
      </c>
      <c r="M901" s="45">
        <f>-120*4-800</f>
        <v>-1280</v>
      </c>
      <c r="N901" s="538">
        <f t="shared" si="102"/>
        <v>184.37009400001443</v>
      </c>
      <c r="O901" s="39"/>
      <c r="P901" s="782">
        <v>-1672</v>
      </c>
      <c r="Q901" s="72">
        <f t="shared" si="100"/>
        <v>-18411.107278480999</v>
      </c>
      <c r="R901" s="45">
        <f t="shared" si="101"/>
        <v>1588.8927215190015</v>
      </c>
      <c r="S901" s="373" t="s">
        <v>563</v>
      </c>
      <c r="T901" s="391" t="s">
        <v>564</v>
      </c>
      <c r="U901" s="20"/>
      <c r="V901" s="45"/>
      <c r="W901" s="26"/>
      <c r="X901" s="20"/>
      <c r="Y901" s="112"/>
      <c r="Z901" s="239"/>
      <c r="AA901" s="94"/>
      <c r="AB901" s="95"/>
      <c r="AC901" s="20"/>
      <c r="AD901" s="92"/>
      <c r="AE901" s="93"/>
      <c r="AF901" s="20"/>
      <c r="AG901" s="20"/>
      <c r="AH901" s="20"/>
      <c r="AI901" s="20"/>
    </row>
    <row r="902" spans="1:35" ht="12.75" hidden="1" customHeight="1">
      <c r="A902" s="319"/>
      <c r="D902" s="20"/>
      <c r="E902" s="26"/>
      <c r="F902" s="122"/>
      <c r="G902" s="786"/>
      <c r="H902" s="786"/>
      <c r="I902" s="315"/>
      <c r="J902" s="21"/>
      <c r="K902" s="297"/>
      <c r="L902" s="116" t="s">
        <v>102</v>
      </c>
      <c r="M902" s="45">
        <f>-P904</f>
        <v>500</v>
      </c>
      <c r="N902" s="538">
        <f t="shared" si="102"/>
        <v>684.37009400001443</v>
      </c>
      <c r="O902" s="39"/>
      <c r="P902" s="133">
        <v>1000</v>
      </c>
      <c r="Q902" s="72">
        <f t="shared" si="100"/>
        <v>-17411.107278480999</v>
      </c>
      <c r="R902" s="45">
        <f t="shared" si="101"/>
        <v>2588.8927215190015</v>
      </c>
      <c r="S902" s="373" t="s">
        <v>280</v>
      </c>
      <c r="T902" s="391"/>
      <c r="U902" s="20"/>
      <c r="V902" s="45"/>
      <c r="W902" s="26"/>
      <c r="X902" s="20"/>
      <c r="Y902" s="112"/>
      <c r="Z902" s="239"/>
      <c r="AA902" s="94"/>
      <c r="AB902" s="26"/>
      <c r="AC902" s="20"/>
      <c r="AD902" s="92"/>
      <c r="AE902" s="97"/>
      <c r="AF902" s="20"/>
      <c r="AG902" s="20"/>
      <c r="AH902" s="20"/>
      <c r="AI902" s="20"/>
    </row>
    <row r="903" spans="1:35" ht="12.75" hidden="1" customHeight="1">
      <c r="A903" s="319"/>
      <c r="D903" s="20"/>
      <c r="E903" s="26"/>
      <c r="F903" s="122"/>
      <c r="G903" s="786"/>
      <c r="H903" s="786"/>
      <c r="I903" s="315"/>
      <c r="J903" s="21"/>
      <c r="K903" s="297"/>
      <c r="L903" s="116" t="s">
        <v>207</v>
      </c>
      <c r="M903" s="45">
        <v>-498.65</v>
      </c>
      <c r="N903" s="538">
        <f t="shared" si="102"/>
        <v>185.72009400001446</v>
      </c>
      <c r="O903" s="39"/>
      <c r="P903" s="133">
        <v>-500</v>
      </c>
      <c r="Q903" s="72">
        <f t="shared" si="100"/>
        <v>-17911.107278480999</v>
      </c>
      <c r="R903" s="45">
        <f t="shared" si="101"/>
        <v>2088.8927215190015</v>
      </c>
      <c r="S903" s="373" t="s">
        <v>247</v>
      </c>
      <c r="T903" s="391" t="s">
        <v>565</v>
      </c>
      <c r="U903" s="74"/>
      <c r="V903" s="26"/>
      <c r="W903" s="26"/>
      <c r="X903" s="91"/>
      <c r="Y903" s="20"/>
      <c r="Z903" s="239"/>
      <c r="AA903" s="94"/>
      <c r="AB903" s="95"/>
      <c r="AC903" s="20"/>
      <c r="AD903" s="98"/>
      <c r="AE903" s="93"/>
      <c r="AF903" s="790"/>
      <c r="AG903" s="20"/>
      <c r="AH903" s="20"/>
      <c r="AI903" s="20"/>
    </row>
    <row r="904" spans="1:35" ht="12.75" hidden="1" customHeight="1">
      <c r="A904" s="319"/>
      <c r="D904" s="20"/>
      <c r="E904" s="26"/>
      <c r="F904" s="406"/>
      <c r="G904" s="407"/>
      <c r="H904" s="484"/>
      <c r="I904" s="315"/>
      <c r="J904" s="709"/>
      <c r="K904" s="297"/>
      <c r="L904" s="116" t="s">
        <v>573</v>
      </c>
      <c r="M904" s="45">
        <v>1500</v>
      </c>
      <c r="N904" s="538">
        <f t="shared" si="102"/>
        <v>1685.7200940000143</v>
      </c>
      <c r="O904" s="39"/>
      <c r="P904" s="133">
        <v>-500</v>
      </c>
      <c r="Q904" s="72">
        <f t="shared" si="100"/>
        <v>-18411.107278480999</v>
      </c>
      <c r="R904" s="45">
        <f t="shared" si="101"/>
        <v>1588.8927215190015</v>
      </c>
      <c r="S904" s="373" t="s">
        <v>247</v>
      </c>
      <c r="T904" s="391"/>
      <c r="U904" s="74"/>
      <c r="V904" s="26"/>
      <c r="W904" s="26"/>
      <c r="X904" s="35"/>
      <c r="Y904" s="20"/>
      <c r="Z904" s="239"/>
      <c r="AA904" s="94"/>
      <c r="AB904" s="26"/>
      <c r="AC904" s="20"/>
      <c r="AD904" s="20"/>
      <c r="AE904" s="20"/>
      <c r="AF904" s="99"/>
      <c r="AG904" s="20"/>
      <c r="AH904" s="20"/>
      <c r="AI904" s="20"/>
    </row>
    <row r="905" spans="1:35" ht="12.75" hidden="1" customHeight="1">
      <c r="A905" s="671"/>
      <c r="B905" s="671"/>
      <c r="C905" s="671"/>
      <c r="D905" s="671"/>
      <c r="E905" s="671"/>
      <c r="F905" s="671"/>
      <c r="G905" s="671"/>
      <c r="H905" s="485"/>
      <c r="I905" s="493"/>
      <c r="J905" s="511"/>
      <c r="K905" s="258" t="s">
        <v>222</v>
      </c>
      <c r="L905" s="266" t="s">
        <v>51</v>
      </c>
      <c r="M905" s="146">
        <v>4000</v>
      </c>
      <c r="N905" s="538">
        <f t="shared" si="102"/>
        <v>5685.7200940000148</v>
      </c>
      <c r="O905" s="39"/>
      <c r="P905" s="133">
        <v>-580</v>
      </c>
      <c r="Q905" s="72">
        <f t="shared" si="100"/>
        <v>-18991.107278480999</v>
      </c>
      <c r="R905" s="45">
        <f t="shared" si="101"/>
        <v>1008.8927215190015</v>
      </c>
      <c r="S905" s="373" t="s">
        <v>566</v>
      </c>
      <c r="T905" s="391" t="s">
        <v>567</v>
      </c>
      <c r="U905" s="74"/>
      <c r="V905" s="26"/>
      <c r="W905" s="20"/>
      <c r="X905" s="20"/>
      <c r="Y905" s="111"/>
      <c r="Z905" s="239"/>
      <c r="AA905" s="94"/>
      <c r="AB905" s="26"/>
      <c r="AC905" s="20"/>
      <c r="AD905" s="20"/>
      <c r="AE905" s="20"/>
      <c r="AF905" s="20"/>
      <c r="AG905" s="20"/>
      <c r="AH905" s="20"/>
      <c r="AI905" s="20"/>
    </row>
    <row r="906" spans="1:35" ht="12.75" hidden="1" customHeight="1">
      <c r="A906" s="402"/>
      <c r="B906" s="402"/>
      <c r="C906" s="403"/>
      <c r="D906" s="404"/>
      <c r="E906" s="405"/>
      <c r="F906" s="406"/>
      <c r="G906" s="407"/>
      <c r="H906" s="485"/>
      <c r="I906" s="494"/>
      <c r="J906" s="511"/>
      <c r="K906" s="258" t="s">
        <v>222</v>
      </c>
      <c r="L906" s="266" t="s">
        <v>578</v>
      </c>
      <c r="M906" s="146">
        <v>-2700</v>
      </c>
      <c r="N906" s="538">
        <f t="shared" si="102"/>
        <v>2985.7200940000148</v>
      </c>
      <c r="O906" s="42"/>
      <c r="P906" s="133">
        <v>-38</v>
      </c>
      <c r="Q906" s="72">
        <f t="shared" si="100"/>
        <v>-19029.107278480999</v>
      </c>
      <c r="R906" s="45">
        <f t="shared" si="101"/>
        <v>970.8927215190015</v>
      </c>
      <c r="S906" s="373" t="s">
        <v>465</v>
      </c>
      <c r="T906" s="391" t="s">
        <v>568</v>
      </c>
      <c r="U906" s="74"/>
      <c r="V906" s="26"/>
      <c r="W906" s="20"/>
      <c r="X906" s="91"/>
      <c r="Y906" s="111"/>
      <c r="Z906" s="239"/>
      <c r="AA906" s="94"/>
      <c r="AB906" s="95"/>
      <c r="AC906" s="20"/>
      <c r="AD906" s="20"/>
      <c r="AE906" s="20"/>
      <c r="AF906" s="20"/>
      <c r="AG906" s="20"/>
      <c r="AH906" s="20"/>
      <c r="AI906" s="20"/>
    </row>
    <row r="907" spans="1:35" ht="12.75" hidden="1" customHeight="1">
      <c r="A907" s="671" t="s">
        <v>421</v>
      </c>
      <c r="B907" s="671"/>
      <c r="C907" s="671"/>
      <c r="D907" s="671"/>
      <c r="E907" s="671"/>
      <c r="F907" s="50"/>
      <c r="G907" s="370"/>
      <c r="H907" s="786"/>
      <c r="I907" s="495"/>
      <c r="J907" s="709"/>
      <c r="K907" s="258" t="s">
        <v>222</v>
      </c>
      <c r="L907" s="266" t="s">
        <v>333</v>
      </c>
      <c r="M907" s="45">
        <v>-250</v>
      </c>
      <c r="N907" s="538">
        <f t="shared" si="102"/>
        <v>2735.7200940000148</v>
      </c>
      <c r="O907" s="26"/>
      <c r="P907" s="133">
        <v>-125.87</v>
      </c>
      <c r="Q907" s="72">
        <f t="shared" si="100"/>
        <v>-19154.977278480997</v>
      </c>
      <c r="R907" s="45">
        <f t="shared" si="101"/>
        <v>845.02272151900252</v>
      </c>
      <c r="S907" s="373" t="s">
        <v>270</v>
      </c>
      <c r="T907" s="391" t="s">
        <v>569</v>
      </c>
      <c r="U907" s="74"/>
      <c r="V907" s="26"/>
      <c r="W907" s="20"/>
      <c r="X907" s="20"/>
      <c r="Y907" s="111"/>
      <c r="Z907" s="239"/>
      <c r="AA907" s="94"/>
      <c r="AB907" s="26"/>
      <c r="AC907" s="20"/>
      <c r="AD907" s="20"/>
      <c r="AE907" s="20"/>
      <c r="AF907" s="20"/>
      <c r="AG907" s="790"/>
      <c r="AH907" s="20"/>
      <c r="AI907" s="20"/>
    </row>
    <row r="908" spans="1:35" ht="12.75" hidden="1" customHeight="1">
      <c r="A908" s="402"/>
      <c r="B908" s="402"/>
      <c r="C908" s="403"/>
      <c r="D908" s="404"/>
      <c r="E908" s="405"/>
      <c r="F908" s="50"/>
      <c r="G908" s="370"/>
      <c r="H908" s="786"/>
      <c r="I908" s="495"/>
      <c r="J908" s="709"/>
      <c r="K908" s="258" t="s">
        <v>222</v>
      </c>
      <c r="L908" s="266" t="s">
        <v>195</v>
      </c>
      <c r="M908" s="45">
        <v>-1738</v>
      </c>
      <c r="N908" s="538">
        <f t="shared" si="102"/>
        <v>997.7200940000148</v>
      </c>
      <c r="O908" s="26"/>
      <c r="P908" s="133">
        <v>-32.5</v>
      </c>
      <c r="Q908" s="72">
        <f t="shared" si="100"/>
        <v>-19187.477278480997</v>
      </c>
      <c r="R908" s="45">
        <f t="shared" si="101"/>
        <v>812.52272151900252</v>
      </c>
      <c r="S908" s="373" t="s">
        <v>570</v>
      </c>
      <c r="T908" s="391" t="s">
        <v>571</v>
      </c>
      <c r="U908" s="74"/>
      <c r="V908" s="26"/>
      <c r="W908" s="20"/>
      <c r="X908" s="20"/>
      <c r="Y908" s="111"/>
      <c r="Z908" s="239"/>
      <c r="AA908" s="94"/>
      <c r="AB908" s="26"/>
      <c r="AC908" s="20"/>
      <c r="AD908" s="20"/>
      <c r="AE908" s="20"/>
      <c r="AF908" s="20"/>
      <c r="AG908" s="20"/>
      <c r="AH908" s="20"/>
      <c r="AI908" s="20"/>
    </row>
    <row r="909" spans="1:35" ht="12.75" hidden="1" customHeight="1">
      <c r="A909" s="333"/>
      <c r="B909" s="333"/>
      <c r="C909" s="402"/>
      <c r="D909" s="408"/>
      <c r="E909" s="133"/>
      <c r="F909" s="50"/>
      <c r="G909" s="370"/>
      <c r="H909" s="786"/>
      <c r="I909" s="753"/>
      <c r="J909" s="517"/>
      <c r="K909" s="85" t="s">
        <v>222</v>
      </c>
      <c r="L909" s="266" t="s">
        <v>180</v>
      </c>
      <c r="M909" s="45">
        <v>-59</v>
      </c>
      <c r="N909" s="538">
        <f t="shared" si="102"/>
        <v>938.7200940000148</v>
      </c>
      <c r="O909" s="26"/>
      <c r="P909" s="133">
        <f>-45-45</f>
        <v>-90</v>
      </c>
      <c r="Q909" s="72">
        <f t="shared" si="100"/>
        <v>-19277.477278480997</v>
      </c>
      <c r="R909" s="45">
        <f t="shared" si="101"/>
        <v>722.52272151900252</v>
      </c>
      <c r="S909" s="373" t="s">
        <v>572</v>
      </c>
      <c r="T909" s="391"/>
      <c r="U909" s="65"/>
      <c r="V909" s="26"/>
      <c r="W909" s="26"/>
      <c r="X909" s="91"/>
      <c r="Y909" s="20"/>
      <c r="Z909" s="239"/>
      <c r="AA909" s="94"/>
      <c r="AB909" s="26"/>
      <c r="AC909" s="20"/>
      <c r="AD909" s="20"/>
      <c r="AE909" s="20"/>
      <c r="AF909" s="20"/>
      <c r="AG909" s="20"/>
      <c r="AH909" s="20"/>
      <c r="AI909" s="20"/>
    </row>
    <row r="910" spans="1:35" ht="12.75" hidden="1" customHeight="1">
      <c r="A910" s="333"/>
      <c r="B910" s="333"/>
      <c r="C910" s="333"/>
      <c r="D910" s="408"/>
      <c r="E910" s="133"/>
      <c r="F910" s="50"/>
      <c r="G910" s="370"/>
      <c r="H910" s="786"/>
      <c r="I910" s="510"/>
      <c r="J910" s="709"/>
      <c r="K910" s="258" t="s">
        <v>222</v>
      </c>
      <c r="L910" s="266" t="s">
        <v>61</v>
      </c>
      <c r="M910" s="45">
        <v>-252.5</v>
      </c>
      <c r="N910" s="538">
        <f t="shared" si="102"/>
        <v>686.2200940000148</v>
      </c>
      <c r="O910" s="26"/>
      <c r="P910" s="133">
        <v>-240</v>
      </c>
      <c r="Q910" s="72">
        <f>Q909+P910</f>
        <v>-19517.477278480997</v>
      </c>
      <c r="R910" s="45">
        <f>20000+Q910</f>
        <v>482.52272151900252</v>
      </c>
      <c r="S910" s="373" t="s">
        <v>574</v>
      </c>
      <c r="T910" s="391" t="s">
        <v>575</v>
      </c>
      <c r="U910" s="65"/>
      <c r="V910" s="20"/>
      <c r="W910" s="26"/>
      <c r="X910" s="91"/>
      <c r="Y910" s="20"/>
      <c r="Z910" s="239"/>
      <c r="AA910" s="94"/>
      <c r="AB910" s="26"/>
      <c r="AC910" s="20"/>
      <c r="AD910" s="20"/>
      <c r="AE910" s="20"/>
      <c r="AF910" s="20"/>
      <c r="AG910" s="20"/>
      <c r="AH910" s="20"/>
      <c r="AI910" s="20"/>
    </row>
    <row r="911" spans="1:35" ht="12.75" hidden="1" customHeight="1">
      <c r="A911" s="333"/>
      <c r="B911" s="333"/>
      <c r="C911" s="333"/>
      <c r="D911" s="48"/>
      <c r="E911" s="133"/>
      <c r="F911" s="50"/>
      <c r="G911" s="409"/>
      <c r="H911" s="786"/>
      <c r="K911" s="258" t="s">
        <v>371</v>
      </c>
      <c r="L911" s="266" t="s">
        <v>148</v>
      </c>
      <c r="M911" s="45">
        <v>1000</v>
      </c>
      <c r="N911" s="538">
        <f t="shared" si="102"/>
        <v>1686.2200940000148</v>
      </c>
      <c r="O911" s="274"/>
      <c r="P911" s="133">
        <v>-299.97000000000003</v>
      </c>
      <c r="Q911" s="72">
        <f>Q910+P911</f>
        <v>-19817.447278480999</v>
      </c>
      <c r="R911" s="45">
        <f>20000+Q911</f>
        <v>182.55272151900135</v>
      </c>
      <c r="S911" s="373" t="s">
        <v>270</v>
      </c>
      <c r="T911" s="391" t="s">
        <v>576</v>
      </c>
      <c r="U911" s="65"/>
      <c r="V911" s="20"/>
      <c r="W911" s="26"/>
      <c r="X911" s="91"/>
      <c r="Y911" s="20"/>
      <c r="Z911" s="239"/>
      <c r="AA911" s="94"/>
      <c r="AB911" s="26"/>
      <c r="AC911" s="20"/>
      <c r="AD911" s="20"/>
      <c r="AE911" s="20"/>
      <c r="AF911" s="20"/>
      <c r="AG911" s="20"/>
      <c r="AH911" s="20"/>
      <c r="AI911" s="20"/>
    </row>
    <row r="912" spans="1:35" ht="12.75" hidden="1" customHeight="1">
      <c r="A912" s="333"/>
      <c r="B912" s="333"/>
      <c r="C912" s="410"/>
      <c r="D912" s="404"/>
      <c r="E912" s="405"/>
      <c r="F912" s="50"/>
      <c r="G912" s="409"/>
      <c r="H912" s="786"/>
      <c r="K912" s="85" t="s">
        <v>189</v>
      </c>
      <c r="L912" s="267" t="s">
        <v>16</v>
      </c>
      <c r="M912" s="175">
        <v>-723.99</v>
      </c>
      <c r="N912" s="538">
        <f t="shared" si="102"/>
        <v>962.23009400001479</v>
      </c>
      <c r="O912" s="253"/>
      <c r="P912" s="49">
        <f>E900</f>
        <v>974.9200000000003</v>
      </c>
      <c r="Q912" s="73">
        <f>Q911+P912</f>
        <v>-18842.527278480997</v>
      </c>
      <c r="R912" s="45">
        <f>20000+Q912</f>
        <v>1157.4727215190032</v>
      </c>
      <c r="S912" s="373"/>
      <c r="T912" s="372"/>
      <c r="U912" s="65"/>
      <c r="V912" s="20"/>
      <c r="W912" s="26"/>
      <c r="X912" s="91"/>
      <c r="Y912" s="20"/>
      <c r="Z912" s="239"/>
      <c r="AA912" s="94"/>
      <c r="AB912" s="26"/>
      <c r="AC912" s="20"/>
      <c r="AD912" s="20"/>
      <c r="AE912" s="20"/>
      <c r="AF912" s="20"/>
      <c r="AG912" s="20"/>
      <c r="AH912" s="20"/>
      <c r="AI912" s="20"/>
    </row>
    <row r="913" spans="1:35" ht="12.75" hidden="1" customHeight="1">
      <c r="A913" s="333"/>
      <c r="B913" s="333"/>
      <c r="C913" s="333"/>
      <c r="D913" s="411"/>
      <c r="E913" s="133"/>
      <c r="F913" s="50"/>
      <c r="G913" s="409"/>
      <c r="H913" s="786"/>
      <c r="I913" s="235"/>
      <c r="J913" s="709"/>
      <c r="K913" s="258" t="s">
        <v>189</v>
      </c>
      <c r="L913" s="268" t="s">
        <v>56</v>
      </c>
      <c r="M913" s="175">
        <v>-1200</v>
      </c>
      <c r="N913" s="538">
        <f t="shared" si="102"/>
        <v>-237.76990599998521</v>
      </c>
      <c r="O913" s="253"/>
      <c r="P913" s="64">
        <f>SUM(P894:P912)</f>
        <v>-18842.527278480997</v>
      </c>
      <c r="Q913" s="287" t="s">
        <v>243</v>
      </c>
      <c r="R913" s="317"/>
      <c r="S913" s="611"/>
      <c r="T913" s="372"/>
      <c r="U913" s="84"/>
      <c r="V913" s="20"/>
      <c r="W913" s="26"/>
      <c r="X913" s="91"/>
      <c r="Y913" s="20"/>
      <c r="Z913" s="239"/>
      <c r="AA913" s="94"/>
      <c r="AB913" s="26"/>
      <c r="AC913" s="20"/>
      <c r="AD913" s="20"/>
      <c r="AE913" s="20"/>
      <c r="AF913" s="20"/>
      <c r="AG913" s="20"/>
      <c r="AH913" s="20"/>
      <c r="AI913" s="20"/>
    </row>
    <row r="914" spans="1:35" ht="12.75" hidden="1" customHeight="1">
      <c r="A914" s="333"/>
      <c r="B914" s="333"/>
      <c r="C914" s="333"/>
      <c r="D914" s="408"/>
      <c r="E914" s="133"/>
      <c r="F914" s="50"/>
      <c r="G914" s="409"/>
      <c r="H914" s="786"/>
      <c r="I914" s="543"/>
      <c r="J914" s="521"/>
      <c r="K914" s="258" t="s">
        <v>189</v>
      </c>
      <c r="L914" s="116" t="s">
        <v>224</v>
      </c>
      <c r="M914" s="45">
        <v>-561.33000000000004</v>
      </c>
      <c r="N914" s="538">
        <f t="shared" si="102"/>
        <v>-799.09990599998525</v>
      </c>
      <c r="O914" s="253"/>
      <c r="P914" s="68"/>
      <c r="Q914" s="585"/>
      <c r="R914" s="131"/>
      <c r="S914" s="373"/>
      <c r="T914" s="372"/>
      <c r="U914" s="20"/>
      <c r="V914" s="20"/>
      <c r="W914" s="26"/>
      <c r="X914" s="91"/>
      <c r="Y914" s="20"/>
      <c r="Z914" s="239"/>
      <c r="AA914" s="94"/>
      <c r="AB914" s="26"/>
      <c r="AC914" s="20"/>
      <c r="AD914" s="20"/>
      <c r="AE914" s="20"/>
      <c r="AF914" s="20"/>
      <c r="AG914" s="20"/>
      <c r="AH914" s="20"/>
      <c r="AI914" s="20"/>
    </row>
    <row r="915" spans="1:35" ht="12.75" hidden="1" customHeight="1">
      <c r="A915" s="333"/>
      <c r="B915" s="333"/>
      <c r="C915" s="333"/>
      <c r="D915" s="408"/>
      <c r="E915" s="412"/>
      <c r="F915" s="50"/>
      <c r="G915" s="409"/>
      <c r="H915" s="786"/>
      <c r="K915" s="258"/>
      <c r="L915" s="116" t="s">
        <v>552</v>
      </c>
      <c r="M915" s="45">
        <v>-200</v>
      </c>
      <c r="N915" s="538">
        <f t="shared" si="102"/>
        <v>-999.09990599998525</v>
      </c>
      <c r="O915" s="253"/>
      <c r="P915" s="68"/>
      <c r="Q915" s="63"/>
      <c r="R915" s="63"/>
      <c r="S915" s="373"/>
      <c r="T915" s="788"/>
      <c r="U915" s="20"/>
      <c r="V915" s="26"/>
      <c r="W915" s="26"/>
      <c r="X915" s="91"/>
      <c r="Y915" s="20"/>
      <c r="Z915" s="239"/>
      <c r="AA915" s="94"/>
      <c r="AB915" s="26"/>
      <c r="AC915" s="20"/>
      <c r="AD915" s="20"/>
      <c r="AE915" s="20"/>
      <c r="AF915" s="20"/>
      <c r="AG915" s="20"/>
      <c r="AH915" s="20"/>
      <c r="AI915" s="20"/>
    </row>
    <row r="916" spans="1:35" ht="12.75" hidden="1" customHeight="1">
      <c r="A916" s="333"/>
      <c r="B916" s="333"/>
      <c r="C916" s="410"/>
      <c r="D916" s="561"/>
      <c r="E916" s="405"/>
      <c r="F916" s="50"/>
      <c r="G916" s="409"/>
      <c r="H916" s="786"/>
      <c r="I916" s="532"/>
      <c r="J916" s="533"/>
      <c r="K916" s="258"/>
      <c r="L916" s="116" t="s">
        <v>51</v>
      </c>
      <c r="M916" s="45">
        <f>E899-M905</f>
        <v>4490.68</v>
      </c>
      <c r="N916" s="538">
        <f t="shared" si="102"/>
        <v>3491.5800940000149</v>
      </c>
      <c r="O916" s="253"/>
      <c r="P916" s="68"/>
      <c r="Q916" s="63"/>
      <c r="R916" s="63"/>
      <c r="S916" s="373"/>
      <c r="T916" s="792"/>
      <c r="U916" s="20"/>
      <c r="V916" s="26"/>
      <c r="W916" s="26"/>
      <c r="X916" s="91"/>
      <c r="Y916" s="20"/>
      <c r="Z916" s="239"/>
      <c r="AA916" s="94"/>
      <c r="AB916" s="26"/>
      <c r="AC916" s="20"/>
      <c r="AD916" s="20"/>
      <c r="AE916" s="20"/>
      <c r="AF916" s="20"/>
      <c r="AG916" s="20"/>
      <c r="AH916" s="20"/>
      <c r="AI916" s="20"/>
    </row>
    <row r="917" spans="1:35" ht="12.75" hidden="1" customHeight="1">
      <c r="A917" s="333"/>
      <c r="B917" s="333"/>
      <c r="C917" s="410"/>
      <c r="D917" s="561"/>
      <c r="E917" s="405"/>
      <c r="F917" s="50"/>
      <c r="G917" s="409"/>
      <c r="H917" s="791"/>
      <c r="I917" s="532"/>
      <c r="J917" s="533"/>
      <c r="K917" s="258" t="s">
        <v>190</v>
      </c>
      <c r="L917" s="268" t="s">
        <v>375</v>
      </c>
      <c r="M917" s="175">
        <f>-47.52</f>
        <v>-47.52</v>
      </c>
      <c r="N917" s="538">
        <f t="shared" si="102"/>
        <v>3444.0600940000149</v>
      </c>
      <c r="O917" s="253"/>
      <c r="P917" s="781"/>
      <c r="Q917" s="667"/>
      <c r="R917" s="45"/>
      <c r="S917" s="373"/>
      <c r="T917" s="788"/>
      <c r="U917" s="20"/>
      <c r="V917" s="26"/>
      <c r="W917" s="26"/>
      <c r="X917" s="91"/>
      <c r="Y917" s="20"/>
      <c r="Z917" s="239"/>
      <c r="AA917" s="94"/>
      <c r="AB917" s="26"/>
      <c r="AC917" s="20"/>
      <c r="AD917" s="20"/>
      <c r="AE917" s="20"/>
      <c r="AF917" s="20"/>
      <c r="AG917" s="20"/>
      <c r="AH917" s="20"/>
      <c r="AI917" s="20"/>
    </row>
    <row r="918" spans="1:35" ht="12.75" hidden="1" customHeight="1">
      <c r="A918" s="333"/>
      <c r="B918" s="333"/>
      <c r="C918" s="410"/>
      <c r="D918" s="561"/>
      <c r="E918" s="405"/>
      <c r="F918" s="50"/>
      <c r="G918" s="409"/>
      <c r="H918" s="791"/>
      <c r="I918" s="532"/>
      <c r="J918" s="533"/>
      <c r="K918" s="258" t="s">
        <v>190</v>
      </c>
      <c r="L918" s="268" t="s">
        <v>375</v>
      </c>
      <c r="M918" s="175">
        <f>-63.85</f>
        <v>-63.85</v>
      </c>
      <c r="N918" s="538">
        <f t="shared" si="102"/>
        <v>3380.210094000015</v>
      </c>
      <c r="O918" s="253"/>
      <c r="P918" s="781"/>
      <c r="Q918" s="667"/>
      <c r="R918" s="45"/>
      <c r="S918" s="373"/>
      <c r="T918" s="792"/>
      <c r="U918" s="20"/>
      <c r="V918" s="26"/>
      <c r="W918" s="26"/>
      <c r="X918" s="91"/>
      <c r="Y918" s="20"/>
      <c r="Z918" s="239"/>
      <c r="AA918" s="94"/>
      <c r="AB918" s="26"/>
      <c r="AC918" s="20"/>
      <c r="AD918" s="20"/>
      <c r="AE918" s="20"/>
      <c r="AF918" s="20"/>
      <c r="AG918" s="20"/>
      <c r="AH918" s="20"/>
      <c r="AI918" s="20"/>
    </row>
    <row r="919" spans="1:35" ht="12.75" hidden="1" customHeight="1">
      <c r="A919" s="333"/>
      <c r="B919" s="333"/>
      <c r="C919" s="333"/>
      <c r="D919" s="408"/>
      <c r="E919" s="133"/>
      <c r="F919" s="50"/>
      <c r="G919" s="409"/>
      <c r="H919" s="786"/>
      <c r="I919" s="20"/>
      <c r="J919" s="534"/>
      <c r="K919" s="321" t="s">
        <v>190</v>
      </c>
      <c r="L919" s="269" t="s">
        <v>23</v>
      </c>
      <c r="M919" s="366">
        <v>-301</v>
      </c>
      <c r="N919" s="566">
        <f t="shared" si="102"/>
        <v>3079.210094000015</v>
      </c>
      <c r="O919" s="253"/>
      <c r="P919" s="666"/>
      <c r="Q919" s="667"/>
      <c r="R919" s="45"/>
      <c r="S919" s="373"/>
      <c r="T919" s="788"/>
      <c r="U919" s="20"/>
      <c r="V919" s="26"/>
      <c r="W919" s="26"/>
      <c r="X919" s="91"/>
      <c r="Y919" s="20"/>
      <c r="Z919" s="239"/>
      <c r="AA919" s="94"/>
      <c r="AB919" s="26"/>
      <c r="AC919" s="20"/>
      <c r="AD919" s="20"/>
      <c r="AE919" s="20"/>
      <c r="AF919" s="20"/>
      <c r="AG919" s="20"/>
      <c r="AH919" s="20"/>
      <c r="AI919" s="20"/>
    </row>
    <row r="920" spans="1:35" ht="12.75" hidden="1" customHeight="1">
      <c r="A920" s="333"/>
      <c r="B920" s="333"/>
      <c r="C920" s="333"/>
      <c r="D920" s="408"/>
      <c r="E920" s="133"/>
      <c r="F920" s="50"/>
      <c r="G920" s="409"/>
      <c r="H920" s="786"/>
      <c r="I920" s="39"/>
      <c r="J920" s="504"/>
      <c r="L920" s="23"/>
      <c r="M920" s="168">
        <f>SUM(M894:M919)</f>
        <v>3079.210094000015</v>
      </c>
      <c r="N920" s="296"/>
      <c r="O920" s="26"/>
      <c r="P920" s="781"/>
      <c r="Q920" s="667"/>
      <c r="R920" s="45"/>
      <c r="S920" s="592"/>
      <c r="T920" s="503"/>
      <c r="U920" s="20"/>
      <c r="V920" s="26"/>
      <c r="W920" s="26"/>
      <c r="X920" s="91"/>
      <c r="Y920" s="20"/>
      <c r="Z920" s="239"/>
      <c r="AA920" s="94"/>
      <c r="AB920" s="26"/>
      <c r="AC920" s="20"/>
      <c r="AD920" s="20"/>
      <c r="AE920" s="20"/>
      <c r="AF920" s="20"/>
      <c r="AG920" s="20"/>
      <c r="AH920" s="20"/>
      <c r="AI920" s="20"/>
    </row>
    <row r="921" spans="1:35" s="78" customFormat="1" ht="12.75" hidden="1" customHeight="1">
      <c r="A921" s="424"/>
      <c r="B921" s="424"/>
      <c r="C921" s="424"/>
      <c r="D921" s="645"/>
      <c r="E921" s="425"/>
      <c r="F921" s="426"/>
      <c r="G921" s="427"/>
      <c r="H921" s="516"/>
      <c r="J921" s="583"/>
      <c r="K921" s="295"/>
      <c r="L921" s="793"/>
      <c r="M921" s="794"/>
      <c r="N921" s="52"/>
      <c r="O921" s="159"/>
      <c r="P921" s="680"/>
      <c r="Q921" s="795"/>
      <c r="R921" s="682"/>
      <c r="S921" s="796"/>
      <c r="T921" s="797"/>
      <c r="V921" s="15"/>
      <c r="W921" s="15"/>
      <c r="X921" s="158"/>
      <c r="Z921" s="159"/>
      <c r="AA921" s="160"/>
      <c r="AB921" s="15"/>
    </row>
    <row r="922" spans="1:35" ht="12.75" hidden="1" customHeight="1">
      <c r="A922" s="333"/>
      <c r="B922" s="333"/>
      <c r="C922" s="333"/>
      <c r="D922" s="413"/>
      <c r="E922" s="34"/>
      <c r="F922" s="50"/>
      <c r="G922" s="414"/>
      <c r="H922" s="509"/>
      <c r="I922" s="508"/>
      <c r="J922" s="504"/>
      <c r="K922" s="544"/>
      <c r="L922" s="236"/>
      <c r="M922" s="233"/>
      <c r="N922" s="45"/>
      <c r="O922" s="551"/>
      <c r="U922" s="20"/>
      <c r="V922" s="26"/>
      <c r="W922" s="26"/>
      <c r="X922" s="91"/>
      <c r="Y922" s="20"/>
      <c r="Z922" s="239"/>
      <c r="AA922" s="94"/>
      <c r="AB922" s="26"/>
      <c r="AC922" s="20"/>
      <c r="AD922" s="20"/>
      <c r="AE922" s="20"/>
      <c r="AF922" s="20"/>
      <c r="AG922" s="20"/>
      <c r="AH922" s="20"/>
      <c r="AI922" s="20"/>
    </row>
    <row r="923" spans="1:35" ht="12.75" hidden="1" customHeight="1">
      <c r="B923" s="1030" t="s">
        <v>577</v>
      </c>
      <c r="C923" s="1030"/>
      <c r="D923" s="1030"/>
      <c r="E923" s="1030"/>
      <c r="G923" s="261"/>
      <c r="H923" s="658"/>
      <c r="I923" s="26"/>
      <c r="K923" s="258"/>
      <c r="L923" s="100"/>
      <c r="M923" s="1031" t="s">
        <v>54</v>
      </c>
      <c r="N923" s="798"/>
      <c r="O923" s="804"/>
      <c r="P923" s="1033" t="s">
        <v>48</v>
      </c>
      <c r="Q923" s="1035" t="s">
        <v>581</v>
      </c>
      <c r="R923" s="1035"/>
      <c r="S923" s="377"/>
      <c r="X923" s="35"/>
      <c r="Y923" s="35"/>
      <c r="Z923" s="26"/>
      <c r="AA923" s="805"/>
      <c r="AB923" s="26"/>
      <c r="AC923" s="20"/>
      <c r="AD923" s="20"/>
      <c r="AE923" s="20"/>
      <c r="AF923" s="20"/>
      <c r="AG923" s="20"/>
      <c r="AH923" s="20"/>
      <c r="AI923" s="20"/>
    </row>
    <row r="924" spans="1:35" ht="12.75" hidden="1" customHeight="1">
      <c r="C924" s="17" t="s">
        <v>357</v>
      </c>
      <c r="D924" s="14"/>
      <c r="E924" s="44">
        <v>8490.68</v>
      </c>
      <c r="G924" s="1036"/>
      <c r="H924" s="1036"/>
      <c r="I924" s="26"/>
      <c r="K924" s="260" t="s">
        <v>221</v>
      </c>
      <c r="L924" s="156"/>
      <c r="M924" s="1032"/>
      <c r="N924" s="798" t="s">
        <v>43</v>
      </c>
      <c r="O924" s="804"/>
      <c r="P924" s="1034"/>
      <c r="Q924" s="799" t="s">
        <v>43</v>
      </c>
      <c r="R924" s="800" t="s">
        <v>53</v>
      </c>
      <c r="S924" s="377"/>
      <c r="X924" s="118"/>
      <c r="Y924" s="111"/>
      <c r="Z924" s="117"/>
      <c r="AA924" s="89"/>
      <c r="AB924" s="90"/>
      <c r="AC924" s="20"/>
      <c r="AD924" s="41"/>
      <c r="AE924" s="20"/>
      <c r="AF924" s="20"/>
      <c r="AG924" s="20"/>
      <c r="AH924" s="20"/>
      <c r="AI924" s="20"/>
    </row>
    <row r="925" spans="1:35" ht="12.75" hidden="1" customHeight="1">
      <c r="C925" s="17"/>
      <c r="D925" s="14" t="s">
        <v>24</v>
      </c>
      <c r="E925" s="44">
        <f>'[2]AUGUST ''13'!$C$35</f>
        <v>222.3</v>
      </c>
      <c r="G925" s="30"/>
      <c r="H925" s="624">
        <f>SUM(E925:E926)</f>
        <v>222.3</v>
      </c>
      <c r="I925" s="26"/>
      <c r="K925" s="273"/>
      <c r="L925" s="235" t="s">
        <v>226</v>
      </c>
      <c r="M925" s="45">
        <f>$M$920</f>
        <v>3079.210094000015</v>
      </c>
      <c r="N925" s="71">
        <f>M925</f>
        <v>3079.210094000015</v>
      </c>
      <c r="O925" s="26"/>
      <c r="P925" s="45">
        <f>$Q$912</f>
        <v>-18842.527278480997</v>
      </c>
      <c r="Q925" s="71">
        <f>P925</f>
        <v>-18842.527278480997</v>
      </c>
      <c r="R925" s="45">
        <f>20000+Q925</f>
        <v>1157.4727215190032</v>
      </c>
      <c r="S925" s="378" t="s">
        <v>298</v>
      </c>
      <c r="T925" s="367" t="s">
        <v>299</v>
      </c>
      <c r="W925" s="392"/>
      <c r="X925" s="111"/>
      <c r="Y925" s="111"/>
      <c r="Z925" s="45"/>
      <c r="AA925" s="488"/>
      <c r="AB925" s="26"/>
      <c r="AC925" s="20"/>
      <c r="AD925" s="92"/>
      <c r="AE925" s="93"/>
      <c r="AF925" s="20"/>
      <c r="AG925" s="20"/>
      <c r="AH925" s="20"/>
      <c r="AI925" s="20"/>
    </row>
    <row r="926" spans="1:35" ht="12.75" hidden="1" customHeight="1">
      <c r="C926" s="17"/>
      <c r="D926" s="143" t="s">
        <v>225</v>
      </c>
      <c r="E926" s="15"/>
      <c r="G926"/>
      <c r="H926" s="624"/>
      <c r="I926" s="26"/>
      <c r="K926" s="273"/>
      <c r="L926" s="116" t="s">
        <v>579</v>
      </c>
      <c r="M926" s="45">
        <v>-115</v>
      </c>
      <c r="N926" s="538">
        <f>N925+M926</f>
        <v>2964.210094000015</v>
      </c>
      <c r="O926" s="65"/>
      <c r="P926" s="133">
        <v>-238.55</v>
      </c>
      <c r="Q926" s="72">
        <f t="shared" ref="Q926:Q933" si="103">Q925+P926</f>
        <v>-19081.077278480996</v>
      </c>
      <c r="R926" s="45">
        <f t="shared" ref="R926:R933" si="104">20000+Q926</f>
        <v>918.92272151900397</v>
      </c>
      <c r="S926" s="373" t="s">
        <v>253</v>
      </c>
      <c r="T926" s="391"/>
      <c r="W926" s="111"/>
      <c r="X926" s="111"/>
      <c r="Y926" s="112"/>
      <c r="Z926" s="55"/>
      <c r="AA926" s="489"/>
      <c r="AB926" s="95"/>
      <c r="AC926" s="20"/>
      <c r="AD926" s="41"/>
      <c r="AE926" s="93"/>
      <c r="AF926" s="20"/>
      <c r="AG926" s="20"/>
      <c r="AH926" s="20"/>
      <c r="AI926" s="20"/>
    </row>
    <row r="927" spans="1:35" ht="12.75" hidden="1" customHeight="1">
      <c r="C927" s="18" t="s">
        <v>5</v>
      </c>
      <c r="D927" s="14"/>
      <c r="E927" s="14">
        <f>SUM(E924:E926)</f>
        <v>8712.98</v>
      </c>
      <c r="G927" s="242"/>
      <c r="H927" s="492"/>
      <c r="I927" s="242"/>
      <c r="J927" s="315"/>
      <c r="K927" s="297" t="s">
        <v>223</v>
      </c>
      <c r="L927" s="184" t="s">
        <v>227</v>
      </c>
      <c r="M927" s="45">
        <v>-337</v>
      </c>
      <c r="N927" s="538">
        <f>N926+M927</f>
        <v>2627.210094000015</v>
      </c>
      <c r="O927" s="49"/>
      <c r="P927" s="133">
        <f>-M928</f>
        <v>2500</v>
      </c>
      <c r="Q927" s="72">
        <f t="shared" si="103"/>
        <v>-16581.077278480996</v>
      </c>
      <c r="R927" s="45">
        <f t="shared" si="104"/>
        <v>3418.922721519004</v>
      </c>
      <c r="S927" s="373" t="s">
        <v>247</v>
      </c>
      <c r="T927" s="391"/>
      <c r="U927" s="74"/>
      <c r="V927" s="26"/>
      <c r="W927" s="111"/>
      <c r="X927" s="111"/>
      <c r="Y927" s="112"/>
      <c r="Z927" s="55"/>
      <c r="AA927" s="489"/>
      <c r="AB927" s="26"/>
      <c r="AC927" s="20"/>
      <c r="AD927" s="92"/>
      <c r="AE927" s="93"/>
      <c r="AF927" s="20"/>
      <c r="AG927" s="20"/>
      <c r="AH927" s="20"/>
      <c r="AI927" s="20"/>
    </row>
    <row r="928" spans="1:35" ht="12.75" hidden="1" customHeight="1">
      <c r="G928" s="20"/>
      <c r="H928" s="490"/>
      <c r="I928" s="45"/>
      <c r="J928" s="482"/>
      <c r="K928" s="297"/>
      <c r="L928" s="116" t="s">
        <v>102</v>
      </c>
      <c r="M928" s="45">
        <v>-2500</v>
      </c>
      <c r="N928" s="538">
        <f t="shared" ref="N928:N952" si="105">N927+M928</f>
        <v>127.21009400001503</v>
      </c>
      <c r="O928" s="39"/>
      <c r="P928" s="133">
        <v>-454</v>
      </c>
      <c r="Q928" s="72">
        <f t="shared" si="103"/>
        <v>-17035.077278480996</v>
      </c>
      <c r="R928" s="45">
        <f t="shared" si="104"/>
        <v>2964.922721519004</v>
      </c>
      <c r="S928" s="373" t="s">
        <v>498</v>
      </c>
      <c r="T928" s="391" t="s">
        <v>584</v>
      </c>
      <c r="U928" s="74"/>
      <c r="V928" s="26"/>
      <c r="W928" s="112"/>
      <c r="X928" s="112"/>
      <c r="Y928" s="112"/>
      <c r="Z928" s="55"/>
      <c r="AA928" s="489"/>
      <c r="AB928" s="26"/>
      <c r="AC928" s="20"/>
      <c r="AD928" s="92"/>
      <c r="AE928" s="93"/>
      <c r="AF928" s="20"/>
      <c r="AG928" s="20"/>
      <c r="AH928" s="20"/>
      <c r="AI928" s="20"/>
    </row>
    <row r="929" spans="1:35" ht="12.75" hidden="1" customHeight="1">
      <c r="A929" s="319"/>
      <c r="C929" s="81" t="s">
        <v>17</v>
      </c>
      <c r="E929" s="42"/>
      <c r="G929"/>
      <c r="H929" s="802"/>
      <c r="I929" s="315"/>
      <c r="J929" s="21"/>
      <c r="K929" s="297"/>
      <c r="L929" s="116" t="s">
        <v>524</v>
      </c>
      <c r="M929" s="45">
        <v>-9</v>
      </c>
      <c r="N929" s="538">
        <f t="shared" si="105"/>
        <v>118.21009400001503</v>
      </c>
      <c r="O929" s="39"/>
      <c r="P929" s="133">
        <v>-410</v>
      </c>
      <c r="Q929" s="72">
        <f t="shared" si="103"/>
        <v>-17445.077278480996</v>
      </c>
      <c r="R929" s="45">
        <f t="shared" si="104"/>
        <v>2554.922721519004</v>
      </c>
      <c r="S929" s="373" t="s">
        <v>566</v>
      </c>
      <c r="T929" s="391" t="s">
        <v>583</v>
      </c>
      <c r="U929" s="74"/>
      <c r="V929" s="26"/>
      <c r="W929" s="103"/>
      <c r="X929" s="111"/>
      <c r="Y929" s="112"/>
      <c r="Z929" s="55"/>
      <c r="AA929" s="489"/>
      <c r="AB929" s="95"/>
      <c r="AC929" s="20"/>
      <c r="AD929" s="96"/>
      <c r="AE929" s="93"/>
      <c r="AF929" s="20"/>
      <c r="AG929" s="20"/>
      <c r="AH929" s="20"/>
      <c r="AI929" s="20"/>
    </row>
    <row r="930" spans="1:35" ht="12.75" hidden="1" customHeight="1">
      <c r="A930" s="319"/>
      <c r="D930" s="20" t="s">
        <v>14</v>
      </c>
      <c r="E930" s="42">
        <f>E924</f>
        <v>8490.68</v>
      </c>
      <c r="F930" s="20"/>
      <c r="G930" s="20"/>
      <c r="H930" s="490">
        <f>G931+E931</f>
        <v>222.3</v>
      </c>
      <c r="I930" s="315"/>
      <c r="J930" s="511"/>
      <c r="K930" s="297"/>
      <c r="L930" s="116" t="s">
        <v>133</v>
      </c>
      <c r="M930" s="45">
        <v>600</v>
      </c>
      <c r="N930" s="538">
        <f t="shared" si="105"/>
        <v>718.21009400001503</v>
      </c>
      <c r="O930" s="42"/>
      <c r="P930" s="133">
        <v>-45</v>
      </c>
      <c r="Q930" s="72">
        <f t="shared" si="103"/>
        <v>-17490.077278480996</v>
      </c>
      <c r="R930" s="45">
        <f t="shared" si="104"/>
        <v>2509.922721519004</v>
      </c>
      <c r="S930" s="373" t="s">
        <v>572</v>
      </c>
      <c r="T930" s="391"/>
      <c r="U930" s="74"/>
      <c r="V930" s="26"/>
      <c r="W930" s="111"/>
      <c r="X930" s="111"/>
      <c r="Y930" s="112"/>
      <c r="Z930" s="55"/>
      <c r="AA930" s="489"/>
      <c r="AB930" s="26"/>
      <c r="AC930" s="20"/>
      <c r="AD930" s="41"/>
      <c r="AE930" s="93"/>
      <c r="AF930" s="20"/>
      <c r="AG930" s="20"/>
      <c r="AH930" s="20"/>
      <c r="AI930" s="20"/>
    </row>
    <row r="931" spans="1:35" ht="12.75" hidden="1" customHeight="1" thickBot="1">
      <c r="A931" s="319"/>
      <c r="D931" s="78" t="s">
        <v>13</v>
      </c>
      <c r="E931" s="483">
        <f>SUM(E925:E926)</f>
        <v>222.3</v>
      </c>
      <c r="F931" s="482" t="s">
        <v>364</v>
      </c>
      <c r="G931" s="1037"/>
      <c r="H931" s="1037"/>
      <c r="I931" s="315"/>
      <c r="J931" s="511"/>
      <c r="K931" s="297"/>
      <c r="L931" s="116" t="s">
        <v>159</v>
      </c>
      <c r="M931" s="45">
        <v>1672</v>
      </c>
      <c r="N931" s="538">
        <f t="shared" si="105"/>
        <v>2390.210094000015</v>
      </c>
      <c r="O931" s="26"/>
      <c r="P931" s="133">
        <v>-45</v>
      </c>
      <c r="Q931" s="72">
        <f t="shared" si="103"/>
        <v>-17535.077278480996</v>
      </c>
      <c r="R931" s="45">
        <f t="shared" si="104"/>
        <v>2464.922721519004</v>
      </c>
      <c r="S931" s="373" t="s">
        <v>572</v>
      </c>
      <c r="T931" s="391"/>
      <c r="U931" s="74"/>
      <c r="V931" s="26"/>
      <c r="W931" s="20"/>
      <c r="X931" s="20"/>
      <c r="Y931" s="112"/>
      <c r="Z931" s="239"/>
      <c r="AA931" s="94"/>
      <c r="AB931" s="26"/>
      <c r="AC931" s="20"/>
      <c r="AD931" s="92"/>
      <c r="AE931" s="93"/>
      <c r="AF931" s="20"/>
      <c r="AG931" s="20"/>
      <c r="AH931" s="20"/>
      <c r="AI931" s="20"/>
    </row>
    <row r="932" spans="1:35" ht="12.75" hidden="1" customHeight="1" thickTop="1">
      <c r="A932" s="319"/>
      <c r="D932" s="20"/>
      <c r="E932" s="26"/>
      <c r="F932" s="122"/>
      <c r="G932" s="1038">
        <f>E930+E931+G931</f>
        <v>8712.98</v>
      </c>
      <c r="H932" s="1038"/>
      <c r="I932" s="315"/>
      <c r="J932" s="709"/>
      <c r="K932" s="297"/>
      <c r="L932" s="116" t="s">
        <v>586</v>
      </c>
      <c r="M932" s="45">
        <v>-220</v>
      </c>
      <c r="N932" s="538">
        <f t="shared" si="105"/>
        <v>2170.210094000015</v>
      </c>
      <c r="O932" s="26"/>
      <c r="P932" s="133">
        <f>-M934</f>
        <v>2000</v>
      </c>
      <c r="Q932" s="72">
        <f t="shared" si="103"/>
        <v>-15535.077278480996</v>
      </c>
      <c r="R932" s="45">
        <f t="shared" si="104"/>
        <v>4464.922721519004</v>
      </c>
      <c r="S932" s="373" t="s">
        <v>247</v>
      </c>
      <c r="T932" s="391"/>
      <c r="U932" s="74"/>
      <c r="V932" s="26"/>
      <c r="W932" s="26"/>
      <c r="X932" s="20"/>
      <c r="Y932" s="112"/>
      <c r="Z932" s="239"/>
      <c r="AA932" s="94"/>
      <c r="AB932" s="95"/>
      <c r="AC932" s="20"/>
      <c r="AD932" s="92"/>
      <c r="AE932" s="93"/>
      <c r="AF932" s="20"/>
      <c r="AG932" s="20"/>
      <c r="AH932" s="20"/>
      <c r="AI932" s="20"/>
    </row>
    <row r="933" spans="1:35" ht="12.75" hidden="1" customHeight="1">
      <c r="A933" s="319"/>
      <c r="D933" s="20"/>
      <c r="E933" s="26"/>
      <c r="F933" s="122"/>
      <c r="G933" s="801"/>
      <c r="H933" s="801"/>
      <c r="I933" s="315"/>
      <c r="J933" s="709"/>
      <c r="K933" s="297"/>
      <c r="L933" s="116" t="s">
        <v>590</v>
      </c>
      <c r="M933" s="45">
        <v>-0.85</v>
      </c>
      <c r="N933" s="538">
        <f t="shared" si="105"/>
        <v>2169.3600940000151</v>
      </c>
      <c r="O933" s="26"/>
      <c r="P933" s="133">
        <v>-251.5</v>
      </c>
      <c r="Q933" s="72">
        <f t="shared" si="103"/>
        <v>-15786.577278480996</v>
      </c>
      <c r="R933" s="45">
        <f t="shared" si="104"/>
        <v>4213.422721519004</v>
      </c>
      <c r="S933" s="373" t="s">
        <v>587</v>
      </c>
      <c r="T933" s="391"/>
      <c r="U933" s="74"/>
      <c r="V933" s="26"/>
      <c r="W933" s="26"/>
      <c r="X933" s="20"/>
      <c r="Y933" s="112"/>
      <c r="Z933" s="239"/>
      <c r="AA933" s="94"/>
      <c r="AB933" s="26"/>
      <c r="AC933" s="20"/>
      <c r="AD933" s="92"/>
      <c r="AE933" s="97"/>
      <c r="AF933" s="20"/>
      <c r="AG933" s="20"/>
      <c r="AH933" s="20"/>
      <c r="AI933" s="20"/>
    </row>
    <row r="934" spans="1:35" ht="12.75" hidden="1" customHeight="1">
      <c r="A934" s="319"/>
      <c r="D934" s="20"/>
      <c r="E934" s="26"/>
      <c r="F934" s="122"/>
      <c r="G934" s="801"/>
      <c r="H934" s="801"/>
      <c r="I934" s="315"/>
      <c r="J934" s="517"/>
      <c r="K934" s="297"/>
      <c r="L934" s="116" t="s">
        <v>102</v>
      </c>
      <c r="M934" s="45">
        <v>-2000</v>
      </c>
      <c r="N934" s="538">
        <f t="shared" si="105"/>
        <v>169.36009400001512</v>
      </c>
      <c r="O934" s="26"/>
      <c r="P934" s="133">
        <v>-105.3</v>
      </c>
      <c r="Q934" s="72">
        <f>Q933+P934</f>
        <v>-15891.877278480995</v>
      </c>
      <c r="R934" s="45">
        <f>20000+Q934</f>
        <v>4108.1227215190047</v>
      </c>
      <c r="S934" s="373" t="s">
        <v>572</v>
      </c>
      <c r="T934" s="391"/>
      <c r="U934" s="74"/>
      <c r="V934" s="26"/>
      <c r="W934" s="26"/>
      <c r="X934" s="91"/>
      <c r="Y934" s="20"/>
      <c r="Z934" s="239"/>
      <c r="AA934" s="94"/>
      <c r="AB934" s="95"/>
      <c r="AC934" s="20"/>
      <c r="AD934" s="98"/>
      <c r="AE934" s="93"/>
      <c r="AF934" s="805"/>
      <c r="AG934" s="20"/>
      <c r="AH934" s="20"/>
      <c r="AI934" s="20"/>
    </row>
    <row r="935" spans="1:35" ht="12.75" hidden="1" customHeight="1">
      <c r="A935" s="319"/>
      <c r="D935" s="20"/>
      <c r="E935" s="26"/>
      <c r="F935" s="406"/>
      <c r="G935" s="407"/>
      <c r="H935" s="484"/>
      <c r="I935" s="315"/>
      <c r="J935" s="709"/>
      <c r="K935" s="297"/>
      <c r="L935" s="116" t="s">
        <v>61</v>
      </c>
      <c r="M935" s="45">
        <v>-29</v>
      </c>
      <c r="N935" s="538">
        <f t="shared" si="105"/>
        <v>140.36009400001512</v>
      </c>
      <c r="O935" s="274"/>
      <c r="P935" s="133">
        <v>-3926</v>
      </c>
      <c r="Q935" s="72">
        <f>Q934+P935</f>
        <v>-19817.877278480995</v>
      </c>
      <c r="R935" s="45">
        <f>20000+Q935</f>
        <v>182.1227215190047</v>
      </c>
      <c r="S935" s="373" t="s">
        <v>580</v>
      </c>
      <c r="T935" s="391"/>
      <c r="U935" s="74"/>
      <c r="V935" s="26"/>
      <c r="W935" s="26"/>
      <c r="X935" s="35"/>
      <c r="Y935" s="20"/>
      <c r="Z935" s="239"/>
      <c r="AA935" s="94"/>
      <c r="AB935" s="26"/>
      <c r="AC935" s="20"/>
      <c r="AD935" s="20"/>
      <c r="AE935" s="20"/>
      <c r="AF935" s="99"/>
      <c r="AG935" s="20"/>
      <c r="AH935" s="20"/>
      <c r="AI935" s="20"/>
    </row>
    <row r="936" spans="1:35" ht="12.75" hidden="1" customHeight="1">
      <c r="A936" s="671"/>
      <c r="B936" s="671"/>
      <c r="C936" s="671"/>
      <c r="D936" s="671"/>
      <c r="E936" s="671"/>
      <c r="F936" s="671"/>
      <c r="G936" s="671"/>
      <c r="H936" s="485"/>
      <c r="I936" s="493"/>
      <c r="K936" s="258" t="s">
        <v>222</v>
      </c>
      <c r="L936" s="266" t="s">
        <v>51</v>
      </c>
      <c r="M936" s="146">
        <f>E930</f>
        <v>8490.68</v>
      </c>
      <c r="N936" s="538">
        <f t="shared" si="105"/>
        <v>8631.0400940000145</v>
      </c>
      <c r="O936" s="253"/>
      <c r="P936" s="133">
        <v>-45</v>
      </c>
      <c r="Q936" s="72">
        <f>Q935+P936</f>
        <v>-19862.877278480995</v>
      </c>
      <c r="R936" s="45">
        <f>20000+Q936</f>
        <v>137.1227215190047</v>
      </c>
      <c r="S936" s="373" t="s">
        <v>572</v>
      </c>
      <c r="T936" s="391"/>
      <c r="U936" s="65"/>
      <c r="V936" s="26"/>
      <c r="W936" s="20"/>
      <c r="X936" s="20"/>
      <c r="Y936" s="111"/>
      <c r="Z936" s="239"/>
      <c r="AA936" s="94"/>
      <c r="AB936" s="26"/>
      <c r="AC936" s="20"/>
      <c r="AD936" s="20"/>
      <c r="AE936" s="20"/>
      <c r="AF936" s="20"/>
      <c r="AG936" s="20"/>
      <c r="AH936" s="20"/>
      <c r="AI936" s="20"/>
    </row>
    <row r="937" spans="1:35" ht="12.75" hidden="1" customHeight="1">
      <c r="A937" s="402"/>
      <c r="B937" s="402"/>
      <c r="C937" s="403"/>
      <c r="D937" s="404"/>
      <c r="E937" s="405"/>
      <c r="F937" s="406"/>
      <c r="G937" s="407"/>
      <c r="H937" s="485"/>
      <c r="I937" s="494"/>
      <c r="K937" s="258"/>
      <c r="L937" s="266" t="s">
        <v>591</v>
      </c>
      <c r="M937" s="146">
        <v>-115</v>
      </c>
      <c r="N937" s="538">
        <f t="shared" si="105"/>
        <v>8516.0400940000145</v>
      </c>
      <c r="O937" s="253"/>
      <c r="P937" s="49">
        <f>E931</f>
        <v>222.3</v>
      </c>
      <c r="Q937" s="73">
        <f>Q936+P937</f>
        <v>-19640.577278480996</v>
      </c>
      <c r="R937" s="45">
        <f>20000+Q937</f>
        <v>359.42272151900397</v>
      </c>
      <c r="S937" s="373"/>
      <c r="T937" s="372"/>
      <c r="U937" s="65"/>
      <c r="V937" s="20"/>
      <c r="W937" s="20"/>
      <c r="X937" s="91"/>
      <c r="Y937" s="111"/>
      <c r="Z937" s="239"/>
      <c r="AA937" s="94"/>
      <c r="AB937" s="95"/>
      <c r="AC937" s="20"/>
      <c r="AD937" s="20"/>
      <c r="AE937" s="20"/>
      <c r="AF937" s="20"/>
      <c r="AG937" s="20"/>
      <c r="AH937" s="20"/>
      <c r="AI937" s="20"/>
    </row>
    <row r="938" spans="1:35" ht="12.75" hidden="1" customHeight="1">
      <c r="A938" s="671" t="s">
        <v>421</v>
      </c>
      <c r="B938" s="671"/>
      <c r="C938" s="671"/>
      <c r="D938" s="671"/>
      <c r="E938" s="671"/>
      <c r="F938" s="50"/>
      <c r="G938" s="370"/>
      <c r="H938" s="801"/>
      <c r="I938" s="495"/>
      <c r="J938" s="709"/>
      <c r="K938" s="258"/>
      <c r="L938" s="266" t="s">
        <v>591</v>
      </c>
      <c r="M938" s="146">
        <v>-115</v>
      </c>
      <c r="N938" s="538">
        <f t="shared" si="105"/>
        <v>8401.0400940000145</v>
      </c>
      <c r="O938" s="253"/>
      <c r="P938" s="64">
        <f>SUM(P925:P937)</f>
        <v>-19640.577278480996</v>
      </c>
      <c r="Q938" s="287" t="s">
        <v>243</v>
      </c>
      <c r="R938" s="317"/>
      <c r="S938" s="611"/>
      <c r="T938" s="372"/>
      <c r="U938" s="65"/>
      <c r="V938" s="20"/>
      <c r="W938" s="20"/>
      <c r="X938" s="20"/>
      <c r="Y938" s="111"/>
      <c r="Z938" s="239"/>
      <c r="AA938" s="94"/>
      <c r="AB938" s="26"/>
      <c r="AC938" s="20"/>
      <c r="AD938" s="20"/>
      <c r="AE938" s="20"/>
      <c r="AF938" s="20"/>
      <c r="AG938" s="805"/>
      <c r="AH938" s="20"/>
      <c r="AI938" s="20"/>
    </row>
    <row r="939" spans="1:35" ht="12.75" hidden="1" customHeight="1">
      <c r="A939" s="402"/>
      <c r="B939" s="402"/>
      <c r="C939" s="403"/>
      <c r="D939" s="404"/>
      <c r="E939" s="405"/>
      <c r="F939" s="50"/>
      <c r="G939" s="370"/>
      <c r="H939" s="801"/>
      <c r="I939" s="495"/>
      <c r="J939" s="521"/>
      <c r="K939" s="258" t="s">
        <v>222</v>
      </c>
      <c r="L939" s="266" t="s">
        <v>582</v>
      </c>
      <c r="M939" s="146">
        <v>-2700</v>
      </c>
      <c r="N939" s="538">
        <f t="shared" si="105"/>
        <v>5701.0400940000145</v>
      </c>
      <c r="O939" s="253"/>
      <c r="P939" s="68"/>
      <c r="Q939" s="585"/>
      <c r="R939" s="131"/>
      <c r="S939" s="373"/>
      <c r="T939" s="372"/>
      <c r="U939" s="65"/>
      <c r="V939" s="20"/>
      <c r="W939" s="20"/>
      <c r="X939" s="20"/>
      <c r="Y939" s="111"/>
      <c r="Z939" s="239"/>
      <c r="AA939" s="94"/>
      <c r="AB939" s="26"/>
      <c r="AC939" s="20"/>
      <c r="AD939" s="20"/>
      <c r="AE939" s="20"/>
      <c r="AF939" s="20"/>
      <c r="AG939" s="20"/>
      <c r="AH939" s="20"/>
      <c r="AI939" s="20"/>
    </row>
    <row r="940" spans="1:35" ht="12.75" hidden="1" customHeight="1">
      <c r="A940" s="333"/>
      <c r="B940" s="333"/>
      <c r="C940" s="402"/>
      <c r="D940" s="408"/>
      <c r="E940" s="133"/>
      <c r="F940" s="50"/>
      <c r="G940" s="370"/>
      <c r="H940" s="801"/>
      <c r="I940" s="753"/>
      <c r="K940" s="258" t="s">
        <v>222</v>
      </c>
      <c r="L940" s="266" t="s">
        <v>333</v>
      </c>
      <c r="M940" s="45">
        <v>-210</v>
      </c>
      <c r="N940" s="538">
        <f t="shared" si="105"/>
        <v>5491.0400940000145</v>
      </c>
      <c r="O940" s="253"/>
      <c r="P940" s="781"/>
      <c r="Q940" s="667"/>
      <c r="R940" s="45"/>
      <c r="S940" s="373"/>
      <c r="T940" s="803"/>
      <c r="U940" s="65"/>
      <c r="V940" s="20"/>
      <c r="W940" s="26"/>
      <c r="X940" s="91"/>
      <c r="Y940" s="20"/>
      <c r="Z940" s="239"/>
      <c r="AA940" s="94"/>
      <c r="AB940" s="26"/>
      <c r="AC940" s="20"/>
      <c r="AD940" s="20"/>
      <c r="AE940" s="20"/>
      <c r="AF940" s="20"/>
      <c r="AG940" s="20"/>
      <c r="AH940" s="20"/>
      <c r="AI940" s="20"/>
    </row>
    <row r="941" spans="1:35" ht="12.75" hidden="1" customHeight="1">
      <c r="A941" s="333"/>
      <c r="B941" s="333"/>
      <c r="C941" s="333"/>
      <c r="D941" s="408"/>
      <c r="E941" s="133"/>
      <c r="F941" s="50"/>
      <c r="G941" s="370"/>
      <c r="H941" s="801"/>
      <c r="I941" s="510"/>
      <c r="J941" s="533"/>
      <c r="K941" s="258" t="s">
        <v>222</v>
      </c>
      <c r="L941" s="266" t="s">
        <v>552</v>
      </c>
      <c r="M941" s="45">
        <v>-100</v>
      </c>
      <c r="N941" s="538">
        <f t="shared" si="105"/>
        <v>5391.0400940000145</v>
      </c>
      <c r="O941" s="253"/>
      <c r="P941" s="666"/>
      <c r="Q941" s="667"/>
      <c r="R941" s="45"/>
      <c r="S941" s="373"/>
      <c r="T941" s="803"/>
      <c r="U941" s="84"/>
      <c r="V941" s="20"/>
      <c r="W941" s="26"/>
      <c r="X941" s="91"/>
      <c r="Y941" s="20"/>
      <c r="Z941" s="239"/>
      <c r="AA941" s="94"/>
      <c r="AB941" s="26"/>
      <c r="AC941" s="20"/>
      <c r="AD941" s="20"/>
      <c r="AE941" s="20"/>
      <c r="AF941" s="20"/>
      <c r="AG941" s="20"/>
      <c r="AH941" s="20"/>
      <c r="AI941" s="20"/>
    </row>
    <row r="942" spans="1:35" ht="12.75" hidden="1" customHeight="1">
      <c r="A942" s="333"/>
      <c r="B942" s="333"/>
      <c r="C942" s="333"/>
      <c r="D942" s="48"/>
      <c r="E942" s="133"/>
      <c r="F942" s="50"/>
      <c r="G942" s="409"/>
      <c r="H942" s="801"/>
      <c r="J942" s="534"/>
      <c r="K942" s="258"/>
      <c r="L942" s="266" t="s">
        <v>159</v>
      </c>
      <c r="M942" s="45">
        <v>-100</v>
      </c>
      <c r="N942" s="538">
        <f t="shared" si="105"/>
        <v>5291.0400940000145</v>
      </c>
      <c r="O942" s="26"/>
      <c r="P942" s="781"/>
      <c r="Q942" s="667"/>
      <c r="R942" s="45"/>
      <c r="S942" s="592"/>
      <c r="T942" s="503"/>
      <c r="U942" s="20"/>
      <c r="V942" s="20"/>
      <c r="W942" s="26"/>
      <c r="X942" s="91"/>
      <c r="Y942" s="20"/>
      <c r="Z942" s="239"/>
      <c r="AA942" s="94"/>
      <c r="AB942" s="26"/>
      <c r="AC942" s="20"/>
      <c r="AD942" s="20"/>
      <c r="AE942" s="20"/>
      <c r="AF942" s="20"/>
      <c r="AG942" s="20"/>
      <c r="AH942" s="20"/>
      <c r="AI942" s="20"/>
    </row>
    <row r="943" spans="1:35" ht="12.75" hidden="1" customHeight="1">
      <c r="A943" s="333"/>
      <c r="B943" s="333"/>
      <c r="C943" s="410"/>
      <c r="D943" s="404"/>
      <c r="E943" s="405"/>
      <c r="F943" s="50"/>
      <c r="G943" s="409"/>
      <c r="H943" s="801"/>
      <c r="J943" s="504"/>
      <c r="K943" s="258" t="s">
        <v>222</v>
      </c>
      <c r="L943" s="266" t="s">
        <v>195</v>
      </c>
      <c r="M943" s="45">
        <v>-1738</v>
      </c>
      <c r="N943" s="538">
        <f t="shared" si="105"/>
        <v>3553.0400940000145</v>
      </c>
      <c r="O943" s="239"/>
      <c r="P943" s="588"/>
      <c r="Q943" s="595"/>
      <c r="R943" s="591"/>
      <c r="S943" s="592"/>
      <c r="T943" s="503"/>
      <c r="U943" s="20"/>
      <c r="V943" s="26"/>
      <c r="W943" s="26"/>
      <c r="X943" s="91"/>
      <c r="Y943" s="20"/>
      <c r="Z943" s="239"/>
      <c r="AA943" s="94"/>
      <c r="AB943" s="26"/>
      <c r="AC943" s="20"/>
      <c r="AD943" s="20"/>
      <c r="AE943" s="20"/>
      <c r="AF943" s="20"/>
      <c r="AG943" s="20"/>
      <c r="AH943" s="20"/>
      <c r="AI943" s="20"/>
    </row>
    <row r="944" spans="1:35" ht="12.75" hidden="1" customHeight="1">
      <c r="A944" s="333"/>
      <c r="B944" s="333"/>
      <c r="C944" s="333"/>
      <c r="D944" s="411"/>
      <c r="E944" s="133"/>
      <c r="F944" s="50"/>
      <c r="G944" s="409"/>
      <c r="H944" s="801"/>
      <c r="I944" s="235"/>
      <c r="J944" s="504"/>
      <c r="K944" s="85" t="s">
        <v>222</v>
      </c>
      <c r="L944" s="266" t="s">
        <v>180</v>
      </c>
      <c r="M944" s="45">
        <v>-59</v>
      </c>
      <c r="N944" s="538">
        <f t="shared" si="105"/>
        <v>3494.0400940000145</v>
      </c>
      <c r="O944" s="239"/>
      <c r="P944" s="776"/>
      <c r="Q944" s="595"/>
      <c r="R944" s="591"/>
      <c r="S944" s="778"/>
      <c r="T944" s="779"/>
      <c r="U944" s="20"/>
      <c r="V944" s="26"/>
      <c r="W944" s="26"/>
      <c r="X944" s="91"/>
      <c r="Y944" s="20"/>
      <c r="Z944" s="239"/>
      <c r="AA944" s="94"/>
      <c r="AB944" s="26"/>
      <c r="AC944" s="20"/>
      <c r="AD944" s="20"/>
      <c r="AE944" s="20"/>
      <c r="AF944" s="20"/>
      <c r="AG944" s="20"/>
      <c r="AH944" s="20"/>
      <c r="AI944" s="20"/>
    </row>
    <row r="945" spans="1:35" ht="12.75" hidden="1" customHeight="1">
      <c r="A945" s="333"/>
      <c r="B945" s="333"/>
      <c r="C945" s="333"/>
      <c r="D945" s="408"/>
      <c r="E945" s="133"/>
      <c r="F945" s="50"/>
      <c r="G945" s="409"/>
      <c r="H945" s="801"/>
      <c r="I945" s="543"/>
      <c r="J945" s="504"/>
      <c r="K945" s="258" t="s">
        <v>222</v>
      </c>
      <c r="L945" s="266" t="s">
        <v>61</v>
      </c>
      <c r="M945" s="45">
        <v>0</v>
      </c>
      <c r="N945" s="538">
        <f t="shared" si="105"/>
        <v>3494.0400940000145</v>
      </c>
      <c r="O945" s="240"/>
      <c r="P945" s="777"/>
      <c r="Q945" s="595"/>
      <c r="R945" s="591"/>
      <c r="S945" s="780"/>
      <c r="T945" s="503"/>
      <c r="U945" s="20"/>
      <c r="V945" s="26"/>
      <c r="W945" s="26"/>
      <c r="X945" s="91"/>
      <c r="Y945" s="20"/>
      <c r="Z945" s="239"/>
      <c r="AA945" s="94"/>
      <c r="AB945" s="26"/>
      <c r="AC945" s="20"/>
      <c r="AD945" s="20"/>
      <c r="AE945" s="20"/>
      <c r="AF945" s="20"/>
      <c r="AG945" s="20"/>
      <c r="AH945" s="20"/>
      <c r="AI945" s="20"/>
    </row>
    <row r="946" spans="1:35" ht="12.75" hidden="1" customHeight="1">
      <c r="A946" s="333"/>
      <c r="B946" s="333"/>
      <c r="C946" s="333"/>
      <c r="D946" s="408"/>
      <c r="E946" s="412"/>
      <c r="F946" s="50"/>
      <c r="G946" s="409"/>
      <c r="H946" s="801"/>
      <c r="J946" s="504"/>
      <c r="K946" s="258" t="s">
        <v>371</v>
      </c>
      <c r="L946" s="266" t="s">
        <v>148</v>
      </c>
      <c r="M946" s="45">
        <v>1000</v>
      </c>
      <c r="N946" s="538">
        <f t="shared" si="105"/>
        <v>4494.0400940000145</v>
      </c>
      <c r="O946" s="274"/>
      <c r="P946" s="777"/>
      <c r="Q946" s="595"/>
      <c r="R946" s="591"/>
      <c r="S946" s="780"/>
      <c r="T946" s="503"/>
      <c r="U946" s="20"/>
      <c r="V946" s="26"/>
      <c r="W946" s="26"/>
      <c r="X946" s="91"/>
      <c r="Y946" s="20"/>
      <c r="Z946" s="239"/>
      <c r="AA946" s="94"/>
      <c r="AB946" s="26"/>
      <c r="AC946" s="20"/>
      <c r="AD946" s="20"/>
      <c r="AE946" s="20"/>
      <c r="AF946" s="20"/>
      <c r="AG946" s="20"/>
      <c r="AH946" s="20"/>
      <c r="AI946" s="20"/>
    </row>
    <row r="947" spans="1:35" ht="12.75" hidden="1" customHeight="1">
      <c r="A947" s="333"/>
      <c r="B947" s="333"/>
      <c r="C947" s="410"/>
      <c r="D947" s="561"/>
      <c r="E947" s="405"/>
      <c r="F947" s="50"/>
      <c r="G947" s="409"/>
      <c r="H947" s="801"/>
      <c r="I947" s="532"/>
      <c r="J947" s="504"/>
      <c r="K947" s="85" t="s">
        <v>189</v>
      </c>
      <c r="L947" s="267" t="s">
        <v>16</v>
      </c>
      <c r="M947" s="175">
        <v>-723.99</v>
      </c>
      <c r="N947" s="538">
        <f t="shared" si="105"/>
        <v>3770.0500940000147</v>
      </c>
      <c r="O947" s="551"/>
      <c r="P947" s="777"/>
      <c r="Q947" s="595"/>
      <c r="R947" s="591"/>
      <c r="S947" s="780"/>
      <c r="T947" s="503"/>
      <c r="U947" s="234"/>
      <c r="V947" s="45"/>
      <c r="W947" s="26"/>
      <c r="X947" s="91"/>
      <c r="Y947" s="20"/>
      <c r="Z947" s="239"/>
      <c r="AA947" s="94"/>
      <c r="AB947" s="26"/>
      <c r="AC947" s="20"/>
      <c r="AD947" s="20"/>
      <c r="AE947" s="20"/>
      <c r="AF947" s="20"/>
      <c r="AG947" s="20"/>
      <c r="AH947" s="20"/>
      <c r="AI947" s="20"/>
    </row>
    <row r="948" spans="1:35" ht="12.75" hidden="1" customHeight="1">
      <c r="A948" s="333"/>
      <c r="B948" s="333"/>
      <c r="C948" s="333"/>
      <c r="D948" s="408"/>
      <c r="E948" s="133"/>
      <c r="F948" s="50"/>
      <c r="G948" s="409"/>
      <c r="H948" s="801"/>
      <c r="I948" s="20"/>
      <c r="J948" s="504"/>
      <c r="K948" s="258" t="s">
        <v>189</v>
      </c>
      <c r="L948" s="268" t="s">
        <v>56</v>
      </c>
      <c r="M948" s="175">
        <v>-920</v>
      </c>
      <c r="N948" s="538">
        <f t="shared" si="105"/>
        <v>2850.0500940000147</v>
      </c>
      <c r="O948" s="551"/>
      <c r="P948" s="588"/>
      <c r="Q948" s="595"/>
      <c r="R948" s="591"/>
      <c r="S948" s="502"/>
      <c r="T948" s="503"/>
      <c r="U948" s="20"/>
      <c r="V948" s="26"/>
      <c r="W948" s="26"/>
      <c r="X948" s="91"/>
      <c r="Y948" s="20"/>
      <c r="Z948" s="239"/>
      <c r="AA948" s="94"/>
      <c r="AB948" s="26"/>
      <c r="AC948" s="20"/>
      <c r="AD948" s="20"/>
      <c r="AE948" s="20"/>
      <c r="AF948" s="20"/>
      <c r="AG948" s="20"/>
      <c r="AH948" s="20"/>
      <c r="AI948" s="20"/>
    </row>
    <row r="949" spans="1:35" ht="12.75" hidden="1" customHeight="1">
      <c r="A949" s="333"/>
      <c r="B949" s="333"/>
      <c r="C949" s="333"/>
      <c r="D949" s="408"/>
      <c r="E949" s="133"/>
      <c r="F949" s="50"/>
      <c r="G949" s="409"/>
      <c r="H949" s="801"/>
      <c r="I949" s="20"/>
      <c r="J949" s="504"/>
      <c r="K949" s="258" t="s">
        <v>189</v>
      </c>
      <c r="L949" s="116" t="s">
        <v>224</v>
      </c>
      <c r="M949" s="45">
        <v>-561.33000000000004</v>
      </c>
      <c r="N949" s="538">
        <f t="shared" si="105"/>
        <v>2288.7200940000148</v>
      </c>
      <c r="O949" s="253"/>
      <c r="P949" s="26"/>
      <c r="Q949" s="26"/>
      <c r="R949" s="26"/>
      <c r="S949" s="384"/>
      <c r="T949" s="20"/>
      <c r="U949" s="20"/>
      <c r="V949" s="26"/>
      <c r="W949" s="26"/>
      <c r="X949" s="91"/>
      <c r="Y949" s="20"/>
      <c r="Z949" s="239"/>
      <c r="AA949" s="94"/>
      <c r="AB949" s="26"/>
      <c r="AC949" s="20"/>
      <c r="AD949" s="20"/>
      <c r="AE949" s="20"/>
      <c r="AF949" s="20"/>
      <c r="AG949" s="20"/>
      <c r="AH949" s="20"/>
      <c r="AI949" s="20"/>
    </row>
    <row r="950" spans="1:35" ht="12.75" hidden="1" customHeight="1">
      <c r="A950" s="333"/>
      <c r="B950" s="333"/>
      <c r="C950" s="333"/>
      <c r="D950" s="408"/>
      <c r="E950" s="133"/>
      <c r="F950" s="50"/>
      <c r="G950" s="409"/>
      <c r="H950" s="801"/>
      <c r="I950" s="20"/>
      <c r="J950" s="504"/>
      <c r="K950" s="258" t="s">
        <v>189</v>
      </c>
      <c r="L950" s="116" t="s">
        <v>585</v>
      </c>
      <c r="M950" s="175">
        <f>-63.85</f>
        <v>-63.85</v>
      </c>
      <c r="N950" s="538">
        <f t="shared" si="105"/>
        <v>2224.8700940000149</v>
      </c>
      <c r="O950" s="253"/>
      <c r="U950" s="20"/>
      <c r="V950" s="26"/>
      <c r="W950" s="26"/>
      <c r="X950" s="91"/>
      <c r="Y950" s="20"/>
      <c r="Z950" s="239"/>
      <c r="AA950" s="94"/>
      <c r="AB950" s="26"/>
      <c r="AC950" s="20"/>
      <c r="AD950" s="20"/>
      <c r="AE950" s="20"/>
      <c r="AF950" s="20"/>
      <c r="AG950" s="20"/>
      <c r="AH950" s="20"/>
      <c r="AI950" s="20"/>
    </row>
    <row r="951" spans="1:35" ht="12.75" hidden="1" customHeight="1">
      <c r="A951" s="333"/>
      <c r="B951" s="333"/>
      <c r="C951" s="333"/>
      <c r="D951" s="408"/>
      <c r="E951" s="133"/>
      <c r="F951" s="50"/>
      <c r="G951" s="409"/>
      <c r="H951" s="801"/>
      <c r="I951" s="20"/>
      <c r="J951" s="504"/>
      <c r="K951" s="258" t="s">
        <v>190</v>
      </c>
      <c r="L951" s="268" t="s">
        <v>375</v>
      </c>
      <c r="M951" s="175">
        <f>-47.52</f>
        <v>-47.52</v>
      </c>
      <c r="N951" s="538">
        <f t="shared" si="105"/>
        <v>2177.3500940000149</v>
      </c>
      <c r="O951" s="253"/>
      <c r="U951" s="20"/>
      <c r="V951" s="26"/>
      <c r="W951" s="26"/>
      <c r="X951" s="91"/>
      <c r="Y951" s="20"/>
      <c r="Z951" s="239"/>
      <c r="AA951" s="94"/>
      <c r="AB951" s="26"/>
      <c r="AC951" s="20"/>
      <c r="AD951" s="20"/>
      <c r="AE951" s="20"/>
      <c r="AF951" s="20"/>
      <c r="AG951" s="20"/>
      <c r="AH951" s="20"/>
      <c r="AI951" s="20"/>
    </row>
    <row r="952" spans="1:35" hidden="1">
      <c r="K952" s="321" t="s">
        <v>190</v>
      </c>
      <c r="L952" s="269" t="s">
        <v>23</v>
      </c>
      <c r="M952" s="366">
        <v>-300</v>
      </c>
      <c r="N952" s="566">
        <f t="shared" si="105"/>
        <v>1877.3500940000149</v>
      </c>
      <c r="U952" s="20"/>
      <c r="V952" s="20"/>
    </row>
    <row r="953" spans="1:35" hidden="1">
      <c r="L953" s="23"/>
      <c r="M953" s="168">
        <f>SUM(M925:M952)</f>
        <v>1877.3500940000149</v>
      </c>
      <c r="N953" s="806"/>
    </row>
    <row r="954" spans="1:35" s="78" customFormat="1" hidden="1">
      <c r="E954" s="15"/>
      <c r="G954" s="129"/>
      <c r="K954" s="257"/>
      <c r="M954" s="15"/>
      <c r="P954" s="15"/>
      <c r="Q954" s="15"/>
      <c r="R954" s="15"/>
      <c r="S954" s="385"/>
      <c r="Z954" s="15"/>
      <c r="AA954" s="130"/>
      <c r="AB954" s="15"/>
    </row>
    <row r="955" spans="1:35" hidden="1"/>
    <row r="956" spans="1:35" ht="12.75" hidden="1" customHeight="1">
      <c r="B956" s="1030" t="s">
        <v>588</v>
      </c>
      <c r="C956" s="1030"/>
      <c r="D956" s="1030"/>
      <c r="E956" s="1030"/>
      <c r="G956" s="261"/>
      <c r="H956" s="658"/>
      <c r="I956" s="26"/>
      <c r="K956" s="258"/>
      <c r="L956" s="100"/>
      <c r="M956" s="1031" t="s">
        <v>54</v>
      </c>
      <c r="N956" s="808"/>
      <c r="O956" s="813"/>
      <c r="P956" s="1033" t="s">
        <v>48</v>
      </c>
      <c r="Q956" s="1035" t="s">
        <v>581</v>
      </c>
      <c r="R956" s="1035"/>
      <c r="S956" s="377"/>
      <c r="X956" s="35"/>
      <c r="Y956" s="35"/>
      <c r="Z956" s="26"/>
      <c r="AA956" s="814"/>
      <c r="AB956" s="26"/>
      <c r="AC956" s="20"/>
      <c r="AD956" s="20"/>
      <c r="AE956" s="20"/>
      <c r="AF956" s="20"/>
      <c r="AG956" s="20"/>
      <c r="AH956" s="20"/>
      <c r="AI956" s="20"/>
    </row>
    <row r="957" spans="1:35" ht="12.75" hidden="1" customHeight="1">
      <c r="C957" s="17" t="s">
        <v>357</v>
      </c>
      <c r="D957" s="14"/>
      <c r="E957" s="44">
        <v>8490.68</v>
      </c>
      <c r="G957" s="1036"/>
      <c r="H957" s="1036"/>
      <c r="I957" s="26"/>
      <c r="K957" s="260" t="s">
        <v>221</v>
      </c>
      <c r="L957" s="156"/>
      <c r="M957" s="1032"/>
      <c r="N957" s="808" t="s">
        <v>43</v>
      </c>
      <c r="O957" s="813"/>
      <c r="P957" s="1034"/>
      <c r="Q957" s="809" t="s">
        <v>43</v>
      </c>
      <c r="R957" s="810" t="s">
        <v>53</v>
      </c>
      <c r="S957" s="377"/>
      <c r="X957" s="118"/>
      <c r="Y957" s="111"/>
      <c r="Z957" s="117"/>
      <c r="AA957" s="89"/>
      <c r="AB957" s="90"/>
      <c r="AC957" s="20"/>
      <c r="AD957" s="41"/>
      <c r="AE957" s="20"/>
      <c r="AF957" s="20"/>
      <c r="AG957" s="20"/>
      <c r="AH957" s="20"/>
      <c r="AI957" s="20"/>
    </row>
    <row r="958" spans="1:35" ht="12.75" hidden="1" customHeight="1">
      <c r="C958" s="17"/>
      <c r="D958" s="14" t="s">
        <v>24</v>
      </c>
      <c r="E958" s="44">
        <f>'[2]SEPTEMBER ''13'!$C$39</f>
        <v>741.92000000000007</v>
      </c>
      <c r="G958" s="30"/>
      <c r="H958" s="624">
        <f>SUM(E958:E959)</f>
        <v>1641.92</v>
      </c>
      <c r="I958" s="26"/>
      <c r="K958" s="273"/>
      <c r="L958" s="235" t="s">
        <v>226</v>
      </c>
      <c r="M958" s="45">
        <f>$M$953</f>
        <v>1877.3500940000149</v>
      </c>
      <c r="N958" s="71">
        <f>M958</f>
        <v>1877.3500940000149</v>
      </c>
      <c r="O958" s="26"/>
      <c r="P958" s="45">
        <f>$Q$937</f>
        <v>-19640.577278480996</v>
      </c>
      <c r="Q958" s="71">
        <f>P958</f>
        <v>-19640.577278480996</v>
      </c>
      <c r="R958" s="45">
        <f>20000+Q958</f>
        <v>359.42272151900397</v>
      </c>
      <c r="S958" s="378" t="s">
        <v>298</v>
      </c>
      <c r="T958" s="367" t="s">
        <v>299</v>
      </c>
      <c r="W958" s="392"/>
      <c r="X958" s="111"/>
      <c r="Y958" s="111"/>
      <c r="Z958" s="45"/>
      <c r="AA958" s="488"/>
      <c r="AB958" s="26"/>
      <c r="AC958" s="20"/>
      <c r="AD958" s="92"/>
      <c r="AE958" s="93"/>
      <c r="AF958" s="20"/>
      <c r="AG958" s="20"/>
      <c r="AH958" s="20"/>
      <c r="AI958" s="20"/>
    </row>
    <row r="959" spans="1:35" ht="12.75" hidden="1" customHeight="1">
      <c r="C959" s="17"/>
      <c r="D959" s="143" t="s">
        <v>225</v>
      </c>
      <c r="E959" s="15">
        <f>'[2]AUGUST ''13'!$C$80</f>
        <v>900</v>
      </c>
      <c r="G959"/>
      <c r="H959" s="624"/>
      <c r="I959" s="26"/>
      <c r="K959" s="273"/>
      <c r="L959" s="235" t="s">
        <v>207</v>
      </c>
      <c r="M959" s="45">
        <v>-563.79999999999995</v>
      </c>
      <c r="N959" s="538">
        <f>N958+M959</f>
        <v>1313.550094000015</v>
      </c>
      <c r="O959" s="65"/>
      <c r="P959" s="133">
        <v>-199.03</v>
      </c>
      <c r="Q959" s="72">
        <f t="shared" ref="Q959:Q970" si="106">Q958+P959</f>
        <v>-19839.607278480995</v>
      </c>
      <c r="R959" s="45">
        <f t="shared" ref="R959:R970" si="107">20000+Q959</f>
        <v>160.39272151900514</v>
      </c>
      <c r="S959" s="373" t="s">
        <v>253</v>
      </c>
      <c r="T959" s="391"/>
      <c r="W959" s="111"/>
      <c r="X959" s="111"/>
      <c r="Y959" s="112"/>
      <c r="Z959" s="55"/>
      <c r="AA959" s="489"/>
      <c r="AB959" s="95"/>
      <c r="AC959" s="20"/>
      <c r="AD959" s="41"/>
      <c r="AE959" s="93"/>
      <c r="AF959" s="20"/>
      <c r="AG959" s="20"/>
      <c r="AH959" s="20"/>
      <c r="AI959" s="20"/>
    </row>
    <row r="960" spans="1:35" ht="12.75" hidden="1" customHeight="1">
      <c r="C960" s="18" t="s">
        <v>5</v>
      </c>
      <c r="D960" s="14"/>
      <c r="E960" s="14">
        <f>SUM(E957:E959)</f>
        <v>10132.6</v>
      </c>
      <c r="G960" s="242"/>
      <c r="H960" s="492"/>
      <c r="I960" s="242"/>
      <c r="J960" s="315"/>
      <c r="K960" s="273"/>
      <c r="L960" s="235" t="s">
        <v>133</v>
      </c>
      <c r="M960" s="45">
        <v>1500</v>
      </c>
      <c r="N960" s="538">
        <f>N959+M960</f>
        <v>2813.5500940000147</v>
      </c>
      <c r="O960" s="49"/>
      <c r="P960" s="133">
        <v>-40</v>
      </c>
      <c r="Q960" s="72">
        <f t="shared" si="106"/>
        <v>-19879.607278480995</v>
      </c>
      <c r="R960" s="45">
        <f t="shared" si="107"/>
        <v>120.39272151900514</v>
      </c>
      <c r="S960" s="373" t="s">
        <v>595</v>
      </c>
      <c r="T960" s="391" t="s">
        <v>596</v>
      </c>
      <c r="U960" s="74"/>
      <c r="V960" s="26"/>
      <c r="W960" s="111"/>
      <c r="X960" s="111"/>
      <c r="Y960" s="112"/>
      <c r="Z960" s="55"/>
      <c r="AA960" s="489"/>
      <c r="AB960" s="26"/>
      <c r="AC960" s="20"/>
      <c r="AD960" s="92"/>
      <c r="AE960" s="93"/>
      <c r="AF960" s="20"/>
      <c r="AG960" s="20"/>
      <c r="AH960" s="20"/>
      <c r="AI960" s="20"/>
    </row>
    <row r="961" spans="1:35" ht="12.75" hidden="1" customHeight="1">
      <c r="G961" s="20"/>
      <c r="H961" s="490"/>
      <c r="I961" s="45"/>
      <c r="J961" s="482"/>
      <c r="K961" s="297" t="s">
        <v>223</v>
      </c>
      <c r="L961" s="184" t="s">
        <v>227</v>
      </c>
      <c r="M961" s="45">
        <v>-337</v>
      </c>
      <c r="N961" s="538">
        <f t="shared" ref="N961:N983" si="108">N960+M961</f>
        <v>2476.5500940000147</v>
      </c>
      <c r="O961" s="39"/>
      <c r="P961" s="133">
        <v>-8.5</v>
      </c>
      <c r="Q961" s="72">
        <f t="shared" si="106"/>
        <v>-19888.107278480995</v>
      </c>
      <c r="R961" s="45">
        <f t="shared" si="107"/>
        <v>111.89272151900514</v>
      </c>
      <c r="S961" s="373" t="s">
        <v>597</v>
      </c>
      <c r="T961" s="391" t="s">
        <v>596</v>
      </c>
      <c r="U961" s="74"/>
      <c r="V961" s="26"/>
      <c r="W961" s="112"/>
      <c r="X961" s="112"/>
      <c r="Y961" s="112"/>
      <c r="Z961" s="55"/>
      <c r="AA961" s="489"/>
      <c r="AB961" s="26"/>
      <c r="AC961" s="20"/>
      <c r="AD961" s="92"/>
      <c r="AE961" s="93"/>
      <c r="AF961" s="20"/>
      <c r="AG961" s="20"/>
      <c r="AH961" s="20"/>
      <c r="AI961" s="20"/>
    </row>
    <row r="962" spans="1:35" ht="12.75" hidden="1" customHeight="1">
      <c r="A962" s="319"/>
      <c r="C962" s="81" t="s">
        <v>17</v>
      </c>
      <c r="E962" s="42"/>
      <c r="G962"/>
      <c r="H962" s="811"/>
      <c r="I962" s="315"/>
      <c r="J962" s="21"/>
      <c r="K962" s="273"/>
      <c r="L962" s="235" t="s">
        <v>592</v>
      </c>
      <c r="M962" s="45">
        <v>-1081.01</v>
      </c>
      <c r="N962" s="538">
        <f t="shared" si="108"/>
        <v>1395.5400940000147</v>
      </c>
      <c r="O962" s="39"/>
      <c r="P962" s="133">
        <v>-13</v>
      </c>
      <c r="Q962" s="72">
        <f t="shared" si="106"/>
        <v>-19901.107278480995</v>
      </c>
      <c r="R962" s="45">
        <f t="shared" si="107"/>
        <v>98.892721519005136</v>
      </c>
      <c r="S962" s="373" t="s">
        <v>598</v>
      </c>
      <c r="T962" s="391" t="s">
        <v>596</v>
      </c>
      <c r="U962" s="74"/>
      <c r="V962" s="26"/>
      <c r="W962" s="103"/>
      <c r="X962" s="111"/>
      <c r="Y962" s="112"/>
      <c r="Z962" s="55"/>
      <c r="AA962" s="489"/>
      <c r="AB962" s="95"/>
      <c r="AC962" s="20"/>
      <c r="AD962" s="96"/>
      <c r="AE962" s="93"/>
      <c r="AF962" s="20"/>
      <c r="AG962" s="20"/>
      <c r="AH962" s="20"/>
      <c r="AI962" s="20"/>
    </row>
    <row r="963" spans="1:35" ht="12.75" hidden="1" customHeight="1">
      <c r="A963" s="319"/>
      <c r="D963" s="20" t="s">
        <v>14</v>
      </c>
      <c r="E963" s="42">
        <f>E957</f>
        <v>8490.68</v>
      </c>
      <c r="F963" s="20"/>
      <c r="G963" s="20"/>
      <c r="H963" s="490">
        <f>G964+E964</f>
        <v>1641.92</v>
      </c>
      <c r="I963" s="315"/>
      <c r="J963" s="21"/>
      <c r="K963" s="273"/>
      <c r="L963" s="235" t="s">
        <v>594</v>
      </c>
      <c r="M963" s="45">
        <v>-105</v>
      </c>
      <c r="N963" s="538">
        <f t="shared" si="108"/>
        <v>1290.5400940000147</v>
      </c>
      <c r="O963" s="42"/>
      <c r="P963" s="133">
        <v>-32</v>
      </c>
      <c r="Q963" s="72">
        <f t="shared" si="106"/>
        <v>-19933.107278480995</v>
      </c>
      <c r="R963" s="45">
        <f t="shared" si="107"/>
        <v>66.892721519005136</v>
      </c>
      <c r="S963" s="373" t="s">
        <v>599</v>
      </c>
      <c r="T963" s="391" t="s">
        <v>596</v>
      </c>
      <c r="U963" s="74"/>
      <c r="V963" s="26"/>
      <c r="W963" s="111"/>
      <c r="X963" s="111"/>
      <c r="Y963" s="112"/>
      <c r="Z963" s="55"/>
      <c r="AA963" s="489"/>
      <c r="AB963" s="26"/>
      <c r="AC963" s="20"/>
      <c r="AD963" s="41"/>
      <c r="AE963" s="93"/>
      <c r="AF963" s="20"/>
      <c r="AG963" s="20"/>
      <c r="AH963" s="20"/>
      <c r="AI963" s="20"/>
    </row>
    <row r="964" spans="1:35" ht="12.75" hidden="1" customHeight="1" thickBot="1">
      <c r="A964" s="319"/>
      <c r="D964" s="78" t="s">
        <v>13</v>
      </c>
      <c r="E964" s="483">
        <f>SUM(E958:E959)</f>
        <v>1641.92</v>
      </c>
      <c r="F964" s="482" t="s">
        <v>364</v>
      </c>
      <c r="G964" s="1037"/>
      <c r="H964" s="1037"/>
      <c r="I964" s="315"/>
      <c r="J964" s="511"/>
      <c r="K964" s="273"/>
      <c r="L964" s="116" t="s">
        <v>593</v>
      </c>
      <c r="M964" s="45">
        <v>-337.02</v>
      </c>
      <c r="N964" s="538">
        <f t="shared" si="108"/>
        <v>953.52009400001475</v>
      </c>
      <c r="O964" s="45"/>
      <c r="P964" s="133">
        <v>1000</v>
      </c>
      <c r="Q964" s="72">
        <f t="shared" si="106"/>
        <v>-18933.107278480995</v>
      </c>
      <c r="R964" s="45">
        <f t="shared" si="107"/>
        <v>1066.8927215190051</v>
      </c>
      <c r="S964" s="373" t="s">
        <v>280</v>
      </c>
      <c r="T964" s="391"/>
      <c r="U964" s="74"/>
      <c r="V964" s="26"/>
      <c r="W964" s="20"/>
      <c r="X964" s="20"/>
      <c r="Y964" s="112"/>
      <c r="Z964" s="239"/>
      <c r="AA964" s="94"/>
      <c r="AB964" s="26"/>
      <c r="AC964" s="20"/>
      <c r="AD964" s="92"/>
      <c r="AE964" s="93"/>
      <c r="AF964" s="20"/>
      <c r="AG964" s="20"/>
      <c r="AH964" s="20"/>
      <c r="AI964" s="20"/>
    </row>
    <row r="965" spans="1:35" ht="12.75" hidden="1" customHeight="1" thickTop="1">
      <c r="A965" s="319"/>
      <c r="D965" s="20"/>
      <c r="E965" s="26"/>
      <c r="F965" s="122"/>
      <c r="G965" s="1038">
        <f>E963+E964+G964</f>
        <v>10132.6</v>
      </c>
      <c r="H965" s="1038"/>
      <c r="I965" s="315"/>
      <c r="J965" s="511"/>
      <c r="K965" s="273"/>
      <c r="L965" s="116" t="s">
        <v>524</v>
      </c>
      <c r="M965" s="45">
        <v>-9</v>
      </c>
      <c r="N965" s="538">
        <f t="shared" si="108"/>
        <v>944.52009400001475</v>
      </c>
      <c r="O965" s="274"/>
      <c r="P965" s="133">
        <v>-405.74</v>
      </c>
      <c r="Q965" s="72">
        <f t="shared" si="106"/>
        <v>-19338.847278480996</v>
      </c>
      <c r="R965" s="45">
        <f t="shared" si="107"/>
        <v>661.15272151900353</v>
      </c>
      <c r="S965" s="373" t="s">
        <v>280</v>
      </c>
      <c r="T965" s="391" t="s">
        <v>270</v>
      </c>
      <c r="U965" s="74"/>
      <c r="V965" s="26"/>
      <c r="W965" s="26"/>
      <c r="X965" s="20"/>
      <c r="Y965" s="112"/>
      <c r="Z965" s="239"/>
      <c r="AA965" s="94"/>
      <c r="AB965" s="95"/>
      <c r="AC965" s="20"/>
      <c r="AD965" s="92"/>
      <c r="AE965" s="93"/>
      <c r="AF965" s="20"/>
      <c r="AG965" s="20"/>
      <c r="AH965" s="20"/>
      <c r="AI965" s="20"/>
    </row>
    <row r="966" spans="1:35" ht="12.75" hidden="1" customHeight="1">
      <c r="A966" s="319"/>
      <c r="D966" s="20"/>
      <c r="E966" s="26"/>
      <c r="F966" s="122"/>
      <c r="G966" s="812"/>
      <c r="H966" s="812"/>
      <c r="I966" s="315"/>
      <c r="J966" s="511"/>
      <c r="K966" s="297" t="s">
        <v>277</v>
      </c>
      <c r="L966" s="116" t="s">
        <v>61</v>
      </c>
      <c r="M966" s="45">
        <v>-252.5</v>
      </c>
      <c r="N966" s="538">
        <f t="shared" si="108"/>
        <v>692.02009400001475</v>
      </c>
      <c r="O966" s="253"/>
      <c r="P966" s="133">
        <v>-254.24</v>
      </c>
      <c r="Q966" s="72">
        <f t="shared" si="106"/>
        <v>-19593.087278480998</v>
      </c>
      <c r="R966" s="45">
        <f t="shared" si="107"/>
        <v>406.91272151900193</v>
      </c>
      <c r="S966" s="373" t="s">
        <v>280</v>
      </c>
      <c r="T966" s="391" t="s">
        <v>498</v>
      </c>
      <c r="U966" s="65"/>
      <c r="V966" s="26"/>
      <c r="W966" s="26"/>
      <c r="X966" s="20"/>
      <c r="Y966" s="112"/>
      <c r="Z966" s="239"/>
      <c r="AA966" s="94"/>
      <c r="AB966" s="26"/>
      <c r="AC966" s="20"/>
      <c r="AD966" s="92"/>
      <c r="AE966" s="97"/>
      <c r="AF966" s="20"/>
      <c r="AG966" s="20"/>
      <c r="AH966" s="20"/>
      <c r="AI966" s="20"/>
    </row>
    <row r="967" spans="1:35" ht="12.75" hidden="1" customHeight="1">
      <c r="A967" s="319"/>
      <c r="D967" s="20"/>
      <c r="E967" s="26"/>
      <c r="F967" s="122"/>
      <c r="G967" s="812"/>
      <c r="H967" s="812"/>
      <c r="I967" s="315"/>
      <c r="J967" s="709"/>
      <c r="K967" s="297"/>
      <c r="L967" s="116" t="s">
        <v>526</v>
      </c>
      <c r="M967" s="45">
        <v>-400</v>
      </c>
      <c r="N967" s="538">
        <f t="shared" si="108"/>
        <v>292.02009400001475</v>
      </c>
      <c r="O967" s="253"/>
      <c r="P967" s="133">
        <v>1000</v>
      </c>
      <c r="Q967" s="72">
        <f t="shared" si="106"/>
        <v>-18593.087278480998</v>
      </c>
      <c r="R967" s="45">
        <f t="shared" si="107"/>
        <v>1406.9127215190019</v>
      </c>
      <c r="S967" s="373" t="s">
        <v>280</v>
      </c>
      <c r="T967" s="391"/>
      <c r="U967" s="65"/>
      <c r="V967" s="20"/>
      <c r="W967" s="26"/>
      <c r="X967" s="91"/>
      <c r="Y967" s="20"/>
      <c r="Z967" s="239"/>
      <c r="AA967" s="94"/>
      <c r="AB967" s="95"/>
      <c r="AC967" s="20"/>
      <c r="AD967" s="98"/>
      <c r="AE967" s="93"/>
      <c r="AF967" s="814"/>
      <c r="AG967" s="20"/>
      <c r="AH967" s="20"/>
      <c r="AI967" s="20"/>
    </row>
    <row r="968" spans="1:35" ht="12.75" hidden="1" customHeight="1">
      <c r="A968" s="319"/>
      <c r="D968" s="20"/>
      <c r="E968" s="26"/>
      <c r="F968" s="406"/>
      <c r="G968" s="407"/>
      <c r="H968" s="484"/>
      <c r="I968" s="315"/>
      <c r="J968" s="709"/>
      <c r="K968" s="297"/>
      <c r="L968" s="116" t="s">
        <v>207</v>
      </c>
      <c r="M968" s="45">
        <v>-200</v>
      </c>
      <c r="N968" s="538">
        <f t="shared" si="108"/>
        <v>92.020094000014751</v>
      </c>
      <c r="O968" s="253"/>
      <c r="P968" s="133">
        <v>-39.43</v>
      </c>
      <c r="Q968" s="72">
        <f t="shared" si="106"/>
        <v>-18632.517278480998</v>
      </c>
      <c r="R968" s="45">
        <f t="shared" si="107"/>
        <v>1367.4827215190016</v>
      </c>
      <c r="S968" s="373" t="s">
        <v>282</v>
      </c>
      <c r="T968" s="391"/>
      <c r="U968" s="65"/>
      <c r="V968" s="20"/>
      <c r="W968" s="26"/>
      <c r="X968" s="35"/>
      <c r="Y968" s="20"/>
      <c r="Z968" s="239"/>
      <c r="AA968" s="94"/>
      <c r="AB968" s="26"/>
      <c r="AC968" s="20"/>
      <c r="AD968" s="20"/>
      <c r="AE968" s="20"/>
      <c r="AF968" s="99"/>
      <c r="AG968" s="20"/>
      <c r="AH968" s="20"/>
      <c r="AI968" s="20"/>
    </row>
    <row r="969" spans="1:35" ht="12.75" hidden="1" customHeight="1">
      <c r="A969" s="671"/>
      <c r="B969" s="671"/>
      <c r="C969" s="671"/>
      <c r="D969" s="671"/>
      <c r="E969" s="671"/>
      <c r="F969" s="671"/>
      <c r="G969" s="671"/>
      <c r="H969" s="485"/>
      <c r="I969" s="493"/>
      <c r="J969" s="517"/>
      <c r="K969" s="258" t="s">
        <v>222</v>
      </c>
      <c r="L969" s="266" t="s">
        <v>51</v>
      </c>
      <c r="M969" s="146">
        <f>E963</f>
        <v>8490.68</v>
      </c>
      <c r="N969" s="538">
        <f t="shared" si="108"/>
        <v>8582.7000940000144</v>
      </c>
      <c r="O969" s="253"/>
      <c r="P969" s="133">
        <v>-312</v>
      </c>
      <c r="Q969" s="72">
        <f t="shared" si="106"/>
        <v>-18944.517278480998</v>
      </c>
      <c r="R969" s="45">
        <f t="shared" si="107"/>
        <v>1055.4827215190016</v>
      </c>
      <c r="S969" s="373" t="s">
        <v>441</v>
      </c>
      <c r="T969" s="391"/>
      <c r="U969" s="65"/>
      <c r="V969" s="20"/>
      <c r="W969" s="20"/>
      <c r="X969" s="20"/>
      <c r="Y969" s="111"/>
      <c r="Z969" s="239"/>
      <c r="AA969" s="94"/>
      <c r="AB969" s="26"/>
      <c r="AC969" s="20"/>
      <c r="AD969" s="20"/>
      <c r="AE969" s="20"/>
      <c r="AF969" s="20"/>
      <c r="AG969" s="20"/>
      <c r="AH969" s="20"/>
      <c r="AI969" s="20"/>
    </row>
    <row r="970" spans="1:35" ht="12.75" hidden="1" customHeight="1">
      <c r="A970" s="402"/>
      <c r="B970" s="402"/>
      <c r="C970" s="403"/>
      <c r="D970" s="404"/>
      <c r="E970" s="405"/>
      <c r="F970" s="406"/>
      <c r="G970" s="407"/>
      <c r="H970" s="485"/>
      <c r="I970" s="494"/>
      <c r="J970" s="709"/>
      <c r="K970" s="258" t="s">
        <v>222</v>
      </c>
      <c r="L970" s="266" t="s">
        <v>589</v>
      </c>
      <c r="M970" s="146">
        <v>-2850</v>
      </c>
      <c r="N970" s="538">
        <f t="shared" si="108"/>
        <v>5732.7000940000144</v>
      </c>
      <c r="O970" s="253"/>
      <c r="P970" s="133">
        <v>-75.95</v>
      </c>
      <c r="Q970" s="72">
        <f t="shared" si="106"/>
        <v>-19020.467278480999</v>
      </c>
      <c r="R970" s="45">
        <f t="shared" si="107"/>
        <v>979.53272151900092</v>
      </c>
      <c r="S970" s="373" t="s">
        <v>600</v>
      </c>
      <c r="T970" s="391"/>
      <c r="U970" s="65"/>
      <c r="V970" s="20"/>
      <c r="W970" s="20"/>
      <c r="X970" s="91"/>
      <c r="Y970" s="111"/>
      <c r="Z970" s="239"/>
      <c r="AA970" s="94"/>
      <c r="AB970" s="95"/>
      <c r="AC970" s="20"/>
      <c r="AD970" s="20"/>
      <c r="AE970" s="20"/>
      <c r="AF970" s="20"/>
      <c r="AG970" s="20"/>
      <c r="AH970" s="20"/>
      <c r="AI970" s="20"/>
    </row>
    <row r="971" spans="1:35" ht="12.75" hidden="1" customHeight="1">
      <c r="A971" s="671" t="s">
        <v>421</v>
      </c>
      <c r="B971" s="671"/>
      <c r="C971" s="671"/>
      <c r="D971" s="671"/>
      <c r="E971" s="671"/>
      <c r="F971" s="50"/>
      <c r="G971" s="370"/>
      <c r="H971" s="812"/>
      <c r="I971" s="495"/>
      <c r="K971" s="258" t="s">
        <v>222</v>
      </c>
      <c r="L971" s="266" t="s">
        <v>333</v>
      </c>
      <c r="M971" s="45">
        <v>-250</v>
      </c>
      <c r="N971" s="538">
        <f t="shared" si="108"/>
        <v>5482.7000940000144</v>
      </c>
      <c r="O971" s="253"/>
      <c r="P971" s="133">
        <v>-234.59</v>
      </c>
      <c r="Q971" s="72">
        <f>Q970+P971</f>
        <v>-19255.057278480999</v>
      </c>
      <c r="R971" s="45">
        <f>20000+Q971</f>
        <v>744.94272151900077</v>
      </c>
      <c r="S971" s="373" t="s">
        <v>280</v>
      </c>
      <c r="T971" s="391" t="s">
        <v>270</v>
      </c>
      <c r="U971" s="65"/>
      <c r="V971" s="20"/>
      <c r="W971" s="20"/>
      <c r="X971" s="20"/>
      <c r="Y971" s="111"/>
      <c r="Z971" s="239"/>
      <c r="AA971" s="94"/>
      <c r="AB971" s="26"/>
      <c r="AC971" s="20"/>
      <c r="AD971" s="20"/>
      <c r="AE971" s="20"/>
      <c r="AF971" s="20"/>
      <c r="AG971" s="814"/>
      <c r="AH971" s="20"/>
      <c r="AI971" s="20"/>
    </row>
    <row r="972" spans="1:35" ht="12.75" hidden="1" customHeight="1">
      <c r="A972" s="333"/>
      <c r="B972" s="333"/>
      <c r="C972" s="402"/>
      <c r="D972" s="408"/>
      <c r="E972" s="133"/>
      <c r="F972" s="50"/>
      <c r="G972" s="370"/>
      <c r="H972" s="812"/>
      <c r="I972" s="753"/>
      <c r="J972" s="709"/>
      <c r="K972" s="258" t="s">
        <v>222</v>
      </c>
      <c r="L972" s="266" t="s">
        <v>552</v>
      </c>
      <c r="M972" s="45">
        <v>-50</v>
      </c>
      <c r="N972" s="538">
        <f t="shared" si="108"/>
        <v>5432.7000940000144</v>
      </c>
      <c r="O972" s="239"/>
      <c r="P972" s="133">
        <v>-75.09</v>
      </c>
      <c r="Q972" s="72">
        <f>Q971+P972</f>
        <v>-19330.147278480999</v>
      </c>
      <c r="R972" s="45">
        <f>20000+Q972</f>
        <v>669.85272151900062</v>
      </c>
      <c r="S972" s="373" t="s">
        <v>280</v>
      </c>
      <c r="T972" s="391" t="s">
        <v>282</v>
      </c>
      <c r="U972" s="65"/>
      <c r="V972" s="20"/>
      <c r="W972" s="26"/>
      <c r="X972" s="91"/>
      <c r="Y972" s="20"/>
      <c r="Z972" s="239"/>
      <c r="AA972" s="94"/>
      <c r="AB972" s="26"/>
      <c r="AC972" s="20"/>
      <c r="AD972" s="20"/>
      <c r="AE972" s="20"/>
      <c r="AF972" s="20"/>
      <c r="AG972" s="20"/>
      <c r="AH972" s="20"/>
      <c r="AI972" s="20"/>
    </row>
    <row r="973" spans="1:35" ht="12.75" hidden="1" customHeight="1">
      <c r="A973" s="333"/>
      <c r="B973" s="333"/>
      <c r="C973" s="333"/>
      <c r="D973" s="408"/>
      <c r="E973" s="133"/>
      <c r="F973" s="50"/>
      <c r="G973" s="370"/>
      <c r="H973" s="812"/>
      <c r="I973" s="510"/>
      <c r="J973" s="521"/>
      <c r="K973" s="258"/>
      <c r="L973" s="266" t="s">
        <v>159</v>
      </c>
      <c r="M973" s="45">
        <v>-100</v>
      </c>
      <c r="N973" s="538">
        <f t="shared" si="108"/>
        <v>5332.7000940000144</v>
      </c>
      <c r="O973" s="239"/>
      <c r="P973" s="49">
        <f>E964</f>
        <v>1641.92</v>
      </c>
      <c r="Q973" s="73">
        <f>Q972+P973</f>
        <v>-17688.227278480997</v>
      </c>
      <c r="R973" s="45">
        <f>20000+Q973</f>
        <v>2311.7727215190025</v>
      </c>
      <c r="S973" s="373"/>
      <c r="T973" s="372"/>
      <c r="U973" s="65"/>
      <c r="V973" s="20"/>
      <c r="W973" s="26"/>
      <c r="X973" s="91"/>
      <c r="Y973" s="20"/>
      <c r="Z973" s="239"/>
      <c r="AA973" s="94"/>
      <c r="AB973" s="26"/>
      <c r="AC973" s="20"/>
      <c r="AD973" s="20"/>
      <c r="AE973" s="20"/>
      <c r="AF973" s="20"/>
      <c r="AG973" s="20"/>
      <c r="AH973" s="20"/>
      <c r="AI973" s="20"/>
    </row>
    <row r="974" spans="1:35" ht="12.75" hidden="1" customHeight="1">
      <c r="A974" s="333"/>
      <c r="B974" s="333"/>
      <c r="C974" s="333"/>
      <c r="D974" s="48"/>
      <c r="E974" s="133"/>
      <c r="F974" s="50"/>
      <c r="G974" s="409"/>
      <c r="H974" s="812"/>
      <c r="K974" s="258" t="s">
        <v>222</v>
      </c>
      <c r="L974" s="266" t="s">
        <v>195</v>
      </c>
      <c r="M974" s="45">
        <v>-1738</v>
      </c>
      <c r="N974" s="538">
        <f t="shared" si="108"/>
        <v>3594.7000940000144</v>
      </c>
      <c r="O974" s="240"/>
      <c r="P974" s="64">
        <f>SUM(P958:P973)</f>
        <v>-17688.227278480997</v>
      </c>
      <c r="Q974" s="287"/>
      <c r="R974" s="317"/>
      <c r="S974" s="611"/>
      <c r="T974" s="372"/>
      <c r="U974" s="84"/>
      <c r="V974" s="20"/>
      <c r="W974" s="26"/>
      <c r="X974" s="91"/>
      <c r="Y974" s="20"/>
      <c r="Z974" s="239"/>
      <c r="AA974" s="94"/>
      <c r="AB974" s="26"/>
      <c r="AC974" s="20"/>
      <c r="AD974" s="20"/>
      <c r="AE974" s="20"/>
      <c r="AF974" s="20"/>
      <c r="AG974" s="20"/>
      <c r="AH974" s="20"/>
      <c r="AI974" s="20"/>
    </row>
    <row r="975" spans="1:35" ht="12.75" hidden="1" customHeight="1">
      <c r="A975" s="333"/>
      <c r="B975" s="333"/>
      <c r="C975" s="410"/>
      <c r="D975" s="404"/>
      <c r="E975" s="405"/>
      <c r="F975" s="50"/>
      <c r="G975" s="409"/>
      <c r="H975" s="812"/>
      <c r="J975" s="533"/>
      <c r="K975" s="85" t="s">
        <v>222</v>
      </c>
      <c r="L975" s="266" t="s">
        <v>180</v>
      </c>
      <c r="M975" s="45">
        <v>-59</v>
      </c>
      <c r="N975" s="538">
        <f t="shared" si="108"/>
        <v>3535.7000940000144</v>
      </c>
      <c r="O975" s="274"/>
      <c r="P975" s="68"/>
      <c r="Q975" s="585"/>
      <c r="R975" s="131"/>
      <c r="S975" s="373"/>
      <c r="T975" s="372"/>
      <c r="U975" s="20"/>
      <c r="V975" s="20"/>
      <c r="W975" s="26"/>
      <c r="X975" s="91"/>
      <c r="Y975" s="20"/>
      <c r="Z975" s="239"/>
      <c r="AA975" s="94"/>
      <c r="AB975" s="26"/>
      <c r="AC975" s="20"/>
      <c r="AD975" s="20"/>
      <c r="AE975" s="20"/>
      <c r="AF975" s="20"/>
      <c r="AG975" s="20"/>
      <c r="AH975" s="20"/>
      <c r="AI975" s="20"/>
    </row>
    <row r="976" spans="1:35" ht="12.75" hidden="1" customHeight="1">
      <c r="A976" s="333"/>
      <c r="B976" s="333"/>
      <c r="C976" s="333"/>
      <c r="D976" s="411"/>
      <c r="E976" s="133"/>
      <c r="F976" s="50"/>
      <c r="G976" s="409"/>
      <c r="H976" s="812"/>
      <c r="I976" s="235">
        <v>252.5</v>
      </c>
      <c r="J976" s="534"/>
      <c r="K976" s="258" t="s">
        <v>222</v>
      </c>
      <c r="L976" s="266" t="s">
        <v>61</v>
      </c>
      <c r="M976" s="665">
        <v>-352.5</v>
      </c>
      <c r="N976" s="538">
        <f t="shared" si="108"/>
        <v>3183.2000940000144</v>
      </c>
      <c r="O976" s="551"/>
      <c r="P976" s="781"/>
      <c r="Q976" s="667"/>
      <c r="R976" s="45"/>
      <c r="S976" s="373"/>
      <c r="T976" s="815"/>
      <c r="U976" s="20"/>
      <c r="V976" s="26"/>
      <c r="W976" s="26"/>
      <c r="X976" s="91"/>
      <c r="Y976" s="20"/>
      <c r="Z976" s="239"/>
      <c r="AA976" s="94"/>
      <c r="AB976" s="26"/>
      <c r="AC976" s="20"/>
      <c r="AD976" s="20"/>
      <c r="AE976" s="20"/>
      <c r="AF976" s="20"/>
      <c r="AG976" s="20"/>
      <c r="AH976" s="20"/>
      <c r="AI976" s="20"/>
    </row>
    <row r="977" spans="1:35" ht="12.75" hidden="1" customHeight="1">
      <c r="A977" s="333"/>
      <c r="B977" s="333"/>
      <c r="C977" s="333"/>
      <c r="D977" s="408"/>
      <c r="E977" s="133"/>
      <c r="F977" s="50"/>
      <c r="G977" s="409"/>
      <c r="H977" s="812"/>
      <c r="I977" s="543"/>
      <c r="J977" s="504"/>
      <c r="K977" s="258" t="s">
        <v>371</v>
      </c>
      <c r="L977" s="266" t="s">
        <v>148</v>
      </c>
      <c r="M977" s="45">
        <v>1000</v>
      </c>
      <c r="N977" s="538">
        <f t="shared" si="108"/>
        <v>4183.2000940000144</v>
      </c>
      <c r="O977" s="551"/>
      <c r="P977" s="666"/>
      <c r="Q977" s="667"/>
      <c r="R977" s="45"/>
      <c r="S977" s="373"/>
      <c r="T977" s="815"/>
      <c r="U977" s="20"/>
      <c r="V977" s="26"/>
      <c r="W977" s="26"/>
      <c r="X977" s="91"/>
      <c r="Y977" s="20"/>
      <c r="Z977" s="239"/>
      <c r="AA977" s="94"/>
      <c r="AB977" s="26"/>
      <c r="AC977" s="20"/>
      <c r="AD977" s="20"/>
      <c r="AE977" s="20"/>
      <c r="AF977" s="20"/>
      <c r="AG977" s="20"/>
      <c r="AH977" s="20"/>
      <c r="AI977" s="20"/>
    </row>
    <row r="978" spans="1:35" ht="12.75" hidden="1" customHeight="1">
      <c r="A978" s="333"/>
      <c r="B978" s="333"/>
      <c r="C978" s="333"/>
      <c r="D978" s="408"/>
      <c r="E978" s="412"/>
      <c r="F978" s="50"/>
      <c r="G978" s="409"/>
      <c r="H978" s="812"/>
      <c r="J978" s="504"/>
      <c r="K978" s="85" t="s">
        <v>189</v>
      </c>
      <c r="L978" s="267" t="s">
        <v>16</v>
      </c>
      <c r="M978" s="175">
        <v>-723.99</v>
      </c>
      <c r="N978" s="538">
        <f t="shared" si="108"/>
        <v>3459.2100940000146</v>
      </c>
      <c r="O978" s="253"/>
      <c r="P978" s="781"/>
      <c r="Q978" s="667"/>
      <c r="R978" s="45"/>
      <c r="S978" s="592"/>
      <c r="T978" s="503"/>
      <c r="U978" s="20"/>
      <c r="V978" s="26"/>
      <c r="W978" s="26"/>
      <c r="X978" s="91"/>
      <c r="Y978" s="20"/>
      <c r="Z978" s="239"/>
      <c r="AA978" s="94"/>
      <c r="AB978" s="26"/>
      <c r="AC978" s="20"/>
      <c r="AD978" s="20"/>
      <c r="AE978" s="20"/>
      <c r="AF978" s="20"/>
      <c r="AG978" s="20"/>
      <c r="AH978" s="20"/>
      <c r="AI978" s="20"/>
    </row>
    <row r="979" spans="1:35" ht="12.75" hidden="1" customHeight="1">
      <c r="A979" s="333"/>
      <c r="B979" s="333"/>
      <c r="C979" s="410"/>
      <c r="D979" s="561"/>
      <c r="E979" s="405"/>
      <c r="F979" s="50"/>
      <c r="G979" s="409"/>
      <c r="H979" s="812"/>
      <c r="I979" s="532"/>
      <c r="J979" s="504"/>
      <c r="K979" s="258" t="s">
        <v>189</v>
      </c>
      <c r="L979" s="268" t="s">
        <v>56</v>
      </c>
      <c r="M979" s="819">
        <v>-1060</v>
      </c>
      <c r="N979" s="538">
        <f t="shared" si="108"/>
        <v>2399.2100940000146</v>
      </c>
      <c r="O979" s="253"/>
      <c r="P979" s="588"/>
      <c r="Q979" s="595"/>
      <c r="R979" s="591"/>
      <c r="S979" s="592"/>
      <c r="T979" s="503"/>
      <c r="U979" s="20"/>
      <c r="V979" s="26"/>
      <c r="W979" s="26"/>
      <c r="X979" s="91"/>
      <c r="Y979" s="20"/>
      <c r="Z979" s="239"/>
      <c r="AA979" s="94"/>
      <c r="AB979" s="26"/>
      <c r="AC979" s="20"/>
      <c r="AD979" s="20"/>
      <c r="AE979" s="20"/>
      <c r="AF979" s="20"/>
      <c r="AG979" s="20"/>
      <c r="AH979" s="20"/>
      <c r="AI979" s="20"/>
    </row>
    <row r="980" spans="1:35" ht="12.75" hidden="1" customHeight="1">
      <c r="A980" s="333"/>
      <c r="B980" s="333"/>
      <c r="C980" s="333"/>
      <c r="D980" s="408"/>
      <c r="E980" s="133"/>
      <c r="F980" s="50"/>
      <c r="G980" s="409"/>
      <c r="H980" s="812"/>
      <c r="I980" s="20"/>
      <c r="J980" s="504"/>
      <c r="K980" s="258" t="s">
        <v>189</v>
      </c>
      <c r="L980" s="116" t="s">
        <v>224</v>
      </c>
      <c r="M980" s="45">
        <v>-561.33000000000004</v>
      </c>
      <c r="N980" s="538">
        <f t="shared" si="108"/>
        <v>1837.8800940000147</v>
      </c>
      <c r="O980" s="253"/>
      <c r="P980" s="776"/>
      <c r="Q980" s="595"/>
      <c r="R980" s="591"/>
      <c r="S980" s="778"/>
      <c r="T980" s="779"/>
      <c r="U980" s="234"/>
      <c r="V980" s="45"/>
      <c r="W980" s="26"/>
      <c r="X980" s="91"/>
      <c r="Y980" s="20"/>
      <c r="Z980" s="239"/>
      <c r="AA980" s="94"/>
      <c r="AB980" s="26"/>
      <c r="AC980" s="20"/>
      <c r="AD980" s="20"/>
      <c r="AE980" s="20"/>
      <c r="AF980" s="20"/>
      <c r="AG980" s="20"/>
      <c r="AH980" s="20"/>
      <c r="AI980" s="20"/>
    </row>
    <row r="981" spans="1:35" ht="12.75" hidden="1" customHeight="1">
      <c r="A981" s="333"/>
      <c r="B981" s="333"/>
      <c r="C981" s="333"/>
      <c r="D981" s="408"/>
      <c r="E981" s="133"/>
      <c r="F981" s="50"/>
      <c r="G981" s="409"/>
      <c r="H981" s="812"/>
      <c r="I981" s="20"/>
      <c r="J981" s="504"/>
      <c r="K981" s="258" t="s">
        <v>189</v>
      </c>
      <c r="L981" s="116" t="s">
        <v>585</v>
      </c>
      <c r="M981" s="175">
        <f>-63.85</f>
        <v>-63.85</v>
      </c>
      <c r="N981" s="538">
        <f t="shared" si="108"/>
        <v>1774.0300940000147</v>
      </c>
      <c r="O981" s="253"/>
      <c r="P981" s="777"/>
      <c r="Q981" s="595"/>
      <c r="R981" s="591"/>
      <c r="S981" s="780"/>
      <c r="T981" s="503"/>
      <c r="U981" s="20"/>
      <c r="V981" s="26"/>
      <c r="W981" s="26"/>
      <c r="X981" s="91"/>
      <c r="Y981" s="20"/>
      <c r="Z981" s="239"/>
      <c r="AA981" s="94"/>
      <c r="AB981" s="26"/>
      <c r="AC981" s="20"/>
      <c r="AD981" s="20"/>
      <c r="AE981" s="20"/>
      <c r="AF981" s="20"/>
      <c r="AG981" s="20"/>
      <c r="AH981" s="20"/>
      <c r="AI981" s="20"/>
    </row>
    <row r="982" spans="1:35" ht="12.75" hidden="1" customHeight="1">
      <c r="A982" s="333"/>
      <c r="B982" s="333"/>
      <c r="C982" s="333"/>
      <c r="D982" s="408"/>
      <c r="E982" s="133"/>
      <c r="F982" s="50"/>
      <c r="G982" s="409"/>
      <c r="H982" s="812"/>
      <c r="I982" s="20"/>
      <c r="J982" s="504"/>
      <c r="K982" s="258" t="s">
        <v>190</v>
      </c>
      <c r="L982" s="268" t="s">
        <v>375</v>
      </c>
      <c r="M982" s="819">
        <f>-47.52</f>
        <v>-47.52</v>
      </c>
      <c r="N982" s="538">
        <f t="shared" si="108"/>
        <v>1726.5100940000148</v>
      </c>
      <c r="O982" s="253"/>
      <c r="P982" s="777"/>
      <c r="Q982" s="595"/>
      <c r="R982" s="591"/>
      <c r="S982" s="780"/>
      <c r="T982" s="503"/>
      <c r="U982" s="20"/>
      <c r="V982" s="26"/>
      <c r="W982" s="26"/>
      <c r="X982" s="91"/>
      <c r="Y982" s="20"/>
      <c r="Z982" s="239"/>
      <c r="AA982" s="94"/>
      <c r="AB982" s="26"/>
      <c r="AC982" s="20"/>
      <c r="AD982" s="20"/>
      <c r="AE982" s="20"/>
      <c r="AF982" s="20"/>
      <c r="AG982" s="20"/>
      <c r="AH982" s="20"/>
      <c r="AI982" s="20"/>
    </row>
    <row r="983" spans="1:35" ht="12.75" hidden="1" customHeight="1">
      <c r="A983" s="333"/>
      <c r="B983" s="333"/>
      <c r="C983" s="333"/>
      <c r="D983" s="408"/>
      <c r="E983" s="133"/>
      <c r="F983" s="50"/>
      <c r="G983" s="409"/>
      <c r="H983" s="812"/>
      <c r="I983" s="20"/>
      <c r="J983" s="504"/>
      <c r="K983" s="321" t="s">
        <v>190</v>
      </c>
      <c r="L983" s="269" t="s">
        <v>23</v>
      </c>
      <c r="M983" s="366">
        <v>-297</v>
      </c>
      <c r="N983" s="566">
        <f t="shared" si="108"/>
        <v>1429.5100940000148</v>
      </c>
      <c r="O983" s="253"/>
      <c r="P983" s="588"/>
      <c r="Q983" s="595"/>
      <c r="R983" s="591"/>
      <c r="S983" s="502"/>
      <c r="T983" s="503"/>
      <c r="U983" s="20"/>
      <c r="V983" s="26"/>
      <c r="W983" s="26"/>
      <c r="X983" s="91"/>
      <c r="Y983" s="20"/>
      <c r="Z983" s="239"/>
      <c r="AA983" s="94"/>
      <c r="AB983" s="26"/>
      <c r="AC983" s="20"/>
      <c r="AD983" s="20"/>
      <c r="AE983" s="20"/>
      <c r="AF983" s="20"/>
      <c r="AG983" s="20"/>
      <c r="AH983" s="20"/>
      <c r="AI983" s="20"/>
    </row>
    <row r="984" spans="1:35" s="20" customFormat="1" ht="12.75" hidden="1" customHeight="1">
      <c r="A984" s="333"/>
      <c r="B984" s="333"/>
      <c r="C984" s="333"/>
      <c r="D984" s="133"/>
      <c r="E984" s="133"/>
      <c r="F984" s="50"/>
      <c r="G984" s="409"/>
      <c r="H984" s="816"/>
      <c r="I984" s="510"/>
      <c r="J984" s="504"/>
      <c r="K984" s="254"/>
      <c r="L984" s="23"/>
      <c r="M984" s="168">
        <f>SUM(M958:M983)</f>
        <v>1429.5100940000148</v>
      </c>
      <c r="N984" s="806"/>
      <c r="O984" s="253"/>
      <c r="P984" s="588"/>
      <c r="Q984" s="595"/>
      <c r="R984" s="591"/>
      <c r="S984" s="502"/>
      <c r="T984" s="503"/>
      <c r="V984" s="26"/>
      <c r="W984" s="26"/>
      <c r="X984" s="91"/>
      <c r="Z984" s="239"/>
      <c r="AA984" s="94"/>
      <c r="AB984" s="26"/>
    </row>
    <row r="985" spans="1:35" s="78" customFormat="1" ht="12.75" hidden="1" customHeight="1">
      <c r="A985" s="424"/>
      <c r="B985" s="424"/>
      <c r="C985" s="424"/>
      <c r="D985" s="425"/>
      <c r="E985" s="425"/>
      <c r="F985" s="426"/>
      <c r="G985" s="427"/>
      <c r="H985" s="817"/>
      <c r="I985" s="818"/>
      <c r="J985" s="583"/>
      <c r="K985" s="772"/>
      <c r="L985" s="129"/>
      <c r="M985" s="710"/>
      <c r="N985" s="584"/>
      <c r="O985" s="646"/>
      <c r="P985" s="680"/>
      <c r="Q985" s="681"/>
      <c r="R985" s="682"/>
      <c r="S985" s="683"/>
      <c r="T985" s="684"/>
      <c r="V985" s="15"/>
      <c r="W985" s="15"/>
      <c r="X985" s="158"/>
      <c r="Z985" s="159"/>
      <c r="AA985" s="160"/>
      <c r="AB985" s="15"/>
    </row>
    <row r="986" spans="1:35" ht="12.75" hidden="1" customHeight="1">
      <c r="A986" s="333"/>
      <c r="B986" s="333"/>
      <c r="C986" s="333"/>
      <c r="D986" s="413"/>
      <c r="E986" s="34"/>
      <c r="F986" s="50"/>
      <c r="G986" s="414"/>
      <c r="H986" s="509"/>
      <c r="I986" s="508"/>
      <c r="J986" s="504"/>
      <c r="K986" s="299"/>
      <c r="L986" s="184"/>
      <c r="M986" s="233"/>
      <c r="N986" s="49"/>
      <c r="O986" s="253"/>
      <c r="P986" s="777"/>
      <c r="Q986" s="595"/>
      <c r="R986" s="591"/>
      <c r="S986" s="502"/>
      <c r="T986" s="503"/>
      <c r="U986" s="20"/>
      <c r="V986" s="26"/>
      <c r="W986" s="26"/>
      <c r="X986" s="91"/>
      <c r="Y986" s="20"/>
      <c r="Z986" s="239"/>
      <c r="AA986" s="94"/>
      <c r="AB986" s="26"/>
      <c r="AC986" s="20"/>
      <c r="AD986" s="20"/>
      <c r="AE986" s="20"/>
      <c r="AF986" s="20"/>
      <c r="AG986" s="20"/>
      <c r="AH986" s="20"/>
      <c r="AI986" s="20"/>
    </row>
    <row r="987" spans="1:35" ht="12.75" hidden="1" customHeight="1">
      <c r="B987" s="1030" t="s">
        <v>601</v>
      </c>
      <c r="C987" s="1030"/>
      <c r="D987" s="1030"/>
      <c r="E987" s="1030"/>
      <c r="G987" s="261"/>
      <c r="H987" s="658"/>
      <c r="I987" s="26"/>
      <c r="K987" s="258"/>
      <c r="L987" s="100"/>
      <c r="M987" s="1031" t="s">
        <v>54</v>
      </c>
      <c r="N987" s="820"/>
      <c r="O987" s="824"/>
      <c r="P987" s="1033" t="s">
        <v>48</v>
      </c>
      <c r="Q987" s="1035" t="s">
        <v>581</v>
      </c>
      <c r="R987" s="1035"/>
      <c r="S987" s="377"/>
      <c r="X987" s="35"/>
      <c r="Y987" s="35"/>
      <c r="Z987" s="26"/>
      <c r="AA987" s="825"/>
      <c r="AB987" s="26"/>
      <c r="AC987" s="20"/>
      <c r="AD987" s="20"/>
      <c r="AE987" s="20"/>
      <c r="AF987" s="20"/>
      <c r="AG987" s="20"/>
      <c r="AH987" s="20"/>
      <c r="AI987" s="20"/>
    </row>
    <row r="988" spans="1:35" ht="12.75" hidden="1" customHeight="1">
      <c r="C988" s="17" t="s">
        <v>357</v>
      </c>
      <c r="D988" s="14"/>
      <c r="E988" s="44">
        <v>8490.68</v>
      </c>
      <c r="G988" s="1036"/>
      <c r="H988" s="1036"/>
      <c r="I988" s="26"/>
      <c r="K988" s="260" t="s">
        <v>221</v>
      </c>
      <c r="L988" s="156"/>
      <c r="M988" s="1032"/>
      <c r="N988" s="820" t="s">
        <v>43</v>
      </c>
      <c r="O988" s="824"/>
      <c r="P988" s="1034"/>
      <c r="Q988" s="821" t="s">
        <v>43</v>
      </c>
      <c r="R988" s="822" t="s">
        <v>53</v>
      </c>
      <c r="S988" s="377"/>
      <c r="X988" s="118"/>
      <c r="Y988" s="111"/>
      <c r="Z988" s="117"/>
      <c r="AA988" s="89"/>
      <c r="AB988" s="90"/>
      <c r="AC988" s="20"/>
      <c r="AD988" s="41"/>
      <c r="AE988" s="20"/>
      <c r="AF988" s="20"/>
      <c r="AG988" s="20"/>
      <c r="AH988" s="20"/>
      <c r="AI988" s="20"/>
    </row>
    <row r="989" spans="1:35" ht="12.75" hidden="1" customHeight="1">
      <c r="C989" s="17"/>
      <c r="D989" s="14" t="s">
        <v>24</v>
      </c>
      <c r="E989" s="44">
        <f>'[2]OCTOBER ''13'!$C$84</f>
        <v>981</v>
      </c>
      <c r="G989" s="30"/>
      <c r="H989" s="624">
        <f>SUM(E989:E990)</f>
        <v>981</v>
      </c>
      <c r="I989" s="26"/>
      <c r="K989" s="273"/>
      <c r="L989" s="235" t="s">
        <v>226</v>
      </c>
      <c r="M989" s="45">
        <f>$M$984</f>
        <v>1429.5100940000148</v>
      </c>
      <c r="N989" s="71">
        <f>M989</f>
        <v>1429.5100940000148</v>
      </c>
      <c r="O989" s="26"/>
      <c r="P989" s="45">
        <f>$Q$973</f>
        <v>-17688.227278480997</v>
      </c>
      <c r="Q989" s="71">
        <f>P989</f>
        <v>-17688.227278480997</v>
      </c>
      <c r="R989" s="45">
        <f>20000+Q989</f>
        <v>2311.7727215190025</v>
      </c>
      <c r="S989" s="378" t="s">
        <v>298</v>
      </c>
      <c r="T989" s="367" t="s">
        <v>299</v>
      </c>
      <c r="W989" s="392"/>
      <c r="X989" s="111"/>
      <c r="Y989" s="111"/>
      <c r="Z989" s="45"/>
      <c r="AA989" s="488"/>
      <c r="AB989" s="26"/>
      <c r="AC989" s="20"/>
      <c r="AD989" s="92"/>
      <c r="AE989" s="93"/>
      <c r="AF989" s="20"/>
      <c r="AG989" s="20"/>
      <c r="AH989" s="20"/>
      <c r="AI989" s="20"/>
    </row>
    <row r="990" spans="1:35" ht="12.75" hidden="1" customHeight="1">
      <c r="C990" s="17"/>
      <c r="D990" s="143" t="s">
        <v>225</v>
      </c>
      <c r="E990" s="15"/>
      <c r="G990"/>
      <c r="H990" s="624"/>
      <c r="I990" s="26"/>
      <c r="K990" s="273"/>
      <c r="L990" s="235" t="s">
        <v>604</v>
      </c>
      <c r="M990" s="45">
        <v>-588.52</v>
      </c>
      <c r="N990" s="538">
        <f t="shared" ref="N990:N995" si="109">N989+M990</f>
        <v>840.99009400001478</v>
      </c>
      <c r="O990" s="65"/>
      <c r="P990" s="133">
        <v>-1000</v>
      </c>
      <c r="Q990" s="72">
        <f t="shared" ref="Q990:Q998" si="110">Q989+P990</f>
        <v>-18688.227278480997</v>
      </c>
      <c r="R990" s="45">
        <f t="shared" ref="R990:R998" si="111">20000+Q990</f>
        <v>1311.7727215190025</v>
      </c>
      <c r="S990" s="373" t="s">
        <v>603</v>
      </c>
      <c r="T990" s="391"/>
      <c r="W990" s="111"/>
      <c r="X990" s="111"/>
      <c r="Y990" s="112"/>
      <c r="Z990" s="55"/>
      <c r="AA990" s="489"/>
      <c r="AB990" s="95"/>
      <c r="AC990" s="20"/>
      <c r="AD990" s="41"/>
      <c r="AE990" s="93"/>
      <c r="AF990" s="20"/>
      <c r="AG990" s="20"/>
      <c r="AH990" s="20"/>
      <c r="AI990" s="20"/>
    </row>
    <row r="991" spans="1:35" ht="12.75" hidden="1" customHeight="1">
      <c r="C991" s="18" t="s">
        <v>5</v>
      </c>
      <c r="D991" s="14"/>
      <c r="E991" s="14">
        <f>SUM(E988:E990)</f>
        <v>9471.68</v>
      </c>
      <c r="G991" s="242"/>
      <c r="H991" s="492"/>
      <c r="I991" s="242"/>
      <c r="J991" s="315"/>
      <c r="K991" s="297" t="s">
        <v>223</v>
      </c>
      <c r="L991" s="184" t="s">
        <v>227</v>
      </c>
      <c r="M991" s="45">
        <v>-508</v>
      </c>
      <c r="N991" s="538">
        <f t="shared" si="109"/>
        <v>332.99009400001478</v>
      </c>
      <c r="O991" s="49"/>
      <c r="P991" s="133">
        <v>1012</v>
      </c>
      <c r="Q991" s="72">
        <f t="shared" si="110"/>
        <v>-17676.227278480997</v>
      </c>
      <c r="R991" s="45">
        <f t="shared" si="111"/>
        <v>2323.7727215190025</v>
      </c>
      <c r="S991" s="373" t="s">
        <v>280</v>
      </c>
      <c r="T991" s="391"/>
      <c r="U991" s="74"/>
      <c r="V991" s="26"/>
      <c r="W991" s="111"/>
      <c r="X991" s="111"/>
      <c r="Y991" s="112"/>
      <c r="Z991" s="55"/>
      <c r="AA991" s="489"/>
      <c r="AB991" s="26"/>
      <c r="AC991" s="20"/>
      <c r="AD991" s="92"/>
      <c r="AE991" s="93"/>
      <c r="AF991" s="20"/>
      <c r="AG991" s="20"/>
      <c r="AH991" s="20"/>
      <c r="AI991" s="20"/>
    </row>
    <row r="992" spans="1:35" ht="12.75" hidden="1" customHeight="1">
      <c r="G992" s="20"/>
      <c r="H992" s="490"/>
      <c r="I992" s="45"/>
      <c r="J992" s="482"/>
      <c r="K992" s="273"/>
      <c r="L992" s="116" t="s">
        <v>524</v>
      </c>
      <c r="M992" s="45">
        <v>-9</v>
      </c>
      <c r="N992" s="538">
        <f t="shared" si="109"/>
        <v>323.99009400001478</v>
      </c>
      <c r="O992" s="39"/>
      <c r="P992" s="133">
        <v>-235.76</v>
      </c>
      <c r="Q992" s="72">
        <f t="shared" si="110"/>
        <v>-17911.987278480996</v>
      </c>
      <c r="R992" s="45">
        <f t="shared" si="111"/>
        <v>2088.0127215190041</v>
      </c>
      <c r="S992" s="373" t="s">
        <v>253</v>
      </c>
      <c r="T992" s="391"/>
      <c r="U992" s="74"/>
      <c r="V992" s="26"/>
      <c r="W992" s="112"/>
      <c r="X992" s="112"/>
      <c r="Y992" s="112"/>
      <c r="Z992" s="55"/>
      <c r="AA992" s="489"/>
      <c r="AB992" s="26"/>
      <c r="AC992" s="20"/>
      <c r="AD992" s="92"/>
      <c r="AE992" s="93"/>
      <c r="AF992" s="20"/>
      <c r="AG992" s="20"/>
      <c r="AH992" s="20"/>
      <c r="AI992" s="20"/>
    </row>
    <row r="993" spans="1:35" ht="12.75" hidden="1" customHeight="1">
      <c r="A993" s="319"/>
      <c r="C993" s="81" t="s">
        <v>17</v>
      </c>
      <c r="E993" s="42"/>
      <c r="G993"/>
      <c r="H993" s="823"/>
      <c r="I993" s="315"/>
      <c r="J993" s="21"/>
      <c r="K993" s="273"/>
      <c r="L993" s="235" t="s">
        <v>369</v>
      </c>
      <c r="M993" s="45">
        <v>250</v>
      </c>
      <c r="N993" s="538">
        <f t="shared" si="109"/>
        <v>573.99009400001478</v>
      </c>
      <c r="O993" s="39"/>
      <c r="P993" s="133">
        <v>-503.33</v>
      </c>
      <c r="Q993" s="72">
        <f t="shared" si="110"/>
        <v>-18415.317278480998</v>
      </c>
      <c r="R993" s="45">
        <f t="shared" si="111"/>
        <v>1584.6827215190024</v>
      </c>
      <c r="S993" s="373" t="s">
        <v>258</v>
      </c>
      <c r="T993" s="391"/>
      <c r="U993" s="74"/>
      <c r="V993" s="26"/>
      <c r="W993" s="103"/>
      <c r="X993" s="111"/>
      <c r="Y993" s="112"/>
      <c r="Z993" s="55"/>
      <c r="AA993" s="489"/>
      <c r="AB993" s="95"/>
      <c r="AC993" s="20"/>
      <c r="AD993" s="96"/>
      <c r="AE993" s="93"/>
      <c r="AF993" s="20"/>
      <c r="AG993" s="20"/>
      <c r="AH993" s="20"/>
      <c r="AI993" s="20"/>
    </row>
    <row r="994" spans="1:35" ht="12.75" hidden="1" customHeight="1">
      <c r="A994" s="319"/>
      <c r="D994" s="20" t="s">
        <v>14</v>
      </c>
      <c r="E994" s="42">
        <f>E988</f>
        <v>8490.68</v>
      </c>
      <c r="F994" s="20"/>
      <c r="G994" s="20"/>
      <c r="H994" s="490">
        <f>G995+E995</f>
        <v>981</v>
      </c>
      <c r="I994" s="315"/>
      <c r="J994" s="21"/>
      <c r="K994" s="273"/>
      <c r="L994" s="235" t="s">
        <v>466</v>
      </c>
      <c r="M994" s="45">
        <v>110</v>
      </c>
      <c r="N994" s="538">
        <f t="shared" si="109"/>
        <v>683.99009400001478</v>
      </c>
      <c r="O994" s="42"/>
      <c r="P994" s="133">
        <v>-86.9</v>
      </c>
      <c r="Q994" s="72">
        <f t="shared" si="110"/>
        <v>-18502.217278480999</v>
      </c>
      <c r="R994" s="45">
        <f t="shared" si="111"/>
        <v>1497.7827215190009</v>
      </c>
      <c r="S994" s="373" t="s">
        <v>259</v>
      </c>
      <c r="T994" s="391"/>
      <c r="U994" s="74"/>
      <c r="V994" s="26"/>
      <c r="W994" s="111"/>
      <c r="X994" s="111"/>
      <c r="Y994" s="112"/>
      <c r="Z994" s="55"/>
      <c r="AA994" s="489"/>
      <c r="AB994" s="26"/>
      <c r="AC994" s="20"/>
      <c r="AD994" s="41"/>
      <c r="AE994" s="93"/>
      <c r="AF994" s="20"/>
      <c r="AG994" s="20"/>
      <c r="AH994" s="20"/>
      <c r="AI994" s="20"/>
    </row>
    <row r="995" spans="1:35" ht="12.75" hidden="1" customHeight="1" thickBot="1">
      <c r="A995" s="319"/>
      <c r="D995" s="78" t="s">
        <v>13</v>
      </c>
      <c r="E995" s="483">
        <f>SUM(E989:E990)</f>
        <v>981</v>
      </c>
      <c r="F995" s="482" t="s">
        <v>364</v>
      </c>
      <c r="G995" s="1037"/>
      <c r="H995" s="1037"/>
      <c r="I995" s="315"/>
      <c r="J995" s="511"/>
      <c r="K995" s="297"/>
      <c r="L995" s="116" t="s">
        <v>207</v>
      </c>
      <c r="M995" s="45">
        <v>-514.1</v>
      </c>
      <c r="N995" s="538">
        <f t="shared" si="109"/>
        <v>169.89009400001476</v>
      </c>
      <c r="O995" s="45"/>
      <c r="P995" s="133">
        <v>-143.79</v>
      </c>
      <c r="Q995" s="72">
        <f t="shared" si="110"/>
        <v>-18646.007278481</v>
      </c>
      <c r="R995" s="45">
        <f t="shared" si="111"/>
        <v>1353.992721519</v>
      </c>
      <c r="S995" s="373" t="s">
        <v>282</v>
      </c>
      <c r="T995" s="391"/>
      <c r="U995" s="74"/>
      <c r="V995" s="26"/>
      <c r="W995" s="20"/>
      <c r="X995" s="20"/>
      <c r="Y995" s="112"/>
      <c r="Z995" s="239"/>
      <c r="AA995" s="94"/>
      <c r="AB995" s="26"/>
      <c r="AC995" s="20"/>
      <c r="AD995" s="92"/>
      <c r="AE995" s="93"/>
      <c r="AF995" s="20"/>
      <c r="AG995" s="20"/>
      <c r="AH995" s="20"/>
      <c r="AI995" s="20"/>
    </row>
    <row r="996" spans="1:35" ht="12.75" hidden="1" customHeight="1" thickTop="1">
      <c r="A996" s="319"/>
      <c r="D996" s="20"/>
      <c r="E996" s="26"/>
      <c r="F996" s="122"/>
      <c r="G996" s="1038">
        <f>E994+E995+G995</f>
        <v>9471.68</v>
      </c>
      <c r="H996" s="1038"/>
      <c r="I996" s="315"/>
      <c r="J996" s="511"/>
      <c r="K996" s="297"/>
      <c r="L996" s="116" t="s">
        <v>24</v>
      </c>
      <c r="M996" s="45">
        <v>1000</v>
      </c>
      <c r="N996" s="538">
        <f t="shared" ref="N996:N1014" si="112">N995+M996</f>
        <v>1169.8900940000149</v>
      </c>
      <c r="O996" s="274"/>
      <c r="P996" s="133">
        <v>-165</v>
      </c>
      <c r="Q996" s="72">
        <f t="shared" si="110"/>
        <v>-18811.007278481</v>
      </c>
      <c r="R996" s="45">
        <f t="shared" si="111"/>
        <v>1188.992721519</v>
      </c>
      <c r="S996" s="373" t="s">
        <v>498</v>
      </c>
      <c r="T996" s="391" t="s">
        <v>605</v>
      </c>
      <c r="U996" s="74"/>
      <c r="V996" s="26"/>
      <c r="W996" s="26"/>
      <c r="X996" s="20"/>
      <c r="Y996" s="112"/>
      <c r="Z996" s="239"/>
      <c r="AA996" s="94"/>
      <c r="AB996" s="95"/>
      <c r="AC996" s="20"/>
      <c r="AD996" s="92"/>
      <c r="AE996" s="93"/>
      <c r="AF996" s="20"/>
      <c r="AG996" s="20"/>
      <c r="AH996" s="20"/>
      <c r="AI996" s="20"/>
    </row>
    <row r="997" spans="1:35" ht="12.75" hidden="1" customHeight="1">
      <c r="A997" s="319"/>
      <c r="D997" s="20"/>
      <c r="E997" s="26"/>
      <c r="F997" s="122"/>
      <c r="G997" s="827"/>
      <c r="H997" s="827"/>
      <c r="I997" s="315"/>
      <c r="J997" s="511"/>
      <c r="K997" s="297"/>
      <c r="L997" s="116" t="s">
        <v>313</v>
      </c>
      <c r="M997" s="45">
        <v>-811.79</v>
      </c>
      <c r="N997" s="538">
        <f t="shared" si="112"/>
        <v>358.10009400001491</v>
      </c>
      <c r="O997" s="253"/>
      <c r="P997" s="133">
        <v>-272.05</v>
      </c>
      <c r="Q997" s="72">
        <f t="shared" si="110"/>
        <v>-19083.057278480999</v>
      </c>
      <c r="R997" s="45">
        <f t="shared" si="111"/>
        <v>916.94272151900077</v>
      </c>
      <c r="S997" s="373" t="s">
        <v>258</v>
      </c>
      <c r="T997" s="391"/>
      <c r="U997" s="65"/>
      <c r="V997" s="20"/>
      <c r="W997" s="26"/>
      <c r="X997" s="20"/>
      <c r="Y997" s="112"/>
      <c r="Z997" s="239"/>
      <c r="AA997" s="94"/>
      <c r="AB997" s="26"/>
      <c r="AC997" s="20"/>
      <c r="AD997" s="92"/>
      <c r="AE997" s="97"/>
      <c r="AF997" s="20"/>
      <c r="AG997" s="20"/>
      <c r="AH997" s="20"/>
      <c r="AI997" s="20"/>
    </row>
    <row r="998" spans="1:35" ht="12.75" hidden="1" customHeight="1">
      <c r="A998" s="319"/>
      <c r="D998" s="20"/>
      <c r="E998" s="26"/>
      <c r="F998" s="122"/>
      <c r="G998" s="827"/>
      <c r="H998" s="827"/>
      <c r="I998" s="315"/>
      <c r="J998" s="511"/>
      <c r="K998" s="297"/>
      <c r="L998" s="116" t="s">
        <v>24</v>
      </c>
      <c r="M998" s="45">
        <v>908.77</v>
      </c>
      <c r="N998" s="538">
        <f t="shared" si="112"/>
        <v>1266.8700940000149</v>
      </c>
      <c r="O998" s="253"/>
      <c r="P998" s="133">
        <v>-450</v>
      </c>
      <c r="Q998" s="72">
        <f t="shared" si="110"/>
        <v>-19533.057278480999</v>
      </c>
      <c r="R998" s="45">
        <f t="shared" si="111"/>
        <v>466.94272151900077</v>
      </c>
      <c r="S998" s="373" t="s">
        <v>606</v>
      </c>
      <c r="T998" s="391"/>
      <c r="U998" s="65"/>
      <c r="V998" s="20"/>
      <c r="W998" s="26"/>
      <c r="X998" s="91"/>
      <c r="Y998" s="20"/>
      <c r="Z998" s="239"/>
      <c r="AA998" s="94"/>
      <c r="AB998" s="95"/>
      <c r="AC998" s="20"/>
      <c r="AD998" s="98"/>
      <c r="AE998" s="93"/>
      <c r="AF998" s="825"/>
      <c r="AG998" s="20"/>
      <c r="AH998" s="20"/>
      <c r="AI998" s="20"/>
    </row>
    <row r="999" spans="1:35" ht="12.75" hidden="1" customHeight="1">
      <c r="A999" s="319"/>
      <c r="D999" s="20"/>
      <c r="E999" s="26"/>
      <c r="F999" s="406"/>
      <c r="G999" s="407"/>
      <c r="H999" s="484"/>
      <c r="I999" s="315"/>
      <c r="J999" s="511"/>
      <c r="K999" s="297"/>
      <c r="L999" s="116" t="s">
        <v>24</v>
      </c>
      <c r="M999" s="45">
        <v>-1000</v>
      </c>
      <c r="N999" s="538">
        <f t="shared" si="112"/>
        <v>266.87009400001489</v>
      </c>
      <c r="O999" s="253"/>
      <c r="P999" s="133">
        <v>-84.51</v>
      </c>
      <c r="Q999" s="72">
        <f>Q998+P999</f>
        <v>-19617.567278480998</v>
      </c>
      <c r="R999" s="45">
        <f>20000+Q999</f>
        <v>382.43272151900237</v>
      </c>
      <c r="S999" s="373" t="s">
        <v>280</v>
      </c>
      <c r="T999" s="391" t="s">
        <v>282</v>
      </c>
      <c r="U999" s="65"/>
      <c r="V999" s="20"/>
      <c r="W999" s="26"/>
      <c r="X999" s="35"/>
      <c r="Y999" s="20"/>
      <c r="Z999" s="239"/>
      <c r="AA999" s="94"/>
      <c r="AB999" s="26"/>
      <c r="AC999" s="20"/>
      <c r="AD999" s="20"/>
      <c r="AE999" s="20"/>
      <c r="AF999" s="99"/>
      <c r="AG999" s="20"/>
      <c r="AH999" s="20"/>
      <c r="AI999" s="20"/>
    </row>
    <row r="1000" spans="1:35" ht="12.75" hidden="1" customHeight="1">
      <c r="A1000" s="671"/>
      <c r="B1000" s="671"/>
      <c r="C1000" s="671"/>
      <c r="D1000" s="671"/>
      <c r="E1000" s="671"/>
      <c r="F1000" s="671"/>
      <c r="G1000" s="671"/>
      <c r="H1000" s="485"/>
      <c r="I1000" s="315"/>
      <c r="J1000" s="511"/>
      <c r="K1000" s="258" t="s">
        <v>222</v>
      </c>
      <c r="L1000" s="266" t="s">
        <v>51</v>
      </c>
      <c r="M1000" s="146">
        <f>E994</f>
        <v>8490.68</v>
      </c>
      <c r="N1000" s="538">
        <f t="shared" si="112"/>
        <v>8757.5500940000147</v>
      </c>
      <c r="O1000" s="253"/>
      <c r="P1000" s="133">
        <v>-270.87</v>
      </c>
      <c r="Q1000" s="72">
        <f>Q999+P1000</f>
        <v>-19888.437278480997</v>
      </c>
      <c r="R1000" s="45">
        <f>20000+Q1000</f>
        <v>111.56272151900339</v>
      </c>
      <c r="S1000" s="373" t="s">
        <v>607</v>
      </c>
      <c r="T1000" s="391"/>
      <c r="U1000" s="65"/>
      <c r="V1000" s="20"/>
      <c r="W1000" s="20"/>
      <c r="X1000" s="20"/>
      <c r="Y1000" s="111"/>
      <c r="Z1000" s="239"/>
      <c r="AA1000" s="94"/>
      <c r="AB1000" s="26"/>
      <c r="AC1000" s="20"/>
      <c r="AD1000" s="20"/>
      <c r="AE1000" s="20"/>
      <c r="AF1000" s="20"/>
      <c r="AG1000" s="20"/>
      <c r="AH1000" s="20"/>
      <c r="AI1000" s="20"/>
    </row>
    <row r="1001" spans="1:35" ht="12.75" hidden="1" customHeight="1">
      <c r="A1001" s="402"/>
      <c r="B1001" s="402"/>
      <c r="C1001" s="403"/>
      <c r="D1001" s="404"/>
      <c r="E1001" s="405"/>
      <c r="F1001" s="406"/>
      <c r="G1001" s="407"/>
      <c r="H1001" s="485"/>
      <c r="I1001" s="315"/>
      <c r="J1001" s="511"/>
      <c r="K1001" s="258" t="s">
        <v>222</v>
      </c>
      <c r="L1001" s="266" t="s">
        <v>602</v>
      </c>
      <c r="M1001" s="146">
        <v>-2850</v>
      </c>
      <c r="N1001" s="538">
        <f t="shared" si="112"/>
        <v>5907.5500940000147</v>
      </c>
      <c r="O1001" s="253"/>
      <c r="P1001" s="133">
        <v>-45</v>
      </c>
      <c r="Q1001" s="72">
        <f>Q1000+P1001</f>
        <v>-19933.437278480997</v>
      </c>
      <c r="R1001" s="45">
        <f>20000+Q1001</f>
        <v>66.562721519003389</v>
      </c>
      <c r="S1001" s="373" t="s">
        <v>572</v>
      </c>
      <c r="T1001" s="391"/>
      <c r="U1001" s="65"/>
      <c r="V1001" s="20"/>
      <c r="W1001" s="20"/>
      <c r="X1001" s="91"/>
      <c r="Y1001" s="111"/>
      <c r="Z1001" s="239"/>
      <c r="AA1001" s="94"/>
      <c r="AB1001" s="95"/>
      <c r="AC1001" s="20"/>
      <c r="AD1001" s="20"/>
      <c r="AE1001" s="20"/>
      <c r="AF1001" s="20"/>
      <c r="AG1001" s="20"/>
      <c r="AH1001" s="20"/>
      <c r="AI1001" s="20"/>
    </row>
    <row r="1002" spans="1:35" ht="12.75" hidden="1" customHeight="1">
      <c r="A1002" s="671" t="s">
        <v>421</v>
      </c>
      <c r="B1002" s="671"/>
      <c r="C1002" s="671"/>
      <c r="D1002" s="671"/>
      <c r="E1002" s="671"/>
      <c r="F1002" s="50"/>
      <c r="G1002" s="370"/>
      <c r="H1002" s="827"/>
      <c r="I1002" s="962">
        <v>290.91000000000003</v>
      </c>
      <c r="J1002" s="962"/>
      <c r="K1002" s="258" t="s">
        <v>222</v>
      </c>
      <c r="L1002" s="266" t="s">
        <v>333</v>
      </c>
      <c r="M1002" s="45">
        <v>-200</v>
      </c>
      <c r="N1002" s="538">
        <f t="shared" si="112"/>
        <v>5707.5500940000147</v>
      </c>
      <c r="O1002" s="253"/>
      <c r="P1002" s="49">
        <f>E995</f>
        <v>981</v>
      </c>
      <c r="Q1002" s="73">
        <f>Q1001+P1002</f>
        <v>-18952.437278480997</v>
      </c>
      <c r="R1002" s="45">
        <f>20000+Q1002</f>
        <v>1047.5627215190034</v>
      </c>
      <c r="S1002" s="373"/>
      <c r="T1002" s="372"/>
      <c r="U1002" s="65"/>
      <c r="V1002" s="20"/>
      <c r="W1002" s="20"/>
      <c r="X1002" s="20"/>
      <c r="Y1002" s="111"/>
      <c r="Z1002" s="239"/>
      <c r="AA1002" s="94"/>
      <c r="AB1002" s="26"/>
      <c r="AC1002" s="20"/>
      <c r="AD1002" s="20"/>
      <c r="AE1002" s="20"/>
      <c r="AF1002" s="20"/>
      <c r="AG1002" s="825"/>
      <c r="AH1002" s="20"/>
      <c r="AI1002" s="20"/>
    </row>
    <row r="1003" spans="1:35" ht="12.75" hidden="1" customHeight="1">
      <c r="A1003" s="402"/>
      <c r="B1003" s="402"/>
      <c r="C1003" s="403"/>
      <c r="D1003" s="404"/>
      <c r="E1003" s="405"/>
      <c r="F1003" s="50"/>
      <c r="G1003" s="370"/>
      <c r="H1003" s="827"/>
      <c r="I1003" s="315"/>
      <c r="J1003" s="709"/>
      <c r="K1003" s="258" t="s">
        <v>222</v>
      </c>
      <c r="L1003" s="266" t="s">
        <v>552</v>
      </c>
      <c r="M1003" s="45">
        <v>-280</v>
      </c>
      <c r="N1003" s="538">
        <f t="shared" si="112"/>
        <v>5427.5500940000147</v>
      </c>
      <c r="O1003" s="26"/>
      <c r="P1003" s="64">
        <f>SUM(P989:P1002)</f>
        <v>-18952.437278480997</v>
      </c>
      <c r="Q1003" s="287" t="s">
        <v>243</v>
      </c>
      <c r="R1003" s="317"/>
      <c r="S1003" s="611"/>
      <c r="T1003" s="372"/>
      <c r="U1003" s="65"/>
      <c r="V1003" s="20"/>
      <c r="W1003" s="20"/>
      <c r="X1003" s="20"/>
      <c r="Y1003" s="111"/>
      <c r="Z1003" s="239"/>
      <c r="AA1003" s="94"/>
      <c r="AB1003" s="26"/>
      <c r="AC1003" s="20"/>
      <c r="AD1003" s="20"/>
      <c r="AE1003" s="20"/>
      <c r="AF1003" s="20"/>
      <c r="AG1003" s="20"/>
      <c r="AH1003" s="20"/>
      <c r="AI1003" s="20"/>
    </row>
    <row r="1004" spans="1:35" ht="12.75" hidden="1" customHeight="1">
      <c r="A1004" s="333"/>
      <c r="B1004" s="333"/>
      <c r="C1004" s="402"/>
      <c r="D1004" s="408"/>
      <c r="E1004" s="133"/>
      <c r="F1004" s="50"/>
      <c r="G1004" s="370"/>
      <c r="H1004" s="827"/>
      <c r="I1004" s="493"/>
      <c r="J1004" s="517"/>
      <c r="K1004" s="258"/>
      <c r="L1004" s="266" t="s">
        <v>159</v>
      </c>
      <c r="M1004" s="45">
        <v>-100</v>
      </c>
      <c r="N1004" s="538">
        <f t="shared" si="112"/>
        <v>5327.5500940000147</v>
      </c>
      <c r="O1004" s="239"/>
      <c r="P1004" s="68"/>
      <c r="Q1004" s="287"/>
      <c r="R1004" s="317"/>
      <c r="S1004" s="611"/>
      <c r="T1004" s="372"/>
      <c r="U1004" s="65"/>
      <c r="V1004" s="20"/>
      <c r="W1004" s="26"/>
      <c r="X1004" s="91"/>
      <c r="Y1004" s="20"/>
      <c r="Z1004" s="239"/>
      <c r="AA1004" s="94"/>
      <c r="AB1004" s="26"/>
      <c r="AC1004" s="20"/>
      <c r="AD1004" s="20"/>
      <c r="AE1004" s="20"/>
      <c r="AF1004" s="20"/>
      <c r="AG1004" s="20"/>
      <c r="AH1004" s="20"/>
      <c r="AI1004" s="20"/>
    </row>
    <row r="1005" spans="1:35" ht="12.75" hidden="1" customHeight="1">
      <c r="A1005" s="333"/>
      <c r="B1005" s="333"/>
      <c r="C1005" s="333"/>
      <c r="D1005" s="408"/>
      <c r="E1005" s="133"/>
      <c r="F1005" s="50"/>
      <c r="G1005" s="370"/>
      <c r="H1005" s="827"/>
      <c r="I1005" s="494"/>
      <c r="J1005" s="709"/>
      <c r="K1005" s="258" t="s">
        <v>222</v>
      </c>
      <c r="L1005" s="266" t="s">
        <v>195</v>
      </c>
      <c r="M1005" s="45">
        <v>-1738</v>
      </c>
      <c r="N1005" s="538">
        <f t="shared" si="112"/>
        <v>3589.5500940000147</v>
      </c>
      <c r="O1005" s="239"/>
      <c r="P1005" s="68"/>
      <c r="Q1005" s="585"/>
      <c r="R1005" s="131"/>
      <c r="S1005" s="373"/>
      <c r="T1005" s="372"/>
      <c r="U1005" s="65"/>
      <c r="V1005" s="20"/>
      <c r="W1005" s="26"/>
      <c r="X1005" s="91"/>
      <c r="Y1005" s="20"/>
      <c r="Z1005" s="239"/>
      <c r="AA1005" s="94"/>
      <c r="AB1005" s="26"/>
      <c r="AC1005" s="20"/>
      <c r="AD1005" s="20"/>
      <c r="AE1005" s="20"/>
      <c r="AF1005" s="20"/>
      <c r="AG1005" s="20"/>
      <c r="AH1005" s="20"/>
      <c r="AI1005" s="20"/>
    </row>
    <row r="1006" spans="1:35" ht="12.75" hidden="1" customHeight="1">
      <c r="A1006" s="333"/>
      <c r="B1006" s="333"/>
      <c r="C1006" s="333"/>
      <c r="D1006" s="48"/>
      <c r="E1006" s="133"/>
      <c r="F1006" s="50"/>
      <c r="G1006" s="409"/>
      <c r="H1006" s="827"/>
      <c r="I1006" s="495"/>
      <c r="K1006" s="85" t="s">
        <v>222</v>
      </c>
      <c r="L1006" s="266" t="s">
        <v>180</v>
      </c>
      <c r="M1006" s="45">
        <v>-59</v>
      </c>
      <c r="N1006" s="538">
        <f t="shared" si="112"/>
        <v>3530.5500940000147</v>
      </c>
      <c r="O1006" s="240"/>
      <c r="P1006" s="781"/>
      <c r="Q1006" s="667"/>
      <c r="R1006" s="45"/>
      <c r="S1006" s="373"/>
      <c r="T1006" s="826"/>
      <c r="U1006" s="65"/>
      <c r="V1006" s="20"/>
      <c r="W1006" s="26"/>
      <c r="X1006" s="91"/>
      <c r="Y1006" s="20"/>
      <c r="Z1006" s="239"/>
      <c r="AA1006" s="94"/>
      <c r="AB1006" s="26"/>
      <c r="AC1006" s="20"/>
      <c r="AD1006" s="20"/>
      <c r="AE1006" s="20"/>
      <c r="AF1006" s="20"/>
      <c r="AG1006" s="20"/>
      <c r="AH1006" s="20"/>
      <c r="AI1006" s="20"/>
    </row>
    <row r="1007" spans="1:35" ht="12.75" hidden="1" customHeight="1">
      <c r="A1007" s="333"/>
      <c r="B1007" s="333"/>
      <c r="C1007" s="333"/>
      <c r="D1007" s="48"/>
      <c r="E1007" s="133"/>
      <c r="F1007" s="50"/>
      <c r="G1007" s="409"/>
      <c r="H1007" s="827"/>
      <c r="I1007" s="495"/>
      <c r="K1007" s="258" t="s">
        <v>222</v>
      </c>
      <c r="L1007" s="266" t="s">
        <v>61</v>
      </c>
      <c r="M1007" s="45">
        <v>-252.5</v>
      </c>
      <c r="N1007" s="538">
        <f t="shared" si="112"/>
        <v>3278.0500940000147</v>
      </c>
      <c r="O1007" s="240"/>
      <c r="P1007" s="666"/>
      <c r="Q1007" s="667"/>
      <c r="R1007" s="45"/>
      <c r="S1007" s="373"/>
      <c r="T1007" s="826"/>
      <c r="U1007" s="84"/>
      <c r="V1007" s="20"/>
      <c r="W1007" s="26"/>
      <c r="X1007" s="91"/>
      <c r="Y1007" s="20"/>
      <c r="Z1007" s="239"/>
      <c r="AA1007" s="94"/>
      <c r="AB1007" s="26"/>
      <c r="AC1007" s="20"/>
      <c r="AD1007" s="20"/>
      <c r="AE1007" s="20"/>
      <c r="AF1007" s="20"/>
      <c r="AG1007" s="20"/>
      <c r="AH1007" s="20"/>
      <c r="AI1007" s="20"/>
    </row>
    <row r="1008" spans="1:35" ht="12.75" hidden="1" customHeight="1">
      <c r="A1008" s="333"/>
      <c r="B1008" s="333"/>
      <c r="C1008" s="410"/>
      <c r="D1008" s="404"/>
      <c r="E1008" s="405"/>
      <c r="F1008" s="50"/>
      <c r="G1008" s="409"/>
      <c r="H1008" s="827"/>
      <c r="I1008" s="753"/>
      <c r="J1008" s="709"/>
      <c r="K1008" s="258" t="s">
        <v>371</v>
      </c>
      <c r="L1008" s="266" t="s">
        <v>148</v>
      </c>
      <c r="M1008" s="45">
        <v>1000</v>
      </c>
      <c r="N1008" s="538">
        <f t="shared" si="112"/>
        <v>4278.0500940000147</v>
      </c>
      <c r="O1008" s="274"/>
      <c r="P1008" s="781"/>
      <c r="Q1008" s="667"/>
      <c r="R1008" s="45"/>
      <c r="S1008" s="592"/>
      <c r="T1008" s="503"/>
      <c r="U1008" s="84"/>
      <c r="V1008" s="20"/>
      <c r="W1008" s="26"/>
      <c r="X1008" s="91"/>
      <c r="Y1008" s="20"/>
      <c r="Z1008" s="239"/>
      <c r="AA1008" s="94"/>
      <c r="AB1008" s="26"/>
      <c r="AC1008" s="20"/>
      <c r="AD1008" s="20"/>
      <c r="AE1008" s="20"/>
      <c r="AF1008" s="20"/>
      <c r="AG1008" s="20"/>
      <c r="AH1008" s="20"/>
      <c r="AI1008" s="20"/>
    </row>
    <row r="1009" spans="1:35" ht="12.75" hidden="1" customHeight="1">
      <c r="A1009" s="333"/>
      <c r="B1009" s="333"/>
      <c r="C1009" s="333"/>
      <c r="D1009" s="411"/>
      <c r="E1009" s="133"/>
      <c r="F1009" s="50"/>
      <c r="G1009" s="409"/>
      <c r="H1009" s="827"/>
      <c r="I1009" s="510"/>
      <c r="J1009" s="521"/>
      <c r="K1009" s="85" t="s">
        <v>189</v>
      </c>
      <c r="L1009" s="267" t="s">
        <v>16</v>
      </c>
      <c r="M1009" s="175">
        <v>-747.99</v>
      </c>
      <c r="N1009" s="538">
        <f t="shared" si="112"/>
        <v>3530.0600940000149</v>
      </c>
      <c r="O1009" s="551"/>
      <c r="P1009" s="588"/>
      <c r="Q1009" s="595"/>
      <c r="R1009" s="591"/>
      <c r="S1009" s="592"/>
      <c r="T1009" s="503"/>
      <c r="U1009" s="20"/>
      <c r="V1009" s="20"/>
      <c r="W1009" s="26"/>
      <c r="X1009" s="91"/>
      <c r="Y1009" s="20"/>
      <c r="Z1009" s="239"/>
      <c r="AA1009" s="94"/>
      <c r="AB1009" s="26"/>
      <c r="AC1009" s="20"/>
      <c r="AD1009" s="20"/>
      <c r="AE1009" s="20"/>
      <c r="AF1009" s="20"/>
      <c r="AG1009" s="20"/>
      <c r="AH1009" s="20"/>
      <c r="AI1009" s="20"/>
    </row>
    <row r="1010" spans="1:35" ht="12.75" hidden="1" customHeight="1">
      <c r="A1010" s="333"/>
      <c r="B1010" s="333"/>
      <c r="C1010" s="333"/>
      <c r="D1010" s="408"/>
      <c r="E1010" s="133"/>
      <c r="F1010" s="50"/>
      <c r="G1010" s="409"/>
      <c r="H1010" s="827"/>
      <c r="K1010" s="258" t="s">
        <v>189</v>
      </c>
      <c r="L1010" s="268" t="s">
        <v>56</v>
      </c>
      <c r="M1010" s="175">
        <v>-1075</v>
      </c>
      <c r="N1010" s="538">
        <f t="shared" si="112"/>
        <v>2455.0600940000149</v>
      </c>
      <c r="O1010" s="551"/>
      <c r="P1010" s="776"/>
      <c r="Q1010" s="595"/>
      <c r="R1010" s="591"/>
      <c r="S1010" s="778"/>
      <c r="T1010" s="779"/>
      <c r="U1010" s="20"/>
      <c r="V1010" s="26"/>
      <c r="W1010" s="26"/>
      <c r="X1010" s="91"/>
      <c r="Y1010" s="20"/>
      <c r="Z1010" s="239"/>
      <c r="AA1010" s="94"/>
      <c r="AB1010" s="26"/>
      <c r="AC1010" s="20"/>
      <c r="AD1010" s="20"/>
      <c r="AE1010" s="20"/>
      <c r="AF1010" s="20"/>
      <c r="AG1010" s="20"/>
      <c r="AH1010" s="20"/>
      <c r="AI1010" s="20"/>
    </row>
    <row r="1011" spans="1:35" ht="12.75" hidden="1" customHeight="1">
      <c r="A1011" s="333"/>
      <c r="B1011" s="333"/>
      <c r="C1011" s="333"/>
      <c r="D1011" s="408"/>
      <c r="E1011" s="412"/>
      <c r="F1011" s="50"/>
      <c r="G1011" s="409"/>
      <c r="H1011" s="827"/>
      <c r="K1011" s="258" t="s">
        <v>189</v>
      </c>
      <c r="L1011" s="268" t="s">
        <v>23</v>
      </c>
      <c r="M1011" s="133">
        <v>-279.63</v>
      </c>
      <c r="N1011" s="538">
        <f t="shared" si="112"/>
        <v>2175.4300940000148</v>
      </c>
      <c r="O1011" s="253"/>
      <c r="P1011" s="777"/>
      <c r="Q1011" s="595"/>
      <c r="R1011" s="591"/>
      <c r="S1011" s="780"/>
      <c r="T1011" s="503"/>
      <c r="U1011" s="20"/>
      <c r="V1011" s="26"/>
      <c r="W1011" s="26"/>
      <c r="X1011" s="91"/>
      <c r="Y1011" s="20"/>
      <c r="Z1011" s="239"/>
      <c r="AA1011" s="94"/>
      <c r="AB1011" s="26"/>
      <c r="AC1011" s="20"/>
      <c r="AD1011" s="20"/>
      <c r="AE1011" s="20"/>
      <c r="AF1011" s="20"/>
      <c r="AG1011" s="20"/>
      <c r="AH1011" s="20"/>
      <c r="AI1011" s="20"/>
    </row>
    <row r="1012" spans="1:35" ht="12.75" hidden="1" customHeight="1">
      <c r="A1012" s="333"/>
      <c r="B1012" s="333"/>
      <c r="C1012" s="410"/>
      <c r="D1012" s="561"/>
      <c r="E1012" s="405"/>
      <c r="F1012" s="50"/>
      <c r="G1012" s="409"/>
      <c r="H1012" s="827"/>
      <c r="J1012" s="533"/>
      <c r="K1012" s="258" t="s">
        <v>189</v>
      </c>
      <c r="L1012" s="116" t="s">
        <v>224</v>
      </c>
      <c r="M1012" s="45">
        <v>-561.33000000000004</v>
      </c>
      <c r="N1012" s="538">
        <f t="shared" si="112"/>
        <v>1614.1000940000149</v>
      </c>
      <c r="O1012" s="253"/>
      <c r="P1012" s="777"/>
      <c r="Q1012" s="595"/>
      <c r="R1012" s="591"/>
      <c r="S1012" s="502"/>
      <c r="T1012" s="503"/>
      <c r="U1012" s="20"/>
      <c r="V1012" s="26"/>
      <c r="W1012" s="26"/>
      <c r="X1012" s="91"/>
      <c r="Y1012" s="20"/>
      <c r="Z1012" s="239"/>
      <c r="AA1012" s="94"/>
      <c r="AB1012" s="26"/>
      <c r="AC1012" s="20"/>
      <c r="AD1012" s="20"/>
      <c r="AE1012" s="20"/>
      <c r="AF1012" s="20"/>
      <c r="AG1012" s="20"/>
      <c r="AH1012" s="20"/>
      <c r="AI1012" s="20"/>
    </row>
    <row r="1013" spans="1:35" ht="12.75" hidden="1" customHeight="1">
      <c r="A1013" s="333"/>
      <c r="B1013" s="333"/>
      <c r="C1013" s="333"/>
      <c r="D1013" s="408"/>
      <c r="E1013" s="133"/>
      <c r="F1013" s="50"/>
      <c r="G1013" s="409"/>
      <c r="H1013" s="827"/>
      <c r="I1013" s="235"/>
      <c r="J1013" s="534"/>
      <c r="K1013" s="258" t="s">
        <v>189</v>
      </c>
      <c r="L1013" s="116" t="s">
        <v>585</v>
      </c>
      <c r="M1013" s="175">
        <f>-63.85</f>
        <v>-63.85</v>
      </c>
      <c r="N1013" s="538">
        <f t="shared" si="112"/>
        <v>1550.250094000015</v>
      </c>
      <c r="O1013" s="253"/>
      <c r="P1013" s="26"/>
      <c r="Q1013" s="26"/>
      <c r="R1013" s="26"/>
      <c r="S1013" s="384"/>
      <c r="T1013" s="20"/>
      <c r="U1013" s="20"/>
      <c r="V1013" s="26"/>
      <c r="W1013" s="26"/>
      <c r="X1013" s="91"/>
      <c r="Y1013" s="20"/>
      <c r="Z1013" s="239"/>
      <c r="AA1013" s="94"/>
      <c r="AB1013" s="26"/>
      <c r="AC1013" s="20"/>
      <c r="AD1013" s="20"/>
      <c r="AE1013" s="20"/>
      <c r="AF1013" s="20"/>
      <c r="AG1013" s="20"/>
      <c r="AH1013" s="20"/>
      <c r="AI1013" s="20"/>
    </row>
    <row r="1014" spans="1:35" ht="12.75" hidden="1" customHeight="1">
      <c r="A1014" s="333"/>
      <c r="B1014" s="333"/>
      <c r="C1014" s="333"/>
      <c r="D1014" s="408"/>
      <c r="E1014" s="133"/>
      <c r="F1014" s="50"/>
      <c r="G1014" s="409"/>
      <c r="H1014" s="827"/>
      <c r="I1014" s="543"/>
      <c r="J1014" s="504"/>
      <c r="K1014" s="321" t="s">
        <v>190</v>
      </c>
      <c r="L1014" s="269" t="s">
        <v>375</v>
      </c>
      <c r="M1014" s="366">
        <v>-47.52</v>
      </c>
      <c r="N1014" s="566">
        <f t="shared" si="112"/>
        <v>1502.730094000015</v>
      </c>
      <c r="O1014" s="253"/>
      <c r="U1014" s="234"/>
      <c r="V1014" s="45"/>
      <c r="W1014" s="26"/>
      <c r="X1014" s="91"/>
      <c r="Y1014" s="20"/>
      <c r="Z1014" s="239"/>
      <c r="AA1014" s="94"/>
      <c r="AB1014" s="26"/>
      <c r="AC1014" s="20"/>
      <c r="AD1014" s="20"/>
      <c r="AE1014" s="20"/>
      <c r="AF1014" s="20"/>
      <c r="AG1014" s="20"/>
      <c r="AH1014" s="20"/>
      <c r="AI1014" s="20"/>
    </row>
    <row r="1015" spans="1:35" ht="12.75" hidden="1" customHeight="1">
      <c r="A1015" s="333"/>
      <c r="B1015" s="333"/>
      <c r="C1015" s="333"/>
      <c r="D1015" s="408"/>
      <c r="E1015" s="133"/>
      <c r="F1015" s="50"/>
      <c r="G1015" s="409"/>
      <c r="H1015" s="827"/>
      <c r="J1015" s="504"/>
      <c r="L1015" s="23"/>
      <c r="M1015" s="168">
        <f>SUM(M989:M1014)</f>
        <v>1502.730094000015</v>
      </c>
      <c r="N1015" s="806"/>
      <c r="O1015" s="253"/>
      <c r="U1015" s="20"/>
      <c r="V1015" s="26"/>
      <c r="W1015" s="26"/>
      <c r="X1015" s="91"/>
      <c r="Y1015" s="20"/>
      <c r="Z1015" s="239"/>
      <c r="AA1015" s="94"/>
      <c r="AB1015" s="26"/>
      <c r="AC1015" s="20"/>
      <c r="AD1015" s="20"/>
      <c r="AE1015" s="20"/>
      <c r="AF1015" s="20"/>
      <c r="AG1015" s="20"/>
      <c r="AH1015" s="20"/>
      <c r="AI1015" s="20"/>
    </row>
    <row r="1016" spans="1:35" s="78" customFormat="1" ht="12.75" hidden="1" customHeight="1">
      <c r="A1016" s="424"/>
      <c r="B1016" s="424"/>
      <c r="C1016" s="424"/>
      <c r="D1016" s="828"/>
      <c r="E1016" s="829"/>
      <c r="F1016" s="426"/>
      <c r="G1016" s="830"/>
      <c r="H1016" s="817"/>
      <c r="I1016" s="818"/>
      <c r="J1016" s="583"/>
      <c r="K1016" s="831"/>
      <c r="L1016" s="605"/>
      <c r="M1016" s="606"/>
      <c r="N1016" s="52"/>
      <c r="O1016" s="646"/>
      <c r="P1016" s="15"/>
      <c r="Q1016" s="15"/>
      <c r="R1016" s="15"/>
      <c r="S1016" s="385"/>
      <c r="V1016" s="15"/>
      <c r="W1016" s="15"/>
      <c r="X1016" s="158"/>
      <c r="Z1016" s="159"/>
      <c r="AA1016" s="160"/>
      <c r="AB1016" s="15"/>
    </row>
    <row r="1017" spans="1:35" hidden="1">
      <c r="K1017" s="751"/>
      <c r="L1017" s="236"/>
      <c r="M1017" s="233"/>
      <c r="N1017" s="45"/>
      <c r="U1017" s="20"/>
      <c r="V1017" s="20"/>
      <c r="W1017" s="20"/>
      <c r="X1017" s="20"/>
      <c r="Y1017" s="20"/>
      <c r="Z1017" s="26"/>
      <c r="AA1017" s="825"/>
    </row>
    <row r="1018" spans="1:35" ht="12.75" hidden="1" customHeight="1">
      <c r="B1018" s="1030" t="s">
        <v>608</v>
      </c>
      <c r="C1018" s="1030"/>
      <c r="D1018" s="1030"/>
      <c r="E1018" s="1030"/>
      <c r="G1018" s="261"/>
      <c r="H1018" s="658"/>
      <c r="I1018" s="26"/>
      <c r="K1018" s="258"/>
      <c r="L1018" s="100"/>
      <c r="M1018" s="1031" t="s">
        <v>54</v>
      </c>
      <c r="N1018" s="836"/>
      <c r="O1018" s="838"/>
      <c r="P1018" s="1033" t="s">
        <v>48</v>
      </c>
      <c r="Q1018" s="1035" t="s">
        <v>581</v>
      </c>
      <c r="R1018" s="1035"/>
      <c r="S1018" s="377"/>
      <c r="X1018" s="35"/>
      <c r="Y1018" s="35"/>
      <c r="Z1018" s="26"/>
      <c r="AA1018" s="839"/>
      <c r="AB1018" s="26"/>
      <c r="AC1018" s="20"/>
      <c r="AD1018" s="20"/>
      <c r="AE1018" s="20"/>
      <c r="AF1018" s="20"/>
      <c r="AG1018" s="20"/>
      <c r="AH1018" s="20"/>
      <c r="AI1018" s="20"/>
    </row>
    <row r="1019" spans="1:35" ht="12.75" hidden="1" customHeight="1">
      <c r="C1019" s="17" t="s">
        <v>357</v>
      </c>
      <c r="D1019" s="14"/>
      <c r="E1019" s="44">
        <v>8490.68</v>
      </c>
      <c r="G1019" s="1036"/>
      <c r="H1019" s="1036"/>
      <c r="I1019" s="26"/>
      <c r="K1019" s="260" t="s">
        <v>221</v>
      </c>
      <c r="L1019" s="156"/>
      <c r="M1019" s="1032"/>
      <c r="N1019" s="836" t="s">
        <v>43</v>
      </c>
      <c r="O1019" s="838"/>
      <c r="P1019" s="1034"/>
      <c r="Q1019" s="834" t="s">
        <v>43</v>
      </c>
      <c r="R1019" s="835" t="s">
        <v>53</v>
      </c>
      <c r="S1019" s="377"/>
      <c r="X1019" s="118"/>
      <c r="Y1019" s="111"/>
      <c r="Z1019" s="117"/>
      <c r="AA1019" s="89"/>
      <c r="AB1019" s="90"/>
      <c r="AC1019" s="20"/>
      <c r="AD1019" s="41"/>
      <c r="AE1019" s="20"/>
      <c r="AF1019" s="20"/>
      <c r="AG1019" s="20"/>
      <c r="AH1019" s="20"/>
      <c r="AI1019" s="20"/>
    </row>
    <row r="1020" spans="1:35" ht="12.75" hidden="1" customHeight="1">
      <c r="C1020" s="17"/>
      <c r="D1020" s="14" t="s">
        <v>24</v>
      </c>
      <c r="E1020" s="44">
        <f>'[2]NOVEMBER ''13'!$C$27</f>
        <v>1086.1400000000003</v>
      </c>
      <c r="G1020" s="30"/>
      <c r="H1020" s="624">
        <f>SUM(E1020:E1021)</f>
        <v>1086.1400000000003</v>
      </c>
      <c r="I1020" s="26"/>
      <c r="K1020" s="273"/>
      <c r="L1020" s="235" t="s">
        <v>226</v>
      </c>
      <c r="M1020" s="45">
        <f>$M$1015</f>
        <v>1502.730094000015</v>
      </c>
      <c r="N1020" s="71">
        <f>M1020</f>
        <v>1502.730094000015</v>
      </c>
      <c r="O1020" s="26"/>
      <c r="P1020" s="45">
        <f>$Q$1002</f>
        <v>-18952.437278480997</v>
      </c>
      <c r="Q1020" s="71">
        <f>P1020</f>
        <v>-18952.437278480997</v>
      </c>
      <c r="R1020" s="45">
        <f>20000+Q1020</f>
        <v>1047.5627215190034</v>
      </c>
      <c r="S1020" s="378" t="s">
        <v>298</v>
      </c>
      <c r="T1020" s="367" t="s">
        <v>299</v>
      </c>
      <c r="W1020" s="392"/>
      <c r="X1020" s="111"/>
      <c r="Y1020" s="111"/>
      <c r="Z1020" s="45"/>
      <c r="AA1020" s="488"/>
      <c r="AB1020" s="26"/>
      <c r="AC1020" s="20"/>
      <c r="AD1020" s="92"/>
      <c r="AE1020" s="93"/>
      <c r="AF1020" s="20"/>
      <c r="AG1020" s="20"/>
      <c r="AH1020" s="20"/>
      <c r="AI1020" s="20"/>
    </row>
    <row r="1021" spans="1:35" ht="12.75" hidden="1" customHeight="1">
      <c r="C1021" s="17"/>
      <c r="D1021" s="143" t="s">
        <v>225</v>
      </c>
      <c r="E1021" s="15"/>
      <c r="G1021"/>
      <c r="H1021" s="624"/>
      <c r="I1021" s="26"/>
      <c r="K1021" s="273"/>
      <c r="L1021" s="235" t="s">
        <v>343</v>
      </c>
      <c r="M1021" s="45">
        <v>-558.12</v>
      </c>
      <c r="N1021" s="538">
        <f>N1020+M1021</f>
        <v>944.61009400001501</v>
      </c>
      <c r="O1021" s="65"/>
      <c r="P1021" s="133">
        <v>-704.8</v>
      </c>
      <c r="Q1021" s="72">
        <f t="shared" ref="Q1021:Q1042" si="113">Q1020+P1021</f>
        <v>-19657.237278480996</v>
      </c>
      <c r="R1021" s="45">
        <f t="shared" ref="R1021:R1042" si="114">20000+Q1021</f>
        <v>342.76272151900412</v>
      </c>
      <c r="S1021" s="373" t="s">
        <v>258</v>
      </c>
      <c r="T1021" s="391" t="s">
        <v>609</v>
      </c>
      <c r="W1021" s="111"/>
      <c r="X1021" s="111"/>
      <c r="Y1021" s="112"/>
      <c r="Z1021" s="55"/>
      <c r="AA1021" s="489"/>
      <c r="AB1021" s="95"/>
      <c r="AC1021" s="20"/>
      <c r="AD1021" s="41"/>
      <c r="AE1021" s="93"/>
      <c r="AF1021" s="20"/>
      <c r="AG1021" s="20"/>
      <c r="AH1021" s="20"/>
      <c r="AI1021" s="20"/>
    </row>
    <row r="1022" spans="1:35" ht="12.75" hidden="1" customHeight="1">
      <c r="C1022" s="18" t="s">
        <v>5</v>
      </c>
      <c r="D1022" s="14"/>
      <c r="E1022" s="14">
        <f>SUM(E1019:E1021)</f>
        <v>9576.82</v>
      </c>
      <c r="G1022" s="242"/>
      <c r="H1022" s="492"/>
      <c r="I1022" s="242"/>
      <c r="J1022" s="315"/>
      <c r="K1022" s="297"/>
      <c r="L1022" s="235" t="s">
        <v>612</v>
      </c>
      <c r="M1022" s="45">
        <v>-321.24</v>
      </c>
      <c r="N1022" s="538">
        <f>N1021+M1022</f>
        <v>623.370094000015</v>
      </c>
      <c r="O1022" s="49"/>
      <c r="P1022" s="133">
        <v>-216.26</v>
      </c>
      <c r="Q1022" s="72">
        <f t="shared" si="113"/>
        <v>-19873.497278480994</v>
      </c>
      <c r="R1022" s="45">
        <f t="shared" si="114"/>
        <v>126.50272151900572</v>
      </c>
      <c r="S1022" s="373" t="s">
        <v>253</v>
      </c>
      <c r="T1022" s="391"/>
      <c r="U1022" s="74"/>
      <c r="V1022" s="26"/>
      <c r="W1022" s="111"/>
      <c r="X1022" s="111"/>
      <c r="Y1022" s="112"/>
      <c r="Z1022" s="55"/>
      <c r="AA1022" s="489"/>
      <c r="AB1022" s="26"/>
      <c r="AC1022" s="20"/>
      <c r="AD1022" s="92"/>
      <c r="AE1022" s="93"/>
      <c r="AF1022" s="20"/>
      <c r="AG1022" s="20"/>
      <c r="AH1022" s="20"/>
      <c r="AI1022" s="20"/>
    </row>
    <row r="1023" spans="1:35" ht="12.75" hidden="1" customHeight="1">
      <c r="G1023" s="20"/>
      <c r="H1023" s="490"/>
      <c r="I1023" s="45"/>
      <c r="J1023" s="482"/>
      <c r="K1023" s="297" t="s">
        <v>223</v>
      </c>
      <c r="L1023" s="184" t="s">
        <v>227</v>
      </c>
      <c r="M1023" s="45">
        <v>-553.99</v>
      </c>
      <c r="N1023" s="538">
        <f t="shared" ref="N1023:N1057" si="115">N1022+M1023</f>
        <v>69.380094000014992</v>
      </c>
      <c r="O1023" s="39"/>
      <c r="P1023" s="133">
        <v>5000</v>
      </c>
      <c r="Q1023" s="72">
        <f t="shared" si="113"/>
        <v>-14873.497278480994</v>
      </c>
      <c r="R1023" s="45">
        <f t="shared" si="114"/>
        <v>5126.5027215190057</v>
      </c>
      <c r="S1023" s="373" t="s">
        <v>436</v>
      </c>
      <c r="T1023" s="391" t="s">
        <v>611</v>
      </c>
      <c r="U1023" s="74"/>
      <c r="V1023" s="26"/>
      <c r="W1023" s="112"/>
      <c r="X1023" s="112"/>
      <c r="Y1023" s="112"/>
      <c r="Z1023" s="55"/>
      <c r="AA1023" s="489"/>
      <c r="AB1023" s="26"/>
      <c r="AC1023" s="20"/>
      <c r="AD1023" s="92"/>
      <c r="AE1023" s="93"/>
      <c r="AF1023" s="20"/>
      <c r="AG1023" s="20"/>
      <c r="AH1023" s="20"/>
      <c r="AI1023" s="20"/>
    </row>
    <row r="1024" spans="1:35" ht="12.75" hidden="1" customHeight="1">
      <c r="A1024" s="319"/>
      <c r="C1024" s="81" t="s">
        <v>17</v>
      </c>
      <c r="E1024" s="42"/>
      <c r="G1024"/>
      <c r="H1024" s="837"/>
      <c r="I1024" s="315"/>
      <c r="J1024" s="21"/>
      <c r="K1024" s="273"/>
      <c r="L1024" s="116" t="s">
        <v>524</v>
      </c>
      <c r="M1024" s="45">
        <v>-9</v>
      </c>
      <c r="N1024" s="538">
        <f t="shared" si="115"/>
        <v>60.380094000014992</v>
      </c>
      <c r="O1024" s="39"/>
      <c r="P1024" s="133">
        <v>-3951.81</v>
      </c>
      <c r="Q1024" s="72">
        <f t="shared" si="113"/>
        <v>-18825.307278480996</v>
      </c>
      <c r="R1024" s="45">
        <f t="shared" si="114"/>
        <v>1174.6927215190044</v>
      </c>
      <c r="S1024" s="373" t="s">
        <v>616</v>
      </c>
      <c r="T1024" s="391" t="s">
        <v>610</v>
      </c>
      <c r="U1024" s="74"/>
      <c r="V1024" s="26"/>
      <c r="W1024" s="103"/>
      <c r="X1024" s="111"/>
      <c r="Y1024" s="112"/>
      <c r="Z1024" s="55"/>
      <c r="AA1024" s="489"/>
      <c r="AB1024" s="95"/>
      <c r="AC1024" s="20"/>
      <c r="AD1024" s="96"/>
      <c r="AE1024" s="93"/>
      <c r="AF1024" s="20"/>
      <c r="AG1024" s="20"/>
      <c r="AH1024" s="20"/>
      <c r="AI1024" s="20"/>
    </row>
    <row r="1025" spans="1:35" ht="12.75" hidden="1" customHeight="1">
      <c r="A1025" s="319"/>
      <c r="D1025" s="20" t="s">
        <v>14</v>
      </c>
      <c r="E1025" s="42">
        <f>E1019</f>
        <v>8490.68</v>
      </c>
      <c r="F1025" s="20"/>
      <c r="G1025" s="20"/>
      <c r="H1025" s="490">
        <f>G1026+E1026</f>
        <v>1086.1400000000003</v>
      </c>
      <c r="I1025" s="315"/>
      <c r="J1025" s="511"/>
      <c r="K1025" s="297"/>
      <c r="L1025" s="235" t="s">
        <v>619</v>
      </c>
      <c r="M1025" s="45">
        <v>-40</v>
      </c>
      <c r="N1025" s="538">
        <f t="shared" si="115"/>
        <v>20.380094000014992</v>
      </c>
      <c r="O1025" s="274"/>
      <c r="P1025" s="133">
        <v>-154</v>
      </c>
      <c r="Q1025" s="72">
        <f t="shared" si="113"/>
        <v>-18979.307278480996</v>
      </c>
      <c r="R1025" s="45">
        <f t="shared" si="114"/>
        <v>1020.6927215190044</v>
      </c>
      <c r="S1025" s="373" t="s">
        <v>613</v>
      </c>
      <c r="T1025" s="391"/>
      <c r="U1025" s="74"/>
      <c r="V1025" s="26"/>
      <c r="W1025" s="111"/>
      <c r="X1025" s="111"/>
      <c r="Y1025" s="112"/>
      <c r="Z1025" s="55"/>
      <c r="AA1025" s="489"/>
      <c r="AB1025" s="26"/>
      <c r="AC1025" s="20"/>
      <c r="AD1025" s="41"/>
      <c r="AE1025" s="93"/>
      <c r="AF1025" s="20"/>
      <c r="AG1025" s="20"/>
      <c r="AH1025" s="20"/>
      <c r="AI1025" s="20"/>
    </row>
    <row r="1026" spans="1:35" ht="12.75" hidden="1" customHeight="1" thickBot="1">
      <c r="A1026" s="319"/>
      <c r="D1026" s="78" t="s">
        <v>13</v>
      </c>
      <c r="E1026" s="483">
        <f>SUM(E1020:E1021)</f>
        <v>1086.1400000000003</v>
      </c>
      <c r="F1026" s="482" t="s">
        <v>364</v>
      </c>
      <c r="G1026" s="1037"/>
      <c r="H1026" s="1037"/>
      <c r="I1026" s="315"/>
      <c r="J1026" s="511"/>
      <c r="K1026" s="297"/>
      <c r="L1026" s="235" t="s">
        <v>621</v>
      </c>
      <c r="M1026" s="45">
        <v>-9</v>
      </c>
      <c r="N1026" s="538">
        <f t="shared" si="115"/>
        <v>11.380094000014992</v>
      </c>
      <c r="O1026" s="253"/>
      <c r="P1026" s="133">
        <v>-127.4</v>
      </c>
      <c r="Q1026" s="72">
        <f t="shared" si="113"/>
        <v>-19106.707278480997</v>
      </c>
      <c r="R1026" s="45">
        <f t="shared" si="114"/>
        <v>893.29272151900295</v>
      </c>
      <c r="S1026" s="373" t="s">
        <v>614</v>
      </c>
      <c r="T1026" s="391"/>
      <c r="U1026" s="65"/>
      <c r="V1026" s="20"/>
      <c r="W1026" s="20"/>
      <c r="X1026" s="20"/>
      <c r="Y1026" s="112"/>
      <c r="Z1026" s="239"/>
      <c r="AA1026" s="94"/>
      <c r="AB1026" s="26"/>
      <c r="AC1026" s="20"/>
      <c r="AD1026" s="92"/>
      <c r="AE1026" s="93"/>
      <c r="AF1026" s="20"/>
      <c r="AG1026" s="20"/>
      <c r="AH1026" s="20"/>
      <c r="AI1026" s="20"/>
    </row>
    <row r="1027" spans="1:35" ht="12.75" hidden="1" customHeight="1" thickTop="1">
      <c r="A1027" s="319"/>
      <c r="D1027" s="20"/>
      <c r="E1027" s="26"/>
      <c r="F1027" s="122"/>
      <c r="G1027" s="1038">
        <f>E1025+E1026+G1026</f>
        <v>9576.82</v>
      </c>
      <c r="H1027" s="1038"/>
      <c r="I1027" s="315"/>
      <c r="J1027" s="511"/>
      <c r="K1027" s="297"/>
      <c r="L1027" s="235" t="s">
        <v>621</v>
      </c>
      <c r="M1027" s="45">
        <v>-99</v>
      </c>
      <c r="N1027" s="538">
        <f t="shared" si="115"/>
        <v>-87.619905999985008</v>
      </c>
      <c r="O1027" s="253"/>
      <c r="P1027" s="133">
        <v>-62</v>
      </c>
      <c r="Q1027" s="72">
        <f t="shared" si="113"/>
        <v>-19168.707278480997</v>
      </c>
      <c r="R1027" s="45">
        <f t="shared" si="114"/>
        <v>831.29272151900295</v>
      </c>
      <c r="S1027" s="373" t="s">
        <v>615</v>
      </c>
      <c r="T1027" s="391"/>
      <c r="U1027" s="65"/>
      <c r="V1027" s="20"/>
      <c r="W1027" s="26"/>
      <c r="X1027" s="20"/>
      <c r="Y1027" s="112"/>
      <c r="Z1027" s="239"/>
      <c r="AA1027" s="94"/>
      <c r="AB1027" s="95"/>
      <c r="AC1027" s="20"/>
      <c r="AD1027" s="92"/>
      <c r="AE1027" s="93"/>
      <c r="AF1027" s="20"/>
      <c r="AG1027" s="20"/>
      <c r="AH1027" s="20"/>
      <c r="AI1027" s="20"/>
    </row>
    <row r="1028" spans="1:35" ht="12.75" hidden="1" customHeight="1">
      <c r="A1028" s="319"/>
      <c r="D1028" s="20"/>
      <c r="E1028" s="26"/>
      <c r="F1028" s="122"/>
      <c r="G1028" s="841"/>
      <c r="H1028" s="841"/>
      <c r="I1028" s="315"/>
      <c r="J1028" s="511"/>
      <c r="K1028" s="297"/>
      <c r="L1028" s="235" t="s">
        <v>622</v>
      </c>
      <c r="M1028" s="45">
        <v>159</v>
      </c>
      <c r="N1028" s="538">
        <f t="shared" si="115"/>
        <v>71.380094000014992</v>
      </c>
      <c r="O1028" s="253"/>
      <c r="P1028" s="133">
        <v>-115.92</v>
      </c>
      <c r="Q1028" s="72">
        <f t="shared" si="113"/>
        <v>-19284.627278480995</v>
      </c>
      <c r="R1028" s="45">
        <f t="shared" si="114"/>
        <v>715.3727215190047</v>
      </c>
      <c r="S1028" s="373" t="s">
        <v>282</v>
      </c>
      <c r="T1028" s="391"/>
      <c r="U1028" s="65"/>
      <c r="V1028" s="20"/>
      <c r="W1028" s="26"/>
      <c r="X1028" s="20"/>
      <c r="Y1028" s="112"/>
      <c r="Z1028" s="239"/>
      <c r="AA1028" s="94"/>
      <c r="AB1028" s="26"/>
      <c r="AC1028" s="20"/>
      <c r="AD1028" s="92"/>
      <c r="AE1028" s="97"/>
      <c r="AF1028" s="20"/>
      <c r="AG1028" s="20"/>
      <c r="AH1028" s="20"/>
      <c r="AI1028" s="20"/>
    </row>
    <row r="1029" spans="1:35" ht="12.75" hidden="1" customHeight="1">
      <c r="A1029" s="319"/>
      <c r="D1029" s="20"/>
      <c r="E1029" s="26"/>
      <c r="F1029" s="122"/>
      <c r="G1029" s="841"/>
      <c r="H1029" s="841"/>
      <c r="I1029" s="315"/>
      <c r="J1029" s="511"/>
      <c r="K1029" s="297"/>
      <c r="L1029" s="235" t="s">
        <v>622</v>
      </c>
      <c r="M1029" s="45">
        <v>200</v>
      </c>
      <c r="N1029" s="538">
        <f t="shared" si="115"/>
        <v>271.38009400001499</v>
      </c>
      <c r="O1029" s="253"/>
      <c r="P1029" s="133">
        <v>-39.96</v>
      </c>
      <c r="Q1029" s="72">
        <f t="shared" si="113"/>
        <v>-19324.587278480994</v>
      </c>
      <c r="R1029" s="45">
        <f t="shared" si="114"/>
        <v>675.41272151900557</v>
      </c>
      <c r="S1029" s="373" t="s">
        <v>465</v>
      </c>
      <c r="T1029" s="391"/>
      <c r="U1029" s="65"/>
      <c r="V1029" s="20"/>
      <c r="W1029" s="26"/>
      <c r="X1029" s="91"/>
      <c r="Y1029" s="20"/>
      <c r="Z1029" s="239"/>
      <c r="AA1029" s="94"/>
      <c r="AB1029" s="95"/>
      <c r="AC1029" s="20"/>
      <c r="AD1029" s="98"/>
      <c r="AE1029" s="93"/>
      <c r="AF1029" s="839"/>
      <c r="AG1029" s="20"/>
      <c r="AH1029" s="20"/>
      <c r="AI1029" s="20"/>
    </row>
    <row r="1030" spans="1:35" ht="12.75" hidden="1" customHeight="1">
      <c r="A1030" s="319"/>
      <c r="D1030" s="20"/>
      <c r="E1030" s="26"/>
      <c r="F1030" s="122"/>
      <c r="G1030" s="841"/>
      <c r="H1030" s="841"/>
      <c r="I1030" s="315"/>
      <c r="J1030" s="511"/>
      <c r="K1030" s="297"/>
      <c r="L1030" s="235" t="s">
        <v>102</v>
      </c>
      <c r="M1030" s="45">
        <v>772.14</v>
      </c>
      <c r="N1030" s="538">
        <f t="shared" si="115"/>
        <v>1043.520094000015</v>
      </c>
      <c r="O1030" s="253"/>
      <c r="P1030" s="133">
        <v>1000</v>
      </c>
      <c r="Q1030" s="72">
        <f t="shared" si="113"/>
        <v>-18324.587278480994</v>
      </c>
      <c r="R1030" s="45">
        <f t="shared" si="114"/>
        <v>1675.4127215190056</v>
      </c>
      <c r="S1030" s="373" t="s">
        <v>280</v>
      </c>
      <c r="T1030" s="391"/>
      <c r="U1030" s="65"/>
      <c r="V1030" s="20"/>
      <c r="W1030" s="26"/>
      <c r="X1030" s="91"/>
      <c r="Y1030" s="20"/>
      <c r="Z1030" s="239"/>
      <c r="AA1030" s="94"/>
      <c r="AB1030" s="95"/>
      <c r="AC1030" s="20"/>
      <c r="AD1030" s="98"/>
      <c r="AE1030" s="93"/>
      <c r="AF1030" s="839"/>
      <c r="AG1030" s="20"/>
      <c r="AH1030" s="20"/>
      <c r="AI1030" s="20"/>
    </row>
    <row r="1031" spans="1:35" ht="12.75" hidden="1" customHeight="1">
      <c r="A1031" s="319"/>
      <c r="D1031" s="20"/>
      <c r="E1031" s="26"/>
      <c r="F1031" s="406"/>
      <c r="G1031" s="407"/>
      <c r="H1031" s="484"/>
      <c r="I1031" s="315"/>
      <c r="J1031" s="511"/>
      <c r="K1031" s="297"/>
      <c r="L1031" s="235" t="s">
        <v>133</v>
      </c>
      <c r="M1031" s="45">
        <v>-350</v>
      </c>
      <c r="N1031" s="538">
        <f t="shared" si="115"/>
        <v>693.52009400001498</v>
      </c>
      <c r="O1031" s="253"/>
      <c r="P1031" s="133">
        <v>-307.67</v>
      </c>
      <c r="Q1031" s="72">
        <f t="shared" si="113"/>
        <v>-18632.257278480993</v>
      </c>
      <c r="R1031" s="45">
        <f t="shared" si="114"/>
        <v>1367.7427215190073</v>
      </c>
      <c r="S1031" s="373" t="s">
        <v>270</v>
      </c>
      <c r="T1031" s="391"/>
      <c r="U1031" s="65"/>
      <c r="V1031" s="20"/>
      <c r="W1031" s="26"/>
      <c r="X1031" s="35"/>
      <c r="Y1031" s="20"/>
      <c r="Z1031" s="239"/>
      <c r="AA1031" s="94"/>
      <c r="AB1031" s="26"/>
      <c r="AC1031" s="20"/>
      <c r="AD1031" s="20"/>
      <c r="AE1031" s="20"/>
      <c r="AF1031" s="99"/>
      <c r="AG1031" s="20"/>
      <c r="AH1031" s="20"/>
      <c r="AI1031" s="20"/>
    </row>
    <row r="1032" spans="1:35" ht="12.75" hidden="1" customHeight="1">
      <c r="A1032" s="671"/>
      <c r="B1032" s="671"/>
      <c r="C1032" s="671"/>
      <c r="D1032" s="671"/>
      <c r="E1032" s="671"/>
      <c r="F1032" s="671"/>
      <c r="G1032" s="671"/>
      <c r="H1032" s="485"/>
      <c r="I1032" s="315"/>
      <c r="J1032" s="511"/>
      <c r="K1032" s="297"/>
      <c r="L1032" s="235" t="s">
        <v>623</v>
      </c>
      <c r="M1032" s="45">
        <v>-46.97</v>
      </c>
      <c r="N1032" s="538">
        <f t="shared" si="115"/>
        <v>646.55009400001495</v>
      </c>
      <c r="O1032" s="253"/>
      <c r="P1032" s="133">
        <v>2000</v>
      </c>
      <c r="Q1032" s="72">
        <f t="shared" si="113"/>
        <v>-16632.257278480993</v>
      </c>
      <c r="R1032" s="45">
        <f t="shared" si="114"/>
        <v>3367.7427215190073</v>
      </c>
      <c r="S1032" s="373" t="s">
        <v>617</v>
      </c>
      <c r="T1032" s="391"/>
      <c r="U1032" s="65"/>
      <c r="V1032" s="20"/>
      <c r="W1032" s="20"/>
      <c r="X1032" s="20"/>
      <c r="Y1032" s="111"/>
      <c r="Z1032" s="239"/>
      <c r="AA1032" s="94"/>
      <c r="AB1032" s="26"/>
      <c r="AC1032" s="20"/>
      <c r="AD1032" s="20"/>
      <c r="AE1032" s="20"/>
      <c r="AF1032" s="20"/>
      <c r="AG1032" s="20"/>
      <c r="AH1032" s="20"/>
      <c r="AI1032" s="20"/>
    </row>
    <row r="1033" spans="1:35" ht="12.75" hidden="1" customHeight="1">
      <c r="A1033" s="402"/>
      <c r="B1033" s="402"/>
      <c r="C1033" s="403"/>
      <c r="D1033" s="404"/>
      <c r="E1033" s="405"/>
      <c r="F1033" s="406"/>
      <c r="G1033" s="407"/>
      <c r="H1033" s="485"/>
      <c r="I1033" s="315"/>
      <c r="J1033" s="511"/>
      <c r="K1033" s="297"/>
      <c r="L1033" s="235" t="s">
        <v>622</v>
      </c>
      <c r="M1033" s="539">
        <v>1000</v>
      </c>
      <c r="N1033" s="538">
        <f t="shared" si="115"/>
        <v>1646.550094000015</v>
      </c>
      <c r="O1033" s="26"/>
      <c r="P1033" s="133">
        <v>-1659.28</v>
      </c>
      <c r="Q1033" s="72">
        <f t="shared" si="113"/>
        <v>-18291.537278480992</v>
      </c>
      <c r="R1033" s="45">
        <f t="shared" si="114"/>
        <v>1708.4627215190085</v>
      </c>
      <c r="S1033" s="373" t="s">
        <v>616</v>
      </c>
      <c r="T1033" s="391"/>
      <c r="U1033" s="65"/>
      <c r="V1033" s="20"/>
      <c r="W1033" s="20"/>
      <c r="X1033" s="91"/>
      <c r="Y1033" s="111"/>
      <c r="Z1033" s="239"/>
      <c r="AA1033" s="94"/>
      <c r="AB1033" s="95"/>
      <c r="AC1033" s="20"/>
      <c r="AD1033" s="20"/>
      <c r="AE1033" s="20"/>
      <c r="AF1033" s="20"/>
      <c r="AG1033" s="20"/>
      <c r="AH1033" s="20"/>
      <c r="AI1033" s="20"/>
    </row>
    <row r="1034" spans="1:35" ht="12.75" hidden="1" customHeight="1">
      <c r="A1034" s="671" t="s">
        <v>421</v>
      </c>
      <c r="B1034" s="671"/>
      <c r="C1034" s="671"/>
      <c r="D1034" s="671"/>
      <c r="E1034" s="671"/>
      <c r="F1034" s="50"/>
      <c r="G1034" s="370"/>
      <c r="H1034" s="841"/>
      <c r="I1034" s="315"/>
      <c r="J1034" s="511"/>
      <c r="K1034" s="297"/>
      <c r="L1034" s="235" t="s">
        <v>624</v>
      </c>
      <c r="M1034" s="45">
        <v>-553.91999999999996</v>
      </c>
      <c r="N1034" s="538">
        <f t="shared" si="115"/>
        <v>1092.6300940000151</v>
      </c>
      <c r="O1034" s="239"/>
      <c r="P1034" s="133">
        <v>-37.43</v>
      </c>
      <c r="Q1034" s="72">
        <f t="shared" si="113"/>
        <v>-18328.967278480992</v>
      </c>
      <c r="R1034" s="45">
        <f t="shared" si="114"/>
        <v>1671.0327215190082</v>
      </c>
      <c r="S1034" s="373" t="s">
        <v>270</v>
      </c>
      <c r="T1034" s="391" t="s">
        <v>618</v>
      </c>
      <c r="U1034" s="65"/>
      <c r="V1034" s="20"/>
      <c r="W1034" s="20"/>
      <c r="X1034" s="20"/>
      <c r="Y1034" s="111"/>
      <c r="Z1034" s="239"/>
      <c r="AA1034" s="94"/>
      <c r="AB1034" s="26"/>
      <c r="AC1034" s="20"/>
      <c r="AD1034" s="20"/>
      <c r="AE1034" s="20"/>
      <c r="AF1034" s="20"/>
      <c r="AG1034" s="839"/>
      <c r="AH1034" s="20"/>
      <c r="AI1034" s="20"/>
    </row>
    <row r="1035" spans="1:35" ht="12.75" hidden="1" customHeight="1">
      <c r="A1035" s="402"/>
      <c r="B1035" s="402"/>
      <c r="C1035" s="403"/>
      <c r="D1035" s="404"/>
      <c r="E1035" s="405"/>
      <c r="F1035" s="50"/>
      <c r="G1035" s="370"/>
      <c r="H1035" s="841"/>
      <c r="I1035" s="315"/>
      <c r="J1035" s="511"/>
      <c r="K1035" s="297"/>
      <c r="L1035" s="235" t="s">
        <v>622</v>
      </c>
      <c r="M1035" s="539">
        <v>600</v>
      </c>
      <c r="N1035" s="538">
        <f t="shared" si="115"/>
        <v>1692.6300940000151</v>
      </c>
      <c r="O1035" s="239"/>
      <c r="P1035" s="133">
        <v>-100.96</v>
      </c>
      <c r="Q1035" s="72">
        <f t="shared" si="113"/>
        <v>-18429.927278480991</v>
      </c>
      <c r="R1035" s="45">
        <f t="shared" si="114"/>
        <v>1570.0727215190091</v>
      </c>
      <c r="S1035" s="373" t="s">
        <v>270</v>
      </c>
      <c r="T1035" s="391"/>
      <c r="U1035" s="65"/>
      <c r="V1035" s="20"/>
      <c r="W1035" s="20"/>
      <c r="X1035" s="20"/>
      <c r="Y1035" s="111"/>
      <c r="Z1035" s="239"/>
      <c r="AA1035" s="94"/>
      <c r="AB1035" s="26"/>
      <c r="AC1035" s="20"/>
      <c r="AD1035" s="20"/>
      <c r="AE1035" s="20"/>
      <c r="AF1035" s="20"/>
      <c r="AG1035" s="20"/>
      <c r="AH1035" s="20"/>
      <c r="AI1035" s="20"/>
    </row>
    <row r="1036" spans="1:35" ht="12.75" hidden="1" customHeight="1">
      <c r="A1036" s="333"/>
      <c r="B1036" s="333"/>
      <c r="C1036" s="402"/>
      <c r="D1036" s="408"/>
      <c r="E1036" s="133"/>
      <c r="F1036" s="50"/>
      <c r="G1036" s="370"/>
      <c r="H1036" s="841"/>
      <c r="I1036" s="315"/>
      <c r="J1036" s="511"/>
      <c r="K1036" s="297"/>
      <c r="L1036" s="235" t="s">
        <v>625</v>
      </c>
      <c r="M1036" s="45">
        <v>-160</v>
      </c>
      <c r="N1036" s="538">
        <f t="shared" si="115"/>
        <v>1532.6300940000151</v>
      </c>
      <c r="O1036" s="240"/>
      <c r="P1036" s="133">
        <v>-180</v>
      </c>
      <c r="Q1036" s="72">
        <f t="shared" si="113"/>
        <v>-18609.927278480991</v>
      </c>
      <c r="R1036" s="45">
        <f t="shared" si="114"/>
        <v>1390.0727215190091</v>
      </c>
      <c r="S1036" s="373" t="s">
        <v>620</v>
      </c>
      <c r="T1036" s="391"/>
      <c r="U1036" s="65"/>
      <c r="V1036" s="20"/>
      <c r="W1036" s="26"/>
      <c r="X1036" s="91"/>
      <c r="Y1036" s="20"/>
      <c r="Z1036" s="239"/>
      <c r="AA1036" s="94"/>
      <c r="AB1036" s="26"/>
      <c r="AC1036" s="20"/>
      <c r="AD1036" s="20"/>
      <c r="AE1036" s="20"/>
      <c r="AF1036" s="20"/>
      <c r="AG1036" s="20"/>
      <c r="AH1036" s="20"/>
      <c r="AI1036" s="20"/>
    </row>
    <row r="1037" spans="1:35" ht="12.75" hidden="1" customHeight="1">
      <c r="A1037" s="333"/>
      <c r="B1037" s="333"/>
      <c r="C1037" s="333"/>
      <c r="D1037" s="408"/>
      <c r="E1037" s="133"/>
      <c r="F1037" s="50"/>
      <c r="G1037" s="370"/>
      <c r="H1037" s="841"/>
      <c r="I1037" s="315"/>
      <c r="J1037" s="511"/>
      <c r="K1037" s="297"/>
      <c r="L1037" s="235" t="s">
        <v>133</v>
      </c>
      <c r="M1037" s="45">
        <v>-500</v>
      </c>
      <c r="N1037" s="538">
        <f t="shared" si="115"/>
        <v>1032.6300940000151</v>
      </c>
      <c r="O1037" s="240"/>
      <c r="P1037" s="133">
        <v>-405.32</v>
      </c>
      <c r="Q1037" s="72">
        <f t="shared" si="113"/>
        <v>-19015.247278480991</v>
      </c>
      <c r="R1037" s="45">
        <f t="shared" si="114"/>
        <v>984.75272151900936</v>
      </c>
      <c r="S1037" s="373" t="s">
        <v>270</v>
      </c>
      <c r="T1037" s="391"/>
      <c r="U1037" s="65"/>
      <c r="V1037" s="20"/>
      <c r="W1037" s="26"/>
      <c r="X1037" s="91"/>
      <c r="Y1037" s="20"/>
      <c r="Z1037" s="239"/>
      <c r="AA1037" s="94"/>
      <c r="AB1037" s="26"/>
      <c r="AC1037" s="20"/>
      <c r="AD1037" s="20"/>
      <c r="AE1037" s="20"/>
      <c r="AF1037" s="20"/>
      <c r="AG1037" s="20"/>
      <c r="AH1037" s="20"/>
      <c r="AI1037" s="20"/>
    </row>
    <row r="1038" spans="1:35" ht="12.75" hidden="1" customHeight="1">
      <c r="A1038" s="333"/>
      <c r="B1038" s="333"/>
      <c r="C1038" s="333"/>
      <c r="D1038" s="48"/>
      <c r="E1038" s="133"/>
      <c r="F1038" s="50"/>
      <c r="G1038" s="409"/>
      <c r="H1038" s="841"/>
      <c r="I1038" s="315"/>
      <c r="J1038" s="511"/>
      <c r="K1038" s="297"/>
      <c r="L1038" s="235" t="s">
        <v>135</v>
      </c>
      <c r="M1038" s="45">
        <v>-222.05</v>
      </c>
      <c r="N1038" s="538">
        <f t="shared" si="115"/>
        <v>810.58009400001515</v>
      </c>
      <c r="O1038" s="274"/>
      <c r="P1038" s="133">
        <v>-158.99</v>
      </c>
      <c r="Q1038" s="72">
        <f t="shared" si="113"/>
        <v>-19174.237278480992</v>
      </c>
      <c r="R1038" s="45">
        <f t="shared" si="114"/>
        <v>825.76272151900775</v>
      </c>
      <c r="S1038" s="373" t="s">
        <v>498</v>
      </c>
      <c r="T1038" s="391" t="s">
        <v>629</v>
      </c>
      <c r="U1038" s="65"/>
      <c r="V1038" s="20"/>
      <c r="W1038" s="26"/>
      <c r="X1038" s="91"/>
      <c r="Y1038" s="20"/>
      <c r="Z1038" s="239"/>
      <c r="AA1038" s="94"/>
      <c r="AB1038" s="26"/>
      <c r="AC1038" s="20"/>
      <c r="AD1038" s="20"/>
      <c r="AE1038" s="20"/>
      <c r="AF1038" s="20"/>
      <c r="AG1038" s="20"/>
      <c r="AH1038" s="20"/>
      <c r="AI1038" s="20"/>
    </row>
    <row r="1039" spans="1:35" ht="12.75" hidden="1" customHeight="1">
      <c r="A1039" s="333"/>
      <c r="B1039" s="333"/>
      <c r="C1039" s="333"/>
      <c r="D1039" s="48"/>
      <c r="E1039" s="133"/>
      <c r="F1039" s="50"/>
      <c r="G1039" s="409"/>
      <c r="H1039" s="841"/>
      <c r="I1039" s="315"/>
      <c r="J1039" s="511"/>
      <c r="K1039" s="297"/>
      <c r="L1039" s="235" t="s">
        <v>626</v>
      </c>
      <c r="M1039" s="45">
        <f>-7.18-6.7</f>
        <v>-13.879999999999999</v>
      </c>
      <c r="N1039" s="538">
        <f t="shared" si="115"/>
        <v>796.70009400001516</v>
      </c>
      <c r="O1039" s="274"/>
      <c r="P1039" s="133">
        <v>-772.14</v>
      </c>
      <c r="Q1039" s="72">
        <f t="shared" si="113"/>
        <v>-19946.377278480992</v>
      </c>
      <c r="R1039" s="45">
        <f t="shared" si="114"/>
        <v>53.622721519008337</v>
      </c>
      <c r="S1039" s="373" t="s">
        <v>247</v>
      </c>
      <c r="T1039" s="391"/>
      <c r="U1039" s="65"/>
      <c r="V1039" s="20"/>
      <c r="W1039" s="26"/>
      <c r="X1039" s="91"/>
      <c r="Y1039" s="20"/>
      <c r="Z1039" s="239"/>
      <c r="AA1039" s="94"/>
      <c r="AB1039" s="26"/>
      <c r="AC1039" s="20"/>
      <c r="AD1039" s="20"/>
      <c r="AE1039" s="20"/>
      <c r="AF1039" s="20"/>
      <c r="AG1039" s="20"/>
      <c r="AH1039" s="20"/>
      <c r="AI1039" s="20"/>
    </row>
    <row r="1040" spans="1:35" ht="12.75" hidden="1" customHeight="1">
      <c r="A1040" s="333"/>
      <c r="B1040" s="333"/>
      <c r="C1040" s="333"/>
      <c r="D1040" s="48"/>
      <c r="E1040" s="133"/>
      <c r="F1040" s="50"/>
      <c r="G1040" s="409"/>
      <c r="H1040" s="841"/>
      <c r="I1040" s="315"/>
      <c r="J1040" s="511"/>
      <c r="K1040" s="297"/>
      <c r="L1040" s="235" t="s">
        <v>630</v>
      </c>
      <c r="M1040" s="45">
        <v>-159</v>
      </c>
      <c r="N1040" s="538">
        <f t="shared" si="115"/>
        <v>637.70009400001516</v>
      </c>
      <c r="O1040" s="274"/>
      <c r="P1040" s="133">
        <v>-45</v>
      </c>
      <c r="Q1040" s="72">
        <f t="shared" si="113"/>
        <v>-19991.377278480992</v>
      </c>
      <c r="R1040" s="45">
        <f t="shared" si="114"/>
        <v>8.6227215190083371</v>
      </c>
      <c r="S1040" s="373" t="s">
        <v>572</v>
      </c>
      <c r="T1040" s="391"/>
      <c r="U1040" s="65"/>
      <c r="V1040" s="20"/>
      <c r="W1040" s="26"/>
      <c r="X1040" s="91"/>
      <c r="Y1040" s="20"/>
      <c r="Z1040" s="239"/>
      <c r="AA1040" s="94"/>
      <c r="AB1040" s="26"/>
      <c r="AC1040" s="20"/>
      <c r="AD1040" s="20"/>
      <c r="AE1040" s="20"/>
      <c r="AF1040" s="20"/>
      <c r="AG1040" s="20"/>
      <c r="AH1040" s="20"/>
      <c r="AI1040" s="20"/>
    </row>
    <row r="1041" spans="1:35" ht="12.75" hidden="1" customHeight="1">
      <c r="A1041" s="333"/>
      <c r="B1041" s="333"/>
      <c r="C1041" s="333"/>
      <c r="D1041" s="48"/>
      <c r="E1041" s="133"/>
      <c r="F1041" s="50"/>
      <c r="G1041" s="409"/>
      <c r="H1041" s="841"/>
      <c r="I1041" s="315"/>
      <c r="J1041" s="511"/>
      <c r="K1041" s="258" t="s">
        <v>222</v>
      </c>
      <c r="L1041" s="266" t="s">
        <v>51</v>
      </c>
      <c r="M1041" s="146">
        <f>E1025</f>
        <v>8490.68</v>
      </c>
      <c r="N1041" s="538">
        <f t="shared" si="115"/>
        <v>9128.3800940000147</v>
      </c>
      <c r="O1041" s="551"/>
      <c r="P1041" s="133">
        <v>-45</v>
      </c>
      <c r="Q1041" s="72">
        <f t="shared" si="113"/>
        <v>-20036.377278480992</v>
      </c>
      <c r="R1041" s="45">
        <f t="shared" si="114"/>
        <v>-36.377278480991663</v>
      </c>
      <c r="S1041" s="373" t="s">
        <v>572</v>
      </c>
      <c r="T1041" s="391"/>
      <c r="U1041" s="65"/>
      <c r="V1041" s="20"/>
      <c r="W1041" s="26"/>
      <c r="X1041" s="91"/>
      <c r="Y1041" s="20"/>
      <c r="Z1041" s="239"/>
      <c r="AA1041" s="94"/>
      <c r="AB1041" s="26"/>
      <c r="AC1041" s="20"/>
      <c r="AD1041" s="20"/>
      <c r="AE1041" s="20"/>
      <c r="AF1041" s="20"/>
      <c r="AG1041" s="20"/>
      <c r="AH1041" s="20"/>
      <c r="AI1041" s="20"/>
    </row>
    <row r="1042" spans="1:35" ht="12.75" hidden="1" customHeight="1">
      <c r="A1042" s="333"/>
      <c r="B1042" s="333"/>
      <c r="C1042" s="410"/>
      <c r="D1042" s="404"/>
      <c r="E1042" s="405"/>
      <c r="F1042" s="50"/>
      <c r="G1042" s="409"/>
      <c r="H1042" s="841"/>
      <c r="I1042" s="962"/>
      <c r="J1042" s="962"/>
      <c r="K1042" s="258"/>
      <c r="L1042" s="266" t="s">
        <v>343</v>
      </c>
      <c r="M1042" s="146">
        <v>-529.54</v>
      </c>
      <c r="N1042" s="538">
        <f t="shared" si="115"/>
        <v>8598.8400940000138</v>
      </c>
      <c r="O1042" s="551"/>
      <c r="P1042" s="133">
        <v>-269</v>
      </c>
      <c r="Q1042" s="72">
        <f t="shared" si="113"/>
        <v>-20305.377278480992</v>
      </c>
      <c r="R1042" s="45">
        <f t="shared" si="114"/>
        <v>-305.37727848099166</v>
      </c>
      <c r="S1042" s="373" t="s">
        <v>498</v>
      </c>
      <c r="T1042" s="391" t="s">
        <v>628</v>
      </c>
      <c r="U1042" s="65"/>
      <c r="V1042" s="20"/>
      <c r="W1042" s="26"/>
      <c r="X1042" s="91"/>
      <c r="Y1042" s="20"/>
      <c r="Z1042" s="239"/>
      <c r="AA1042" s="94"/>
      <c r="AB1042" s="26"/>
      <c r="AC1042" s="20"/>
      <c r="AD1042" s="20"/>
      <c r="AE1042" s="20"/>
      <c r="AF1042" s="20"/>
      <c r="AG1042" s="20"/>
      <c r="AH1042" s="20"/>
      <c r="AI1042" s="20"/>
    </row>
    <row r="1043" spans="1:35" ht="12.75" hidden="1" customHeight="1">
      <c r="A1043" s="333"/>
      <c r="B1043" s="333"/>
      <c r="C1043" s="333"/>
      <c r="D1043" s="411"/>
      <c r="E1043" s="133"/>
      <c r="F1043" s="50"/>
      <c r="G1043" s="409"/>
      <c r="H1043" s="841"/>
      <c r="I1043" s="315"/>
      <c r="J1043" s="709"/>
      <c r="K1043" s="258"/>
      <c r="L1043" s="266" t="s">
        <v>313</v>
      </c>
      <c r="M1043" s="146">
        <v>-362.31</v>
      </c>
      <c r="N1043" s="538">
        <f t="shared" si="115"/>
        <v>8236.5300940000143</v>
      </c>
      <c r="O1043" s="253"/>
      <c r="P1043" s="49">
        <f>E1026</f>
        <v>1086.1400000000003</v>
      </c>
      <c r="Q1043" s="73">
        <f>Q1042+P1043</f>
        <v>-19219.237278480992</v>
      </c>
      <c r="R1043" s="45">
        <f>20000+Q1043</f>
        <v>780.76272151900775</v>
      </c>
      <c r="S1043" s="373"/>
      <c r="T1043" s="833"/>
      <c r="U1043" s="65"/>
      <c r="V1043" s="20"/>
      <c r="W1043" s="26"/>
      <c r="X1043" s="91"/>
      <c r="Y1043" s="20"/>
      <c r="Z1043" s="239"/>
      <c r="AA1043" s="94"/>
      <c r="AB1043" s="26"/>
      <c r="AC1043" s="20"/>
      <c r="AD1043" s="20"/>
      <c r="AE1043" s="20"/>
      <c r="AF1043" s="20"/>
      <c r="AG1043" s="20"/>
      <c r="AH1043" s="20"/>
      <c r="AI1043" s="20"/>
    </row>
    <row r="1044" spans="1:35" ht="12.75" hidden="1" customHeight="1">
      <c r="A1044" s="333"/>
      <c r="B1044" s="333"/>
      <c r="C1044" s="333"/>
      <c r="D1044" s="408"/>
      <c r="E1044" s="133"/>
      <c r="F1044" s="50"/>
      <c r="G1044" s="409"/>
      <c r="H1044" s="841"/>
      <c r="I1044" s="493"/>
      <c r="J1044" s="517"/>
      <c r="K1044" s="258" t="s">
        <v>222</v>
      </c>
      <c r="L1044" s="266" t="s">
        <v>416</v>
      </c>
      <c r="M1044" s="146">
        <v>-2850</v>
      </c>
      <c r="N1044" s="538">
        <f t="shared" si="115"/>
        <v>5386.5300940000143</v>
      </c>
      <c r="O1044" s="253"/>
      <c r="P1044" s="64">
        <f>SUM(P1020:P1043)</f>
        <v>-19219.237278480992</v>
      </c>
      <c r="Q1044" s="287" t="s">
        <v>243</v>
      </c>
      <c r="R1044" s="317"/>
      <c r="S1044" s="611"/>
      <c r="T1044" s="372"/>
      <c r="U1044" s="84"/>
      <c r="V1044" s="20"/>
      <c r="W1044" s="26"/>
      <c r="X1044" s="91"/>
      <c r="Y1044" s="20"/>
      <c r="Z1044" s="239"/>
      <c r="AA1044" s="94"/>
      <c r="AB1044" s="26"/>
      <c r="AC1044" s="20"/>
      <c r="AD1044" s="20"/>
      <c r="AE1044" s="20"/>
      <c r="AF1044" s="20"/>
      <c r="AG1044" s="20"/>
      <c r="AH1044" s="20"/>
      <c r="AI1044" s="20"/>
    </row>
    <row r="1045" spans="1:35" ht="12.75" hidden="1" customHeight="1">
      <c r="A1045" s="333"/>
      <c r="B1045" s="333"/>
      <c r="C1045" s="333"/>
      <c r="D1045" s="408"/>
      <c r="E1045" s="412"/>
      <c r="F1045" s="50"/>
      <c r="G1045" s="409"/>
      <c r="H1045" s="841"/>
      <c r="I1045" s="494"/>
      <c r="J1045" s="709"/>
      <c r="K1045" s="258" t="s">
        <v>222</v>
      </c>
      <c r="L1045" s="266" t="s">
        <v>333</v>
      </c>
      <c r="M1045" s="45">
        <v>-107.71</v>
      </c>
      <c r="N1045" s="538">
        <f t="shared" si="115"/>
        <v>5278.8200940000143</v>
      </c>
      <c r="O1045" s="253"/>
      <c r="P1045" s="68"/>
      <c r="Q1045" s="287"/>
      <c r="R1045" s="317"/>
      <c r="S1045" s="611"/>
      <c r="T1045" s="372"/>
      <c r="U1045" s="84"/>
      <c r="V1045" s="20"/>
      <c r="W1045" s="26"/>
      <c r="X1045" s="91"/>
      <c r="Y1045" s="20"/>
      <c r="Z1045" s="239"/>
      <c r="AA1045" s="94"/>
      <c r="AB1045" s="26"/>
      <c r="AC1045" s="20"/>
      <c r="AD1045" s="20"/>
      <c r="AE1045" s="20"/>
      <c r="AF1045" s="20"/>
      <c r="AG1045" s="20"/>
      <c r="AH1045" s="20"/>
      <c r="AI1045" s="20"/>
    </row>
    <row r="1046" spans="1:35" ht="12.75" hidden="1" customHeight="1">
      <c r="A1046" s="333"/>
      <c r="B1046" s="333"/>
      <c r="C1046" s="410"/>
      <c r="D1046" s="561"/>
      <c r="E1046" s="405"/>
      <c r="F1046" s="50"/>
      <c r="G1046" s="409"/>
      <c r="H1046" s="841"/>
      <c r="I1046" s="495"/>
      <c r="K1046" s="258" t="s">
        <v>222</v>
      </c>
      <c r="L1046" s="266" t="s">
        <v>552</v>
      </c>
      <c r="M1046" s="45">
        <v>-350</v>
      </c>
      <c r="N1046" s="538">
        <f t="shared" si="115"/>
        <v>4928.8200940000143</v>
      </c>
      <c r="O1046" s="253"/>
      <c r="P1046" s="68"/>
      <c r="Q1046" s="585"/>
      <c r="R1046" s="131"/>
      <c r="S1046" s="373"/>
      <c r="T1046" s="372"/>
      <c r="U1046" s="20"/>
      <c r="V1046" s="20"/>
      <c r="W1046" s="26"/>
      <c r="X1046" s="91"/>
      <c r="Y1046" s="20"/>
      <c r="Z1046" s="239"/>
      <c r="AA1046" s="94"/>
      <c r="AB1046" s="26"/>
      <c r="AC1046" s="20"/>
      <c r="AD1046" s="20"/>
      <c r="AE1046" s="20"/>
      <c r="AF1046" s="20"/>
      <c r="AG1046" s="20"/>
      <c r="AH1046" s="20"/>
      <c r="AI1046" s="20"/>
    </row>
    <row r="1047" spans="1:35" ht="12.75" hidden="1" customHeight="1">
      <c r="A1047" s="333"/>
      <c r="B1047" s="333"/>
      <c r="C1047" s="333"/>
      <c r="D1047" s="408"/>
      <c r="E1047" s="133"/>
      <c r="F1047" s="50"/>
      <c r="G1047" s="409"/>
      <c r="H1047" s="841"/>
      <c r="I1047" s="495"/>
      <c r="K1047" s="258"/>
      <c r="L1047" s="266" t="s">
        <v>159</v>
      </c>
      <c r="M1047" s="45">
        <v>0</v>
      </c>
      <c r="N1047" s="538">
        <f t="shared" si="115"/>
        <v>4928.8200940000143</v>
      </c>
      <c r="O1047" s="253"/>
      <c r="P1047" s="781"/>
      <c r="Q1047" s="667"/>
      <c r="R1047" s="45"/>
      <c r="S1047" s="373"/>
      <c r="T1047" s="840"/>
      <c r="U1047" s="20"/>
      <c r="V1047" s="20"/>
      <c r="W1047" s="26"/>
      <c r="X1047" s="91"/>
      <c r="Y1047" s="20"/>
      <c r="Z1047" s="239"/>
      <c r="AA1047" s="94"/>
      <c r="AB1047" s="26"/>
      <c r="AC1047" s="20"/>
      <c r="AD1047" s="20"/>
      <c r="AE1047" s="20"/>
      <c r="AF1047" s="20"/>
      <c r="AG1047" s="20"/>
      <c r="AH1047" s="20"/>
      <c r="AI1047" s="20"/>
    </row>
    <row r="1048" spans="1:35" ht="12.75" hidden="1" customHeight="1">
      <c r="A1048" s="333"/>
      <c r="B1048" s="333"/>
      <c r="C1048" s="333"/>
      <c r="D1048" s="408"/>
      <c r="E1048" s="133"/>
      <c r="F1048" s="50"/>
      <c r="G1048" s="409"/>
      <c r="H1048" s="841"/>
      <c r="I1048" s="753"/>
      <c r="J1048" s="709"/>
      <c r="K1048" s="258" t="s">
        <v>222</v>
      </c>
      <c r="L1048" s="266" t="s">
        <v>195</v>
      </c>
      <c r="M1048" s="45">
        <v>-1738</v>
      </c>
      <c r="N1048" s="538">
        <f t="shared" si="115"/>
        <v>3190.8200940000143</v>
      </c>
      <c r="O1048" s="253"/>
      <c r="P1048" s="666"/>
      <c r="Q1048" s="667"/>
      <c r="R1048" s="45"/>
      <c r="S1048" s="373"/>
      <c r="T1048" s="840"/>
      <c r="U1048" s="20"/>
      <c r="V1048" s="20"/>
      <c r="W1048" s="26"/>
      <c r="X1048" s="91"/>
      <c r="Y1048" s="20"/>
      <c r="Z1048" s="239"/>
      <c r="AA1048" s="94"/>
      <c r="AB1048" s="26"/>
      <c r="AC1048" s="20"/>
      <c r="AD1048" s="20"/>
      <c r="AE1048" s="20"/>
      <c r="AF1048" s="20"/>
      <c r="AG1048" s="20"/>
      <c r="AH1048" s="20"/>
      <c r="AI1048" s="20"/>
    </row>
    <row r="1049" spans="1:35" ht="12.75" hidden="1" customHeight="1">
      <c r="A1049" s="333"/>
      <c r="B1049" s="333"/>
      <c r="C1049" s="333"/>
      <c r="D1049" s="408"/>
      <c r="E1049" s="133"/>
      <c r="F1049" s="50"/>
      <c r="G1049" s="409"/>
      <c r="H1049" s="841"/>
      <c r="I1049" s="510"/>
      <c r="J1049" s="521"/>
      <c r="K1049" s="85" t="s">
        <v>222</v>
      </c>
      <c r="L1049" s="266" t="s">
        <v>180</v>
      </c>
      <c r="M1049" s="45">
        <v>-59</v>
      </c>
      <c r="N1049" s="538">
        <f t="shared" si="115"/>
        <v>3131.8200940000143</v>
      </c>
      <c r="O1049" s="253"/>
      <c r="P1049" s="781"/>
      <c r="Q1049" s="667"/>
      <c r="R1049" s="45"/>
      <c r="S1049" s="592"/>
      <c r="T1049" s="503"/>
      <c r="U1049" s="20"/>
      <c r="V1049" s="26"/>
      <c r="W1049" s="26"/>
      <c r="X1049" s="91"/>
      <c r="Y1049" s="20"/>
      <c r="Z1049" s="239"/>
      <c r="AA1049" s="94"/>
      <c r="AB1049" s="26"/>
      <c r="AC1049" s="20"/>
      <c r="AD1049" s="20"/>
      <c r="AE1049" s="20"/>
      <c r="AF1049" s="20"/>
      <c r="AG1049" s="20"/>
      <c r="AH1049" s="20"/>
      <c r="AI1049" s="20"/>
    </row>
    <row r="1050" spans="1:35" ht="12.75" hidden="1" customHeight="1">
      <c r="A1050" s="333"/>
      <c r="B1050" s="333"/>
      <c r="C1050" s="333"/>
      <c r="D1050" s="408"/>
      <c r="E1050" s="133"/>
      <c r="F1050" s="50"/>
      <c r="G1050" s="409"/>
      <c r="H1050" s="841"/>
      <c r="K1050" s="258" t="s">
        <v>222</v>
      </c>
      <c r="L1050" s="266" t="s">
        <v>61</v>
      </c>
      <c r="M1050" s="45">
        <v>-252.5</v>
      </c>
      <c r="N1050" s="538">
        <f t="shared" si="115"/>
        <v>2879.3200940000143</v>
      </c>
      <c r="O1050" s="253"/>
      <c r="P1050" s="588"/>
      <c r="Q1050" s="595"/>
      <c r="R1050" s="591"/>
      <c r="S1050" s="592"/>
      <c r="T1050" s="503"/>
      <c r="U1050" s="20"/>
      <c r="V1050" s="26"/>
      <c r="W1050" s="26"/>
      <c r="X1050" s="91"/>
      <c r="Y1050" s="20"/>
      <c r="Z1050" s="239"/>
      <c r="AA1050" s="94"/>
      <c r="AB1050" s="26"/>
      <c r="AC1050" s="20"/>
      <c r="AD1050" s="20"/>
      <c r="AE1050" s="20"/>
      <c r="AF1050" s="20"/>
      <c r="AG1050" s="20"/>
      <c r="AH1050" s="20"/>
      <c r="AI1050" s="20"/>
    </row>
    <row r="1051" spans="1:35" ht="12.75" hidden="1" customHeight="1">
      <c r="A1051" s="333"/>
      <c r="B1051" s="333"/>
      <c r="C1051" s="333"/>
      <c r="D1051" s="133"/>
      <c r="E1051" s="133"/>
      <c r="F1051" s="50"/>
      <c r="G1051" s="409"/>
      <c r="H1051" s="841"/>
      <c r="K1051" s="258" t="s">
        <v>371</v>
      </c>
      <c r="L1051" s="266" t="s">
        <v>148</v>
      </c>
      <c r="M1051" s="45">
        <v>1000</v>
      </c>
      <c r="N1051" s="538">
        <f t="shared" si="115"/>
        <v>3879.3200940000143</v>
      </c>
      <c r="O1051" s="253"/>
      <c r="P1051" s="776"/>
      <c r="Q1051" s="595"/>
      <c r="R1051" s="591"/>
      <c r="S1051" s="778"/>
      <c r="T1051" s="832"/>
      <c r="U1051" s="234"/>
      <c r="V1051" s="26"/>
      <c r="W1051" s="26"/>
      <c r="X1051" s="91"/>
      <c r="Y1051" s="20"/>
      <c r="Z1051" s="239"/>
      <c r="AA1051" s="94"/>
      <c r="AB1051" s="26"/>
      <c r="AC1051" s="20"/>
      <c r="AD1051" s="20"/>
      <c r="AE1051" s="20"/>
      <c r="AF1051" s="20"/>
      <c r="AG1051" s="20"/>
      <c r="AH1051" s="20"/>
      <c r="AI1051" s="20"/>
    </row>
    <row r="1052" spans="1:35" ht="12.75" hidden="1" customHeight="1">
      <c r="A1052" s="333"/>
      <c r="B1052" s="333"/>
      <c r="C1052" s="333"/>
      <c r="D1052" s="133"/>
      <c r="E1052" s="133"/>
      <c r="F1052" s="50"/>
      <c r="G1052" s="409"/>
      <c r="H1052" s="509"/>
      <c r="J1052" s="533"/>
      <c r="K1052" s="85" t="s">
        <v>189</v>
      </c>
      <c r="L1052" s="267" t="s">
        <v>16</v>
      </c>
      <c r="M1052" s="175">
        <v>-723.99</v>
      </c>
      <c r="N1052" s="538">
        <f t="shared" si="115"/>
        <v>3155.3300940000145</v>
      </c>
      <c r="O1052" s="253"/>
      <c r="P1052" s="777"/>
      <c r="Q1052" s="595"/>
      <c r="R1052" s="591"/>
      <c r="S1052" s="780"/>
      <c r="T1052" s="503"/>
      <c r="U1052" s="20"/>
      <c r="V1052" s="26"/>
      <c r="W1052" s="26"/>
      <c r="X1052" s="91"/>
      <c r="Y1052" s="20"/>
      <c r="Z1052" s="239"/>
      <c r="AA1052" s="94"/>
      <c r="AB1052" s="26"/>
      <c r="AC1052" s="20"/>
      <c r="AD1052" s="20"/>
      <c r="AE1052" s="20"/>
      <c r="AF1052" s="20"/>
      <c r="AG1052" s="20"/>
      <c r="AH1052" s="20"/>
      <c r="AI1052" s="20"/>
    </row>
    <row r="1053" spans="1:35" ht="12.75" hidden="1" customHeight="1">
      <c r="A1053" s="333"/>
      <c r="B1053" s="333"/>
      <c r="C1053" s="333"/>
      <c r="D1053" s="413"/>
      <c r="E1053" s="34"/>
      <c r="F1053" s="50"/>
      <c r="G1053" s="414"/>
      <c r="H1053" s="509"/>
      <c r="I1053" s="235"/>
      <c r="J1053" s="534"/>
      <c r="K1053" s="258" t="s">
        <v>189</v>
      </c>
      <c r="L1053" s="268" t="s">
        <v>56</v>
      </c>
      <c r="M1053" s="175">
        <v>-1075</v>
      </c>
      <c r="N1053" s="538">
        <f t="shared" si="115"/>
        <v>2080.3300940000145</v>
      </c>
      <c r="O1053" s="253"/>
      <c r="P1053" s="777"/>
      <c r="Q1053" s="595"/>
      <c r="R1053" s="591"/>
      <c r="S1053" s="780"/>
      <c r="T1053" s="503"/>
      <c r="U1053" s="20"/>
      <c r="V1053" s="45"/>
      <c r="W1053" s="26"/>
      <c r="X1053" s="91"/>
      <c r="Y1053" s="20"/>
      <c r="Z1053" s="239"/>
      <c r="AA1053" s="94"/>
      <c r="AB1053" s="26"/>
      <c r="AC1053" s="20"/>
      <c r="AD1053" s="20"/>
      <c r="AE1053" s="20"/>
      <c r="AF1053" s="20"/>
      <c r="AG1053" s="20"/>
      <c r="AH1053" s="20"/>
      <c r="AI1053" s="20"/>
    </row>
    <row r="1054" spans="1:35" ht="12.75" hidden="1" customHeight="1">
      <c r="A1054" s="333"/>
      <c r="B1054" s="333"/>
      <c r="C1054" s="333"/>
      <c r="D1054" s="413"/>
      <c r="E1054" s="34"/>
      <c r="F1054" s="50"/>
      <c r="G1054" s="414"/>
      <c r="H1054" s="509"/>
      <c r="I1054" s="543"/>
      <c r="J1054" s="504"/>
      <c r="K1054" s="258" t="s">
        <v>189</v>
      </c>
      <c r="L1054" s="268" t="s">
        <v>23</v>
      </c>
      <c r="M1054" s="133">
        <v>-292.26</v>
      </c>
      <c r="N1054" s="538">
        <f t="shared" si="115"/>
        <v>1788.0700940000145</v>
      </c>
      <c r="O1054" s="253"/>
      <c r="P1054" s="588"/>
      <c r="Q1054" s="595"/>
      <c r="R1054" s="591"/>
      <c r="S1054" s="502"/>
      <c r="T1054" s="503"/>
      <c r="U1054" s="20"/>
      <c r="V1054" s="26"/>
      <c r="W1054" s="26"/>
      <c r="X1054" s="91"/>
      <c r="Y1054" s="20"/>
      <c r="Z1054" s="239"/>
      <c r="AA1054" s="94"/>
      <c r="AB1054" s="26"/>
      <c r="AC1054" s="20"/>
      <c r="AD1054" s="20"/>
      <c r="AE1054" s="20"/>
      <c r="AF1054" s="20"/>
      <c r="AG1054" s="20"/>
      <c r="AH1054" s="20"/>
      <c r="AI1054" s="20"/>
    </row>
    <row r="1055" spans="1:35" ht="12.75" hidden="1" customHeight="1">
      <c r="A1055" s="333"/>
      <c r="B1055" s="333"/>
      <c r="C1055" s="333"/>
      <c r="D1055" s="48"/>
      <c r="E1055" s="133"/>
      <c r="F1055" s="50"/>
      <c r="G1055" s="414"/>
      <c r="H1055" s="841"/>
      <c r="J1055" s="504"/>
      <c r="K1055" s="258" t="s">
        <v>189</v>
      </c>
      <c r="L1055" s="116" t="s">
        <v>224</v>
      </c>
      <c r="M1055" s="45">
        <v>-561.33000000000004</v>
      </c>
      <c r="N1055" s="538">
        <f t="shared" si="115"/>
        <v>1226.7400940000143</v>
      </c>
      <c r="O1055" s="253"/>
      <c r="P1055" s="26"/>
      <c r="Q1055" s="26"/>
      <c r="R1055" s="26"/>
      <c r="S1055" s="384"/>
      <c r="T1055" s="20"/>
      <c r="U1055" s="20"/>
      <c r="V1055" s="26"/>
      <c r="W1055" s="26"/>
      <c r="X1055" s="91"/>
      <c r="Y1055" s="20"/>
      <c r="Z1055" s="239"/>
      <c r="AA1055" s="94"/>
      <c r="AB1055" s="26"/>
      <c r="AC1055" s="20"/>
      <c r="AD1055" s="20"/>
      <c r="AE1055" s="20"/>
      <c r="AF1055" s="20"/>
      <c r="AG1055" s="20"/>
      <c r="AH1055" s="20"/>
      <c r="AI1055" s="20"/>
    </row>
    <row r="1056" spans="1:35" ht="12.75" hidden="1" customHeight="1">
      <c r="A1056" s="328"/>
      <c r="B1056" s="328"/>
      <c r="C1056" s="328"/>
      <c r="D1056" s="547"/>
      <c r="E1056" s="133"/>
      <c r="F1056" s="50"/>
      <c r="G1056" s="414"/>
      <c r="H1056" s="498"/>
      <c r="I1056" s="532"/>
      <c r="J1056" s="504"/>
      <c r="K1056" s="258" t="s">
        <v>189</v>
      </c>
      <c r="L1056" s="116" t="s">
        <v>585</v>
      </c>
      <c r="M1056" s="175">
        <f>-63.85</f>
        <v>-63.85</v>
      </c>
      <c r="N1056" s="538">
        <f t="shared" si="115"/>
        <v>1162.8900940000144</v>
      </c>
      <c r="O1056" s="497"/>
      <c r="P1056" s="26"/>
      <c r="Q1056" s="26"/>
      <c r="R1056" s="26"/>
      <c r="S1056" s="384"/>
      <c r="T1056" s="20"/>
      <c r="U1056" s="20"/>
      <c r="V1056" s="26"/>
      <c r="W1056" s="26"/>
      <c r="X1056" s="91"/>
      <c r="Y1056" s="20"/>
      <c r="Z1056" s="239"/>
      <c r="AA1056" s="94"/>
      <c r="AB1056" s="26"/>
      <c r="AC1056" s="20"/>
      <c r="AD1056" s="20"/>
      <c r="AE1056" s="20"/>
      <c r="AF1056" s="20"/>
      <c r="AG1056" s="20"/>
      <c r="AH1056" s="20"/>
      <c r="AI1056" s="20"/>
    </row>
    <row r="1057" spans="1:35" hidden="1">
      <c r="K1057" s="321" t="s">
        <v>190</v>
      </c>
      <c r="L1057" s="269" t="s">
        <v>375</v>
      </c>
      <c r="M1057" s="366">
        <v>-47.52</v>
      </c>
      <c r="N1057" s="566">
        <f t="shared" si="115"/>
        <v>1115.3700940000144</v>
      </c>
      <c r="P1057" s="26"/>
      <c r="Q1057" s="26"/>
      <c r="R1057" s="26"/>
      <c r="S1057" s="384"/>
      <c r="T1057" s="20"/>
      <c r="U1057" s="20"/>
      <c r="V1057" s="20"/>
    </row>
    <row r="1058" spans="1:35" hidden="1">
      <c r="L1058" s="23"/>
      <c r="M1058" s="168">
        <f>SUM(M1020:M1057)</f>
        <v>1115.3700940000144</v>
      </c>
      <c r="N1058" s="806"/>
      <c r="V1058" s="20"/>
    </row>
    <row r="1059" spans="1:35" s="78" customFormat="1" hidden="1">
      <c r="E1059" s="15"/>
      <c r="G1059" s="129"/>
      <c r="K1059" s="257"/>
      <c r="M1059" s="15"/>
      <c r="P1059" s="15"/>
      <c r="Q1059" s="15"/>
      <c r="R1059" s="15"/>
      <c r="S1059" s="385"/>
      <c r="Z1059" s="15"/>
      <c r="AA1059" s="130"/>
      <c r="AB1059" s="15"/>
    </row>
    <row r="1060" spans="1:35" hidden="1"/>
    <row r="1061" spans="1:35" ht="12.75" hidden="1" customHeight="1">
      <c r="B1061" s="1030" t="s">
        <v>627</v>
      </c>
      <c r="C1061" s="1030"/>
      <c r="D1061" s="1030"/>
      <c r="E1061" s="1030"/>
      <c r="G1061" s="261"/>
      <c r="H1061" s="658"/>
      <c r="I1061" s="26"/>
      <c r="K1061" s="258"/>
      <c r="L1061" s="100"/>
      <c r="M1061" s="1031" t="s">
        <v>54</v>
      </c>
      <c r="N1061" s="844"/>
      <c r="O1061" s="847"/>
      <c r="P1061" s="1033" t="s">
        <v>48</v>
      </c>
      <c r="Q1061" s="1035" t="s">
        <v>581</v>
      </c>
      <c r="R1061" s="1035"/>
      <c r="S1061" s="377"/>
      <c r="X1061" s="35"/>
      <c r="Y1061" s="35"/>
      <c r="Z1061" s="26"/>
      <c r="AA1061" s="848"/>
      <c r="AB1061" s="26"/>
      <c r="AC1061" s="20"/>
      <c r="AD1061" s="20"/>
      <c r="AE1061" s="20"/>
      <c r="AF1061" s="20"/>
      <c r="AG1061" s="20"/>
      <c r="AH1061" s="20"/>
      <c r="AI1061" s="20"/>
    </row>
    <row r="1062" spans="1:35" ht="12.75" hidden="1" customHeight="1">
      <c r="C1062" s="17" t="s">
        <v>357</v>
      </c>
      <c r="D1062" s="14"/>
      <c r="E1062" s="44">
        <v>8490.68</v>
      </c>
      <c r="G1062" s="1036"/>
      <c r="H1062" s="1036"/>
      <c r="I1062" s="26"/>
      <c r="K1062" s="260" t="s">
        <v>221</v>
      </c>
      <c r="L1062" s="156"/>
      <c r="M1062" s="1032"/>
      <c r="N1062" s="844" t="s">
        <v>43</v>
      </c>
      <c r="O1062" s="847"/>
      <c r="P1062" s="1034"/>
      <c r="Q1062" s="842" t="s">
        <v>43</v>
      </c>
      <c r="R1062" s="843" t="s">
        <v>53</v>
      </c>
      <c r="S1062" s="377"/>
      <c r="X1062" s="118"/>
      <c r="Y1062" s="111"/>
      <c r="Z1062" s="117"/>
      <c r="AA1062" s="89"/>
      <c r="AB1062" s="90"/>
      <c r="AC1062" s="20"/>
      <c r="AD1062" s="41"/>
      <c r="AE1062" s="20"/>
      <c r="AF1062" s="20"/>
      <c r="AG1062" s="20"/>
      <c r="AH1062" s="20"/>
      <c r="AI1062" s="20"/>
    </row>
    <row r="1063" spans="1:35" ht="12.75" hidden="1" customHeight="1">
      <c r="C1063" s="17"/>
      <c r="D1063" s="14" t="s">
        <v>24</v>
      </c>
      <c r="E1063" s="44">
        <f>'[2]DECEMBER ''13'!$C$27</f>
        <v>0</v>
      </c>
      <c r="G1063" s="30"/>
      <c r="H1063" s="624">
        <f>SUM(E1063:E1064)</f>
        <v>0</v>
      </c>
      <c r="I1063" s="26"/>
      <c r="K1063" s="273"/>
      <c r="L1063" s="235" t="s">
        <v>226</v>
      </c>
      <c r="M1063" s="45">
        <f>$M$1058</f>
        <v>1115.3700940000144</v>
      </c>
      <c r="N1063" s="71">
        <f>M1063</f>
        <v>1115.3700940000144</v>
      </c>
      <c r="O1063" s="26"/>
      <c r="P1063" s="45">
        <f>$Q$1043</f>
        <v>-19219.237278480992</v>
      </c>
      <c r="Q1063" s="71">
        <f>P1063</f>
        <v>-19219.237278480992</v>
      </c>
      <c r="R1063" s="45">
        <f>20000+Q1063</f>
        <v>780.76272151900775</v>
      </c>
      <c r="S1063" s="378" t="s">
        <v>298</v>
      </c>
      <c r="T1063" s="367" t="s">
        <v>299</v>
      </c>
      <c r="W1063" s="392"/>
      <c r="X1063" s="111"/>
      <c r="Y1063" s="111"/>
      <c r="Z1063" s="45"/>
      <c r="AA1063" s="488"/>
      <c r="AB1063" s="26"/>
      <c r="AC1063" s="20"/>
      <c r="AD1063" s="92"/>
      <c r="AE1063" s="93"/>
      <c r="AF1063" s="20"/>
      <c r="AG1063" s="20"/>
      <c r="AH1063" s="20"/>
      <c r="AI1063" s="20"/>
    </row>
    <row r="1064" spans="1:35" ht="12.75" hidden="1" customHeight="1">
      <c r="C1064" s="17"/>
      <c r="D1064" s="143" t="s">
        <v>225</v>
      </c>
      <c r="E1064" s="15"/>
      <c r="G1064"/>
      <c r="H1064" s="624"/>
      <c r="I1064" s="26"/>
      <c r="K1064" s="273"/>
      <c r="L1064" s="235" t="s">
        <v>635</v>
      </c>
      <c r="M1064" s="45">
        <v>-238.6</v>
      </c>
      <c r="N1064" s="538">
        <f>N1063+M1064</f>
        <v>876.77009400001441</v>
      </c>
      <c r="O1064" s="65"/>
      <c r="P1064" s="133">
        <v>-220</v>
      </c>
      <c r="Q1064" s="72">
        <f>Q1063+P1064</f>
        <v>-19439.237278480992</v>
      </c>
      <c r="R1064" s="45">
        <f>20000+Q1064</f>
        <v>560.76272151900775</v>
      </c>
      <c r="S1064" s="373" t="s">
        <v>631</v>
      </c>
      <c r="T1064" s="391"/>
      <c r="W1064" s="111"/>
      <c r="X1064" s="111"/>
      <c r="Y1064" s="112"/>
      <c r="Z1064" s="55"/>
      <c r="AA1064" s="489"/>
      <c r="AB1064" s="95"/>
      <c r="AC1064" s="20"/>
      <c r="AD1064" s="41"/>
      <c r="AE1064" s="93"/>
      <c r="AF1064" s="20"/>
      <c r="AG1064" s="20"/>
      <c r="AH1064" s="20"/>
      <c r="AI1064" s="20"/>
    </row>
    <row r="1065" spans="1:35" ht="12.75" hidden="1" customHeight="1">
      <c r="C1065" s="18" t="s">
        <v>5</v>
      </c>
      <c r="D1065" s="14"/>
      <c r="E1065" s="14">
        <f>SUM(E1062:E1064)</f>
        <v>8490.68</v>
      </c>
      <c r="G1065" s="242"/>
      <c r="H1065" s="492"/>
      <c r="I1065" s="26"/>
      <c r="K1065" s="273"/>
      <c r="L1065" s="235" t="s">
        <v>636</v>
      </c>
      <c r="M1065" s="45">
        <v>-216.9</v>
      </c>
      <c r="N1065" s="538">
        <f>N1064+M1065</f>
        <v>659.87009400001443</v>
      </c>
      <c r="O1065" s="49"/>
      <c r="P1065" s="133">
        <v>-175</v>
      </c>
      <c r="Q1065" s="72">
        <f t="shared" ref="Q1065:Q1071" si="116">Q1064+P1065</f>
        <v>-19614.237278480992</v>
      </c>
      <c r="R1065" s="45">
        <f t="shared" ref="R1065:R1071" si="117">20000+Q1065</f>
        <v>385.76272151900775</v>
      </c>
      <c r="S1065" s="373" t="s">
        <v>632</v>
      </c>
      <c r="T1065" s="391"/>
      <c r="W1065" s="111"/>
      <c r="X1065" s="111"/>
      <c r="Y1065" s="112"/>
      <c r="Z1065" s="55"/>
      <c r="AA1065" s="489"/>
      <c r="AB1065" s="26"/>
      <c r="AC1065" s="20"/>
      <c r="AD1065" s="92"/>
      <c r="AE1065" s="93"/>
      <c r="AF1065" s="20"/>
      <c r="AG1065" s="20"/>
      <c r="AH1065" s="20"/>
      <c r="AI1065" s="20"/>
    </row>
    <row r="1066" spans="1:35" ht="12.75" hidden="1" customHeight="1">
      <c r="G1066" s="20"/>
      <c r="H1066" s="490"/>
      <c r="I1066" s="242"/>
      <c r="J1066" s="315"/>
      <c r="K1066" s="297"/>
      <c r="L1066" s="184" t="s">
        <v>24</v>
      </c>
      <c r="M1066" s="45">
        <f>-850+735</f>
        <v>-115</v>
      </c>
      <c r="N1066" s="538">
        <f t="shared" ref="N1066:N1090" si="118">N1065+M1066</f>
        <v>544.87009400001443</v>
      </c>
      <c r="O1066" s="39"/>
      <c r="P1066" s="133">
        <v>-170.25</v>
      </c>
      <c r="Q1066" s="72">
        <f t="shared" si="116"/>
        <v>-19784.487278480992</v>
      </c>
      <c r="R1066" s="45">
        <f t="shared" si="117"/>
        <v>215.51272151900775</v>
      </c>
      <c r="S1066" s="850" t="s">
        <v>642</v>
      </c>
      <c r="T1066" s="391" t="s">
        <v>633</v>
      </c>
      <c r="W1066" s="112"/>
      <c r="X1066" s="112"/>
      <c r="Y1066" s="112"/>
      <c r="Z1066" s="55"/>
      <c r="AA1066" s="489"/>
      <c r="AB1066" s="26"/>
      <c r="AC1066" s="20"/>
      <c r="AD1066" s="92"/>
      <c r="AE1066" s="93"/>
      <c r="AF1066" s="20"/>
      <c r="AG1066" s="20"/>
      <c r="AH1066" s="20"/>
      <c r="AI1066" s="20"/>
    </row>
    <row r="1067" spans="1:35" ht="12.75" hidden="1" customHeight="1">
      <c r="A1067" s="319"/>
      <c r="C1067" s="81" t="s">
        <v>17</v>
      </c>
      <c r="E1067" s="42"/>
      <c r="G1067"/>
      <c r="H1067" s="846"/>
      <c r="I1067" s="45"/>
      <c r="J1067" s="482"/>
      <c r="K1067" s="297"/>
      <c r="L1067" s="184" t="s">
        <v>637</v>
      </c>
      <c r="M1067" s="45">
        <v>-241</v>
      </c>
      <c r="N1067" s="538">
        <f t="shared" si="118"/>
        <v>303.87009400001443</v>
      </c>
      <c r="O1067" s="39"/>
      <c r="P1067" s="133">
        <v>-112.45</v>
      </c>
      <c r="Q1067" s="72">
        <f t="shared" si="116"/>
        <v>-19896.937278480993</v>
      </c>
      <c r="R1067" s="45">
        <f t="shared" si="117"/>
        <v>103.06272151900703</v>
      </c>
      <c r="S1067" s="373" t="s">
        <v>270</v>
      </c>
      <c r="T1067" s="391" t="s">
        <v>634</v>
      </c>
      <c r="W1067" s="103"/>
      <c r="X1067" s="111"/>
      <c r="Y1067" s="112"/>
      <c r="Z1067" s="55"/>
      <c r="AA1067" s="489"/>
      <c r="AB1067" s="95"/>
      <c r="AC1067" s="20"/>
      <c r="AD1067" s="96"/>
      <c r="AE1067" s="93"/>
      <c r="AF1067" s="20"/>
      <c r="AG1067" s="20"/>
      <c r="AH1067" s="20"/>
      <c r="AI1067" s="20"/>
    </row>
    <row r="1068" spans="1:35" ht="12.75" hidden="1" customHeight="1">
      <c r="A1068" s="319"/>
      <c r="D1068" s="20" t="s">
        <v>14</v>
      </c>
      <c r="E1068" s="42">
        <f>E1062</f>
        <v>8490.68</v>
      </c>
      <c r="F1068" s="20"/>
      <c r="G1068" s="20"/>
      <c r="H1068" s="490">
        <f>G1069+E1069</f>
        <v>0</v>
      </c>
      <c r="I1068" s="315"/>
      <c r="J1068" s="21"/>
      <c r="K1068" s="273"/>
      <c r="L1068" s="116" t="s">
        <v>24</v>
      </c>
      <c r="M1068" s="45">
        <v>2500</v>
      </c>
      <c r="N1068" s="538">
        <f t="shared" si="118"/>
        <v>2803.8700940000144</v>
      </c>
      <c r="O1068" s="274"/>
      <c r="P1068" s="133">
        <f>-182.02+9.11</f>
        <v>-172.91000000000003</v>
      </c>
      <c r="Q1068" s="72">
        <f t="shared" si="116"/>
        <v>-20069.847278480993</v>
      </c>
      <c r="R1068" s="45">
        <f t="shared" si="117"/>
        <v>-69.847278480992827</v>
      </c>
      <c r="S1068" s="373" t="s">
        <v>253</v>
      </c>
      <c r="T1068" s="391"/>
      <c r="U1068" s="74"/>
      <c r="V1068" s="26"/>
      <c r="W1068" s="111"/>
      <c r="X1068" s="111"/>
      <c r="Y1068" s="112"/>
      <c r="Z1068" s="55"/>
      <c r="AA1068" s="489"/>
      <c r="AB1068" s="26"/>
      <c r="AC1068" s="20"/>
      <c r="AD1068" s="41"/>
      <c r="AE1068" s="93"/>
      <c r="AF1068" s="20"/>
      <c r="AG1068" s="20"/>
      <c r="AH1068" s="20"/>
      <c r="AI1068" s="20"/>
    </row>
    <row r="1069" spans="1:35" ht="12.75" hidden="1" customHeight="1" thickBot="1">
      <c r="A1069" s="319"/>
      <c r="D1069" s="78" t="s">
        <v>13</v>
      </c>
      <c r="E1069" s="483">
        <f>SUM(E1063:E1064)</f>
        <v>0</v>
      </c>
      <c r="F1069" s="482" t="s">
        <v>364</v>
      </c>
      <c r="G1069" s="1037"/>
      <c r="H1069" s="1037"/>
      <c r="I1069" s="315"/>
      <c r="J1069" s="511"/>
      <c r="K1069" s="297"/>
      <c r="L1069" s="235" t="s">
        <v>102</v>
      </c>
      <c r="M1069" s="45">
        <v>-750</v>
      </c>
      <c r="N1069" s="538">
        <f t="shared" si="118"/>
        <v>2053.8700940000144</v>
      </c>
      <c r="O1069" s="253"/>
      <c r="P1069" s="668">
        <v>-55</v>
      </c>
      <c r="Q1069" s="849">
        <f t="shared" si="116"/>
        <v>-20124.847278480993</v>
      </c>
      <c r="R1069" s="665">
        <f t="shared" si="117"/>
        <v>-124.84727848099283</v>
      </c>
      <c r="S1069" s="373" t="s">
        <v>638</v>
      </c>
      <c r="T1069" s="391" t="s">
        <v>280</v>
      </c>
      <c r="U1069" s="74"/>
      <c r="V1069" s="26"/>
      <c r="W1069" s="20"/>
      <c r="X1069" s="20"/>
      <c r="Y1069" s="112"/>
      <c r="Z1069" s="239"/>
      <c r="AA1069" s="94"/>
      <c r="AB1069" s="26"/>
      <c r="AC1069" s="20"/>
      <c r="AD1069" s="92"/>
      <c r="AE1069" s="93"/>
      <c r="AF1069" s="20"/>
      <c r="AG1069" s="20"/>
      <c r="AH1069" s="20"/>
      <c r="AI1069" s="20"/>
    </row>
    <row r="1070" spans="1:35" ht="12.75" hidden="1" customHeight="1" thickTop="1">
      <c r="A1070" s="319"/>
      <c r="D1070" s="20"/>
      <c r="E1070" s="26"/>
      <c r="F1070" s="122"/>
      <c r="G1070" s="1038">
        <f>E1068+E1069+G1069</f>
        <v>8490.68</v>
      </c>
      <c r="H1070" s="1038"/>
      <c r="I1070" s="315"/>
      <c r="J1070" s="511"/>
      <c r="K1070" s="297"/>
      <c r="L1070" s="235" t="s">
        <v>639</v>
      </c>
      <c r="M1070" s="45">
        <v>-650</v>
      </c>
      <c r="N1070" s="538">
        <f t="shared" si="118"/>
        <v>1403.8700940000144</v>
      </c>
      <c r="O1070" s="253"/>
      <c r="P1070" s="668">
        <f>-M1069</f>
        <v>750</v>
      </c>
      <c r="Q1070" s="849">
        <f t="shared" si="116"/>
        <v>-19374.847278480993</v>
      </c>
      <c r="R1070" s="665">
        <f t="shared" si="117"/>
        <v>625.15272151900717</v>
      </c>
      <c r="S1070" s="373" t="s">
        <v>247</v>
      </c>
      <c r="T1070" s="391"/>
      <c r="U1070" s="74"/>
      <c r="V1070" s="26"/>
      <c r="W1070" s="26"/>
      <c r="X1070" s="20"/>
      <c r="Y1070" s="112"/>
      <c r="Z1070" s="239"/>
      <c r="AA1070" s="94"/>
      <c r="AB1070" s="95"/>
      <c r="AC1070" s="20"/>
      <c r="AD1070" s="92"/>
      <c r="AE1070" s="93"/>
      <c r="AF1070" s="20"/>
      <c r="AG1070" s="20"/>
      <c r="AH1070" s="20"/>
      <c r="AI1070" s="20"/>
    </row>
    <row r="1071" spans="1:35" ht="12.75" hidden="1" customHeight="1">
      <c r="A1071" s="333"/>
      <c r="B1071" s="333"/>
      <c r="C1071" s="333"/>
      <c r="D1071" s="48"/>
      <c r="E1071" s="133"/>
      <c r="F1071" s="50"/>
      <c r="G1071" s="409"/>
      <c r="H1071" s="845"/>
      <c r="I1071" s="315"/>
      <c r="J1071" s="511"/>
      <c r="K1071" s="297" t="s">
        <v>223</v>
      </c>
      <c r="L1071" s="184" t="s">
        <v>227</v>
      </c>
      <c r="M1071" s="45">
        <v>-449</v>
      </c>
      <c r="N1071" s="538">
        <f t="shared" si="118"/>
        <v>954.87009400001443</v>
      </c>
      <c r="O1071" s="274"/>
      <c r="P1071" s="668">
        <v>-30</v>
      </c>
      <c r="Q1071" s="849">
        <f t="shared" si="116"/>
        <v>-19404.847278480993</v>
      </c>
      <c r="R1071" s="665">
        <f t="shared" si="117"/>
        <v>595.15272151900717</v>
      </c>
      <c r="S1071" s="373" t="s">
        <v>534</v>
      </c>
      <c r="T1071" s="391" t="s">
        <v>640</v>
      </c>
      <c r="U1071" s="74"/>
      <c r="V1071" s="26"/>
      <c r="W1071" s="26"/>
      <c r="X1071" s="91"/>
      <c r="Y1071" s="20"/>
      <c r="Z1071" s="239"/>
      <c r="AA1071" s="94"/>
      <c r="AB1071" s="26"/>
      <c r="AC1071" s="20"/>
      <c r="AD1071" s="20"/>
      <c r="AE1071" s="20"/>
      <c r="AF1071" s="20"/>
      <c r="AG1071" s="20"/>
      <c r="AH1071" s="20"/>
      <c r="AI1071" s="20"/>
    </row>
    <row r="1072" spans="1:35" ht="12.75" hidden="1" customHeight="1">
      <c r="A1072" s="333"/>
      <c r="B1072" s="333"/>
      <c r="C1072" s="333"/>
      <c r="D1072" s="48"/>
      <c r="E1072" s="133"/>
      <c r="F1072" s="50"/>
      <c r="G1072" s="409"/>
      <c r="H1072" s="845"/>
      <c r="I1072" s="315"/>
      <c r="J1072" s="511"/>
      <c r="K1072" s="273"/>
      <c r="L1072" s="116" t="s">
        <v>524</v>
      </c>
      <c r="M1072" s="45">
        <v>-9</v>
      </c>
      <c r="N1072" s="538">
        <f t="shared" si="118"/>
        <v>945.87009400001443</v>
      </c>
      <c r="O1072" s="274"/>
      <c r="P1072" s="668">
        <v>-365.4</v>
      </c>
      <c r="Q1072" s="849">
        <f t="shared" ref="Q1072:Q1081" si="119">Q1071+P1072</f>
        <v>-19770.247278480994</v>
      </c>
      <c r="R1072" s="665">
        <f t="shared" ref="R1072:R1081" si="120">20000+Q1072</f>
        <v>229.75272151900572</v>
      </c>
      <c r="S1072" s="373" t="s">
        <v>258</v>
      </c>
      <c r="T1072" s="391"/>
      <c r="U1072" s="74"/>
      <c r="V1072" s="26"/>
      <c r="W1072" s="26"/>
      <c r="X1072" s="91"/>
      <c r="Y1072" s="20"/>
      <c r="Z1072" s="239"/>
      <c r="AA1072" s="94"/>
      <c r="AB1072" s="26"/>
      <c r="AC1072" s="20"/>
      <c r="AD1072" s="20"/>
      <c r="AE1072" s="20"/>
      <c r="AF1072" s="20"/>
      <c r="AG1072" s="20"/>
      <c r="AH1072" s="20"/>
      <c r="AI1072" s="20"/>
    </row>
    <row r="1073" spans="1:35" ht="12.75" hidden="1" customHeight="1">
      <c r="A1073" s="333"/>
      <c r="B1073" s="333"/>
      <c r="C1073" s="410"/>
      <c r="D1073" s="404"/>
      <c r="E1073" s="405"/>
      <c r="F1073" s="50"/>
      <c r="G1073" s="409"/>
      <c r="H1073" s="845"/>
      <c r="I1073" s="315"/>
      <c r="J1073" s="511"/>
      <c r="K1073" s="273"/>
      <c r="L1073" s="116" t="s">
        <v>407</v>
      </c>
      <c r="M1073" s="45">
        <v>-50</v>
      </c>
      <c r="N1073" s="538">
        <f t="shared" si="118"/>
        <v>895.87009400001443</v>
      </c>
      <c r="O1073" s="551"/>
      <c r="P1073" s="668">
        <v>-72.66</v>
      </c>
      <c r="Q1073" s="849">
        <f t="shared" si="119"/>
        <v>-19842.907278480994</v>
      </c>
      <c r="R1073" s="665">
        <f t="shared" si="120"/>
        <v>157.09272151900586</v>
      </c>
      <c r="S1073" s="373" t="s">
        <v>270</v>
      </c>
      <c r="T1073" s="391" t="s">
        <v>280</v>
      </c>
      <c r="U1073" s="65"/>
      <c r="V1073" s="20"/>
      <c r="W1073" s="26"/>
      <c r="X1073" s="91"/>
      <c r="Y1073" s="20"/>
      <c r="Z1073" s="239"/>
      <c r="AA1073" s="94"/>
      <c r="AB1073" s="26"/>
      <c r="AC1073" s="20"/>
      <c r="AD1073" s="20"/>
      <c r="AE1073" s="20"/>
      <c r="AF1073" s="20"/>
      <c r="AG1073" s="20"/>
      <c r="AH1073" s="20"/>
      <c r="AI1073" s="20"/>
    </row>
    <row r="1074" spans="1:35" ht="12.75" hidden="1" customHeight="1">
      <c r="A1074" s="333"/>
      <c r="B1074" s="333"/>
      <c r="C1074" s="333"/>
      <c r="D1074" s="411"/>
      <c r="E1074" s="133"/>
      <c r="F1074" s="50"/>
      <c r="G1074" s="409"/>
      <c r="H1074" s="845"/>
      <c r="I1074" s="315"/>
      <c r="J1074" s="511"/>
      <c r="K1074" s="273"/>
      <c r="L1074" s="116" t="s">
        <v>641</v>
      </c>
      <c r="M1074" s="45">
        <v>-529.42999999999995</v>
      </c>
      <c r="N1074" s="538">
        <f t="shared" si="118"/>
        <v>366.44009400001448</v>
      </c>
      <c r="O1074" s="253"/>
      <c r="P1074" s="133">
        <v>-126.7</v>
      </c>
      <c r="Q1074" s="849">
        <f t="shared" si="119"/>
        <v>-19969.607278480995</v>
      </c>
      <c r="R1074" s="665">
        <f t="shared" si="120"/>
        <v>30.392721519005136</v>
      </c>
      <c r="S1074" s="373" t="s">
        <v>270</v>
      </c>
      <c r="T1074" s="391"/>
      <c r="U1074" s="65"/>
      <c r="V1074" s="20"/>
      <c r="W1074" s="26"/>
      <c r="X1074" s="91"/>
      <c r="Y1074" s="20"/>
      <c r="Z1074" s="239"/>
      <c r="AA1074" s="94"/>
      <c r="AB1074" s="26"/>
      <c r="AC1074" s="20"/>
      <c r="AD1074" s="20"/>
      <c r="AE1074" s="20"/>
      <c r="AF1074" s="20"/>
      <c r="AG1074" s="20"/>
      <c r="AH1074" s="20"/>
      <c r="AI1074" s="20"/>
    </row>
    <row r="1075" spans="1:35" ht="12.75" hidden="1" customHeight="1">
      <c r="A1075" s="333"/>
      <c r="B1075" s="333"/>
      <c r="C1075" s="333"/>
      <c r="D1075" s="408"/>
      <c r="E1075" s="412"/>
      <c r="F1075" s="50"/>
      <c r="G1075" s="409"/>
      <c r="H1075" s="845"/>
      <c r="I1075" s="315"/>
      <c r="J1075" s="511"/>
      <c r="K1075" s="258" t="s">
        <v>263</v>
      </c>
      <c r="L1075" s="266" t="s">
        <v>51</v>
      </c>
      <c r="M1075" s="146">
        <f>E1068</f>
        <v>8490.68</v>
      </c>
      <c r="N1075" s="538">
        <f t="shared" si="118"/>
        <v>8857.1200940000144</v>
      </c>
      <c r="O1075" s="253"/>
      <c r="P1075" s="133">
        <v>6000</v>
      </c>
      <c r="Q1075" s="72">
        <f t="shared" si="119"/>
        <v>-13969.607278480995</v>
      </c>
      <c r="R1075" s="45">
        <f t="shared" si="120"/>
        <v>6030.3927215190051</v>
      </c>
      <c r="S1075" s="373" t="s">
        <v>436</v>
      </c>
      <c r="T1075" s="391"/>
      <c r="U1075" s="65"/>
      <c r="V1075" s="20"/>
      <c r="W1075" s="26"/>
      <c r="X1075" s="91"/>
      <c r="Y1075" s="20"/>
      <c r="Z1075" s="239"/>
      <c r="AA1075" s="94"/>
      <c r="AB1075" s="26"/>
      <c r="AC1075" s="20"/>
      <c r="AD1075" s="20"/>
      <c r="AE1075" s="20"/>
      <c r="AF1075" s="20"/>
      <c r="AG1075" s="20"/>
      <c r="AH1075" s="20"/>
      <c r="AI1075" s="20"/>
    </row>
    <row r="1076" spans="1:35" ht="12.75" hidden="1" customHeight="1">
      <c r="A1076" s="333"/>
      <c r="B1076" s="333"/>
      <c r="C1076" s="410"/>
      <c r="D1076" s="561"/>
      <c r="E1076" s="405"/>
      <c r="F1076" s="50"/>
      <c r="G1076" s="409"/>
      <c r="H1076" s="845"/>
      <c r="I1076" s="962"/>
      <c r="J1076" s="962"/>
      <c r="K1076" s="258"/>
      <c r="L1076" s="266" t="s">
        <v>135</v>
      </c>
      <c r="M1076" s="146">
        <v>-414.55</v>
      </c>
      <c r="N1076" s="538">
        <f t="shared" si="118"/>
        <v>8442.5700940000152</v>
      </c>
      <c r="O1076" s="253"/>
      <c r="P1076" s="133">
        <v>158.99</v>
      </c>
      <c r="Q1076" s="72">
        <f t="shared" si="119"/>
        <v>-13810.617278480995</v>
      </c>
      <c r="R1076" s="45">
        <f t="shared" si="120"/>
        <v>6189.3827215190049</v>
      </c>
      <c r="S1076" s="373" t="s">
        <v>498</v>
      </c>
      <c r="T1076" s="391" t="s">
        <v>419</v>
      </c>
      <c r="U1076" s="65"/>
      <c r="V1076" s="20"/>
      <c r="W1076" s="26"/>
      <c r="X1076" s="91"/>
      <c r="Y1076" s="20"/>
      <c r="Z1076" s="239"/>
      <c r="AA1076" s="94"/>
      <c r="AB1076" s="26"/>
      <c r="AC1076" s="20"/>
      <c r="AD1076" s="20"/>
      <c r="AE1076" s="20"/>
      <c r="AF1076" s="20"/>
      <c r="AG1076" s="20"/>
      <c r="AH1076" s="20"/>
      <c r="AI1076" s="20"/>
    </row>
    <row r="1077" spans="1:35" ht="12.75" hidden="1" customHeight="1">
      <c r="A1077" s="333"/>
      <c r="B1077" s="333"/>
      <c r="C1077" s="333"/>
      <c r="D1077" s="408"/>
      <c r="E1077" s="133"/>
      <c r="F1077" s="50"/>
      <c r="G1077" s="409"/>
      <c r="H1077" s="845"/>
      <c r="I1077" s="315"/>
      <c r="J1077" s="709"/>
      <c r="K1077" s="258" t="s">
        <v>286</v>
      </c>
      <c r="L1077" s="266" t="s">
        <v>417</v>
      </c>
      <c r="M1077" s="146">
        <v>-2850</v>
      </c>
      <c r="N1077" s="538">
        <f t="shared" si="118"/>
        <v>5592.5700940000152</v>
      </c>
      <c r="O1077" s="253"/>
      <c r="P1077" s="133">
        <v>-317.27</v>
      </c>
      <c r="Q1077" s="72">
        <f t="shared" si="119"/>
        <v>-14127.887278480996</v>
      </c>
      <c r="R1077" s="45">
        <f t="shared" si="120"/>
        <v>5872.1127215190045</v>
      </c>
      <c r="S1077" s="373" t="s">
        <v>644</v>
      </c>
      <c r="T1077" s="391" t="s">
        <v>643</v>
      </c>
      <c r="U1077" s="65"/>
      <c r="V1077" s="20"/>
      <c r="W1077" s="26"/>
      <c r="X1077" s="91"/>
      <c r="Y1077" s="20"/>
      <c r="Z1077" s="239"/>
      <c r="AA1077" s="94"/>
      <c r="AB1077" s="26"/>
      <c r="AC1077" s="20"/>
      <c r="AD1077" s="20"/>
      <c r="AE1077" s="20"/>
      <c r="AF1077" s="20"/>
      <c r="AG1077" s="20"/>
      <c r="AH1077" s="20"/>
      <c r="AI1077" s="20"/>
    </row>
    <row r="1078" spans="1:35" ht="12.75" hidden="1" customHeight="1">
      <c r="A1078" s="333"/>
      <c r="B1078" s="333"/>
      <c r="C1078" s="333"/>
      <c r="D1078" s="408"/>
      <c r="E1078" s="133"/>
      <c r="F1078" s="50"/>
      <c r="G1078" s="409"/>
      <c r="H1078" s="845"/>
      <c r="I1078" s="493"/>
      <c r="J1078" s="517"/>
      <c r="K1078" s="258" t="s">
        <v>286</v>
      </c>
      <c r="L1078" s="266" t="s">
        <v>333</v>
      </c>
      <c r="M1078" s="45">
        <v>-12.9</v>
      </c>
      <c r="N1078" s="538">
        <f t="shared" si="118"/>
        <v>5579.6700940000155</v>
      </c>
      <c r="O1078" s="253"/>
      <c r="P1078" s="133">
        <v>-93.49</v>
      </c>
      <c r="Q1078" s="72">
        <f t="shared" si="119"/>
        <v>-14221.377278480995</v>
      </c>
      <c r="R1078" s="45">
        <f t="shared" si="120"/>
        <v>5778.6227215190047</v>
      </c>
      <c r="S1078" s="373" t="s">
        <v>645</v>
      </c>
      <c r="T1078" s="391" t="s">
        <v>652</v>
      </c>
      <c r="U1078" s="65"/>
      <c r="V1078" s="20"/>
      <c r="W1078" s="26"/>
      <c r="X1078" s="91"/>
      <c r="Y1078" s="20"/>
      <c r="Z1078" s="239"/>
      <c r="AA1078" s="94"/>
      <c r="AB1078" s="26"/>
      <c r="AC1078" s="20"/>
      <c r="AD1078" s="20"/>
      <c r="AE1078" s="20"/>
      <c r="AF1078" s="20"/>
      <c r="AG1078" s="20"/>
      <c r="AH1078" s="20"/>
      <c r="AI1078" s="20"/>
    </row>
    <row r="1079" spans="1:35" ht="12.75" hidden="1" customHeight="1">
      <c r="A1079" s="333"/>
      <c r="B1079" s="333"/>
      <c r="C1079" s="333"/>
      <c r="D1079" s="408"/>
      <c r="E1079" s="133"/>
      <c r="F1079" s="50"/>
      <c r="G1079" s="409"/>
      <c r="H1079" s="845"/>
      <c r="I1079" s="494"/>
      <c r="J1079" s="709"/>
      <c r="K1079" s="258" t="s">
        <v>286</v>
      </c>
      <c r="L1079" s="266" t="s">
        <v>552</v>
      </c>
      <c r="M1079" s="45">
        <v>-350</v>
      </c>
      <c r="N1079" s="538">
        <f t="shared" si="118"/>
        <v>5229.6700940000155</v>
      </c>
      <c r="O1079" s="253"/>
      <c r="P1079" s="133">
        <v>-131.02000000000001</v>
      </c>
      <c r="Q1079" s="72">
        <f t="shared" si="119"/>
        <v>-14352.397278480996</v>
      </c>
      <c r="R1079" s="45">
        <f t="shared" si="120"/>
        <v>5647.6027215190043</v>
      </c>
      <c r="S1079" s="373" t="s">
        <v>646</v>
      </c>
      <c r="T1079" s="391" t="s">
        <v>654</v>
      </c>
      <c r="U1079" s="84"/>
      <c r="V1079" s="20"/>
      <c r="W1079" s="26"/>
      <c r="X1079" s="91"/>
      <c r="Y1079" s="20"/>
      <c r="Z1079" s="239"/>
      <c r="AA1079" s="94"/>
      <c r="AB1079" s="26"/>
      <c r="AC1079" s="20"/>
      <c r="AD1079" s="20"/>
      <c r="AE1079" s="20"/>
      <c r="AF1079" s="20"/>
      <c r="AG1079" s="20"/>
      <c r="AH1079" s="20"/>
      <c r="AI1079" s="20"/>
    </row>
    <row r="1080" spans="1:35" ht="12.75" hidden="1" customHeight="1">
      <c r="A1080" s="333"/>
      <c r="B1080" s="333"/>
      <c r="C1080" s="333"/>
      <c r="D1080" s="408"/>
      <c r="E1080" s="133"/>
      <c r="F1080" s="50"/>
      <c r="G1080" s="409"/>
      <c r="H1080" s="845"/>
      <c r="I1080" s="495"/>
      <c r="K1080" s="258" t="s">
        <v>368</v>
      </c>
      <c r="L1080" s="266" t="s">
        <v>195</v>
      </c>
      <c r="M1080" s="45">
        <v>-1738</v>
      </c>
      <c r="N1080" s="538">
        <f t="shared" si="118"/>
        <v>3491.6700940000155</v>
      </c>
      <c r="O1080" s="253"/>
      <c r="P1080" s="133">
        <v>-242.04</v>
      </c>
      <c r="Q1080" s="72">
        <f t="shared" si="119"/>
        <v>-14594.437278480997</v>
      </c>
      <c r="R1080" s="45">
        <f t="shared" si="120"/>
        <v>5405.5627215190034</v>
      </c>
      <c r="S1080" s="373" t="s">
        <v>647</v>
      </c>
      <c r="T1080" s="391" t="s">
        <v>650</v>
      </c>
      <c r="U1080" s="84"/>
      <c r="V1080" s="20"/>
      <c r="W1080" s="26"/>
      <c r="X1080" s="91"/>
      <c r="Y1080" s="20"/>
      <c r="Z1080" s="239"/>
      <c r="AA1080" s="94"/>
      <c r="AB1080" s="26"/>
      <c r="AC1080" s="20"/>
      <c r="AD1080" s="20"/>
      <c r="AE1080" s="20"/>
      <c r="AF1080" s="20"/>
      <c r="AG1080" s="20"/>
      <c r="AH1080" s="20"/>
      <c r="AI1080" s="20"/>
    </row>
    <row r="1081" spans="1:35" ht="12.75" hidden="1" customHeight="1">
      <c r="A1081" s="333"/>
      <c r="B1081" s="333"/>
      <c r="C1081" s="333"/>
      <c r="D1081" s="133"/>
      <c r="E1081" s="133"/>
      <c r="F1081" s="50"/>
      <c r="G1081" s="409"/>
      <c r="H1081" s="845"/>
      <c r="I1081" s="495"/>
      <c r="K1081" s="85" t="s">
        <v>222</v>
      </c>
      <c r="L1081" s="266" t="s">
        <v>180</v>
      </c>
      <c r="M1081" s="45">
        <v>-59</v>
      </c>
      <c r="N1081" s="538">
        <f t="shared" si="118"/>
        <v>3432.6700940000155</v>
      </c>
      <c r="O1081" s="253"/>
      <c r="P1081" s="133">
        <v>-186.2</v>
      </c>
      <c r="Q1081" s="72">
        <f t="shared" si="119"/>
        <v>-14780.637278480997</v>
      </c>
      <c r="R1081" s="45">
        <f t="shared" si="120"/>
        <v>5219.3627215190027</v>
      </c>
      <c r="S1081" s="373" t="s">
        <v>648</v>
      </c>
      <c r="T1081" s="391" t="s">
        <v>651</v>
      </c>
      <c r="U1081" s="20"/>
      <c r="V1081" s="20"/>
      <c r="W1081" s="26"/>
      <c r="X1081" s="91"/>
      <c r="Y1081" s="20"/>
      <c r="Z1081" s="239"/>
      <c r="AA1081" s="94"/>
      <c r="AB1081" s="26"/>
      <c r="AC1081" s="20"/>
      <c r="AD1081" s="20"/>
      <c r="AE1081" s="20"/>
      <c r="AF1081" s="20"/>
      <c r="AG1081" s="20"/>
      <c r="AH1081" s="20"/>
      <c r="AI1081" s="20"/>
    </row>
    <row r="1082" spans="1:35" ht="12.75" hidden="1" customHeight="1">
      <c r="A1082" s="333"/>
      <c r="B1082" s="333"/>
      <c r="C1082" s="333"/>
      <c r="D1082" s="413"/>
      <c r="E1082" s="34"/>
      <c r="F1082" s="50"/>
      <c r="G1082" s="414"/>
      <c r="H1082" s="509"/>
      <c r="I1082" s="510"/>
      <c r="J1082" s="521"/>
      <c r="K1082" s="258" t="s">
        <v>222</v>
      </c>
      <c r="L1082" s="266" t="s">
        <v>61</v>
      </c>
      <c r="M1082" s="45">
        <v>-252.5</v>
      </c>
      <c r="N1082" s="538">
        <f t="shared" si="118"/>
        <v>3180.1700940000155</v>
      </c>
      <c r="O1082" s="253"/>
      <c r="P1082" s="133">
        <v>-254.17</v>
      </c>
      <c r="Q1082" s="72">
        <f t="shared" ref="Q1082:Q1087" si="121">Q1081+P1082</f>
        <v>-15034.807278480997</v>
      </c>
      <c r="R1082" s="45">
        <f t="shared" ref="R1082:R1087" si="122">20000+Q1082</f>
        <v>4965.1927215190026</v>
      </c>
      <c r="S1082" s="373" t="s">
        <v>653</v>
      </c>
      <c r="T1082" s="391" t="s">
        <v>649</v>
      </c>
      <c r="U1082" s="234"/>
      <c r="V1082" s="45"/>
      <c r="W1082" s="26"/>
      <c r="X1082" s="91"/>
      <c r="Y1082" s="20"/>
      <c r="Z1082" s="239"/>
      <c r="AA1082" s="94"/>
      <c r="AB1082" s="26"/>
      <c r="AC1082" s="20"/>
      <c r="AD1082" s="20"/>
      <c r="AE1082" s="20"/>
      <c r="AF1082" s="20"/>
      <c r="AG1082" s="20"/>
      <c r="AH1082" s="20"/>
      <c r="AI1082" s="20"/>
    </row>
    <row r="1083" spans="1:35" ht="12.75" hidden="1" customHeight="1">
      <c r="A1083" s="333"/>
      <c r="B1083" s="333"/>
      <c r="C1083" s="333"/>
      <c r="D1083" s="413"/>
      <c r="E1083" s="34"/>
      <c r="F1083" s="50"/>
      <c r="G1083" s="414"/>
      <c r="H1083" s="509"/>
      <c r="K1083" s="258" t="s">
        <v>371</v>
      </c>
      <c r="L1083" s="266" t="s">
        <v>148</v>
      </c>
      <c r="M1083" s="45">
        <v>1000</v>
      </c>
      <c r="N1083" s="538">
        <f t="shared" si="118"/>
        <v>4180.1700940000155</v>
      </c>
      <c r="O1083" s="253"/>
      <c r="P1083" s="133">
        <v>-56.04</v>
      </c>
      <c r="Q1083" s="72">
        <f t="shared" si="121"/>
        <v>-15090.847278480998</v>
      </c>
      <c r="R1083" s="45">
        <f t="shared" si="122"/>
        <v>4909.1527215190017</v>
      </c>
      <c r="S1083" s="373" t="s">
        <v>646</v>
      </c>
      <c r="T1083" s="391" t="s">
        <v>655</v>
      </c>
      <c r="U1083" s="20"/>
      <c r="V1083" s="26"/>
      <c r="W1083" s="26"/>
      <c r="X1083" s="91"/>
      <c r="Y1083" s="20"/>
      <c r="Z1083" s="239"/>
      <c r="AA1083" s="94"/>
      <c r="AB1083" s="26"/>
      <c r="AC1083" s="20"/>
      <c r="AD1083" s="20"/>
      <c r="AE1083" s="20"/>
      <c r="AF1083" s="20"/>
      <c r="AG1083" s="20"/>
      <c r="AH1083" s="20"/>
      <c r="AI1083" s="20"/>
    </row>
    <row r="1084" spans="1:35" ht="12.75" hidden="1" customHeight="1">
      <c r="A1084" s="333"/>
      <c r="B1084" s="333"/>
      <c r="C1084" s="333"/>
      <c r="D1084" s="413"/>
      <c r="E1084" s="34"/>
      <c r="F1084" s="50"/>
      <c r="G1084" s="414"/>
      <c r="H1084" s="509"/>
      <c r="K1084" s="258"/>
      <c r="L1084" s="266" t="s">
        <v>102</v>
      </c>
      <c r="M1084" s="45">
        <f>-P1084</f>
        <v>250</v>
      </c>
      <c r="N1084" s="538">
        <f t="shared" si="118"/>
        <v>4430.1700940000155</v>
      </c>
      <c r="O1084" s="253"/>
      <c r="P1084" s="133">
        <v>-250</v>
      </c>
      <c r="Q1084" s="72">
        <f t="shared" si="121"/>
        <v>-15340.847278480998</v>
      </c>
      <c r="R1084" s="45">
        <f t="shared" si="122"/>
        <v>4659.1527215190017</v>
      </c>
      <c r="S1084" s="373" t="s">
        <v>247</v>
      </c>
      <c r="T1084" s="391"/>
      <c r="U1084" s="20"/>
      <c r="V1084" s="26"/>
      <c r="W1084" s="26"/>
      <c r="X1084" s="91"/>
      <c r="Y1084" s="20"/>
      <c r="Z1084" s="239"/>
      <c r="AA1084" s="94"/>
      <c r="AB1084" s="26"/>
      <c r="AC1084" s="20"/>
      <c r="AD1084" s="20"/>
      <c r="AE1084" s="20"/>
      <c r="AF1084" s="20"/>
      <c r="AG1084" s="20"/>
      <c r="AH1084" s="20"/>
      <c r="AI1084" s="20"/>
    </row>
    <row r="1085" spans="1:35" ht="12.75" hidden="1" customHeight="1">
      <c r="A1085" s="333"/>
      <c r="B1085" s="333"/>
      <c r="C1085" s="333"/>
      <c r="D1085" s="48"/>
      <c r="E1085" s="133"/>
      <c r="F1085" s="50"/>
      <c r="G1085" s="414"/>
      <c r="H1085" s="845"/>
      <c r="K1085" s="85" t="s">
        <v>189</v>
      </c>
      <c r="L1085" s="267" t="s">
        <v>16</v>
      </c>
      <c r="M1085" s="175">
        <v>-823.99</v>
      </c>
      <c r="N1085" s="538">
        <f t="shared" si="118"/>
        <v>3606.1800940000157</v>
      </c>
      <c r="O1085" s="253"/>
      <c r="P1085" s="133">
        <v>-656.03</v>
      </c>
      <c r="Q1085" s="72">
        <f t="shared" si="121"/>
        <v>-15996.877278480999</v>
      </c>
      <c r="R1085" s="45">
        <f t="shared" si="122"/>
        <v>4003.1227215190011</v>
      </c>
      <c r="S1085" s="373" t="s">
        <v>656</v>
      </c>
      <c r="T1085" s="391" t="s">
        <v>657</v>
      </c>
      <c r="U1085" s="20"/>
      <c r="V1085" s="26"/>
      <c r="W1085" s="26"/>
      <c r="X1085" s="91"/>
      <c r="Y1085" s="20"/>
      <c r="Z1085" s="239"/>
      <c r="AA1085" s="94"/>
      <c r="AB1085" s="26"/>
      <c r="AC1085" s="20"/>
      <c r="AD1085" s="20"/>
      <c r="AE1085" s="20"/>
      <c r="AF1085" s="20"/>
      <c r="AG1085" s="20"/>
      <c r="AH1085" s="20"/>
      <c r="AI1085" s="20"/>
    </row>
    <row r="1086" spans="1:35" ht="12.75" hidden="1" customHeight="1">
      <c r="A1086" s="328"/>
      <c r="B1086" s="328"/>
      <c r="C1086" s="328"/>
      <c r="D1086" s="547"/>
      <c r="E1086" s="133"/>
      <c r="F1086" s="50"/>
      <c r="G1086" s="414"/>
      <c r="H1086" s="498"/>
      <c r="J1086" s="533"/>
      <c r="K1086" s="258" t="s">
        <v>189</v>
      </c>
      <c r="L1086" s="268" t="s">
        <v>56</v>
      </c>
      <c r="M1086" s="175">
        <v>-1300</v>
      </c>
      <c r="N1086" s="538">
        <f t="shared" si="118"/>
        <v>2306.1800940000157</v>
      </c>
      <c r="O1086" s="497"/>
      <c r="P1086" s="133">
        <v>-149.46</v>
      </c>
      <c r="Q1086" s="72">
        <f t="shared" si="121"/>
        <v>-16146.337278480998</v>
      </c>
      <c r="R1086" s="45">
        <f t="shared" si="122"/>
        <v>3853.6627215190019</v>
      </c>
      <c r="S1086" s="373" t="s">
        <v>658</v>
      </c>
      <c r="T1086" s="391" t="s">
        <v>659</v>
      </c>
      <c r="U1086" s="20"/>
      <c r="V1086" s="26"/>
      <c r="W1086" s="26"/>
      <c r="X1086" s="91"/>
      <c r="Y1086" s="20"/>
      <c r="Z1086" s="239"/>
      <c r="AA1086" s="94"/>
      <c r="AB1086" s="26"/>
      <c r="AC1086" s="20"/>
      <c r="AD1086" s="20"/>
      <c r="AE1086" s="20"/>
      <c r="AF1086" s="20"/>
      <c r="AG1086" s="20"/>
      <c r="AH1086" s="20"/>
      <c r="AI1086" s="20"/>
    </row>
    <row r="1087" spans="1:35" ht="12.75" hidden="1" customHeight="1">
      <c r="G1087"/>
      <c r="H1087" s="33"/>
      <c r="I1087" s="235"/>
      <c r="J1087" s="534"/>
      <c r="K1087" s="258" t="s">
        <v>189</v>
      </c>
      <c r="L1087" s="268" t="s">
        <v>23</v>
      </c>
      <c r="M1087" s="133">
        <f>-908.92</f>
        <v>-908.92</v>
      </c>
      <c r="N1087" s="538">
        <f t="shared" si="118"/>
        <v>1397.2600940000157</v>
      </c>
      <c r="P1087" s="133">
        <v>-89.29</v>
      </c>
      <c r="Q1087" s="73">
        <f t="shared" si="121"/>
        <v>-16235.627278480999</v>
      </c>
      <c r="R1087" s="45">
        <f t="shared" si="122"/>
        <v>3764.3727215190011</v>
      </c>
      <c r="S1087" s="373" t="s">
        <v>660</v>
      </c>
      <c r="T1087" s="391" t="s">
        <v>661</v>
      </c>
      <c r="U1087" s="20"/>
      <c r="V1087" s="26"/>
      <c r="AA1087" s="238"/>
    </row>
    <row r="1088" spans="1:35" ht="12.75" hidden="1" customHeight="1">
      <c r="G1088"/>
      <c r="H1088" s="33"/>
      <c r="I1088" s="543"/>
      <c r="J1088" s="504"/>
      <c r="K1088" s="258" t="s">
        <v>189</v>
      </c>
      <c r="L1088" s="116" t="s">
        <v>224</v>
      </c>
      <c r="M1088" s="45">
        <v>-590.14</v>
      </c>
      <c r="N1088" s="538">
        <f t="shared" si="118"/>
        <v>807.12009400001568</v>
      </c>
      <c r="P1088" s="64">
        <f>SUM(P1063:P1087)</f>
        <v>-16235.627278480999</v>
      </c>
      <c r="Q1088" s="287"/>
      <c r="R1088" s="317"/>
      <c r="S1088" s="611"/>
      <c r="T1088" s="372"/>
      <c r="V1088" s="26"/>
      <c r="AA1088" s="238"/>
    </row>
    <row r="1089" spans="1:35" ht="12.75" hidden="1" customHeight="1">
      <c r="G1089"/>
      <c r="H1089" s="33"/>
      <c r="J1089" s="504"/>
      <c r="K1089" s="258" t="s">
        <v>189</v>
      </c>
      <c r="L1089" s="116" t="s">
        <v>585</v>
      </c>
      <c r="M1089" s="175">
        <f>-63.85</f>
        <v>-63.85</v>
      </c>
      <c r="N1089" s="538">
        <f t="shared" si="118"/>
        <v>743.27009400001566</v>
      </c>
      <c r="P1089" s="68"/>
      <c r="Q1089" s="287"/>
      <c r="R1089" s="317"/>
      <c r="S1089" s="611"/>
      <c r="T1089" s="372"/>
      <c r="V1089" s="26"/>
      <c r="AA1089" s="238"/>
    </row>
    <row r="1090" spans="1:35" ht="12.75" hidden="1" customHeight="1">
      <c r="G1090"/>
      <c r="H1090" s="33"/>
      <c r="I1090" s="532"/>
      <c r="J1090" s="504"/>
      <c r="K1090" s="321" t="s">
        <v>190</v>
      </c>
      <c r="L1090" s="269" t="s">
        <v>375</v>
      </c>
      <c r="M1090" s="366">
        <v>-47.52</v>
      </c>
      <c r="N1090" s="566">
        <f t="shared" si="118"/>
        <v>695.75009400001568</v>
      </c>
      <c r="P1090" s="68"/>
      <c r="Q1090" s="585"/>
      <c r="R1090" s="131"/>
      <c r="S1090" s="373"/>
      <c r="T1090" s="372"/>
      <c r="V1090" s="26"/>
      <c r="AA1090" s="238"/>
    </row>
    <row r="1091" spans="1:35" ht="15" hidden="1">
      <c r="L1091" s="23"/>
      <c r="M1091" s="168">
        <f>SUM(M1063:M1090)</f>
        <v>695.75009400001568</v>
      </c>
      <c r="N1091" s="806"/>
      <c r="P1091" s="776"/>
      <c r="Q1091" s="595"/>
      <c r="R1091" s="591"/>
      <c r="S1091" s="778"/>
      <c r="T1091" s="832"/>
    </row>
    <row r="1092" spans="1:35" s="78" customFormat="1" hidden="1">
      <c r="E1092" s="15"/>
      <c r="G1092" s="129"/>
      <c r="K1092" s="257"/>
      <c r="M1092" s="15"/>
      <c r="P1092" s="851"/>
      <c r="Q1092" s="681"/>
      <c r="R1092" s="682"/>
      <c r="S1092" s="852"/>
      <c r="T1092" s="684"/>
      <c r="Z1092" s="15"/>
      <c r="AA1092" s="130"/>
      <c r="AB1092" s="15"/>
    </row>
    <row r="1093" spans="1:35" hidden="1">
      <c r="P1093" s="777"/>
      <c r="Q1093" s="595"/>
      <c r="R1093" s="591"/>
      <c r="S1093" s="780"/>
      <c r="T1093" s="503"/>
    </row>
    <row r="1094" spans="1:35" ht="12.75" hidden="1" customHeight="1">
      <c r="B1094" s="1030" t="s">
        <v>432</v>
      </c>
      <c r="C1094" s="1030"/>
      <c r="D1094" s="1030"/>
      <c r="E1094" s="1030"/>
      <c r="G1094" s="261"/>
      <c r="H1094" s="658"/>
      <c r="I1094" s="26"/>
      <c r="K1094" s="258"/>
      <c r="L1094" s="100"/>
      <c r="M1094" s="1031" t="s">
        <v>54</v>
      </c>
      <c r="N1094" s="853"/>
      <c r="O1094" s="858"/>
      <c r="P1094" s="1033" t="s">
        <v>48</v>
      </c>
      <c r="Q1094" s="1035" t="s">
        <v>581</v>
      </c>
      <c r="R1094" s="1035"/>
      <c r="S1094" s="377"/>
      <c r="X1094" s="35"/>
      <c r="Y1094" s="35"/>
      <c r="Z1094" s="26"/>
      <c r="AA1094" s="857"/>
      <c r="AB1094" s="26"/>
      <c r="AC1094" s="20"/>
      <c r="AD1094" s="20"/>
      <c r="AE1094" s="20"/>
      <c r="AF1094" s="20"/>
      <c r="AG1094" s="20"/>
      <c r="AH1094" s="20"/>
      <c r="AI1094" s="20"/>
    </row>
    <row r="1095" spans="1:35" ht="12.75" hidden="1" customHeight="1">
      <c r="C1095" s="17" t="s">
        <v>357</v>
      </c>
      <c r="D1095" s="14"/>
      <c r="E1095" s="44">
        <v>8490.68</v>
      </c>
      <c r="G1095" s="1036"/>
      <c r="H1095" s="1036"/>
      <c r="I1095" s="26"/>
      <c r="K1095" s="260" t="s">
        <v>221</v>
      </c>
      <c r="L1095" s="156"/>
      <c r="M1095" s="1032"/>
      <c r="N1095" s="853" t="s">
        <v>43</v>
      </c>
      <c r="O1095" s="858"/>
      <c r="P1095" s="1034"/>
      <c r="Q1095" s="854" t="s">
        <v>43</v>
      </c>
      <c r="R1095" s="855" t="s">
        <v>53</v>
      </c>
      <c r="S1095" s="377"/>
      <c r="X1095" s="118"/>
      <c r="Y1095" s="111"/>
      <c r="Z1095" s="117"/>
      <c r="AA1095" s="89"/>
      <c r="AB1095" s="90"/>
      <c r="AC1095" s="20"/>
      <c r="AD1095" s="41"/>
      <c r="AE1095" s="20"/>
      <c r="AF1095" s="20"/>
      <c r="AG1095" s="20"/>
      <c r="AH1095" s="20"/>
      <c r="AI1095" s="20"/>
    </row>
    <row r="1096" spans="1:35" ht="12.75" hidden="1" customHeight="1">
      <c r="C1096" s="17"/>
      <c r="D1096" s="14" t="s">
        <v>24</v>
      </c>
      <c r="E1096" s="44">
        <f>'[1]JANUARY ''14'!$C$33</f>
        <v>82.72999999999999</v>
      </c>
      <c r="G1096" s="30"/>
      <c r="H1096" s="624">
        <f>SUM(E1096:E1097)</f>
        <v>82.72999999999999</v>
      </c>
      <c r="I1096" s="26"/>
      <c r="K1096" s="273"/>
      <c r="L1096" s="235" t="s">
        <v>226</v>
      </c>
      <c r="M1096" s="45">
        <f>$M$1091</f>
        <v>695.75009400001568</v>
      </c>
      <c r="N1096" s="71">
        <f>M1096</f>
        <v>695.75009400001568</v>
      </c>
      <c r="O1096" s="26"/>
      <c r="P1096" s="45">
        <f>$Q$1087</f>
        <v>-16235.627278480999</v>
      </c>
      <c r="Q1096" s="71">
        <f>P1096</f>
        <v>-16235.627278480999</v>
      </c>
      <c r="R1096" s="45">
        <f>20000+Q1096</f>
        <v>3764.3727215190011</v>
      </c>
      <c r="S1096" s="378" t="s">
        <v>298</v>
      </c>
      <c r="T1096" s="367" t="s">
        <v>299</v>
      </c>
      <c r="W1096" s="392"/>
      <c r="X1096" s="111"/>
      <c r="Y1096" s="111"/>
      <c r="Z1096" s="45"/>
      <c r="AA1096" s="488"/>
      <c r="AB1096" s="26"/>
      <c r="AC1096" s="20"/>
      <c r="AD1096" s="92"/>
      <c r="AE1096" s="93"/>
      <c r="AF1096" s="20"/>
      <c r="AG1096" s="20"/>
      <c r="AH1096" s="20"/>
      <c r="AI1096" s="20"/>
    </row>
    <row r="1097" spans="1:35" ht="12.75" hidden="1" customHeight="1">
      <c r="C1097" s="17"/>
      <c r="D1097" s="143" t="s">
        <v>225</v>
      </c>
      <c r="E1097" s="15"/>
      <c r="G1097"/>
      <c r="H1097" s="624"/>
      <c r="I1097" s="26"/>
      <c r="K1097" s="297" t="s">
        <v>223</v>
      </c>
      <c r="L1097" s="184" t="s">
        <v>227</v>
      </c>
      <c r="M1097" s="45">
        <v>-449</v>
      </c>
      <c r="N1097" s="538">
        <f>N1096+M1097</f>
        <v>246.75009400001568</v>
      </c>
      <c r="O1097" s="65"/>
      <c r="P1097" s="133">
        <v>-188.03</v>
      </c>
      <c r="Q1097" s="72">
        <f>Q1096+P1097</f>
        <v>-16423.657278480998</v>
      </c>
      <c r="R1097" s="45">
        <f>20000+Q1097</f>
        <v>3576.3427215190022</v>
      </c>
      <c r="S1097" s="373" t="s">
        <v>662</v>
      </c>
      <c r="T1097" s="391"/>
      <c r="W1097" s="111"/>
      <c r="X1097" s="111"/>
      <c r="Y1097" s="112"/>
      <c r="Z1097" s="55"/>
      <c r="AA1097" s="489"/>
      <c r="AB1097" s="95"/>
      <c r="AC1097" s="20"/>
      <c r="AD1097" s="41"/>
      <c r="AE1097" s="93"/>
      <c r="AF1097" s="20"/>
      <c r="AG1097" s="20"/>
      <c r="AH1097" s="20"/>
      <c r="AI1097" s="20"/>
    </row>
    <row r="1098" spans="1:35" ht="12.75" hidden="1" customHeight="1">
      <c r="C1098" s="18" t="s">
        <v>5</v>
      </c>
      <c r="D1098" s="14"/>
      <c r="E1098" s="14">
        <f>SUM(E1095:E1097)</f>
        <v>8573.41</v>
      </c>
      <c r="G1098" s="242"/>
      <c r="H1098" s="492"/>
      <c r="I1098" s="26"/>
      <c r="K1098" s="273"/>
      <c r="L1098" s="116" t="s">
        <v>524</v>
      </c>
      <c r="M1098" s="45">
        <v>-9</v>
      </c>
      <c r="N1098" s="538">
        <f t="shared" ref="N1098:N1113" si="123">N1097+M1098</f>
        <v>237.75009400001568</v>
      </c>
      <c r="O1098" s="49"/>
      <c r="P1098" s="133">
        <v>-159.87</v>
      </c>
      <c r="Q1098" s="72">
        <f t="shared" ref="Q1098:Q1112" si="124">Q1097+P1098</f>
        <v>-16583.527278480997</v>
      </c>
      <c r="R1098" s="45">
        <f t="shared" ref="R1098:R1112" si="125">20000+Q1098</f>
        <v>3416.4727215190032</v>
      </c>
      <c r="S1098" s="373" t="s">
        <v>663</v>
      </c>
      <c r="T1098" s="391"/>
      <c r="W1098" s="111"/>
      <c r="X1098" s="111"/>
      <c r="Y1098" s="112"/>
      <c r="Z1098" s="55"/>
      <c r="AA1098" s="489"/>
      <c r="AB1098" s="26"/>
      <c r="AC1098" s="20"/>
      <c r="AD1098" s="92"/>
      <c r="AE1098" s="93"/>
      <c r="AF1098" s="20"/>
      <c r="AG1098" s="20"/>
      <c r="AH1098" s="20"/>
      <c r="AI1098" s="20"/>
    </row>
    <row r="1099" spans="1:35" ht="12.75" hidden="1" customHeight="1">
      <c r="G1099" s="20"/>
      <c r="H1099" s="490"/>
      <c r="I1099" s="26"/>
      <c r="K1099" s="273"/>
      <c r="L1099" s="116" t="s">
        <v>684</v>
      </c>
      <c r="M1099" s="45">
        <f>-703.03+500</f>
        <v>-203.02999999999997</v>
      </c>
      <c r="N1099" s="538">
        <f t="shared" si="123"/>
        <v>34.720094000015706</v>
      </c>
      <c r="O1099" s="39"/>
      <c r="P1099" s="133">
        <v>-307.41000000000003</v>
      </c>
      <c r="Q1099" s="72">
        <f t="shared" si="124"/>
        <v>-16890.937278480997</v>
      </c>
      <c r="R1099" s="45">
        <f t="shared" si="125"/>
        <v>3109.0627215190034</v>
      </c>
      <c r="S1099" s="373" t="s">
        <v>664</v>
      </c>
      <c r="T1099" s="391"/>
      <c r="W1099" s="112"/>
      <c r="X1099" s="112"/>
      <c r="Y1099" s="112"/>
      <c r="Z1099" s="55"/>
      <c r="AA1099" s="489"/>
      <c r="AB1099" s="26"/>
      <c r="AC1099" s="20"/>
      <c r="AD1099" s="92"/>
      <c r="AE1099" s="93"/>
      <c r="AF1099" s="20"/>
      <c r="AG1099" s="20"/>
      <c r="AH1099" s="20"/>
      <c r="AI1099" s="20"/>
    </row>
    <row r="1100" spans="1:35" ht="12.75" hidden="1" customHeight="1">
      <c r="A1100" s="319"/>
      <c r="C1100" s="81" t="s">
        <v>17</v>
      </c>
      <c r="E1100" s="42"/>
      <c r="G1100"/>
      <c r="H1100" s="859"/>
      <c r="I1100" s="242"/>
      <c r="J1100" s="315"/>
      <c r="K1100" s="258" t="s">
        <v>222</v>
      </c>
      <c r="L1100" s="266" t="s">
        <v>51</v>
      </c>
      <c r="M1100" s="146">
        <f>E1101</f>
        <v>8490.68</v>
      </c>
      <c r="N1100" s="538">
        <f t="shared" si="123"/>
        <v>8525.4000940000151</v>
      </c>
      <c r="O1100" s="39"/>
      <c r="P1100" s="133">
        <v>-971.83</v>
      </c>
      <c r="Q1100" s="72">
        <f t="shared" si="124"/>
        <v>-17862.767278480998</v>
      </c>
      <c r="R1100" s="45">
        <f t="shared" si="125"/>
        <v>2137.2327215190016</v>
      </c>
      <c r="S1100" s="373" t="s">
        <v>665</v>
      </c>
      <c r="T1100" s="391"/>
      <c r="W1100" s="103"/>
      <c r="X1100" s="111"/>
      <c r="Y1100" s="112"/>
      <c r="Z1100" s="55"/>
      <c r="AA1100" s="489"/>
      <c r="AB1100" s="95"/>
      <c r="AC1100" s="20"/>
      <c r="AD1100" s="96"/>
      <c r="AE1100" s="93"/>
      <c r="AF1100" s="20"/>
      <c r="AG1100" s="20"/>
      <c r="AH1100" s="20"/>
      <c r="AI1100" s="20"/>
    </row>
    <row r="1101" spans="1:35" ht="12.75" hidden="1" customHeight="1">
      <c r="A1101" s="319"/>
      <c r="D1101" s="20" t="s">
        <v>14</v>
      </c>
      <c r="E1101" s="42">
        <f>E1095</f>
        <v>8490.68</v>
      </c>
      <c r="F1101" s="20"/>
      <c r="G1101" s="20"/>
      <c r="H1101" s="490">
        <f>G1102+E1102</f>
        <v>82.72999999999999</v>
      </c>
      <c r="I1101" s="315"/>
      <c r="J1101" s="511"/>
      <c r="K1101" s="258"/>
      <c r="L1101" s="266" t="s">
        <v>451</v>
      </c>
      <c r="M1101" s="146">
        <v>-2850</v>
      </c>
      <c r="N1101" s="538">
        <f t="shared" si="123"/>
        <v>5675.4000940000151</v>
      </c>
      <c r="O1101" s="274"/>
      <c r="P1101" s="133">
        <v>-14</v>
      </c>
      <c r="Q1101" s="72">
        <f t="shared" si="124"/>
        <v>-17876.767278480998</v>
      </c>
      <c r="R1101" s="45">
        <f t="shared" si="125"/>
        <v>2123.2327215190016</v>
      </c>
      <c r="S1101" s="373" t="s">
        <v>666</v>
      </c>
      <c r="T1101" s="391"/>
      <c r="U1101" s="74"/>
      <c r="V1101" s="26"/>
      <c r="W1101" s="111"/>
      <c r="X1101" s="111"/>
      <c r="Y1101" s="112"/>
      <c r="Z1101" s="55"/>
      <c r="AA1101" s="489"/>
      <c r="AB1101" s="26"/>
      <c r="AC1101" s="20"/>
      <c r="AD1101" s="41"/>
      <c r="AE1101" s="93"/>
      <c r="AF1101" s="20"/>
      <c r="AG1101" s="20"/>
      <c r="AH1101" s="20"/>
      <c r="AI1101" s="20"/>
    </row>
    <row r="1102" spans="1:35" ht="12.75" hidden="1" customHeight="1" thickBot="1">
      <c r="A1102" s="319"/>
      <c r="D1102" s="78" t="s">
        <v>13</v>
      </c>
      <c r="E1102" s="483">
        <f>SUM(E1096:E1097)</f>
        <v>82.72999999999999</v>
      </c>
      <c r="F1102" s="482" t="s">
        <v>364</v>
      </c>
      <c r="G1102" s="1037"/>
      <c r="H1102" s="1037"/>
      <c r="I1102" s="315"/>
      <c r="J1102" s="511"/>
      <c r="K1102" s="258"/>
      <c r="L1102" s="266" t="s">
        <v>333</v>
      </c>
      <c r="M1102" s="45">
        <v>0</v>
      </c>
      <c r="N1102" s="538">
        <f t="shared" si="123"/>
        <v>5675.4000940000151</v>
      </c>
      <c r="O1102" s="253"/>
      <c r="P1102" s="133">
        <v>-79.14</v>
      </c>
      <c r="Q1102" s="72">
        <f t="shared" si="124"/>
        <v>-17955.907278480998</v>
      </c>
      <c r="R1102" s="45">
        <f t="shared" si="125"/>
        <v>2044.0927215190022</v>
      </c>
      <c r="S1102" s="373" t="s">
        <v>667</v>
      </c>
      <c r="T1102" s="391"/>
      <c r="U1102" s="74"/>
      <c r="V1102" s="26"/>
      <c r="W1102" s="20"/>
      <c r="X1102" s="20"/>
      <c r="Y1102" s="112"/>
      <c r="Z1102" s="239"/>
      <c r="AA1102" s="94"/>
      <c r="AB1102" s="26"/>
      <c r="AC1102" s="20"/>
      <c r="AD1102" s="92"/>
      <c r="AE1102" s="93"/>
      <c r="AF1102" s="20"/>
      <c r="AG1102" s="20"/>
      <c r="AH1102" s="20"/>
      <c r="AI1102" s="20"/>
    </row>
    <row r="1103" spans="1:35" ht="12.75" hidden="1" customHeight="1" thickTop="1">
      <c r="A1103" s="319"/>
      <c r="D1103" s="20"/>
      <c r="E1103" s="26"/>
      <c r="F1103" s="122"/>
      <c r="G1103" s="1038">
        <f>E1101+E1102+G1102</f>
        <v>8573.41</v>
      </c>
      <c r="H1103" s="1038"/>
      <c r="I1103" s="962"/>
      <c r="J1103" s="962"/>
      <c r="K1103" s="258"/>
      <c r="L1103" s="266" t="s">
        <v>552</v>
      </c>
      <c r="M1103" s="45">
        <v>-350</v>
      </c>
      <c r="N1103" s="538">
        <f t="shared" si="123"/>
        <v>5325.4000940000151</v>
      </c>
      <c r="O1103" s="253"/>
      <c r="P1103" s="133">
        <v>-142.63</v>
      </c>
      <c r="Q1103" s="72">
        <f t="shared" si="124"/>
        <v>-18098.537278480999</v>
      </c>
      <c r="R1103" s="45">
        <f t="shared" si="125"/>
        <v>1901.4627215190012</v>
      </c>
      <c r="S1103" s="373" t="s">
        <v>668</v>
      </c>
      <c r="T1103" s="391"/>
      <c r="U1103" s="74"/>
      <c r="V1103" s="26"/>
      <c r="W1103" s="26"/>
      <c r="X1103" s="20"/>
      <c r="Y1103" s="112"/>
      <c r="Z1103" s="239"/>
      <c r="AA1103" s="94"/>
      <c r="AB1103" s="95"/>
      <c r="AC1103" s="20"/>
      <c r="AD1103" s="92"/>
      <c r="AE1103" s="93"/>
      <c r="AF1103" s="20"/>
      <c r="AG1103" s="20"/>
      <c r="AH1103" s="20"/>
      <c r="AI1103" s="20"/>
    </row>
    <row r="1104" spans="1:35" ht="12.75" hidden="1" customHeight="1">
      <c r="A1104" s="333"/>
      <c r="B1104" s="333"/>
      <c r="C1104" s="333"/>
      <c r="D1104" s="408"/>
      <c r="E1104" s="412"/>
      <c r="F1104" s="50"/>
      <c r="G1104" s="409"/>
      <c r="H1104" s="856"/>
      <c r="I1104" s="315"/>
      <c r="J1104" s="709"/>
      <c r="K1104" s="258" t="s">
        <v>371</v>
      </c>
      <c r="L1104" s="266" t="s">
        <v>195</v>
      </c>
      <c r="M1104" s="45">
        <v>-1738</v>
      </c>
      <c r="N1104" s="538">
        <f t="shared" si="123"/>
        <v>3587.4000940000151</v>
      </c>
      <c r="O1104" s="253"/>
      <c r="P1104" s="133">
        <v>-254.17</v>
      </c>
      <c r="Q1104" s="72">
        <f t="shared" si="124"/>
        <v>-18352.707278480997</v>
      </c>
      <c r="R1104" s="45">
        <f t="shared" si="125"/>
        <v>1647.292721519003</v>
      </c>
      <c r="S1104" s="373" t="s">
        <v>253</v>
      </c>
      <c r="T1104" s="391"/>
      <c r="U1104" s="65"/>
      <c r="V1104" s="20"/>
      <c r="W1104" s="26"/>
      <c r="X1104" s="91"/>
      <c r="Y1104" s="20"/>
      <c r="Z1104" s="239"/>
      <c r="AA1104" s="94"/>
      <c r="AB1104" s="26"/>
      <c r="AC1104" s="20"/>
      <c r="AD1104" s="20"/>
      <c r="AE1104" s="20"/>
      <c r="AF1104" s="20"/>
      <c r="AG1104" s="20"/>
      <c r="AH1104" s="20"/>
      <c r="AI1104" s="20"/>
    </row>
    <row r="1105" spans="1:35" ht="12.75" hidden="1" customHeight="1">
      <c r="A1105" s="333"/>
      <c r="B1105" s="333"/>
      <c r="C1105" s="410"/>
      <c r="D1105" s="561"/>
      <c r="E1105" s="405"/>
      <c r="F1105" s="50"/>
      <c r="G1105" s="409"/>
      <c r="H1105" s="856"/>
      <c r="I1105" s="493"/>
      <c r="J1105" s="517"/>
      <c r="K1105" s="85" t="s">
        <v>371</v>
      </c>
      <c r="L1105" s="266" t="s">
        <v>180</v>
      </c>
      <c r="M1105" s="45">
        <v>-59</v>
      </c>
      <c r="N1105" s="538">
        <f t="shared" si="123"/>
        <v>3528.4000940000151</v>
      </c>
      <c r="O1105" s="253"/>
      <c r="P1105" s="133">
        <v>-154.16</v>
      </c>
      <c r="Q1105" s="72">
        <f t="shared" si="124"/>
        <v>-18506.867278480997</v>
      </c>
      <c r="R1105" s="45">
        <f t="shared" si="125"/>
        <v>1493.1327215190031</v>
      </c>
      <c r="S1105" s="373" t="s">
        <v>669</v>
      </c>
      <c r="T1105" s="391" t="s">
        <v>671</v>
      </c>
      <c r="U1105" s="65"/>
      <c r="V1105" s="20"/>
      <c r="W1105" s="26"/>
      <c r="X1105" s="91"/>
      <c r="Y1105" s="20"/>
      <c r="Z1105" s="239"/>
      <c r="AA1105" s="94"/>
      <c r="AB1105" s="26"/>
      <c r="AC1105" s="20"/>
      <c r="AD1105" s="20"/>
      <c r="AE1105" s="20"/>
      <c r="AF1105" s="20"/>
      <c r="AG1105" s="20"/>
      <c r="AH1105" s="20"/>
      <c r="AI1105" s="20"/>
    </row>
    <row r="1106" spans="1:35" ht="12.75" hidden="1" customHeight="1">
      <c r="A1106" s="333"/>
      <c r="B1106" s="333"/>
      <c r="C1106" s="333"/>
      <c r="D1106" s="408"/>
      <c r="E1106" s="133"/>
      <c r="F1106" s="50"/>
      <c r="G1106" s="409"/>
      <c r="H1106" s="856"/>
      <c r="I1106" s="494"/>
      <c r="J1106" s="709"/>
      <c r="K1106" s="258" t="s">
        <v>371</v>
      </c>
      <c r="L1106" s="266" t="s">
        <v>61</v>
      </c>
      <c r="M1106" s="45">
        <v>-252.5</v>
      </c>
      <c r="N1106" s="538">
        <f t="shared" si="123"/>
        <v>3275.9000940000151</v>
      </c>
      <c r="O1106" s="253"/>
      <c r="P1106" s="133">
        <v>-64.010000000000005</v>
      </c>
      <c r="Q1106" s="72">
        <f t="shared" si="124"/>
        <v>-18570.877278480995</v>
      </c>
      <c r="R1106" s="45">
        <f t="shared" si="125"/>
        <v>1429.1227215190047</v>
      </c>
      <c r="S1106" s="373" t="s">
        <v>669</v>
      </c>
      <c r="T1106" s="391" t="s">
        <v>670</v>
      </c>
      <c r="U1106" s="65"/>
      <c r="V1106" s="20"/>
      <c r="W1106" s="26"/>
      <c r="X1106" s="91"/>
      <c r="Y1106" s="20"/>
      <c r="Z1106" s="239"/>
      <c r="AA1106" s="94"/>
      <c r="AB1106" s="26"/>
      <c r="AC1106" s="20"/>
      <c r="AD1106" s="20"/>
      <c r="AE1106" s="20"/>
      <c r="AF1106" s="20"/>
      <c r="AG1106" s="20"/>
      <c r="AH1106" s="20"/>
      <c r="AI1106" s="20"/>
    </row>
    <row r="1107" spans="1:35" ht="12.75" hidden="1" customHeight="1">
      <c r="A1107" s="333"/>
      <c r="B1107" s="333"/>
      <c r="C1107" s="333"/>
      <c r="D1107" s="408"/>
      <c r="E1107" s="133"/>
      <c r="F1107" s="50"/>
      <c r="G1107" s="409"/>
      <c r="H1107" s="856"/>
      <c r="I1107" s="495"/>
      <c r="K1107" s="258" t="s">
        <v>371</v>
      </c>
      <c r="L1107" s="266" t="s">
        <v>148</v>
      </c>
      <c r="M1107" s="45">
        <v>1000</v>
      </c>
      <c r="N1107" s="538">
        <f t="shared" si="123"/>
        <v>4275.9000940000151</v>
      </c>
      <c r="O1107" s="253"/>
      <c r="P1107" s="133">
        <v>-177.06</v>
      </c>
      <c r="Q1107" s="72">
        <f t="shared" si="124"/>
        <v>-18747.937278480997</v>
      </c>
      <c r="R1107" s="45">
        <f t="shared" si="125"/>
        <v>1252.0627215190034</v>
      </c>
      <c r="S1107" s="373" t="s">
        <v>672</v>
      </c>
      <c r="T1107" s="391"/>
      <c r="U1107" s="65"/>
      <c r="V1107" s="20"/>
      <c r="W1107" s="26"/>
      <c r="X1107" s="91"/>
      <c r="Y1107" s="20"/>
      <c r="Z1107" s="239"/>
      <c r="AA1107" s="94"/>
      <c r="AB1107" s="26"/>
      <c r="AC1107" s="20"/>
      <c r="AD1107" s="20"/>
      <c r="AE1107" s="20"/>
      <c r="AF1107" s="20"/>
      <c r="AG1107" s="20"/>
      <c r="AH1107" s="20"/>
      <c r="AI1107" s="20"/>
    </row>
    <row r="1108" spans="1:35" ht="12.75" hidden="1" customHeight="1">
      <c r="A1108" s="333"/>
      <c r="B1108" s="333"/>
      <c r="C1108" s="333"/>
      <c r="D1108" s="408"/>
      <c r="E1108" s="133"/>
      <c r="F1108" s="50"/>
      <c r="G1108" s="409"/>
      <c r="H1108" s="856"/>
      <c r="I1108" s="495"/>
      <c r="K1108" s="85" t="s">
        <v>189</v>
      </c>
      <c r="L1108" s="267" t="s">
        <v>16</v>
      </c>
      <c r="M1108" s="175">
        <v>0</v>
      </c>
      <c r="N1108" s="538">
        <f t="shared" si="123"/>
        <v>4275.9000940000151</v>
      </c>
      <c r="O1108" s="253"/>
      <c r="P1108" s="133">
        <v>-96.65</v>
      </c>
      <c r="Q1108" s="72">
        <f t="shared" si="124"/>
        <v>-18844.587278480998</v>
      </c>
      <c r="R1108" s="45">
        <f t="shared" si="125"/>
        <v>1155.4127215190019</v>
      </c>
      <c r="S1108" s="373" t="s">
        <v>673</v>
      </c>
      <c r="T1108" s="391"/>
      <c r="U1108" s="65"/>
      <c r="V1108" s="20"/>
      <c r="W1108" s="26"/>
      <c r="X1108" s="91"/>
      <c r="Y1108" s="20"/>
      <c r="Z1108" s="239"/>
      <c r="AA1108" s="94"/>
      <c r="AB1108" s="26"/>
      <c r="AC1108" s="20"/>
      <c r="AD1108" s="20"/>
      <c r="AE1108" s="20"/>
      <c r="AF1108" s="20"/>
      <c r="AG1108" s="20"/>
      <c r="AH1108" s="20"/>
      <c r="AI1108" s="20"/>
    </row>
    <row r="1109" spans="1:35" ht="12.75" hidden="1" customHeight="1">
      <c r="A1109" s="333"/>
      <c r="B1109" s="333"/>
      <c r="C1109" s="333"/>
      <c r="D1109" s="408"/>
      <c r="E1109" s="133"/>
      <c r="F1109" s="50"/>
      <c r="G1109" s="409"/>
      <c r="H1109" s="856"/>
      <c r="I1109" s="753"/>
      <c r="J1109" s="709"/>
      <c r="K1109" s="258" t="s">
        <v>189</v>
      </c>
      <c r="L1109" s="268" t="s">
        <v>56</v>
      </c>
      <c r="M1109" s="175">
        <v>-1300</v>
      </c>
      <c r="N1109" s="538">
        <f t="shared" si="123"/>
        <v>2975.9000940000151</v>
      </c>
      <c r="O1109" s="253"/>
      <c r="P1109" s="133">
        <v>-72.5</v>
      </c>
      <c r="Q1109" s="72">
        <f t="shared" si="124"/>
        <v>-18917.087278480998</v>
      </c>
      <c r="R1109" s="45">
        <f t="shared" si="125"/>
        <v>1082.9127215190019</v>
      </c>
      <c r="S1109" s="373" t="s">
        <v>674</v>
      </c>
      <c r="T1109" s="391" t="s">
        <v>675</v>
      </c>
      <c r="U1109" s="65"/>
      <c r="V1109" s="20"/>
      <c r="W1109" s="26"/>
      <c r="X1109" s="91"/>
      <c r="Y1109" s="20"/>
      <c r="Z1109" s="239"/>
      <c r="AA1109" s="94"/>
      <c r="AB1109" s="26"/>
      <c r="AC1109" s="20"/>
      <c r="AD1109" s="20"/>
      <c r="AE1109" s="20"/>
      <c r="AF1109" s="20"/>
      <c r="AG1109" s="20"/>
      <c r="AH1109" s="20"/>
      <c r="AI1109" s="20"/>
    </row>
    <row r="1110" spans="1:35" ht="12.75" hidden="1" customHeight="1">
      <c r="A1110" s="333"/>
      <c r="B1110" s="333"/>
      <c r="C1110" s="333"/>
      <c r="D1110" s="133"/>
      <c r="E1110" s="133"/>
      <c r="F1110" s="50"/>
      <c r="G1110" s="409"/>
      <c r="H1110" s="856"/>
      <c r="I1110" s="510"/>
      <c r="J1110" s="521"/>
      <c r="K1110" s="258" t="s">
        <v>189</v>
      </c>
      <c r="L1110" s="268" t="s">
        <v>23</v>
      </c>
      <c r="M1110" s="133">
        <v>-289.95999999999998</v>
      </c>
      <c r="N1110" s="538">
        <f t="shared" si="123"/>
        <v>2685.9400940000151</v>
      </c>
      <c r="O1110" s="253"/>
      <c r="P1110" s="133">
        <v>-260.58999999999997</v>
      </c>
      <c r="Q1110" s="72">
        <f t="shared" si="124"/>
        <v>-19177.677278480998</v>
      </c>
      <c r="R1110" s="45">
        <f t="shared" si="125"/>
        <v>822.32272151900179</v>
      </c>
      <c r="S1110" s="373" t="s">
        <v>674</v>
      </c>
      <c r="T1110" s="391" t="s">
        <v>309</v>
      </c>
      <c r="U1110" s="65"/>
      <c r="V1110" s="20"/>
      <c r="W1110" s="26"/>
      <c r="X1110" s="91"/>
      <c r="Y1110" s="20"/>
      <c r="Z1110" s="239"/>
      <c r="AA1110" s="94"/>
      <c r="AB1110" s="26"/>
      <c r="AC1110" s="20"/>
      <c r="AD1110" s="20"/>
      <c r="AE1110" s="20"/>
      <c r="AF1110" s="20"/>
      <c r="AG1110" s="20"/>
      <c r="AH1110" s="20"/>
      <c r="AI1110" s="20"/>
    </row>
    <row r="1111" spans="1:35" ht="12.75" hidden="1" customHeight="1">
      <c r="A1111" s="333"/>
      <c r="B1111" s="333"/>
      <c r="C1111" s="333"/>
      <c r="D1111" s="133"/>
      <c r="E1111" s="133"/>
      <c r="F1111" s="50"/>
      <c r="G1111" s="409"/>
      <c r="H1111" s="509"/>
      <c r="K1111" s="258" t="s">
        <v>189</v>
      </c>
      <c r="L1111" s="116" t="s">
        <v>224</v>
      </c>
      <c r="M1111" s="45">
        <v>-590.14</v>
      </c>
      <c r="N1111" s="538">
        <f t="shared" si="123"/>
        <v>2095.8000940000152</v>
      </c>
      <c r="O1111" s="253"/>
      <c r="P1111" s="133">
        <v>-257.01</v>
      </c>
      <c r="Q1111" s="72">
        <f t="shared" si="124"/>
        <v>-19434.687278480997</v>
      </c>
      <c r="R1111" s="45">
        <f t="shared" si="125"/>
        <v>565.31272151900339</v>
      </c>
      <c r="S1111" s="373" t="s">
        <v>674</v>
      </c>
      <c r="T1111" s="391" t="s">
        <v>676</v>
      </c>
      <c r="U1111" s="84"/>
      <c r="V1111" s="26"/>
      <c r="W1111" s="26"/>
      <c r="X1111" s="91"/>
      <c r="Y1111" s="20"/>
      <c r="Z1111" s="239"/>
      <c r="AA1111" s="94"/>
      <c r="AB1111" s="26"/>
      <c r="AC1111" s="20"/>
      <c r="AD1111" s="20"/>
      <c r="AE1111" s="20"/>
      <c r="AF1111" s="20"/>
      <c r="AG1111" s="20"/>
      <c r="AH1111" s="20"/>
      <c r="AI1111" s="20"/>
    </row>
    <row r="1112" spans="1:35" ht="12.75" hidden="1" customHeight="1">
      <c r="A1112" s="333"/>
      <c r="B1112" s="333"/>
      <c r="C1112" s="333"/>
      <c r="D1112" s="413"/>
      <c r="E1112" s="34"/>
      <c r="F1112" s="50"/>
      <c r="G1112" s="414"/>
      <c r="H1112" s="509"/>
      <c r="K1112" s="258" t="s">
        <v>189</v>
      </c>
      <c r="L1112" s="116" t="s">
        <v>585</v>
      </c>
      <c r="M1112" s="175">
        <f>-63.85</f>
        <v>-63.85</v>
      </c>
      <c r="N1112" s="538">
        <f t="shared" si="123"/>
        <v>2031.9500940000153</v>
      </c>
      <c r="O1112" s="253"/>
      <c r="P1112" s="133">
        <v>-118.16</v>
      </c>
      <c r="Q1112" s="72">
        <f t="shared" si="124"/>
        <v>-19552.847278480996</v>
      </c>
      <c r="R1112" s="45">
        <f t="shared" si="125"/>
        <v>447.15272151900353</v>
      </c>
      <c r="S1112" s="373" t="s">
        <v>677</v>
      </c>
      <c r="T1112" s="391"/>
      <c r="U1112" s="84"/>
      <c r="V1112" s="45"/>
      <c r="W1112" s="26"/>
      <c r="X1112" s="91"/>
      <c r="Y1112" s="20"/>
      <c r="Z1112" s="239"/>
      <c r="AA1112" s="94"/>
      <c r="AB1112" s="26"/>
      <c r="AC1112" s="20"/>
      <c r="AD1112" s="20"/>
      <c r="AE1112" s="20"/>
      <c r="AF1112" s="20"/>
      <c r="AG1112" s="20"/>
      <c r="AH1112" s="20"/>
      <c r="AI1112" s="20"/>
    </row>
    <row r="1113" spans="1:35" ht="12.75" hidden="1" customHeight="1">
      <c r="A1113" s="333"/>
      <c r="B1113" s="333"/>
      <c r="C1113" s="333"/>
      <c r="D1113" s="413"/>
      <c r="E1113" s="34"/>
      <c r="F1113" s="50"/>
      <c r="G1113" s="414"/>
      <c r="H1113" s="509"/>
      <c r="J1113" s="533"/>
      <c r="K1113" s="321" t="s">
        <v>190</v>
      </c>
      <c r="L1113" s="269" t="s">
        <v>375</v>
      </c>
      <c r="M1113" s="366">
        <v>-47.52</v>
      </c>
      <c r="N1113" s="566">
        <f t="shared" si="123"/>
        <v>1984.4300940000153</v>
      </c>
      <c r="O1113" s="253"/>
      <c r="P1113" s="133">
        <v>-38.229999999999997</v>
      </c>
      <c r="Q1113" s="72">
        <f>Q1112+P1113</f>
        <v>-19591.077278480996</v>
      </c>
      <c r="R1113" s="45">
        <f>20000+Q1113</f>
        <v>408.92272151900397</v>
      </c>
      <c r="S1113" s="373" t="s">
        <v>678</v>
      </c>
      <c r="T1113" s="391" t="s">
        <v>680</v>
      </c>
      <c r="U1113" s="20"/>
      <c r="V1113" s="26"/>
      <c r="W1113" s="26"/>
      <c r="X1113" s="91"/>
      <c r="Y1113" s="20"/>
      <c r="Z1113" s="239"/>
      <c r="AA1113" s="94"/>
      <c r="AB1113" s="26"/>
      <c r="AC1113" s="20"/>
      <c r="AD1113" s="20"/>
      <c r="AE1113" s="20"/>
      <c r="AF1113" s="20"/>
      <c r="AG1113" s="20"/>
      <c r="AH1113" s="20"/>
      <c r="AI1113" s="20"/>
    </row>
    <row r="1114" spans="1:35" ht="12.75" hidden="1" customHeight="1">
      <c r="A1114" s="333"/>
      <c r="B1114" s="333"/>
      <c r="C1114" s="333"/>
      <c r="D1114" s="48"/>
      <c r="E1114" s="133"/>
      <c r="F1114" s="50"/>
      <c r="G1114" s="414"/>
      <c r="H1114" s="856"/>
      <c r="J1114" s="533"/>
      <c r="L1114" s="23"/>
      <c r="M1114" s="168">
        <f>SUM(M1096:M1113)</f>
        <v>1984.4300940000153</v>
      </c>
      <c r="N1114" s="865"/>
      <c r="O1114" s="253"/>
      <c r="P1114" s="133">
        <v>-71.319999999999993</v>
      </c>
      <c r="Q1114" s="72">
        <f>Q1113+P1114</f>
        <v>-19662.397278480996</v>
      </c>
      <c r="R1114" s="45">
        <f>20000+Q1114</f>
        <v>337.60272151900426</v>
      </c>
      <c r="S1114" s="373" t="s">
        <v>679</v>
      </c>
      <c r="T1114" s="391" t="s">
        <v>681</v>
      </c>
      <c r="U1114" s="20"/>
      <c r="V1114" s="26"/>
      <c r="W1114" s="26"/>
      <c r="X1114" s="91"/>
      <c r="Y1114" s="20"/>
      <c r="Z1114" s="239"/>
      <c r="AA1114" s="94"/>
      <c r="AB1114" s="26"/>
      <c r="AC1114" s="20"/>
      <c r="AD1114" s="20"/>
      <c r="AE1114" s="20"/>
      <c r="AF1114" s="20"/>
      <c r="AG1114" s="20"/>
      <c r="AH1114" s="20"/>
      <c r="AI1114" s="20"/>
    </row>
    <row r="1115" spans="1:35" ht="12.75" hidden="1" customHeight="1">
      <c r="A1115" s="328"/>
      <c r="B1115" s="328"/>
      <c r="C1115" s="328"/>
      <c r="D1115" s="547"/>
      <c r="E1115" s="133"/>
      <c r="F1115" s="50"/>
      <c r="G1115" s="414"/>
      <c r="H1115" s="498"/>
      <c r="I1115" s="235"/>
      <c r="J1115" s="534"/>
      <c r="L1115" s="23"/>
      <c r="M1115" s="26"/>
      <c r="N1115" s="806"/>
      <c r="O1115" s="497"/>
      <c r="P1115" s="133">
        <v>-188.34</v>
      </c>
      <c r="Q1115" s="72">
        <f>Q1114+P1115</f>
        <v>-19850.737278480996</v>
      </c>
      <c r="R1115" s="45">
        <f>20000+Q1115</f>
        <v>149.26272151900412</v>
      </c>
      <c r="S1115" s="373" t="s">
        <v>683</v>
      </c>
      <c r="T1115" s="391" t="s">
        <v>682</v>
      </c>
      <c r="U1115" s="20"/>
      <c r="V1115" s="26"/>
      <c r="W1115" s="26"/>
      <c r="X1115" s="91"/>
      <c r="Y1115" s="20"/>
      <c r="Z1115" s="239"/>
      <c r="AA1115" s="94"/>
      <c r="AB1115" s="26"/>
      <c r="AC1115" s="20"/>
      <c r="AD1115" s="20"/>
      <c r="AE1115" s="20"/>
      <c r="AF1115" s="20"/>
      <c r="AG1115" s="20"/>
      <c r="AH1115" s="20"/>
      <c r="AI1115" s="20"/>
    </row>
    <row r="1116" spans="1:35" ht="12.75" hidden="1" customHeight="1">
      <c r="G1116"/>
      <c r="H1116" s="33"/>
      <c r="I1116" s="543"/>
      <c r="J1116" s="504"/>
      <c r="L1116" s="23"/>
      <c r="M1116" s="26"/>
      <c r="N1116" s="806"/>
      <c r="P1116" s="133">
        <v>-40.94</v>
      </c>
      <c r="Q1116" s="72">
        <f>Q1115+P1116</f>
        <v>-19891.677278480995</v>
      </c>
      <c r="R1116" s="45">
        <f>20000+Q1116</f>
        <v>108.32272151900543</v>
      </c>
      <c r="S1116" s="373" t="s">
        <v>270</v>
      </c>
      <c r="T1116" s="391"/>
      <c r="U1116" s="20"/>
      <c r="V1116" s="26"/>
      <c r="AA1116" s="238"/>
    </row>
    <row r="1117" spans="1:35" ht="12.75" hidden="1" customHeight="1">
      <c r="G1117"/>
      <c r="H1117" s="33"/>
      <c r="J1117" s="504"/>
      <c r="L1117" s="23"/>
      <c r="M1117" s="26"/>
      <c r="N1117" s="806"/>
      <c r="P1117" s="49">
        <f>E1102</f>
        <v>82.72999999999999</v>
      </c>
      <c r="Q1117" s="73">
        <f>Q1116+P1117</f>
        <v>-19808.947278480995</v>
      </c>
      <c r="R1117" s="45">
        <f>20000+Q1117</f>
        <v>191.05272151900499</v>
      </c>
      <c r="S1117" s="373"/>
      <c r="T1117" s="833"/>
      <c r="U1117" s="20"/>
      <c r="V1117" s="26"/>
      <c r="AA1117" s="238"/>
    </row>
    <row r="1118" spans="1:35" ht="12.75" hidden="1" customHeight="1">
      <c r="G1118"/>
      <c r="H1118" s="33"/>
      <c r="I1118" s="20"/>
      <c r="J1118" s="504"/>
      <c r="L1118" s="23"/>
      <c r="M1118" s="26"/>
      <c r="N1118" s="806"/>
      <c r="P1118" s="64">
        <f>SUM(P1096:P1117)</f>
        <v>-19808.947278480995</v>
      </c>
      <c r="Q1118" s="287"/>
      <c r="R1118" s="317"/>
      <c r="S1118" s="611"/>
      <c r="T1118" s="372"/>
      <c r="U1118" s="234"/>
      <c r="V1118" s="26"/>
      <c r="AA1118" s="238"/>
    </row>
    <row r="1119" spans="1:35" s="78" customFormat="1" ht="12.75" hidden="1" customHeight="1">
      <c r="E1119" s="15"/>
      <c r="H1119" s="861"/>
      <c r="J1119" s="583"/>
      <c r="K1119" s="604"/>
      <c r="L1119" s="605"/>
      <c r="M1119" s="606"/>
      <c r="N1119" s="656"/>
      <c r="P1119" s="155"/>
      <c r="Q1119" s="862"/>
      <c r="R1119" s="863"/>
      <c r="S1119" s="864"/>
      <c r="T1119" s="649"/>
      <c r="V1119" s="15"/>
      <c r="Z1119" s="15"/>
      <c r="AA1119" s="130"/>
      <c r="AB1119" s="15"/>
    </row>
    <row r="1120" spans="1:35" ht="12.75" hidden="1" customHeight="1">
      <c r="G1120"/>
      <c r="H1120" s="33"/>
      <c r="I1120" s="20"/>
      <c r="J1120" s="504"/>
      <c r="K1120" s="544"/>
      <c r="L1120" s="401"/>
      <c r="M1120" s="233"/>
      <c r="N1120" s="679"/>
      <c r="P1120" s="68"/>
      <c r="Q1120" s="287"/>
      <c r="R1120" s="317"/>
      <c r="S1120" s="611"/>
      <c r="T1120" s="372"/>
      <c r="U1120" s="20"/>
      <c r="V1120" s="26"/>
      <c r="AA1120" s="238"/>
    </row>
    <row r="1121" spans="1:35" ht="12.75" customHeight="1">
      <c r="B1121" s="1030" t="s">
        <v>467</v>
      </c>
      <c r="C1121" s="1030"/>
      <c r="D1121" s="1030"/>
      <c r="E1121" s="1030"/>
      <c r="G1121" s="261"/>
      <c r="H1121" s="658"/>
      <c r="I1121" s="26"/>
      <c r="K1121" s="258"/>
      <c r="L1121" s="100"/>
      <c r="M1121" s="1031" t="s">
        <v>54</v>
      </c>
      <c r="N1121" s="866"/>
      <c r="O1121" s="871"/>
      <c r="P1121" s="1033" t="s">
        <v>48</v>
      </c>
      <c r="Q1121" s="1035" t="s">
        <v>581</v>
      </c>
      <c r="R1121" s="1035"/>
      <c r="S1121" s="377"/>
      <c r="X1121" s="35"/>
      <c r="Y1121" s="35"/>
      <c r="Z1121" s="26"/>
      <c r="AA1121" s="872"/>
      <c r="AB1121" s="26"/>
      <c r="AC1121" s="20"/>
      <c r="AD1121" s="20"/>
      <c r="AE1121" s="20"/>
      <c r="AF1121" s="20"/>
      <c r="AG1121" s="20"/>
      <c r="AH1121" s="20"/>
      <c r="AI1121" s="20"/>
    </row>
    <row r="1122" spans="1:35" ht="12.75" customHeight="1">
      <c r="C1122" s="17" t="s">
        <v>357</v>
      </c>
      <c r="D1122" s="14"/>
      <c r="E1122" s="44">
        <v>8490.68</v>
      </c>
      <c r="G1122" s="1036"/>
      <c r="H1122" s="1036"/>
      <c r="I1122" s="26"/>
      <c r="K1122" s="260" t="s">
        <v>221</v>
      </c>
      <c r="L1122" s="156"/>
      <c r="M1122" s="1032"/>
      <c r="N1122" s="866" t="s">
        <v>43</v>
      </c>
      <c r="O1122" s="871"/>
      <c r="P1122" s="1034"/>
      <c r="Q1122" s="867" t="s">
        <v>43</v>
      </c>
      <c r="R1122" s="868" t="s">
        <v>53</v>
      </c>
      <c r="S1122" s="377"/>
      <c r="X1122" s="118"/>
      <c r="Y1122" s="111"/>
      <c r="Z1122" s="117"/>
      <c r="AA1122" s="89"/>
      <c r="AB1122" s="90"/>
      <c r="AC1122" s="20"/>
      <c r="AD1122" s="41"/>
      <c r="AE1122" s="20"/>
      <c r="AF1122" s="20"/>
      <c r="AG1122" s="20"/>
      <c r="AH1122" s="20"/>
      <c r="AI1122" s="20"/>
    </row>
    <row r="1123" spans="1:35" ht="12.75" customHeight="1">
      <c r="C1123" s="17"/>
      <c r="D1123" s="14" t="s">
        <v>24</v>
      </c>
      <c r="E1123" s="44">
        <f>'[1]FEBRUARY ''14'!$C$27</f>
        <v>618.13</v>
      </c>
      <c r="G1123" s="30"/>
      <c r="H1123" s="624">
        <f>SUM(E1123:E1124)</f>
        <v>618.13</v>
      </c>
      <c r="I1123" s="26"/>
      <c r="K1123" s="273"/>
      <c r="L1123" s="235" t="s">
        <v>226</v>
      </c>
      <c r="M1123" s="45">
        <f>$M$1114</f>
        <v>1984.4300940000153</v>
      </c>
      <c r="N1123" s="71">
        <f>M1123</f>
        <v>1984.4300940000153</v>
      </c>
      <c r="O1123" s="26"/>
      <c r="P1123" s="45">
        <f>$Q$1117</f>
        <v>-19808.947278480995</v>
      </c>
      <c r="Q1123" s="71">
        <f>P1123</f>
        <v>-19808.947278480995</v>
      </c>
      <c r="R1123" s="45">
        <f>20000+Q1123</f>
        <v>191.05272151900499</v>
      </c>
      <c r="S1123" s="378" t="s">
        <v>298</v>
      </c>
      <c r="T1123" s="367" t="s">
        <v>299</v>
      </c>
      <c r="W1123" s="392"/>
      <c r="X1123" s="111"/>
      <c r="Y1123" s="111"/>
      <c r="Z1123" s="45"/>
      <c r="AA1123" s="488"/>
      <c r="AB1123" s="26"/>
      <c r="AC1123" s="20"/>
      <c r="AD1123" s="92"/>
      <c r="AE1123" s="93"/>
      <c r="AF1123" s="20"/>
      <c r="AG1123" s="20"/>
      <c r="AH1123" s="20"/>
      <c r="AI1123" s="20"/>
    </row>
    <row r="1124" spans="1:35" ht="12.75" customHeight="1">
      <c r="C1124" s="17"/>
      <c r="D1124" s="143" t="s">
        <v>225</v>
      </c>
      <c r="E1124" s="15"/>
      <c r="G1124"/>
      <c r="H1124" s="624"/>
      <c r="I1124" s="26"/>
      <c r="K1124" s="297"/>
      <c r="L1124" s="116" t="s">
        <v>247</v>
      </c>
      <c r="M1124" s="45">
        <v>-500</v>
      </c>
      <c r="N1124" s="538">
        <f>N1123+M1124</f>
        <v>1484.4300940000153</v>
      </c>
      <c r="O1124" s="65"/>
      <c r="P1124" s="133">
        <f>-M1124</f>
        <v>500</v>
      </c>
      <c r="Q1124" s="72">
        <f>Q1123+P1124</f>
        <v>-19308.947278480995</v>
      </c>
      <c r="R1124" s="45">
        <f>20000+Q1124</f>
        <v>691.05272151900499</v>
      </c>
      <c r="S1124" s="373" t="s">
        <v>247</v>
      </c>
      <c r="T1124" s="391"/>
      <c r="W1124" s="111"/>
      <c r="X1124" s="111"/>
      <c r="Y1124" s="112"/>
      <c r="Z1124" s="55"/>
      <c r="AA1124" s="489"/>
      <c r="AB1124" s="95"/>
      <c r="AC1124" s="20"/>
      <c r="AD1124" s="41"/>
      <c r="AE1124" s="93"/>
      <c r="AF1124" s="20"/>
      <c r="AG1124" s="20"/>
      <c r="AH1124" s="20"/>
      <c r="AI1124" s="20"/>
    </row>
    <row r="1125" spans="1:35" ht="12.75" customHeight="1">
      <c r="C1125" s="18" t="s">
        <v>5</v>
      </c>
      <c r="D1125" s="14"/>
      <c r="E1125" s="14">
        <f>SUM(E1122:E1124)</f>
        <v>9108.81</v>
      </c>
      <c r="G1125" s="242"/>
      <c r="H1125" s="492"/>
      <c r="I1125" s="26"/>
      <c r="K1125" s="297" t="s">
        <v>223</v>
      </c>
      <c r="L1125" s="184" t="s">
        <v>227</v>
      </c>
      <c r="M1125" s="45">
        <v>-449</v>
      </c>
      <c r="N1125" s="538">
        <f t="shared" ref="N1125:N1149" si="126">N1124+M1125</f>
        <v>1035.4300940000153</v>
      </c>
      <c r="O1125" s="49"/>
      <c r="P1125" s="133">
        <f>-240.35+5.17</f>
        <v>-235.18</v>
      </c>
      <c r="Q1125" s="72">
        <f t="shared" ref="Q1125:Q1131" si="127">Q1124+P1125</f>
        <v>-19544.127278480995</v>
      </c>
      <c r="R1125" s="45">
        <f>20000+Q1125</f>
        <v>455.8727215190047</v>
      </c>
      <c r="S1125" s="373" t="s">
        <v>253</v>
      </c>
      <c r="T1125" s="391"/>
      <c r="W1125" s="111"/>
      <c r="X1125" s="111"/>
      <c r="Y1125" s="112"/>
      <c r="Z1125" s="55"/>
      <c r="AA1125" s="489"/>
      <c r="AB1125" s="26"/>
      <c r="AC1125" s="20"/>
      <c r="AD1125" s="92"/>
      <c r="AE1125" s="93"/>
      <c r="AF1125" s="20"/>
      <c r="AG1125" s="20"/>
      <c r="AH1125" s="20"/>
      <c r="AI1125" s="20"/>
    </row>
    <row r="1126" spans="1:35" ht="12.75" customHeight="1">
      <c r="G1126" s="20"/>
      <c r="H1126" s="490"/>
      <c r="I1126" s="26"/>
      <c r="K1126" s="273"/>
      <c r="L1126" s="116" t="s">
        <v>524</v>
      </c>
      <c r="M1126" s="45">
        <v>-9</v>
      </c>
      <c r="N1126" s="538">
        <f t="shared" si="126"/>
        <v>1026.4300940000153</v>
      </c>
      <c r="O1126" s="39"/>
      <c r="P1126" s="133">
        <v>-2</v>
      </c>
      <c r="Q1126" s="72">
        <f t="shared" si="127"/>
        <v>-19546.127278480995</v>
      </c>
      <c r="R1126" s="45">
        <f t="shared" ref="R1126:R1131" si="128">20000+Q1126</f>
        <v>453.8727215190047</v>
      </c>
      <c r="S1126" s="373" t="s">
        <v>686</v>
      </c>
      <c r="T1126" s="391"/>
      <c r="W1126" s="112"/>
      <c r="X1126" s="112"/>
      <c r="Y1126" s="112"/>
      <c r="Z1126" s="55"/>
      <c r="AA1126" s="489"/>
      <c r="AB1126" s="26"/>
      <c r="AC1126" s="20"/>
      <c r="AD1126" s="92"/>
      <c r="AE1126" s="93"/>
      <c r="AF1126" s="20"/>
      <c r="AG1126" s="20"/>
      <c r="AH1126" s="20"/>
      <c r="AI1126" s="20"/>
    </row>
    <row r="1127" spans="1:35" ht="12.75" customHeight="1">
      <c r="A1127" s="319"/>
      <c r="C1127" s="81" t="s">
        <v>17</v>
      </c>
      <c r="E1127" s="42"/>
      <c r="G1127"/>
      <c r="H1127" s="869"/>
      <c r="I1127" s="26"/>
      <c r="K1127" s="273"/>
      <c r="L1127" s="116" t="s">
        <v>333</v>
      </c>
      <c r="M1127" s="45">
        <v>-13.11</v>
      </c>
      <c r="N1127" s="538">
        <f t="shared" si="126"/>
        <v>1013.3200940000153</v>
      </c>
      <c r="O1127" s="39"/>
      <c r="P1127" s="133">
        <v>-45.9</v>
      </c>
      <c r="Q1127" s="72">
        <f t="shared" si="127"/>
        <v>-19592.027278480997</v>
      </c>
      <c r="R1127" s="45">
        <f t="shared" si="128"/>
        <v>407.97272151900324</v>
      </c>
      <c r="S1127" s="373" t="s">
        <v>687</v>
      </c>
      <c r="T1127" s="391"/>
      <c r="W1127" s="103"/>
      <c r="X1127" s="111"/>
      <c r="Y1127" s="112"/>
      <c r="Z1127" s="55"/>
      <c r="AA1127" s="489"/>
      <c r="AB1127" s="95"/>
      <c r="AC1127" s="20"/>
      <c r="AD1127" s="96"/>
      <c r="AE1127" s="93"/>
      <c r="AF1127" s="20"/>
      <c r="AG1127" s="20"/>
      <c r="AH1127" s="20"/>
      <c r="AI1127" s="20"/>
    </row>
    <row r="1128" spans="1:35" ht="12.75" customHeight="1">
      <c r="A1128" s="319"/>
      <c r="D1128" s="20" t="s">
        <v>14</v>
      </c>
      <c r="E1128" s="42">
        <f>E1122</f>
        <v>8490.68</v>
      </c>
      <c r="F1128" s="20"/>
      <c r="G1128" s="20"/>
      <c r="H1128" s="490">
        <f>G1129+E1129</f>
        <v>618.13</v>
      </c>
      <c r="I1128" s="26"/>
      <c r="K1128" s="273"/>
      <c r="L1128" s="116" t="s">
        <v>16</v>
      </c>
      <c r="M1128" s="45">
        <v>-900</v>
      </c>
      <c r="N1128" s="538">
        <f t="shared" si="126"/>
        <v>113.32009400001527</v>
      </c>
      <c r="O1128" s="253"/>
      <c r="P1128" s="133">
        <v>-115</v>
      </c>
      <c r="Q1128" s="72">
        <f t="shared" si="127"/>
        <v>-19707.027278480997</v>
      </c>
      <c r="R1128" s="45">
        <f t="shared" si="128"/>
        <v>292.97272151900324</v>
      </c>
      <c r="S1128" s="373" t="s">
        <v>687</v>
      </c>
      <c r="T1128" s="391"/>
      <c r="U1128" s="74"/>
      <c r="V1128" s="26"/>
      <c r="W1128" s="111"/>
      <c r="X1128" s="111"/>
      <c r="Y1128" s="112"/>
      <c r="Z1128" s="55"/>
      <c r="AA1128" s="489"/>
      <c r="AB1128" s="26"/>
      <c r="AC1128" s="20"/>
      <c r="AD1128" s="41"/>
      <c r="AE1128" s="93"/>
      <c r="AF1128" s="20"/>
      <c r="AG1128" s="20"/>
      <c r="AH1128" s="20"/>
      <c r="AI1128" s="20"/>
    </row>
    <row r="1129" spans="1:35" ht="12.75" customHeight="1" thickBot="1">
      <c r="A1129" s="319"/>
      <c r="D1129" s="78" t="s">
        <v>13</v>
      </c>
      <c r="E1129" s="483">
        <f>SUM(E1123:E1124)</f>
        <v>618.13</v>
      </c>
      <c r="F1129" s="482" t="s">
        <v>364</v>
      </c>
      <c r="G1129" s="1037"/>
      <c r="H1129" s="1037"/>
      <c r="I1129" s="26"/>
      <c r="K1129" s="273"/>
      <c r="L1129" s="116" t="s">
        <v>688</v>
      </c>
      <c r="M1129" s="45">
        <v>-99</v>
      </c>
      <c r="N1129" s="538">
        <f t="shared" si="126"/>
        <v>14.320094000015274</v>
      </c>
      <c r="O1129" s="253"/>
      <c r="P1129" s="133">
        <v>-63.98</v>
      </c>
      <c r="Q1129" s="72">
        <f t="shared" si="127"/>
        <v>-19771.007278480996</v>
      </c>
      <c r="R1129" s="45">
        <f t="shared" si="128"/>
        <v>228.99272151900368</v>
      </c>
      <c r="S1129" s="373" t="s">
        <v>689</v>
      </c>
      <c r="T1129" s="391"/>
      <c r="U1129" s="74"/>
      <c r="V1129" s="26"/>
      <c r="W1129" s="20"/>
      <c r="X1129" s="20"/>
      <c r="Y1129" s="112"/>
      <c r="Z1129" s="239"/>
      <c r="AA1129" s="94"/>
      <c r="AB1129" s="26"/>
      <c r="AC1129" s="20"/>
      <c r="AD1129" s="92"/>
      <c r="AE1129" s="93"/>
      <c r="AF1129" s="20"/>
      <c r="AG1129" s="20"/>
      <c r="AH1129" s="20"/>
      <c r="AI1129" s="20"/>
    </row>
    <row r="1130" spans="1:35" ht="12.75" customHeight="1" thickTop="1">
      <c r="A1130" s="319"/>
      <c r="D1130" s="20"/>
      <c r="E1130" s="26"/>
      <c r="F1130" s="122"/>
      <c r="G1130" s="1038">
        <f>E1128+E1129+G1129</f>
        <v>9108.81</v>
      </c>
      <c r="H1130" s="1038"/>
      <c r="I1130" s="26"/>
      <c r="K1130" s="273"/>
      <c r="L1130" s="116" t="s">
        <v>51</v>
      </c>
      <c r="M1130" s="45">
        <v>1000</v>
      </c>
      <c r="N1130" s="538">
        <f t="shared" si="126"/>
        <v>1014.3200940000153</v>
      </c>
      <c r="O1130" s="253"/>
      <c r="P1130" s="133">
        <v>-87.2</v>
      </c>
      <c r="Q1130" s="72">
        <f t="shared" si="127"/>
        <v>-19858.207278480997</v>
      </c>
      <c r="R1130" s="45">
        <f t="shared" si="128"/>
        <v>141.79272151900295</v>
      </c>
      <c r="S1130" s="373" t="s">
        <v>258</v>
      </c>
      <c r="T1130" s="391"/>
      <c r="U1130" s="65"/>
      <c r="V1130" s="20"/>
      <c r="W1130" s="26"/>
      <c r="X1130" s="20"/>
      <c r="Y1130" s="112"/>
      <c r="Z1130" s="239"/>
      <c r="AA1130" s="94"/>
      <c r="AB1130" s="95"/>
      <c r="AC1130" s="20"/>
      <c r="AD1130" s="92"/>
      <c r="AE1130" s="93"/>
      <c r="AF1130" s="20"/>
      <c r="AG1130" s="20"/>
      <c r="AH1130" s="20"/>
      <c r="AI1130" s="20"/>
    </row>
    <row r="1131" spans="1:35" ht="12.75" customHeight="1">
      <c r="A1131" s="333"/>
      <c r="B1131" s="333"/>
      <c r="C1131" s="333"/>
      <c r="D1131" s="408"/>
      <c r="E1131" s="412"/>
      <c r="F1131" s="50"/>
      <c r="G1131" s="409"/>
      <c r="H1131" s="870"/>
      <c r="I1131" s="242"/>
      <c r="J1131" s="315"/>
      <c r="K1131" s="258"/>
      <c r="L1131" s="266" t="s">
        <v>465</v>
      </c>
      <c r="M1131" s="146">
        <v>-203.61</v>
      </c>
      <c r="N1131" s="538">
        <f t="shared" si="126"/>
        <v>810.71009400001526</v>
      </c>
      <c r="O1131" s="253"/>
      <c r="P1131" s="133">
        <v>-45</v>
      </c>
      <c r="Q1131" s="72">
        <f t="shared" si="127"/>
        <v>-19903.207278480997</v>
      </c>
      <c r="R1131" s="45">
        <f t="shared" si="128"/>
        <v>96.792721519002953</v>
      </c>
      <c r="S1131" s="373" t="s">
        <v>572</v>
      </c>
      <c r="T1131" s="391"/>
      <c r="U1131" s="65"/>
      <c r="V1131" s="20"/>
      <c r="W1131" s="26"/>
      <c r="X1131" s="91"/>
      <c r="Y1131" s="20"/>
      <c r="Z1131" s="239"/>
      <c r="AA1131" s="94"/>
      <c r="AB1131" s="26"/>
      <c r="AC1131" s="20"/>
      <c r="AD1131" s="20"/>
      <c r="AE1131" s="20"/>
      <c r="AF1131" s="20"/>
      <c r="AG1131" s="20"/>
      <c r="AH1131" s="20"/>
      <c r="AI1131" s="20"/>
    </row>
    <row r="1132" spans="1:35" ht="12.75" customHeight="1">
      <c r="A1132" s="333"/>
      <c r="B1132" s="333"/>
      <c r="C1132" s="333"/>
      <c r="D1132" s="408"/>
      <c r="E1132" s="412"/>
      <c r="F1132" s="50"/>
      <c r="G1132" s="409"/>
      <c r="H1132" s="870"/>
      <c r="I1132" s="242"/>
      <c r="J1132" s="315"/>
      <c r="K1132" s="258"/>
      <c r="L1132" s="266" t="s">
        <v>270</v>
      </c>
      <c r="M1132" s="146">
        <v>-238.14</v>
      </c>
      <c r="N1132" s="538">
        <f t="shared" si="126"/>
        <v>572.57009400001527</v>
      </c>
      <c r="O1132" s="253"/>
      <c r="P1132" s="133">
        <v>-45</v>
      </c>
      <c r="Q1132" s="72">
        <f>Q1131+P1132</f>
        <v>-19948.207278480997</v>
      </c>
      <c r="R1132" s="45">
        <f>20000+Q1132</f>
        <v>51.792721519002953</v>
      </c>
      <c r="S1132" s="373" t="s">
        <v>572</v>
      </c>
      <c r="T1132" s="391"/>
      <c r="U1132" s="65"/>
      <c r="V1132" s="20"/>
      <c r="W1132" s="26"/>
      <c r="X1132" s="91"/>
      <c r="Y1132" s="20"/>
      <c r="Z1132" s="239"/>
      <c r="AA1132" s="94"/>
      <c r="AB1132" s="26"/>
      <c r="AC1132" s="20"/>
      <c r="AD1132" s="20"/>
      <c r="AE1132" s="20"/>
      <c r="AF1132" s="20"/>
      <c r="AG1132" s="20"/>
      <c r="AH1132" s="20"/>
      <c r="AI1132" s="20"/>
    </row>
    <row r="1133" spans="1:35" ht="12.75" customHeight="1">
      <c r="A1133" s="333"/>
      <c r="B1133" s="333"/>
      <c r="C1133" s="333"/>
      <c r="D1133" s="408"/>
      <c r="E1133" s="412"/>
      <c r="F1133" s="50"/>
      <c r="G1133" s="409"/>
      <c r="H1133" s="870"/>
      <c r="I1133" s="242"/>
      <c r="J1133" s="315"/>
      <c r="K1133" s="258" t="s">
        <v>248</v>
      </c>
      <c r="L1133" s="266" t="s">
        <v>51</v>
      </c>
      <c r="M1133" s="146">
        <f>E1128-M1130</f>
        <v>7490.68</v>
      </c>
      <c r="N1133" s="538">
        <f t="shared" si="126"/>
        <v>8063.2500940000155</v>
      </c>
      <c r="O1133" s="253"/>
      <c r="P1133" s="49">
        <f>E1129</f>
        <v>618.13</v>
      </c>
      <c r="Q1133" s="73">
        <f>Q1132+P1133</f>
        <v>-19330.077278480996</v>
      </c>
      <c r="R1133" s="45">
        <f>20000+Q1133</f>
        <v>669.92272151900397</v>
      </c>
      <c r="S1133" s="373"/>
      <c r="T1133" s="833"/>
      <c r="U1133" s="65"/>
      <c r="V1133" s="20"/>
      <c r="W1133" s="26"/>
      <c r="X1133" s="91"/>
      <c r="Y1133" s="20"/>
      <c r="Z1133" s="239"/>
      <c r="AA1133" s="94"/>
      <c r="AB1133" s="26"/>
      <c r="AC1133" s="20"/>
      <c r="AD1133" s="20"/>
      <c r="AE1133" s="20"/>
      <c r="AF1133" s="20"/>
      <c r="AG1133" s="20"/>
      <c r="AH1133" s="20"/>
      <c r="AI1133" s="20"/>
    </row>
    <row r="1134" spans="1:35" ht="12.75" customHeight="1">
      <c r="A1134" s="333"/>
      <c r="B1134" s="333"/>
      <c r="C1134" s="333"/>
      <c r="D1134" s="408"/>
      <c r="E1134" s="412"/>
      <c r="F1134" s="50"/>
      <c r="G1134" s="409"/>
      <c r="H1134" s="873"/>
      <c r="I1134" s="242"/>
      <c r="J1134" s="315"/>
      <c r="K1134" s="258"/>
      <c r="L1134" s="266" t="s">
        <v>574</v>
      </c>
      <c r="M1134" s="146">
        <v>-210</v>
      </c>
      <c r="N1134" s="538">
        <f t="shared" si="126"/>
        <v>7853.2500940000155</v>
      </c>
      <c r="O1134" s="253"/>
      <c r="P1134" s="64">
        <f>SUM(P1123:P1133)</f>
        <v>-19330.077278480996</v>
      </c>
      <c r="Q1134" s="287"/>
      <c r="R1134" s="317"/>
      <c r="S1134" s="373"/>
      <c r="T1134" s="833"/>
      <c r="U1134" s="65"/>
      <c r="V1134" s="20"/>
      <c r="W1134" s="26"/>
      <c r="X1134" s="91"/>
      <c r="Y1134" s="20"/>
      <c r="Z1134" s="239"/>
      <c r="AA1134" s="94"/>
      <c r="AB1134" s="26"/>
      <c r="AC1134" s="20"/>
      <c r="AD1134" s="20"/>
      <c r="AE1134" s="20"/>
      <c r="AF1134" s="20"/>
      <c r="AG1134" s="20"/>
      <c r="AH1134" s="20"/>
      <c r="AI1134" s="20"/>
    </row>
    <row r="1135" spans="1:35" ht="12.75" customHeight="1">
      <c r="A1135" s="333"/>
      <c r="B1135" s="333"/>
      <c r="C1135" s="333"/>
      <c r="D1135" s="408"/>
      <c r="E1135" s="412"/>
      <c r="F1135" s="50"/>
      <c r="G1135" s="409"/>
      <c r="H1135" s="873"/>
      <c r="I1135" s="242"/>
      <c r="J1135" s="315"/>
      <c r="K1135" s="258"/>
      <c r="L1135" s="266" t="s">
        <v>691</v>
      </c>
      <c r="M1135" s="146">
        <v>-80.97</v>
      </c>
      <c r="N1135" s="538">
        <f t="shared" si="126"/>
        <v>7772.2800940000152</v>
      </c>
      <c r="O1135" s="253"/>
      <c r="P1135" s="68"/>
      <c r="Q1135" s="287"/>
      <c r="R1135" s="317"/>
      <c r="S1135" s="373"/>
      <c r="T1135" s="833"/>
      <c r="U1135" s="65"/>
      <c r="V1135" s="20"/>
      <c r="W1135" s="26"/>
      <c r="X1135" s="91"/>
      <c r="Y1135" s="20"/>
      <c r="Z1135" s="239"/>
      <c r="AA1135" s="94"/>
      <c r="AB1135" s="26"/>
      <c r="AC1135" s="20"/>
      <c r="AD1135" s="20"/>
      <c r="AE1135" s="20"/>
      <c r="AF1135" s="20"/>
      <c r="AG1135" s="20"/>
      <c r="AH1135" s="20"/>
      <c r="AI1135" s="20"/>
    </row>
    <row r="1136" spans="1:35" ht="12.75" customHeight="1">
      <c r="A1136" s="333"/>
      <c r="B1136" s="333"/>
      <c r="C1136" s="333"/>
      <c r="D1136" s="408"/>
      <c r="E1136" s="412"/>
      <c r="F1136" s="50"/>
      <c r="G1136" s="409"/>
      <c r="H1136" s="873"/>
      <c r="I1136" s="242"/>
      <c r="J1136" s="315"/>
      <c r="K1136" s="258"/>
      <c r="L1136" s="266" t="s">
        <v>692</v>
      </c>
      <c r="M1136" s="146">
        <v>-100</v>
      </c>
      <c r="N1136" s="538">
        <f t="shared" si="126"/>
        <v>7672.2800940000152</v>
      </c>
      <c r="O1136" s="253"/>
      <c r="P1136" s="68"/>
      <c r="Q1136" s="287"/>
      <c r="R1136" s="317"/>
      <c r="S1136" s="373"/>
      <c r="T1136" s="833"/>
      <c r="U1136" s="65"/>
      <c r="V1136" s="20"/>
      <c r="W1136" s="26"/>
      <c r="X1136" s="91"/>
      <c r="Y1136" s="20"/>
      <c r="Z1136" s="239"/>
      <c r="AA1136" s="94"/>
      <c r="AB1136" s="26"/>
      <c r="AC1136" s="20"/>
      <c r="AD1136" s="20"/>
      <c r="AE1136" s="20"/>
      <c r="AF1136" s="20"/>
      <c r="AG1136" s="20"/>
      <c r="AH1136" s="20"/>
      <c r="AI1136" s="20"/>
    </row>
    <row r="1137" spans="1:35" ht="12.75" customHeight="1">
      <c r="A1137" s="333"/>
      <c r="B1137" s="333"/>
      <c r="C1137" s="333"/>
      <c r="D1137" s="408"/>
      <c r="E1137" s="412"/>
      <c r="F1137" s="50"/>
      <c r="G1137" s="409"/>
      <c r="H1137" s="873"/>
      <c r="I1137" s="242"/>
      <c r="J1137" s="315"/>
      <c r="K1137" s="258"/>
      <c r="L1137" s="266" t="s">
        <v>693</v>
      </c>
      <c r="M1137" s="146">
        <v>70</v>
      </c>
      <c r="N1137" s="538">
        <f t="shared" si="126"/>
        <v>7742.2800940000152</v>
      </c>
      <c r="O1137" s="253"/>
      <c r="P1137" s="68"/>
      <c r="Q1137" s="287"/>
      <c r="R1137" s="317"/>
      <c r="S1137" s="373"/>
      <c r="T1137" s="833"/>
      <c r="U1137" s="65"/>
      <c r="V1137" s="20"/>
      <c r="W1137" s="26"/>
      <c r="X1137" s="91"/>
      <c r="Y1137" s="20"/>
      <c r="Z1137" s="239"/>
      <c r="AA1137" s="94"/>
      <c r="AB1137" s="26"/>
      <c r="AC1137" s="20"/>
      <c r="AD1137" s="20"/>
      <c r="AE1137" s="20"/>
      <c r="AF1137" s="20"/>
      <c r="AG1137" s="20"/>
      <c r="AH1137" s="20"/>
      <c r="AI1137" s="20"/>
    </row>
    <row r="1138" spans="1:35" ht="12.75" customHeight="1">
      <c r="A1138" s="333"/>
      <c r="B1138" s="333"/>
      <c r="C1138" s="410"/>
      <c r="D1138" s="561"/>
      <c r="E1138" s="405"/>
      <c r="F1138" s="50"/>
      <c r="G1138" s="409"/>
      <c r="H1138" s="870"/>
      <c r="I1138" s="315"/>
      <c r="J1138" s="511"/>
      <c r="K1138" s="258" t="s">
        <v>248</v>
      </c>
      <c r="L1138" s="266" t="s">
        <v>480</v>
      </c>
      <c r="M1138" s="146">
        <v>-2850</v>
      </c>
      <c r="N1138" s="538">
        <f t="shared" si="126"/>
        <v>4892.2800940000152</v>
      </c>
      <c r="O1138" s="253"/>
      <c r="P1138" s="68"/>
      <c r="Q1138" s="287"/>
      <c r="R1138" s="317"/>
      <c r="S1138" s="611"/>
      <c r="T1138" s="372"/>
      <c r="U1138" s="20"/>
      <c r="V1138" s="20"/>
      <c r="W1138" s="26"/>
      <c r="X1138" s="91"/>
      <c r="Y1138" s="20"/>
      <c r="Z1138" s="239"/>
      <c r="AA1138" s="94"/>
      <c r="AB1138" s="26"/>
      <c r="AC1138" s="20"/>
      <c r="AD1138" s="20"/>
      <c r="AE1138" s="20"/>
      <c r="AF1138" s="20"/>
      <c r="AG1138" s="20"/>
      <c r="AH1138" s="20"/>
      <c r="AI1138" s="20"/>
    </row>
    <row r="1139" spans="1:35" ht="12.75" customHeight="1">
      <c r="A1139" s="333"/>
      <c r="B1139" s="333"/>
      <c r="C1139" s="333"/>
      <c r="D1139" s="408"/>
      <c r="E1139" s="133"/>
      <c r="F1139" s="50"/>
      <c r="G1139" s="409"/>
      <c r="H1139" s="870"/>
      <c r="I1139" s="962"/>
      <c r="J1139" s="962"/>
      <c r="K1139" s="258" t="s">
        <v>248</v>
      </c>
      <c r="L1139" s="266" t="s">
        <v>552</v>
      </c>
      <c r="M1139" s="45">
        <v>-350</v>
      </c>
      <c r="N1139" s="538">
        <f t="shared" si="126"/>
        <v>4542.2800940000152</v>
      </c>
      <c r="O1139" s="253"/>
      <c r="P1139" s="68"/>
      <c r="Q1139" s="287"/>
      <c r="R1139" s="317"/>
      <c r="S1139" s="611"/>
      <c r="T1139" s="372"/>
      <c r="U1139" s="20"/>
      <c r="V1139" s="20"/>
      <c r="W1139" s="26"/>
      <c r="X1139" s="91"/>
      <c r="Y1139" s="20"/>
      <c r="Z1139" s="239"/>
      <c r="AA1139" s="94"/>
      <c r="AB1139" s="26"/>
      <c r="AC1139" s="20"/>
      <c r="AD1139" s="20"/>
      <c r="AE1139" s="20"/>
      <c r="AF1139" s="20"/>
      <c r="AG1139" s="20"/>
      <c r="AH1139" s="20"/>
      <c r="AI1139" s="20"/>
    </row>
    <row r="1140" spans="1:35" ht="12.75" customHeight="1">
      <c r="A1140" s="333"/>
      <c r="B1140" s="333"/>
      <c r="C1140" s="333"/>
      <c r="D1140" s="408"/>
      <c r="E1140" s="133"/>
      <c r="F1140" s="50"/>
      <c r="G1140" s="409"/>
      <c r="H1140" s="870"/>
      <c r="I1140" s="493"/>
      <c r="J1140" s="517"/>
      <c r="K1140" s="258" t="s">
        <v>248</v>
      </c>
      <c r="L1140" s="266" t="s">
        <v>195</v>
      </c>
      <c r="M1140" s="45">
        <v>-1738</v>
      </c>
      <c r="N1140" s="538">
        <f t="shared" si="126"/>
        <v>2804.2800940000152</v>
      </c>
      <c r="O1140" s="253"/>
      <c r="P1140" s="68"/>
      <c r="Q1140" s="287"/>
      <c r="R1140" s="317"/>
      <c r="S1140" s="611"/>
      <c r="T1140" s="372"/>
      <c r="U1140" s="20"/>
      <c r="V1140" s="20"/>
      <c r="W1140" s="26"/>
      <c r="X1140" s="91"/>
      <c r="Y1140" s="20"/>
      <c r="Z1140" s="239"/>
      <c r="AA1140" s="94"/>
      <c r="AB1140" s="26"/>
      <c r="AC1140" s="20"/>
      <c r="AD1140" s="20"/>
      <c r="AE1140" s="20"/>
      <c r="AF1140" s="20"/>
      <c r="AG1140" s="20"/>
      <c r="AH1140" s="20"/>
      <c r="AI1140" s="20"/>
    </row>
    <row r="1141" spans="1:35" ht="12.75" customHeight="1">
      <c r="A1141" s="333"/>
      <c r="B1141" s="333"/>
      <c r="C1141" s="333"/>
      <c r="D1141" s="408"/>
      <c r="E1141" s="133"/>
      <c r="F1141" s="50"/>
      <c r="G1141" s="409"/>
      <c r="H1141" s="870"/>
      <c r="I1141" s="494"/>
      <c r="J1141" s="709"/>
      <c r="K1141" s="85" t="s">
        <v>248</v>
      </c>
      <c r="L1141" s="266" t="s">
        <v>180</v>
      </c>
      <c r="M1141" s="45">
        <v>-59</v>
      </c>
      <c r="N1141" s="538">
        <f t="shared" si="126"/>
        <v>2745.2800940000152</v>
      </c>
      <c r="O1141" s="253"/>
      <c r="P1141" s="68"/>
      <c r="Q1141" s="287"/>
      <c r="R1141" s="317"/>
      <c r="S1141" s="611"/>
      <c r="T1141" s="372"/>
      <c r="U1141" s="234"/>
      <c r="V1141" s="20"/>
      <c r="W1141" s="26"/>
      <c r="X1141" s="91"/>
      <c r="Y1141" s="20"/>
      <c r="Z1141" s="239"/>
      <c r="AA1141" s="94"/>
      <c r="AB1141" s="26"/>
      <c r="AC1141" s="20"/>
      <c r="AD1141" s="20"/>
      <c r="AE1141" s="20"/>
      <c r="AF1141" s="20"/>
      <c r="AG1141" s="20"/>
      <c r="AH1141" s="20"/>
      <c r="AI1141" s="20"/>
    </row>
    <row r="1142" spans="1:35" ht="12.75" customHeight="1">
      <c r="A1142" s="333"/>
      <c r="B1142" s="333"/>
      <c r="C1142" s="333"/>
      <c r="D1142" s="408"/>
      <c r="E1142" s="133"/>
      <c r="F1142" s="50"/>
      <c r="G1142" s="409"/>
      <c r="H1142" s="870"/>
      <c r="I1142" s="495"/>
      <c r="K1142" s="258" t="s">
        <v>248</v>
      </c>
      <c r="L1142" s="266" t="s">
        <v>61</v>
      </c>
      <c r="M1142" s="45">
        <v>-252.5</v>
      </c>
      <c r="N1142" s="538">
        <f t="shared" si="126"/>
        <v>2492.7800940000152</v>
      </c>
      <c r="O1142" s="253"/>
      <c r="P1142" s="68"/>
      <c r="Q1142" s="287"/>
      <c r="R1142" s="317"/>
      <c r="S1142" s="611"/>
      <c r="T1142" s="372"/>
      <c r="U1142" s="20"/>
      <c r="V1142" s="26"/>
      <c r="W1142" s="26"/>
      <c r="X1142" s="91"/>
      <c r="Y1142" s="20"/>
      <c r="Z1142" s="239"/>
      <c r="AA1142" s="94"/>
      <c r="AB1142" s="26"/>
      <c r="AC1142" s="20"/>
      <c r="AD1142" s="20"/>
      <c r="AE1142" s="20"/>
      <c r="AF1142" s="20"/>
      <c r="AG1142" s="20"/>
      <c r="AH1142" s="20"/>
      <c r="AI1142" s="20"/>
    </row>
    <row r="1143" spans="1:35" ht="12.75" customHeight="1">
      <c r="A1143" s="333"/>
      <c r="B1143" s="333"/>
      <c r="C1143" s="333"/>
      <c r="D1143" s="133"/>
      <c r="E1143" s="133"/>
      <c r="F1143" s="50"/>
      <c r="G1143" s="409"/>
      <c r="H1143" s="870"/>
      <c r="I1143" s="961" t="s">
        <v>685</v>
      </c>
      <c r="J1143" s="961"/>
      <c r="K1143" s="258" t="s">
        <v>248</v>
      </c>
      <c r="L1143" s="266" t="s">
        <v>148</v>
      </c>
      <c r="M1143" s="45">
        <v>1000</v>
      </c>
      <c r="N1143" s="538">
        <f t="shared" si="126"/>
        <v>3492.7800940000152</v>
      </c>
      <c r="O1143" s="253"/>
      <c r="P1143" s="68"/>
      <c r="Q1143" s="287"/>
      <c r="R1143" s="317"/>
      <c r="S1143" s="611"/>
      <c r="T1143" s="372"/>
      <c r="U1143" s="20"/>
      <c r="V1143" s="26"/>
      <c r="W1143" s="26"/>
      <c r="X1143" s="91"/>
      <c r="Y1143" s="20"/>
      <c r="Z1143" s="239"/>
      <c r="AA1143" s="94"/>
      <c r="AB1143" s="26"/>
      <c r="AC1143" s="20"/>
      <c r="AD1143" s="20"/>
      <c r="AE1143" s="20"/>
      <c r="AF1143" s="20"/>
      <c r="AG1143" s="20"/>
      <c r="AH1143" s="20"/>
      <c r="AI1143" s="20"/>
    </row>
    <row r="1144" spans="1:35" ht="12.75" customHeight="1">
      <c r="A1144" s="333"/>
      <c r="B1144" s="333"/>
      <c r="C1144" s="333"/>
      <c r="D1144" s="133"/>
      <c r="E1144" s="133"/>
      <c r="F1144" s="50"/>
      <c r="G1144" s="409"/>
      <c r="H1144" s="509"/>
      <c r="I1144" s="753"/>
      <c r="J1144" s="709"/>
      <c r="K1144" s="85" t="s">
        <v>189</v>
      </c>
      <c r="L1144" s="267" t="s">
        <v>16</v>
      </c>
      <c r="M1144" s="175">
        <v>-611.86</v>
      </c>
      <c r="N1144" s="538">
        <f t="shared" si="126"/>
        <v>2880.9200940000151</v>
      </c>
      <c r="O1144" s="253"/>
      <c r="P1144" s="68"/>
      <c r="Q1144" s="287"/>
      <c r="R1144" s="317"/>
      <c r="S1144" s="611"/>
      <c r="T1144" s="372"/>
      <c r="U1144" s="20"/>
      <c r="V1144" s="26"/>
      <c r="W1144" s="26"/>
      <c r="X1144" s="91"/>
      <c r="Y1144" s="20"/>
      <c r="Z1144" s="239"/>
      <c r="AA1144" s="94"/>
      <c r="AB1144" s="26"/>
      <c r="AC1144" s="20"/>
      <c r="AD1144" s="20"/>
      <c r="AE1144" s="20"/>
      <c r="AF1144" s="20"/>
      <c r="AG1144" s="20"/>
      <c r="AH1144" s="20"/>
      <c r="AI1144" s="20"/>
    </row>
    <row r="1145" spans="1:35" ht="12.75" customHeight="1">
      <c r="A1145" s="333"/>
      <c r="B1145" s="333"/>
      <c r="C1145" s="333"/>
      <c r="D1145" s="413"/>
      <c r="E1145" s="34"/>
      <c r="F1145" s="50"/>
      <c r="G1145" s="414"/>
      <c r="H1145" s="509"/>
      <c r="I1145" s="510"/>
      <c r="J1145" s="521"/>
      <c r="K1145" s="258" t="s">
        <v>189</v>
      </c>
      <c r="L1145" s="268" t="s">
        <v>56</v>
      </c>
      <c r="M1145" s="175">
        <v>-1300</v>
      </c>
      <c r="N1145" s="538">
        <f t="shared" si="126"/>
        <v>1580.9200940000151</v>
      </c>
      <c r="O1145" s="253"/>
      <c r="P1145" s="588"/>
      <c r="Q1145" s="595"/>
      <c r="R1145" s="591"/>
      <c r="S1145" s="611"/>
      <c r="T1145" s="372"/>
      <c r="U1145" s="20"/>
      <c r="V1145" s="26"/>
      <c r="W1145" s="26"/>
      <c r="X1145" s="91"/>
      <c r="Y1145" s="20"/>
      <c r="Z1145" s="239"/>
      <c r="AA1145" s="94"/>
      <c r="AB1145" s="26"/>
      <c r="AC1145" s="20"/>
      <c r="AD1145" s="20"/>
      <c r="AE1145" s="20"/>
      <c r="AF1145" s="20"/>
      <c r="AG1145" s="20"/>
      <c r="AH1145" s="20"/>
      <c r="AI1145" s="20"/>
    </row>
    <row r="1146" spans="1:35" ht="12.75" customHeight="1">
      <c r="A1146" s="333"/>
      <c r="B1146" s="333"/>
      <c r="C1146" s="333"/>
      <c r="D1146" s="413"/>
      <c r="E1146" s="34"/>
      <c r="F1146" s="50"/>
      <c r="G1146" s="414"/>
      <c r="H1146" s="509"/>
      <c r="K1146" s="258" t="s">
        <v>189</v>
      </c>
      <c r="L1146" s="268" t="s">
        <v>23</v>
      </c>
      <c r="M1146" s="133">
        <v>-282.52999999999997</v>
      </c>
      <c r="N1146" s="538">
        <f t="shared" si="126"/>
        <v>1298.3900940000151</v>
      </c>
      <c r="O1146" s="253"/>
      <c r="P1146" s="588"/>
      <c r="Q1146" s="595"/>
      <c r="R1146" s="591"/>
      <c r="S1146" s="611"/>
      <c r="T1146" s="372"/>
      <c r="U1146" s="20"/>
      <c r="V1146" s="26"/>
      <c r="W1146" s="26"/>
      <c r="X1146" s="91"/>
      <c r="Y1146" s="20"/>
      <c r="Z1146" s="239"/>
      <c r="AA1146" s="94"/>
      <c r="AB1146" s="26"/>
      <c r="AC1146" s="20"/>
      <c r="AD1146" s="20"/>
      <c r="AE1146" s="20"/>
      <c r="AF1146" s="20"/>
      <c r="AG1146" s="20"/>
      <c r="AH1146" s="20"/>
      <c r="AI1146" s="20"/>
    </row>
    <row r="1147" spans="1:35" ht="12.75" customHeight="1">
      <c r="A1147" s="333"/>
      <c r="B1147" s="333"/>
      <c r="C1147" s="333"/>
      <c r="D1147" s="48"/>
      <c r="E1147" s="133"/>
      <c r="F1147" s="50"/>
      <c r="G1147" s="414"/>
      <c r="H1147" s="870"/>
      <c r="K1147" s="258" t="s">
        <v>189</v>
      </c>
      <c r="L1147" s="116" t="s">
        <v>224</v>
      </c>
      <c r="M1147" s="45">
        <v>-590.14</v>
      </c>
      <c r="N1147" s="538">
        <f t="shared" si="126"/>
        <v>708.25009400001511</v>
      </c>
      <c r="O1147" s="497"/>
      <c r="P1147" s="588"/>
      <c r="Q1147" s="595"/>
      <c r="R1147" s="591"/>
      <c r="S1147" s="502"/>
      <c r="T1147" s="503"/>
      <c r="U1147" s="20"/>
      <c r="V1147" s="26"/>
      <c r="W1147" s="26"/>
      <c r="X1147" s="91"/>
      <c r="Y1147" s="20"/>
      <c r="Z1147" s="239"/>
      <c r="AA1147" s="94"/>
      <c r="AB1147" s="26"/>
      <c r="AC1147" s="20"/>
      <c r="AD1147" s="20"/>
      <c r="AE1147" s="20"/>
      <c r="AF1147" s="20"/>
      <c r="AG1147" s="20"/>
      <c r="AH1147" s="20"/>
      <c r="AI1147" s="20"/>
    </row>
    <row r="1148" spans="1:35" ht="12.75" customHeight="1">
      <c r="A1148" s="328"/>
      <c r="B1148" s="328"/>
      <c r="C1148" s="328"/>
      <c r="D1148" s="547"/>
      <c r="E1148" s="133"/>
      <c r="F1148" s="50"/>
      <c r="G1148" s="414"/>
      <c r="H1148" s="498"/>
      <c r="J1148" s="533"/>
      <c r="K1148" s="258" t="s">
        <v>189</v>
      </c>
      <c r="L1148" s="116" t="s">
        <v>585</v>
      </c>
      <c r="M1148" s="175">
        <f>-63.85</f>
        <v>-63.85</v>
      </c>
      <c r="N1148" s="538">
        <f t="shared" si="126"/>
        <v>644.40009400001509</v>
      </c>
      <c r="S1148" s="502"/>
      <c r="T1148" s="503"/>
      <c r="U1148" s="20"/>
      <c r="V1148" s="26"/>
      <c r="W1148" s="26"/>
      <c r="X1148" s="91"/>
      <c r="Y1148" s="20"/>
      <c r="Z1148" s="239"/>
      <c r="AA1148" s="94"/>
      <c r="AB1148" s="26"/>
      <c r="AC1148" s="20"/>
      <c r="AD1148" s="20"/>
      <c r="AE1148" s="20"/>
      <c r="AF1148" s="20"/>
      <c r="AG1148" s="20"/>
      <c r="AH1148" s="20"/>
      <c r="AI1148" s="20"/>
    </row>
    <row r="1149" spans="1:35" ht="12.75" customHeight="1">
      <c r="G1149"/>
      <c r="H1149" s="33"/>
      <c r="I1149" s="235"/>
      <c r="J1149" s="534"/>
      <c r="K1149" s="321" t="s">
        <v>190</v>
      </c>
      <c r="L1149" s="269" t="s">
        <v>375</v>
      </c>
      <c r="M1149" s="366">
        <v>-47.52</v>
      </c>
      <c r="N1149" s="566">
        <f t="shared" si="126"/>
        <v>596.88009400001511</v>
      </c>
      <c r="S1149" s="502"/>
      <c r="T1149" s="503"/>
      <c r="U1149" s="20"/>
      <c r="V1149" s="26"/>
      <c r="AA1149" s="238"/>
    </row>
    <row r="1150" spans="1:35" ht="12.75" customHeight="1">
      <c r="G1150"/>
      <c r="H1150" s="33"/>
      <c r="I1150" s="543"/>
      <c r="J1150" s="504"/>
      <c r="L1150" s="23"/>
      <c r="M1150" s="566">
        <f>SUM(M1123:M1149)</f>
        <v>596.88009400001511</v>
      </c>
      <c r="N1150" s="806"/>
      <c r="U1150" s="20"/>
      <c r="V1150" s="26"/>
      <c r="AA1150" s="238"/>
    </row>
    <row r="1151" spans="1:35" s="78" customFormat="1">
      <c r="E1151" s="15"/>
      <c r="G1151" s="129"/>
      <c r="K1151" s="257"/>
      <c r="M1151" s="52"/>
      <c r="P1151" s="15"/>
      <c r="Q1151" s="15"/>
      <c r="R1151" s="15"/>
      <c r="S1151" s="385"/>
      <c r="Z1151" s="15"/>
      <c r="AA1151" s="130"/>
      <c r="AB1151" s="15"/>
    </row>
    <row r="1153" spans="1:35" ht="12.75" customHeight="1">
      <c r="B1153" s="1030" t="s">
        <v>694</v>
      </c>
      <c r="C1153" s="1030"/>
      <c r="D1153" s="1030"/>
      <c r="E1153" s="1030"/>
      <c r="G1153" s="261"/>
      <c r="H1153" s="658"/>
      <c r="I1153" s="26"/>
      <c r="K1153" s="258"/>
      <c r="L1153" s="100"/>
      <c r="M1153" s="1031" t="s">
        <v>54</v>
      </c>
      <c r="N1153" s="881"/>
      <c r="O1153" s="886"/>
      <c r="P1153" s="1033" t="s">
        <v>48</v>
      </c>
      <c r="Q1153" s="1035" t="s">
        <v>581</v>
      </c>
      <c r="R1153" s="1035"/>
      <c r="S1153" s="377"/>
      <c r="X1153" s="35"/>
      <c r="Y1153" s="35"/>
      <c r="Z1153" s="26"/>
      <c r="AA1153" s="887"/>
      <c r="AB1153" s="26"/>
      <c r="AC1153" s="20"/>
      <c r="AD1153" s="20"/>
      <c r="AE1153" s="20"/>
      <c r="AF1153" s="20"/>
      <c r="AG1153" s="20"/>
      <c r="AH1153" s="20"/>
      <c r="AI1153" s="20"/>
    </row>
    <row r="1154" spans="1:35" ht="12.75" customHeight="1">
      <c r="C1154" s="17" t="s">
        <v>357</v>
      </c>
      <c r="D1154" s="14"/>
      <c r="E1154" s="877">
        <v>8483.35</v>
      </c>
      <c r="G1154" s="1036"/>
      <c r="H1154" s="1036"/>
      <c r="I1154" s="26"/>
      <c r="K1154" s="260" t="s">
        <v>221</v>
      </c>
      <c r="L1154" s="156"/>
      <c r="M1154" s="1032"/>
      <c r="N1154" s="881" t="s">
        <v>43</v>
      </c>
      <c r="O1154" s="886"/>
      <c r="P1154" s="1034"/>
      <c r="Q1154" s="882" t="s">
        <v>43</v>
      </c>
      <c r="R1154" s="883" t="s">
        <v>53</v>
      </c>
      <c r="S1154" s="377"/>
      <c r="X1154" s="118"/>
      <c r="Y1154" s="111"/>
      <c r="Z1154" s="117"/>
      <c r="AA1154" s="89"/>
      <c r="AB1154" s="90"/>
      <c r="AC1154" s="20"/>
      <c r="AD1154" s="41"/>
      <c r="AE1154" s="20"/>
      <c r="AF1154" s="20"/>
      <c r="AG1154" s="20"/>
      <c r="AH1154" s="20"/>
      <c r="AI1154" s="20"/>
    </row>
    <row r="1155" spans="1:35" ht="12.75" customHeight="1">
      <c r="C1155" s="17"/>
      <c r="D1155" s="14" t="s">
        <v>24</v>
      </c>
      <c r="E1155" s="44">
        <f>'[1]MARCH '' 14'!$C$27</f>
        <v>4442.3099999999995</v>
      </c>
      <c r="G1155" s="30"/>
      <c r="H1155" s="624">
        <f>SUM(E1155:E1156)</f>
        <v>4442.3099999999995</v>
      </c>
      <c r="I1155" s="26"/>
      <c r="K1155" s="273"/>
      <c r="L1155" s="235" t="s">
        <v>226</v>
      </c>
      <c r="M1155" s="45">
        <f>$M$1150</f>
        <v>596.88009400001511</v>
      </c>
      <c r="N1155" s="71">
        <f>M1155</f>
        <v>596.88009400001511</v>
      </c>
      <c r="O1155" s="26"/>
      <c r="P1155" s="45">
        <f>$Q$1133</f>
        <v>-19330.077278480996</v>
      </c>
      <c r="Q1155" s="71">
        <f>P1155</f>
        <v>-19330.077278480996</v>
      </c>
      <c r="R1155" s="45">
        <f>20000+Q1155</f>
        <v>669.92272151900397</v>
      </c>
      <c r="S1155" s="378" t="s">
        <v>298</v>
      </c>
      <c r="T1155" s="367" t="s">
        <v>299</v>
      </c>
      <c r="W1155" s="392"/>
      <c r="X1155" s="111"/>
      <c r="Y1155" s="111"/>
      <c r="Z1155" s="45"/>
      <c r="AA1155" s="488"/>
      <c r="AB1155" s="26"/>
      <c r="AC1155" s="20"/>
      <c r="AD1155" s="92"/>
      <c r="AE1155" s="93"/>
      <c r="AF1155" s="20"/>
      <c r="AG1155" s="20"/>
      <c r="AH1155" s="20"/>
      <c r="AI1155" s="20"/>
    </row>
    <row r="1156" spans="1:35" ht="12.75" customHeight="1">
      <c r="C1156" s="17"/>
      <c r="D1156" s="143" t="s">
        <v>225</v>
      </c>
      <c r="E1156" s="15"/>
      <c r="G1156"/>
      <c r="H1156" s="624"/>
      <c r="I1156" s="26"/>
      <c r="K1156" s="297"/>
      <c r="L1156" s="116" t="s">
        <v>102</v>
      </c>
      <c r="M1156" s="45">
        <v>100</v>
      </c>
      <c r="N1156" s="538">
        <f>N1155+M1156</f>
        <v>696.88009400001511</v>
      </c>
      <c r="O1156" s="65"/>
      <c r="P1156" s="133">
        <f>-M1156</f>
        <v>-100</v>
      </c>
      <c r="Q1156" s="72">
        <f>Q1155+P1156</f>
        <v>-19430.077278480996</v>
      </c>
      <c r="R1156" s="45">
        <f>20000+Q1156</f>
        <v>569.92272151900397</v>
      </c>
      <c r="S1156" s="373" t="s">
        <v>247</v>
      </c>
      <c r="T1156" s="391"/>
      <c r="W1156" s="111"/>
      <c r="X1156" s="111"/>
      <c r="Y1156" s="112"/>
      <c r="Z1156" s="55"/>
      <c r="AA1156" s="489"/>
      <c r="AB1156" s="95"/>
      <c r="AC1156" s="20"/>
      <c r="AD1156" s="41"/>
      <c r="AE1156" s="93"/>
      <c r="AF1156" s="20"/>
      <c r="AG1156" s="20"/>
      <c r="AH1156" s="20"/>
      <c r="AI1156" s="20"/>
    </row>
    <row r="1157" spans="1:35" ht="12.75" customHeight="1">
      <c r="C1157" s="18" t="s">
        <v>5</v>
      </c>
      <c r="D1157" s="14"/>
      <c r="E1157" s="14">
        <f>SUM(E1154:E1156)</f>
        <v>12925.66</v>
      </c>
      <c r="G1157" s="242"/>
      <c r="H1157" s="492"/>
      <c r="I1157" s="26"/>
      <c r="K1157" s="297"/>
      <c r="L1157" s="116" t="s">
        <v>313</v>
      </c>
      <c r="M1157" s="45">
        <v>-134.97</v>
      </c>
      <c r="N1157" s="538">
        <f t="shared" ref="N1157:N1191" si="129">N1156+M1157</f>
        <v>561.91009400001508</v>
      </c>
      <c r="O1157" s="49"/>
      <c r="P1157" s="133">
        <v>-264</v>
      </c>
      <c r="Q1157" s="72">
        <f>Q1156+P1157</f>
        <v>-19694.077278480996</v>
      </c>
      <c r="R1157" s="45">
        <f>20000+Q1157</f>
        <v>305.92272151900397</v>
      </c>
      <c r="S1157" s="373" t="s">
        <v>441</v>
      </c>
      <c r="T1157" s="391"/>
      <c r="W1157" s="111"/>
      <c r="X1157" s="111"/>
      <c r="Y1157" s="112"/>
      <c r="Z1157" s="55"/>
      <c r="AA1157" s="489"/>
      <c r="AB1157" s="26"/>
      <c r="AC1157" s="20"/>
      <c r="AD1157" s="92"/>
      <c r="AE1157" s="93"/>
      <c r="AF1157" s="20"/>
      <c r="AG1157" s="20"/>
      <c r="AH1157" s="20"/>
      <c r="AI1157" s="20"/>
    </row>
    <row r="1158" spans="1:35" ht="12.75" customHeight="1">
      <c r="G1158" s="20"/>
      <c r="H1158" s="490"/>
      <c r="I1158" s="26"/>
      <c r="K1158" s="297"/>
      <c r="L1158" s="184" t="s">
        <v>690</v>
      </c>
      <c r="M1158" s="45">
        <v>-500</v>
      </c>
      <c r="N1158" s="538">
        <f t="shared" si="129"/>
        <v>61.910094000015079</v>
      </c>
      <c r="O1158" s="39"/>
      <c r="P1158" s="133">
        <v>-234.91</v>
      </c>
      <c r="Q1158" s="72">
        <f t="shared" ref="Q1158:Q1170" si="130">Q1157+P1158</f>
        <v>-19928.987278480996</v>
      </c>
      <c r="R1158" s="45">
        <f t="shared" ref="R1158:R1170" si="131">20000+Q1158</f>
        <v>71.012721519004117</v>
      </c>
      <c r="S1158" s="373" t="s">
        <v>253</v>
      </c>
      <c r="T1158" s="391"/>
      <c r="W1158" s="112"/>
      <c r="X1158" s="112"/>
      <c r="Y1158" s="112"/>
      <c r="Z1158" s="55"/>
      <c r="AA1158" s="489"/>
      <c r="AB1158" s="26"/>
      <c r="AC1158" s="20"/>
      <c r="AD1158" s="92"/>
      <c r="AE1158" s="93"/>
      <c r="AF1158" s="20"/>
      <c r="AG1158" s="20"/>
      <c r="AH1158" s="20"/>
      <c r="AI1158" s="20"/>
    </row>
    <row r="1159" spans="1:35" ht="12.75" customHeight="1">
      <c r="A1159" s="319"/>
      <c r="C1159" s="81" t="s">
        <v>17</v>
      </c>
      <c r="E1159" s="42"/>
      <c r="G1159"/>
      <c r="H1159" s="884"/>
      <c r="I1159" s="26"/>
      <c r="K1159" s="273"/>
      <c r="L1159" s="116" t="s">
        <v>280</v>
      </c>
      <c r="M1159" s="45">
        <v>400</v>
      </c>
      <c r="N1159" s="538">
        <f t="shared" si="129"/>
        <v>461.91009400001508</v>
      </c>
      <c r="O1159" s="39"/>
      <c r="P1159" s="133">
        <f>-M1166</f>
        <v>10000</v>
      </c>
      <c r="Q1159" s="72">
        <f t="shared" si="130"/>
        <v>-9928.9872784809959</v>
      </c>
      <c r="R1159" s="45">
        <f t="shared" si="131"/>
        <v>10071.012721519004</v>
      </c>
      <c r="S1159" s="880" t="s">
        <v>247</v>
      </c>
      <c r="T1159" s="391"/>
      <c r="W1159" s="103"/>
      <c r="X1159" s="111"/>
      <c r="Y1159" s="112"/>
      <c r="Z1159" s="55"/>
      <c r="AA1159" s="489"/>
      <c r="AB1159" s="95"/>
      <c r="AC1159" s="20"/>
      <c r="AD1159" s="96"/>
      <c r="AE1159" s="93"/>
      <c r="AF1159" s="20"/>
      <c r="AG1159" s="20"/>
      <c r="AH1159" s="20"/>
      <c r="AI1159" s="20"/>
    </row>
    <row r="1160" spans="1:35" ht="12.75" customHeight="1">
      <c r="A1160" s="319"/>
      <c r="D1160" s="20" t="s">
        <v>14</v>
      </c>
      <c r="E1160" s="42">
        <f>E1154</f>
        <v>8483.35</v>
      </c>
      <c r="F1160" s="20"/>
      <c r="G1160" s="20"/>
      <c r="H1160" s="490">
        <f>G1161+E1161</f>
        <v>4442.3099999999995</v>
      </c>
      <c r="I1160" s="26"/>
      <c r="K1160" s="297" t="s">
        <v>223</v>
      </c>
      <c r="L1160" s="184" t="s">
        <v>227</v>
      </c>
      <c r="M1160" s="45">
        <v>-449</v>
      </c>
      <c r="N1160" s="538">
        <f t="shared" si="129"/>
        <v>12.910094000015079</v>
      </c>
      <c r="O1160" s="253"/>
      <c r="P1160" s="133">
        <v>-1428.64</v>
      </c>
      <c r="Q1160" s="72">
        <f t="shared" si="130"/>
        <v>-11357.627278480995</v>
      </c>
      <c r="R1160" s="45">
        <f t="shared" si="131"/>
        <v>8642.3727215190047</v>
      </c>
      <c r="S1160" s="880" t="s">
        <v>695</v>
      </c>
      <c r="T1160" s="391"/>
      <c r="U1160" s="74"/>
      <c r="V1160" s="26"/>
      <c r="W1160" s="111"/>
      <c r="X1160" s="111"/>
      <c r="Y1160" s="112"/>
      <c r="Z1160" s="55"/>
      <c r="AA1160" s="489"/>
      <c r="AB1160" s="26"/>
      <c r="AC1160" s="20"/>
      <c r="AD1160" s="41"/>
      <c r="AE1160" s="93"/>
      <c r="AF1160" s="20"/>
      <c r="AG1160" s="20"/>
      <c r="AH1160" s="20"/>
      <c r="AI1160" s="20"/>
    </row>
    <row r="1161" spans="1:35" ht="12.75" customHeight="1" thickBot="1">
      <c r="A1161" s="319"/>
      <c r="D1161" s="78" t="s">
        <v>13</v>
      </c>
      <c r="E1161" s="483">
        <f>SUM(E1155:E1156)</f>
        <v>4442.3099999999995</v>
      </c>
      <c r="F1161" s="482" t="s">
        <v>364</v>
      </c>
      <c r="G1161" s="1037"/>
      <c r="H1161" s="1037"/>
      <c r="I1161" s="26"/>
      <c r="K1161" s="273"/>
      <c r="L1161" s="116" t="s">
        <v>524</v>
      </c>
      <c r="M1161" s="45">
        <v>-16</v>
      </c>
      <c r="N1161" s="538">
        <f t="shared" si="129"/>
        <v>-3.0899059999849214</v>
      </c>
      <c r="O1161" s="253"/>
      <c r="P1161" s="45">
        <v>-397.5</v>
      </c>
      <c r="Q1161" s="72">
        <f t="shared" si="130"/>
        <v>-11755.127278480995</v>
      </c>
      <c r="R1161" s="45">
        <f t="shared" si="131"/>
        <v>8244.8727215190047</v>
      </c>
      <c r="S1161" s="373" t="s">
        <v>699</v>
      </c>
      <c r="T1161" s="391"/>
      <c r="U1161" s="74"/>
      <c r="V1161" s="26"/>
      <c r="W1161" s="20"/>
      <c r="X1161" s="20"/>
      <c r="Y1161" s="112"/>
      <c r="Z1161" s="239"/>
      <c r="AA1161" s="94"/>
      <c r="AB1161" s="26"/>
      <c r="AC1161" s="20"/>
      <c r="AD1161" s="92"/>
      <c r="AE1161" s="93"/>
      <c r="AF1161" s="20"/>
      <c r="AG1161" s="20"/>
      <c r="AH1161" s="20"/>
      <c r="AI1161" s="20"/>
    </row>
    <row r="1162" spans="1:35" ht="12.75" customHeight="1" thickTop="1">
      <c r="A1162" s="319"/>
      <c r="D1162" s="20"/>
      <c r="E1162" s="26"/>
      <c r="F1162" s="122"/>
      <c r="G1162" s="1038">
        <f>E1160+E1161+G1161</f>
        <v>12925.66</v>
      </c>
      <c r="H1162" s="1038"/>
      <c r="I1162" s="26"/>
      <c r="K1162" s="273"/>
      <c r="L1162" s="116" t="s">
        <v>159</v>
      </c>
      <c r="M1162" s="45">
        <v>700</v>
      </c>
      <c r="N1162" s="538">
        <f t="shared" si="129"/>
        <v>696.91009400001508</v>
      </c>
      <c r="O1162" s="253"/>
      <c r="P1162" s="133">
        <v>-153.9</v>
      </c>
      <c r="Q1162" s="72">
        <f t="shared" si="130"/>
        <v>-11909.027278480995</v>
      </c>
      <c r="R1162" s="45">
        <f t="shared" si="131"/>
        <v>8090.9727215190051</v>
      </c>
      <c r="S1162" s="373" t="s">
        <v>700</v>
      </c>
      <c r="T1162" s="391" t="s">
        <v>549</v>
      </c>
      <c r="U1162" s="74"/>
      <c r="V1162" s="26"/>
      <c r="W1162" s="26"/>
      <c r="X1162" s="20"/>
      <c r="Y1162" s="112"/>
      <c r="Z1162" s="239"/>
      <c r="AA1162" s="94"/>
      <c r="AB1162" s="95"/>
      <c r="AC1162" s="20"/>
      <c r="AD1162" s="92"/>
      <c r="AE1162" s="93"/>
      <c r="AF1162" s="20"/>
      <c r="AG1162" s="20"/>
      <c r="AH1162" s="20"/>
      <c r="AI1162" s="20"/>
    </row>
    <row r="1163" spans="1:35" ht="12.75" customHeight="1">
      <c r="A1163" s="333"/>
      <c r="B1163" s="333"/>
      <c r="C1163" s="333"/>
      <c r="D1163" s="408"/>
      <c r="E1163" s="412"/>
      <c r="F1163" s="50"/>
      <c r="G1163" s="409"/>
      <c r="H1163" s="885"/>
      <c r="I1163" s="26"/>
      <c r="K1163" s="273"/>
      <c r="L1163" s="116" t="s">
        <v>345</v>
      </c>
      <c r="M1163" s="45">
        <v>-670</v>
      </c>
      <c r="N1163" s="538">
        <f t="shared" si="129"/>
        <v>26.910094000015079</v>
      </c>
      <c r="O1163" s="253"/>
      <c r="P1163" s="133">
        <v>-1014</v>
      </c>
      <c r="Q1163" s="72">
        <f t="shared" si="130"/>
        <v>-12923.027278480995</v>
      </c>
      <c r="R1163" s="45">
        <f t="shared" si="131"/>
        <v>7076.9727215190051</v>
      </c>
      <c r="S1163" s="373" t="s">
        <v>441</v>
      </c>
      <c r="T1163" s="391" t="s">
        <v>549</v>
      </c>
      <c r="U1163" s="65"/>
      <c r="V1163" s="20"/>
      <c r="W1163" s="26"/>
      <c r="X1163" s="91"/>
      <c r="Y1163" s="20"/>
      <c r="Z1163" s="239"/>
      <c r="AA1163" s="94"/>
      <c r="AB1163" s="26"/>
      <c r="AC1163" s="20"/>
      <c r="AD1163" s="20"/>
      <c r="AE1163" s="20"/>
      <c r="AF1163" s="20"/>
      <c r="AG1163" s="20"/>
      <c r="AH1163" s="20"/>
      <c r="AI1163" s="20"/>
    </row>
    <row r="1164" spans="1:35" ht="12.75" customHeight="1">
      <c r="A1164" s="333"/>
      <c r="B1164" s="333"/>
      <c r="C1164" s="410"/>
      <c r="D1164" s="561"/>
      <c r="E1164" s="405"/>
      <c r="F1164" s="50"/>
      <c r="G1164" s="409"/>
      <c r="H1164" s="885"/>
      <c r="I1164" s="26"/>
      <c r="K1164" s="273"/>
      <c r="L1164" s="116" t="s">
        <v>524</v>
      </c>
      <c r="M1164" s="45">
        <v>-9</v>
      </c>
      <c r="N1164" s="538">
        <f t="shared" si="129"/>
        <v>17.910094000015079</v>
      </c>
      <c r="O1164" s="253"/>
      <c r="P1164" s="133">
        <v>-1039.24</v>
      </c>
      <c r="Q1164" s="72">
        <f t="shared" si="130"/>
        <v>-13962.267278480995</v>
      </c>
      <c r="R1164" s="45">
        <f t="shared" si="131"/>
        <v>6037.7327215190053</v>
      </c>
      <c r="S1164" s="373" t="s">
        <v>270</v>
      </c>
      <c r="T1164" s="391" t="s">
        <v>549</v>
      </c>
      <c r="U1164" s="65"/>
      <c r="V1164" s="20"/>
      <c r="W1164" s="26"/>
      <c r="X1164" s="91"/>
      <c r="Y1164" s="20"/>
      <c r="Z1164" s="239"/>
      <c r="AA1164" s="94"/>
      <c r="AB1164" s="26"/>
      <c r="AC1164" s="20"/>
      <c r="AD1164" s="20"/>
      <c r="AE1164" s="20"/>
      <c r="AF1164" s="20"/>
      <c r="AG1164" s="20"/>
      <c r="AH1164" s="20"/>
      <c r="AI1164" s="20"/>
    </row>
    <row r="1165" spans="1:35" ht="12.75" customHeight="1">
      <c r="A1165" s="333"/>
      <c r="B1165" s="333"/>
      <c r="C1165" s="333"/>
      <c r="D1165" s="408"/>
      <c r="E1165" s="133"/>
      <c r="F1165" s="50"/>
      <c r="G1165" s="409"/>
      <c r="H1165" s="885"/>
      <c r="I1165" s="26"/>
      <c r="K1165" s="273"/>
      <c r="L1165" s="116" t="s">
        <v>195</v>
      </c>
      <c r="M1165" s="45">
        <v>16819.95</v>
      </c>
      <c r="N1165" s="538">
        <f t="shared" si="129"/>
        <v>16837.860094000014</v>
      </c>
      <c r="O1165" s="253"/>
      <c r="P1165" s="133">
        <v>-190</v>
      </c>
      <c r="Q1165" s="72">
        <f t="shared" si="130"/>
        <v>-14152.267278480995</v>
      </c>
      <c r="R1165" s="45">
        <f t="shared" si="131"/>
        <v>5847.7327215190053</v>
      </c>
      <c r="S1165" s="373" t="s">
        <v>574</v>
      </c>
      <c r="T1165" s="391" t="s">
        <v>549</v>
      </c>
      <c r="U1165" s="65"/>
      <c r="V1165" s="20"/>
      <c r="W1165" s="26"/>
      <c r="X1165" s="91"/>
      <c r="Y1165" s="20"/>
      <c r="Z1165" s="239"/>
      <c r="AA1165" s="94"/>
      <c r="AB1165" s="26"/>
      <c r="AC1165" s="20"/>
      <c r="AD1165" s="20"/>
      <c r="AE1165" s="20"/>
      <c r="AF1165" s="20"/>
      <c r="AG1165" s="20"/>
      <c r="AH1165" s="20"/>
      <c r="AI1165" s="20"/>
    </row>
    <row r="1166" spans="1:35" ht="12.75" customHeight="1">
      <c r="A1166" s="333"/>
      <c r="B1166" s="333"/>
      <c r="C1166" s="333"/>
      <c r="D1166" s="408"/>
      <c r="E1166" s="133"/>
      <c r="F1166" s="50"/>
      <c r="G1166" s="409"/>
      <c r="H1166" s="885"/>
      <c r="I1166" s="26"/>
      <c r="K1166" s="273"/>
      <c r="L1166" s="116" t="s">
        <v>102</v>
      </c>
      <c r="M1166" s="45">
        <v>-10000</v>
      </c>
      <c r="N1166" s="538">
        <f t="shared" si="129"/>
        <v>6837.8600940000142</v>
      </c>
      <c r="O1166" s="253"/>
      <c r="P1166" s="133">
        <v>-360</v>
      </c>
      <c r="Q1166" s="72">
        <f t="shared" si="130"/>
        <v>-14512.267278480995</v>
      </c>
      <c r="R1166" s="45">
        <f t="shared" si="131"/>
        <v>5487.7327215190053</v>
      </c>
      <c r="S1166" s="373" t="s">
        <v>701</v>
      </c>
      <c r="T1166" s="391" t="s">
        <v>702</v>
      </c>
      <c r="U1166" s="65"/>
      <c r="V1166" s="20"/>
      <c r="W1166" s="26"/>
      <c r="X1166" s="91"/>
      <c r="Y1166" s="20"/>
      <c r="Z1166" s="239"/>
      <c r="AA1166" s="94"/>
      <c r="AB1166" s="26"/>
      <c r="AC1166" s="20"/>
      <c r="AD1166" s="20"/>
      <c r="AE1166" s="20"/>
      <c r="AF1166" s="20"/>
      <c r="AG1166" s="20"/>
      <c r="AH1166" s="20"/>
      <c r="AI1166" s="20"/>
    </row>
    <row r="1167" spans="1:35" ht="12.75" customHeight="1">
      <c r="A1167" s="333"/>
      <c r="B1167" s="333"/>
      <c r="C1167" s="333"/>
      <c r="D1167" s="408"/>
      <c r="E1167" s="133"/>
      <c r="F1167" s="50"/>
      <c r="G1167" s="409"/>
      <c r="H1167" s="885"/>
      <c r="I1167" s="26"/>
      <c r="K1167" s="273"/>
      <c r="L1167" s="116" t="s">
        <v>112</v>
      </c>
      <c r="M1167" s="45">
        <v>-1000</v>
      </c>
      <c r="N1167" s="538">
        <f t="shared" si="129"/>
        <v>5837.8600940000142</v>
      </c>
      <c r="O1167" s="253"/>
      <c r="P1167" s="133">
        <v>-109.2</v>
      </c>
      <c r="Q1167" s="72">
        <f t="shared" si="130"/>
        <v>-14621.467278480995</v>
      </c>
      <c r="R1167" s="45">
        <f t="shared" si="131"/>
        <v>5378.5327215190046</v>
      </c>
      <c r="S1167" s="373" t="s">
        <v>703</v>
      </c>
      <c r="T1167" s="391"/>
      <c r="U1167" s="65"/>
      <c r="V1167" s="20"/>
      <c r="W1167" s="26"/>
      <c r="X1167" s="91"/>
      <c r="Y1167" s="20"/>
      <c r="Z1167" s="239"/>
      <c r="AA1167" s="94"/>
      <c r="AB1167" s="26"/>
      <c r="AC1167" s="20"/>
      <c r="AD1167" s="20"/>
      <c r="AE1167" s="20"/>
      <c r="AF1167" s="20"/>
      <c r="AG1167" s="20"/>
      <c r="AH1167" s="20"/>
      <c r="AI1167" s="20"/>
    </row>
    <row r="1168" spans="1:35" ht="12.75" customHeight="1">
      <c r="A1168" s="333"/>
      <c r="B1168" s="333"/>
      <c r="C1168" s="333"/>
      <c r="D1168" s="408"/>
      <c r="E1168" s="133"/>
      <c r="F1168" s="50"/>
      <c r="G1168" s="409"/>
      <c r="H1168" s="885"/>
      <c r="I1168" s="26"/>
      <c r="K1168" s="273"/>
      <c r="L1168" s="116" t="s">
        <v>696</v>
      </c>
      <c r="M1168" s="45">
        <v>-74.989999999999995</v>
      </c>
      <c r="N1168" s="538">
        <f t="shared" si="129"/>
        <v>5762.8700940000144</v>
      </c>
      <c r="O1168" s="253"/>
      <c r="P1168" s="133">
        <v>-88.34</v>
      </c>
      <c r="Q1168" s="72">
        <f t="shared" si="130"/>
        <v>-14709.807278480996</v>
      </c>
      <c r="R1168" s="45">
        <f t="shared" si="131"/>
        <v>5290.1927215190044</v>
      </c>
      <c r="S1168" s="373" t="s">
        <v>270</v>
      </c>
      <c r="T1168" s="391"/>
      <c r="U1168" s="20"/>
      <c r="V1168" s="20"/>
      <c r="W1168" s="26"/>
      <c r="X1168" s="91"/>
      <c r="Y1168" s="20"/>
      <c r="Z1168" s="239"/>
      <c r="AA1168" s="94"/>
      <c r="AB1168" s="26"/>
      <c r="AC1168" s="20"/>
      <c r="AD1168" s="20"/>
      <c r="AE1168" s="20"/>
      <c r="AF1168" s="20"/>
      <c r="AG1168" s="20"/>
      <c r="AH1168" s="20"/>
      <c r="AI1168" s="20"/>
    </row>
    <row r="1169" spans="1:35" ht="12.75" customHeight="1">
      <c r="A1169" s="333"/>
      <c r="B1169" s="333"/>
      <c r="C1169" s="333"/>
      <c r="D1169" s="133"/>
      <c r="E1169" s="133"/>
      <c r="F1169" s="50"/>
      <c r="G1169" s="409"/>
      <c r="H1169" s="401"/>
      <c r="I1169" s="874"/>
      <c r="K1169" s="273"/>
      <c r="L1169" s="116" t="s">
        <v>142</v>
      </c>
      <c r="M1169" s="45">
        <v>-84.47</v>
      </c>
      <c r="N1169" s="538">
        <f t="shared" si="129"/>
        <v>5678.4000940000142</v>
      </c>
      <c r="O1169" s="253"/>
      <c r="P1169" s="133">
        <v>-147.76</v>
      </c>
      <c r="Q1169" s="72">
        <f t="shared" si="130"/>
        <v>-14857.567278480996</v>
      </c>
      <c r="R1169" s="45">
        <f t="shared" si="131"/>
        <v>5142.4327215190042</v>
      </c>
      <c r="S1169" s="373" t="s">
        <v>270</v>
      </c>
      <c r="T1169" s="391" t="s">
        <v>549</v>
      </c>
      <c r="U1169" s="20"/>
      <c r="V1169" s="26"/>
      <c r="W1169" s="26"/>
      <c r="X1169" s="91"/>
      <c r="Y1169" s="20"/>
      <c r="Z1169" s="239"/>
      <c r="AA1169" s="94"/>
      <c r="AB1169" s="26"/>
      <c r="AC1169" s="20"/>
      <c r="AD1169" s="20"/>
      <c r="AE1169" s="20"/>
      <c r="AF1169" s="20"/>
      <c r="AG1169" s="20"/>
      <c r="AH1169" s="20"/>
      <c r="AI1169" s="20"/>
    </row>
    <row r="1170" spans="1:35" ht="12.75" customHeight="1">
      <c r="A1170" s="333"/>
      <c r="B1170" s="333"/>
      <c r="C1170" s="333"/>
      <c r="D1170" s="133"/>
      <c r="E1170" s="133"/>
      <c r="F1170" s="50"/>
      <c r="G1170" s="409"/>
      <c r="H1170" s="401"/>
      <c r="I1170" s="874"/>
      <c r="K1170" s="273"/>
      <c r="L1170" s="116" t="s">
        <v>697</v>
      </c>
      <c r="M1170" s="45">
        <v>-2223</v>
      </c>
      <c r="N1170" s="538">
        <f t="shared" si="129"/>
        <v>3455.4000940000142</v>
      </c>
      <c r="O1170" s="253"/>
      <c r="P1170" s="133">
        <v>1500</v>
      </c>
      <c r="Q1170" s="72">
        <f t="shared" si="130"/>
        <v>-13357.567278480996</v>
      </c>
      <c r="R1170" s="45">
        <f t="shared" si="131"/>
        <v>6642.4327215190042</v>
      </c>
      <c r="S1170" s="373" t="s">
        <v>280</v>
      </c>
      <c r="T1170" s="391"/>
      <c r="U1170" s="20"/>
      <c r="V1170" s="26"/>
      <c r="W1170" s="26"/>
      <c r="X1170" s="91"/>
      <c r="Y1170" s="20"/>
      <c r="Z1170" s="239"/>
      <c r="AA1170" s="94"/>
      <c r="AB1170" s="26"/>
      <c r="AC1170" s="20"/>
      <c r="AD1170" s="20"/>
      <c r="AE1170" s="20"/>
      <c r="AF1170" s="20"/>
      <c r="AG1170" s="20"/>
      <c r="AH1170" s="20"/>
      <c r="AI1170" s="20"/>
    </row>
    <row r="1171" spans="1:35" ht="12.75" customHeight="1">
      <c r="A1171" s="333"/>
      <c r="B1171" s="333"/>
      <c r="C1171" s="333"/>
      <c r="D1171" s="133"/>
      <c r="E1171" s="133"/>
      <c r="F1171" s="50"/>
      <c r="G1171" s="409"/>
      <c r="H1171" s="401"/>
      <c r="I1171" s="874"/>
      <c r="K1171" s="273"/>
      <c r="L1171" s="116" t="s">
        <v>698</v>
      </c>
      <c r="M1171" s="45">
        <v>-1704.3</v>
      </c>
      <c r="N1171" s="538">
        <f t="shared" si="129"/>
        <v>1751.1000940000142</v>
      </c>
      <c r="O1171" s="253"/>
      <c r="P1171" s="133">
        <v>-6528.07</v>
      </c>
      <c r="Q1171" s="72">
        <f>Q1170+P1171</f>
        <v>-19885.637278480994</v>
      </c>
      <c r="R1171" s="45">
        <f>20000+Q1171</f>
        <v>114.3627215190063</v>
      </c>
      <c r="S1171" s="373" t="s">
        <v>704</v>
      </c>
      <c r="T1171" s="391"/>
      <c r="U1171" s="234"/>
      <c r="V1171" s="26"/>
      <c r="W1171" s="26"/>
      <c r="X1171" s="91"/>
      <c r="Y1171" s="20"/>
      <c r="Z1171" s="239"/>
      <c r="AA1171" s="94"/>
      <c r="AB1171" s="26"/>
      <c r="AC1171" s="20"/>
      <c r="AD1171" s="20"/>
      <c r="AE1171" s="20"/>
      <c r="AF1171" s="20"/>
      <c r="AG1171" s="20"/>
      <c r="AH1171" s="20"/>
      <c r="AI1171" s="20"/>
    </row>
    <row r="1172" spans="1:35" ht="12.75" customHeight="1">
      <c r="A1172" s="333"/>
      <c r="B1172" s="333"/>
      <c r="C1172" s="333"/>
      <c r="D1172" s="133"/>
      <c r="E1172" s="133"/>
      <c r="F1172" s="50"/>
      <c r="G1172" s="409"/>
      <c r="H1172" s="401"/>
      <c r="I1172" s="874"/>
      <c r="K1172" s="273"/>
      <c r="L1172" s="116" t="s">
        <v>343</v>
      </c>
      <c r="M1172" s="45">
        <v>-570.61</v>
      </c>
      <c r="N1172" s="538">
        <f t="shared" si="129"/>
        <v>1180.4900940000143</v>
      </c>
      <c r="O1172" s="253"/>
      <c r="P1172" s="133">
        <v>-69</v>
      </c>
      <c r="Q1172" s="72">
        <f>Q1171+P1172</f>
        <v>-19954.637278480994</v>
      </c>
      <c r="R1172" s="45">
        <f>20000+Q1172</f>
        <v>45.3627215190063</v>
      </c>
      <c r="S1172" s="373" t="s">
        <v>433</v>
      </c>
      <c r="T1172" s="391" t="s">
        <v>549</v>
      </c>
      <c r="U1172" s="20"/>
      <c r="V1172" s="26"/>
      <c r="W1172" s="26"/>
      <c r="X1172" s="91"/>
      <c r="Y1172" s="20"/>
      <c r="Z1172" s="239"/>
      <c r="AA1172" s="94"/>
      <c r="AB1172" s="26"/>
      <c r="AC1172" s="20"/>
      <c r="AD1172" s="20"/>
      <c r="AE1172" s="20"/>
      <c r="AF1172" s="20"/>
      <c r="AG1172" s="20"/>
      <c r="AH1172" s="20"/>
      <c r="AI1172" s="20"/>
    </row>
    <row r="1173" spans="1:35" ht="12.75" customHeight="1">
      <c r="A1173" s="333"/>
      <c r="B1173" s="333"/>
      <c r="C1173" s="333"/>
      <c r="D1173" s="133"/>
      <c r="E1173" s="133"/>
      <c r="F1173" s="50"/>
      <c r="G1173" s="409"/>
      <c r="H1173" s="401"/>
      <c r="I1173" s="874"/>
      <c r="K1173" s="273"/>
      <c r="L1173" s="116" t="s">
        <v>705</v>
      </c>
      <c r="M1173" s="45">
        <v>-149</v>
      </c>
      <c r="N1173" s="538">
        <f t="shared" si="129"/>
        <v>1031.4900940000143</v>
      </c>
      <c r="O1173" s="253"/>
      <c r="P1173" s="133">
        <v>-36</v>
      </c>
      <c r="Q1173" s="72">
        <f>Q1172+P1173</f>
        <v>-19990.637278480994</v>
      </c>
      <c r="R1173" s="45">
        <f>20000+Q1173</f>
        <v>9.3627215190062998</v>
      </c>
      <c r="S1173" s="373" t="s">
        <v>711</v>
      </c>
      <c r="T1173" s="391"/>
      <c r="U1173" s="20"/>
      <c r="V1173" s="26"/>
      <c r="W1173" s="26"/>
      <c r="X1173" s="91"/>
      <c r="Y1173" s="20"/>
      <c r="Z1173" s="239"/>
      <c r="AA1173" s="94"/>
      <c r="AB1173" s="26"/>
      <c r="AC1173" s="20"/>
      <c r="AD1173" s="20"/>
      <c r="AE1173" s="20"/>
      <c r="AF1173" s="20"/>
      <c r="AG1173" s="20"/>
      <c r="AH1173" s="20"/>
      <c r="AI1173" s="20"/>
    </row>
    <row r="1174" spans="1:35" ht="12.75" customHeight="1">
      <c r="A1174" s="333"/>
      <c r="B1174" s="333"/>
      <c r="C1174" s="333"/>
      <c r="D1174" s="133"/>
      <c r="E1174" s="133"/>
      <c r="F1174" s="50"/>
      <c r="G1174" s="409"/>
      <c r="H1174" s="401"/>
      <c r="I1174" s="874"/>
      <c r="K1174" s="273"/>
      <c r="L1174" s="116" t="s">
        <v>24</v>
      </c>
      <c r="M1174" s="45">
        <v>500</v>
      </c>
      <c r="N1174" s="538">
        <f t="shared" si="129"/>
        <v>1531.4900940000143</v>
      </c>
      <c r="O1174" s="253"/>
      <c r="P1174" s="49">
        <f>E1161</f>
        <v>4442.3099999999995</v>
      </c>
      <c r="Q1174" s="73">
        <f>Q1173+P1174</f>
        <v>-15548.327278480994</v>
      </c>
      <c r="R1174" s="45">
        <f>20000+Q1174</f>
        <v>4451.6727215190058</v>
      </c>
      <c r="S1174" s="373"/>
      <c r="T1174" s="833"/>
      <c r="U1174" s="20"/>
      <c r="V1174" s="26"/>
      <c r="W1174" s="26"/>
      <c r="X1174" s="91"/>
      <c r="Y1174" s="20"/>
      <c r="Z1174" s="239"/>
      <c r="AA1174" s="94"/>
      <c r="AB1174" s="26"/>
      <c r="AC1174" s="20"/>
      <c r="AD1174" s="20"/>
      <c r="AE1174" s="20"/>
      <c r="AF1174" s="20"/>
      <c r="AG1174" s="20"/>
      <c r="AH1174" s="20"/>
      <c r="AI1174" s="20"/>
    </row>
    <row r="1175" spans="1:35" ht="12.75" customHeight="1">
      <c r="A1175" s="333"/>
      <c r="B1175" s="333"/>
      <c r="C1175" s="333"/>
      <c r="D1175" s="133"/>
      <c r="E1175" s="133"/>
      <c r="F1175" s="50"/>
      <c r="G1175" s="409"/>
      <c r="H1175" s="401"/>
      <c r="I1175" s="874"/>
      <c r="K1175" s="273"/>
      <c r="L1175" s="116" t="s">
        <v>24</v>
      </c>
      <c r="M1175" s="45">
        <v>100</v>
      </c>
      <c r="N1175" s="538">
        <f t="shared" si="129"/>
        <v>1631.4900940000143</v>
      </c>
      <c r="O1175" s="253"/>
      <c r="P1175" s="64">
        <f>SUM(P1155:P1174)</f>
        <v>-15548.327278480994</v>
      </c>
      <c r="Q1175" s="287"/>
      <c r="R1175" s="317"/>
      <c r="S1175" s="611"/>
      <c r="T1175" s="372"/>
      <c r="U1175" s="20"/>
      <c r="V1175" s="26"/>
      <c r="W1175" s="26"/>
      <c r="X1175" s="91"/>
      <c r="Y1175" s="20"/>
      <c r="Z1175" s="239"/>
      <c r="AA1175" s="94"/>
      <c r="AB1175" s="26"/>
      <c r="AC1175" s="20"/>
      <c r="AD1175" s="20"/>
      <c r="AE1175" s="20"/>
      <c r="AF1175" s="20"/>
      <c r="AG1175" s="20"/>
      <c r="AH1175" s="20"/>
      <c r="AI1175" s="20"/>
    </row>
    <row r="1176" spans="1:35" ht="12.75" customHeight="1">
      <c r="A1176" s="333"/>
      <c r="B1176" s="333"/>
      <c r="C1176" s="333"/>
      <c r="D1176" s="133"/>
      <c r="E1176" s="133"/>
      <c r="F1176" s="50"/>
      <c r="G1176" s="409"/>
      <c r="H1176" s="401"/>
      <c r="I1176" s="874"/>
      <c r="K1176" s="273"/>
      <c r="L1176" s="116" t="s">
        <v>706</v>
      </c>
      <c r="M1176" s="45">
        <v>-1599</v>
      </c>
      <c r="N1176" s="538">
        <f t="shared" si="129"/>
        <v>32.490094000014324</v>
      </c>
      <c r="O1176" s="253"/>
      <c r="P1176" s="68"/>
      <c r="Q1176" s="287"/>
      <c r="R1176" s="317"/>
      <c r="S1176" s="611"/>
      <c r="T1176" s="372"/>
      <c r="U1176" s="20"/>
      <c r="V1176" s="26"/>
      <c r="W1176" s="26"/>
      <c r="X1176" s="91"/>
      <c r="Y1176" s="20"/>
      <c r="Z1176" s="239"/>
      <c r="AA1176" s="94"/>
      <c r="AB1176" s="26"/>
      <c r="AC1176" s="20"/>
      <c r="AD1176" s="20"/>
      <c r="AE1176" s="20"/>
      <c r="AF1176" s="20"/>
      <c r="AG1176" s="20"/>
      <c r="AH1176" s="20"/>
      <c r="AI1176" s="20"/>
    </row>
    <row r="1177" spans="1:35" ht="12.75" customHeight="1">
      <c r="A1177" s="333"/>
      <c r="B1177" s="333"/>
      <c r="C1177" s="333"/>
      <c r="D1177" s="413"/>
      <c r="E1177" s="34"/>
      <c r="F1177" s="50"/>
      <c r="G1177" s="409"/>
      <c r="H1177" s="509"/>
      <c r="I1177" s="874"/>
      <c r="K1177" s="273"/>
      <c r="L1177" s="116" t="s">
        <v>24</v>
      </c>
      <c r="M1177" s="45">
        <v>500</v>
      </c>
      <c r="N1177" s="538">
        <f t="shared" si="129"/>
        <v>532.49009400001432</v>
      </c>
      <c r="O1177" s="253"/>
      <c r="P1177" s="68"/>
      <c r="Q1177" s="287"/>
      <c r="R1177" s="317"/>
      <c r="S1177" s="611"/>
      <c r="T1177" s="372"/>
      <c r="U1177" s="20"/>
      <c r="V1177" s="26"/>
      <c r="W1177" s="26"/>
      <c r="X1177" s="91"/>
      <c r="Y1177" s="20"/>
      <c r="Z1177" s="239"/>
      <c r="AA1177" s="94"/>
      <c r="AB1177" s="26"/>
      <c r="AC1177" s="20"/>
      <c r="AD1177" s="20"/>
      <c r="AE1177" s="20"/>
      <c r="AF1177" s="20"/>
      <c r="AG1177" s="20"/>
      <c r="AH1177" s="20"/>
      <c r="AI1177" s="20"/>
    </row>
    <row r="1178" spans="1:35" ht="12.75" customHeight="1">
      <c r="A1178" s="333"/>
      <c r="B1178" s="333"/>
      <c r="C1178" s="333"/>
      <c r="D1178" s="413"/>
      <c r="E1178" s="34"/>
      <c r="F1178" s="50"/>
      <c r="G1178" s="414"/>
      <c r="H1178" s="509"/>
      <c r="I1178" s="874"/>
      <c r="K1178" s="273"/>
      <c r="L1178" s="116" t="s">
        <v>710</v>
      </c>
      <c r="M1178" s="45">
        <v>-310</v>
      </c>
      <c r="N1178" s="538">
        <f t="shared" si="129"/>
        <v>222.49009400001432</v>
      </c>
      <c r="O1178" s="253"/>
      <c r="P1178" s="68"/>
      <c r="Q1178" s="878"/>
      <c r="R1178" s="879"/>
      <c r="S1178" s="611"/>
      <c r="T1178" s="372"/>
      <c r="U1178" s="20"/>
      <c r="V1178" s="26"/>
      <c r="W1178" s="26"/>
      <c r="X1178" s="91"/>
      <c r="Y1178" s="20"/>
      <c r="Z1178" s="239"/>
      <c r="AA1178" s="94"/>
      <c r="AB1178" s="26"/>
      <c r="AC1178" s="20"/>
      <c r="AD1178" s="20"/>
      <c r="AE1178" s="20"/>
      <c r="AF1178" s="20"/>
      <c r="AG1178" s="20"/>
      <c r="AH1178" s="20"/>
      <c r="AI1178" s="20"/>
    </row>
    <row r="1179" spans="1:35" ht="12.75" customHeight="1">
      <c r="A1179" s="328"/>
      <c r="B1179" s="328"/>
      <c r="C1179" s="328"/>
      <c r="D1179" s="547"/>
      <c r="E1179" s="133"/>
      <c r="F1179" s="50"/>
      <c r="G1179" s="414"/>
      <c r="H1179" s="885"/>
      <c r="I1179" s="315"/>
      <c r="J1179" s="511"/>
      <c r="K1179" s="258" t="s">
        <v>248</v>
      </c>
      <c r="L1179" s="266" t="s">
        <v>51</v>
      </c>
      <c r="M1179" s="146">
        <f>E1160</f>
        <v>8483.35</v>
      </c>
      <c r="N1179" s="538">
        <f t="shared" si="129"/>
        <v>8705.8400940000138</v>
      </c>
      <c r="O1179" s="497"/>
      <c r="P1179" s="68"/>
      <c r="Q1179" s="287"/>
      <c r="R1179" s="317"/>
      <c r="S1179" s="611"/>
      <c r="T1179" s="372"/>
      <c r="U1179" s="20"/>
      <c r="V1179" s="26"/>
      <c r="W1179" s="26"/>
      <c r="X1179" s="91"/>
      <c r="Y1179" s="20"/>
      <c r="Z1179" s="239"/>
      <c r="AA1179" s="94"/>
      <c r="AB1179" s="26"/>
      <c r="AC1179" s="20"/>
      <c r="AD1179" s="20"/>
      <c r="AE1179" s="20"/>
      <c r="AF1179" s="20"/>
      <c r="AG1179" s="20"/>
      <c r="AH1179" s="20"/>
      <c r="AI1179" s="20"/>
    </row>
    <row r="1180" spans="1:35" ht="12.75" customHeight="1">
      <c r="A1180" s="328"/>
      <c r="B1180" s="328"/>
      <c r="C1180" s="328"/>
      <c r="D1180" s="547"/>
      <c r="E1180" s="133"/>
      <c r="F1180" s="50"/>
      <c r="G1180" s="414"/>
      <c r="H1180" s="498"/>
      <c r="I1180" s="962"/>
      <c r="J1180" s="962"/>
      <c r="K1180" s="258" t="s">
        <v>248</v>
      </c>
      <c r="L1180" s="266" t="s">
        <v>497</v>
      </c>
      <c r="M1180" s="146">
        <v>-2850</v>
      </c>
      <c r="N1180" s="538">
        <f t="shared" si="129"/>
        <v>5855.8400940000138</v>
      </c>
      <c r="O1180" s="497"/>
      <c r="P1180" s="68"/>
      <c r="Q1180" s="287"/>
      <c r="R1180" s="317"/>
      <c r="S1180" s="611"/>
      <c r="T1180" s="372"/>
      <c r="U1180" s="20"/>
      <c r="V1180" s="26"/>
      <c r="W1180" s="26"/>
      <c r="X1180" s="91"/>
      <c r="Y1180" s="20"/>
      <c r="Z1180" s="239"/>
      <c r="AA1180" s="94"/>
      <c r="AB1180" s="26"/>
      <c r="AC1180" s="20"/>
      <c r="AD1180" s="20"/>
      <c r="AE1180" s="20"/>
      <c r="AF1180" s="20"/>
      <c r="AG1180" s="20"/>
      <c r="AH1180" s="20"/>
      <c r="AI1180" s="20"/>
    </row>
    <row r="1181" spans="1:35" ht="12.75" customHeight="1">
      <c r="F1181" s="50"/>
      <c r="G1181" s="414"/>
      <c r="H1181" s="498"/>
      <c r="I1181" s="493"/>
      <c r="J1181" s="517"/>
      <c r="K1181" s="258" t="s">
        <v>248</v>
      </c>
      <c r="L1181" s="266" t="s">
        <v>552</v>
      </c>
      <c r="M1181" s="45">
        <v>-400</v>
      </c>
      <c r="N1181" s="538">
        <f t="shared" si="129"/>
        <v>5455.8400940000138</v>
      </c>
      <c r="P1181" s="68"/>
      <c r="Q1181" s="287"/>
      <c r="R1181" s="317"/>
      <c r="S1181" s="611"/>
      <c r="T1181" s="372"/>
      <c r="U1181" s="20"/>
      <c r="V1181" s="26"/>
      <c r="AA1181" s="238"/>
    </row>
    <row r="1182" spans="1:35" ht="12.75" customHeight="1">
      <c r="G1182"/>
      <c r="H1182" s="33"/>
      <c r="I1182" s="493">
        <v>1738</v>
      </c>
      <c r="J1182" s="709"/>
      <c r="K1182" s="258" t="s">
        <v>248</v>
      </c>
      <c r="L1182" s="266" t="s">
        <v>195</v>
      </c>
      <c r="M1182" s="226">
        <v>0</v>
      </c>
      <c r="N1182" s="538">
        <f t="shared" si="129"/>
        <v>5455.8400940000138</v>
      </c>
      <c r="P1182" s="68"/>
      <c r="Q1182" s="287"/>
      <c r="R1182" s="317"/>
      <c r="S1182" s="611"/>
      <c r="T1182" s="372"/>
      <c r="U1182" s="20"/>
      <c r="V1182" s="26"/>
      <c r="AA1182" s="238"/>
    </row>
    <row r="1183" spans="1:35" ht="12.75" customHeight="1">
      <c r="G1183"/>
      <c r="H1183" s="33"/>
      <c r="I1183" s="495"/>
      <c r="K1183" s="85" t="s">
        <v>248</v>
      </c>
      <c r="L1183" s="266" t="s">
        <v>180</v>
      </c>
      <c r="M1183" s="45">
        <v>-59</v>
      </c>
      <c r="N1183" s="538">
        <f t="shared" si="129"/>
        <v>5396.8400940000138</v>
      </c>
      <c r="U1183" s="20"/>
      <c r="V1183" s="26"/>
      <c r="AA1183" s="238"/>
    </row>
    <row r="1184" spans="1:35" ht="12.75" customHeight="1">
      <c r="G1184"/>
      <c r="H1184" s="33"/>
      <c r="I1184" s="961"/>
      <c r="J1184" s="961"/>
      <c r="K1184" s="258" t="s">
        <v>248</v>
      </c>
      <c r="L1184" s="266" t="s">
        <v>61</v>
      </c>
      <c r="M1184" s="45">
        <v>-252.5</v>
      </c>
      <c r="N1184" s="538">
        <f t="shared" si="129"/>
        <v>5144.3400940000138</v>
      </c>
      <c r="U1184" s="20"/>
      <c r="V1184" s="26"/>
      <c r="AA1184" s="238"/>
    </row>
    <row r="1185" spans="2:35" ht="12.75" customHeight="1">
      <c r="G1185"/>
      <c r="H1185" s="33"/>
      <c r="I1185" s="961" t="s">
        <v>685</v>
      </c>
      <c r="J1185" s="961"/>
      <c r="K1185" s="258" t="s">
        <v>248</v>
      </c>
      <c r="L1185" s="266" t="s">
        <v>148</v>
      </c>
      <c r="M1185" s="45">
        <v>1000</v>
      </c>
      <c r="N1185" s="538">
        <f t="shared" si="129"/>
        <v>6144.3400940000138</v>
      </c>
      <c r="V1185" s="26"/>
      <c r="AA1185" s="238"/>
    </row>
    <row r="1186" spans="2:35" ht="12.75" customHeight="1">
      <c r="G1186"/>
      <c r="H1186" s="33"/>
      <c r="I1186" s="510"/>
      <c r="J1186" s="521"/>
      <c r="K1186" s="85" t="s">
        <v>189</v>
      </c>
      <c r="L1186" s="267" t="s">
        <v>16</v>
      </c>
      <c r="M1186" s="175">
        <v>-114.71</v>
      </c>
      <c r="N1186" s="538">
        <f t="shared" si="129"/>
        <v>6029.6300940000137</v>
      </c>
      <c r="V1186" s="26"/>
      <c r="AA1186" s="238"/>
    </row>
    <row r="1187" spans="2:35" ht="12.75" customHeight="1">
      <c r="G1187"/>
      <c r="H1187" s="33"/>
      <c r="K1187" s="258" t="s">
        <v>189</v>
      </c>
      <c r="L1187" s="268" t="s">
        <v>56</v>
      </c>
      <c r="M1187" s="175">
        <v>-1300</v>
      </c>
      <c r="N1187" s="538">
        <f t="shared" si="129"/>
        <v>4729.6300940000137</v>
      </c>
      <c r="V1187" s="26"/>
      <c r="AA1187" s="238"/>
    </row>
    <row r="1188" spans="2:35" ht="12.75" customHeight="1">
      <c r="G1188"/>
      <c r="H1188" s="33"/>
      <c r="I1188" s="875"/>
      <c r="J1188" s="1050"/>
      <c r="K1188" s="258" t="s">
        <v>189</v>
      </c>
      <c r="L1188" s="268" t="s">
        <v>23</v>
      </c>
      <c r="M1188" s="133">
        <v>-265.92</v>
      </c>
      <c r="N1188" s="538">
        <f t="shared" si="129"/>
        <v>4463.7100940000137</v>
      </c>
      <c r="V1188" s="26"/>
      <c r="AA1188" s="238"/>
    </row>
    <row r="1189" spans="2:35" ht="12.75" customHeight="1">
      <c r="G1189"/>
      <c r="H1189" s="33"/>
      <c r="I1189" s="875"/>
      <c r="J1189" s="1050"/>
      <c r="K1189" s="258" t="s">
        <v>189</v>
      </c>
      <c r="L1189" s="116" t="s">
        <v>224</v>
      </c>
      <c r="M1189" s="45">
        <v>-590.14</v>
      </c>
      <c r="N1189" s="538">
        <f t="shared" si="129"/>
        <v>3873.5700940000138</v>
      </c>
      <c r="V1189" s="26"/>
      <c r="AA1189" s="238"/>
    </row>
    <row r="1190" spans="2:35" ht="12.75" customHeight="1">
      <c r="G1190"/>
      <c r="H1190" s="33"/>
      <c r="I1190" s="875"/>
      <c r="J1190" s="888"/>
      <c r="K1190" s="258"/>
      <c r="L1190" s="116" t="s">
        <v>713</v>
      </c>
      <c r="M1190" s="40">
        <v>-856.68</v>
      </c>
      <c r="N1190" s="538">
        <f t="shared" si="129"/>
        <v>3016.890094000014</v>
      </c>
      <c r="V1190" s="26"/>
      <c r="AA1190" s="238"/>
    </row>
    <row r="1191" spans="2:35">
      <c r="I1191" s="235"/>
      <c r="J1191" s="534"/>
      <c r="K1191" s="258" t="s">
        <v>189</v>
      </c>
      <c r="L1191" s="116" t="s">
        <v>585</v>
      </c>
      <c r="M1191" s="175">
        <f>-63.85</f>
        <v>-63.85</v>
      </c>
      <c r="N1191" s="538">
        <f t="shared" si="129"/>
        <v>2953.0400940000141</v>
      </c>
    </row>
    <row r="1192" spans="2:35">
      <c r="I1192" s="543"/>
      <c r="J1192" s="504"/>
      <c r="K1192" s="321" t="s">
        <v>190</v>
      </c>
      <c r="L1192" s="269" t="s">
        <v>375</v>
      </c>
      <c r="M1192" s="366">
        <v>-47.52</v>
      </c>
      <c r="N1192" s="566">
        <f>N1191+M1192</f>
        <v>2905.5200940000141</v>
      </c>
    </row>
    <row r="1193" spans="2:35">
      <c r="J1193" s="504"/>
      <c r="L1193" s="23"/>
      <c r="M1193" s="168">
        <f>SUM(M1155:M1192)</f>
        <v>2905.5200940000141</v>
      </c>
      <c r="N1193" s="806"/>
    </row>
    <row r="1194" spans="2:35" s="78" customFormat="1">
      <c r="E1194" s="15"/>
      <c r="G1194" s="129"/>
      <c r="K1194" s="257"/>
      <c r="M1194" s="15"/>
      <c r="P1194" s="15"/>
      <c r="Q1194" s="15"/>
      <c r="R1194" s="15"/>
      <c r="S1194" s="385"/>
      <c r="Z1194" s="15"/>
      <c r="AA1194" s="130"/>
      <c r="AB1194" s="15"/>
    </row>
    <row r="1196" spans="2:35" ht="12.75" customHeight="1">
      <c r="B1196" s="1030" t="s">
        <v>707</v>
      </c>
      <c r="C1196" s="1030"/>
      <c r="D1196" s="1030"/>
      <c r="E1196" s="1030"/>
      <c r="G1196" s="261"/>
      <c r="H1196" s="658"/>
      <c r="I1196" s="26"/>
      <c r="K1196" s="258"/>
      <c r="L1196" s="100"/>
      <c r="M1196" s="1031" t="s">
        <v>54</v>
      </c>
      <c r="N1196" s="901"/>
      <c r="O1196" s="906"/>
      <c r="P1196" s="1033" t="s">
        <v>48</v>
      </c>
      <c r="Q1196" s="1035" t="s">
        <v>581</v>
      </c>
      <c r="R1196" s="1035"/>
      <c r="S1196" s="377"/>
      <c r="X1196" s="35"/>
      <c r="Y1196" s="35"/>
      <c r="Z1196" s="26"/>
      <c r="AA1196" s="907"/>
      <c r="AB1196" s="26"/>
      <c r="AC1196" s="20"/>
      <c r="AD1196" s="20"/>
      <c r="AE1196" s="20"/>
      <c r="AF1196" s="20"/>
      <c r="AG1196" s="20"/>
      <c r="AH1196" s="20"/>
      <c r="AI1196" s="20"/>
    </row>
    <row r="1197" spans="2:35" ht="12.75" customHeight="1">
      <c r="C1197" s="17" t="s">
        <v>357</v>
      </c>
      <c r="D1197" s="14"/>
      <c r="E1197" s="877">
        <v>8483.35</v>
      </c>
      <c r="G1197" s="1036"/>
      <c r="H1197" s="1036"/>
      <c r="I1197" s="26"/>
      <c r="K1197" s="260" t="s">
        <v>221</v>
      </c>
      <c r="L1197" s="156"/>
      <c r="M1197" s="1032"/>
      <c r="N1197" s="901" t="s">
        <v>43</v>
      </c>
      <c r="O1197" s="906"/>
      <c r="P1197" s="1034"/>
      <c r="Q1197" s="902" t="s">
        <v>43</v>
      </c>
      <c r="R1197" s="903" t="s">
        <v>53</v>
      </c>
      <c r="S1197" s="377"/>
      <c r="X1197" s="118"/>
      <c r="Y1197" s="111"/>
      <c r="Z1197" s="117"/>
      <c r="AA1197" s="89"/>
      <c r="AB1197" s="90"/>
      <c r="AC1197" s="20"/>
      <c r="AD1197" s="41"/>
      <c r="AE1197" s="20"/>
      <c r="AF1197" s="20"/>
      <c r="AG1197" s="20"/>
      <c r="AH1197" s="20"/>
      <c r="AI1197" s="20"/>
    </row>
    <row r="1198" spans="2:35" ht="12.75" customHeight="1">
      <c r="C1198" s="17"/>
      <c r="D1198" s="14" t="s">
        <v>24</v>
      </c>
      <c r="E1198" s="44">
        <f>'[1]APRIL '' 14'!$C$27</f>
        <v>934.47999999999956</v>
      </c>
      <c r="G1198" s="30"/>
      <c r="H1198" s="624">
        <f>SUM(E1198:E1199)</f>
        <v>934.47999999999956</v>
      </c>
      <c r="I1198" s="26"/>
      <c r="K1198" s="273"/>
      <c r="L1198" s="235" t="s">
        <v>226</v>
      </c>
      <c r="M1198" s="45">
        <f>$M$1193</f>
        <v>2905.5200940000141</v>
      </c>
      <c r="N1198" s="71">
        <f>M1198</f>
        <v>2905.5200940000141</v>
      </c>
      <c r="O1198" s="26"/>
      <c r="P1198" s="45">
        <f>$Q$1174</f>
        <v>-15548.327278480994</v>
      </c>
      <c r="Q1198" s="71">
        <f>P1198</f>
        <v>-15548.327278480994</v>
      </c>
      <c r="R1198" s="45">
        <f>20000+Q1198</f>
        <v>4451.6727215190058</v>
      </c>
      <c r="S1198" s="378" t="s">
        <v>298</v>
      </c>
      <c r="T1198" s="367" t="s">
        <v>299</v>
      </c>
      <c r="W1198" s="392"/>
      <c r="X1198" s="111"/>
      <c r="Y1198" s="111"/>
      <c r="Z1198" s="45"/>
      <c r="AA1198" s="488"/>
      <c r="AB1198" s="26"/>
      <c r="AC1198" s="20"/>
      <c r="AD1198" s="92"/>
      <c r="AE1198" s="93"/>
      <c r="AF1198" s="20"/>
      <c r="AG1198" s="20"/>
      <c r="AH1198" s="20"/>
      <c r="AI1198" s="20"/>
    </row>
    <row r="1199" spans="2:35" ht="12.75" customHeight="1">
      <c r="C1199" s="17"/>
      <c r="D1199" s="143" t="s">
        <v>225</v>
      </c>
      <c r="E1199" s="15"/>
      <c r="G1199"/>
      <c r="H1199" s="624"/>
      <c r="I1199" s="26"/>
      <c r="K1199" s="297"/>
      <c r="L1199" s="116" t="s">
        <v>478</v>
      </c>
      <c r="M1199" s="45">
        <v>-505.5</v>
      </c>
      <c r="N1199" s="538">
        <f>N1198+M1199</f>
        <v>2400.0200940000141</v>
      </c>
      <c r="O1199" s="65"/>
      <c r="P1199" s="133">
        <v>-140.13999999999999</v>
      </c>
      <c r="Q1199" s="72">
        <f>Q1198+P1199</f>
        <v>-15688.467278480994</v>
      </c>
      <c r="R1199" s="45">
        <f>20000+Q1199</f>
        <v>4311.5327215190064</v>
      </c>
      <c r="S1199" s="373" t="s">
        <v>253</v>
      </c>
      <c r="T1199" s="391"/>
      <c r="W1199" s="111"/>
      <c r="X1199" s="111"/>
      <c r="Y1199" s="112"/>
      <c r="Z1199" s="55"/>
      <c r="AA1199" s="489"/>
      <c r="AB1199" s="95"/>
      <c r="AC1199" s="20"/>
      <c r="AD1199" s="41"/>
      <c r="AE1199" s="93"/>
      <c r="AF1199" s="20"/>
      <c r="AG1199" s="20"/>
      <c r="AH1199" s="20"/>
      <c r="AI1199" s="20"/>
    </row>
    <row r="1200" spans="2:35" ht="12.75" customHeight="1">
      <c r="C1200" s="18" t="s">
        <v>5</v>
      </c>
      <c r="D1200" s="14"/>
      <c r="E1200" s="14">
        <f>SUM(E1197:E1199)</f>
        <v>9417.83</v>
      </c>
      <c r="G1200" s="242"/>
      <c r="H1200" s="492"/>
      <c r="I1200" s="26"/>
      <c r="K1200" s="297"/>
      <c r="L1200" s="184" t="s">
        <v>343</v>
      </c>
      <c r="M1200" s="45">
        <v>-602.22</v>
      </c>
      <c r="N1200" s="538">
        <f>N1199+M1200</f>
        <v>1797.800094000014</v>
      </c>
      <c r="O1200" s="49"/>
      <c r="P1200" s="133">
        <v>-564</v>
      </c>
      <c r="Q1200" s="72">
        <f>Q1199+P1200</f>
        <v>-16252.467278480994</v>
      </c>
      <c r="R1200" s="45">
        <f>20000+Q1200</f>
        <v>3747.5327215190064</v>
      </c>
      <c r="S1200" s="373" t="s">
        <v>268</v>
      </c>
      <c r="T1200" s="391"/>
      <c r="W1200" s="111"/>
      <c r="X1200" s="111"/>
      <c r="Y1200" s="112"/>
      <c r="Z1200" s="55"/>
      <c r="AA1200" s="489"/>
      <c r="AB1200" s="26"/>
      <c r="AC1200" s="20"/>
      <c r="AD1200" s="92"/>
      <c r="AE1200" s="93"/>
      <c r="AF1200" s="20"/>
      <c r="AG1200" s="20"/>
      <c r="AH1200" s="20"/>
      <c r="AI1200" s="20"/>
    </row>
    <row r="1201" spans="1:35" ht="12.75" customHeight="1">
      <c r="G1201" s="20"/>
      <c r="H1201" s="490"/>
      <c r="I1201" s="26"/>
      <c r="K1201" s="297" t="s">
        <v>223</v>
      </c>
      <c r="L1201" s="184" t="s">
        <v>227</v>
      </c>
      <c r="M1201" s="45">
        <v>-449</v>
      </c>
      <c r="N1201" s="538">
        <f>N1200+M1201</f>
        <v>1348.800094000014</v>
      </c>
      <c r="O1201" s="39"/>
      <c r="P1201" s="133">
        <v>-420</v>
      </c>
      <c r="Q1201" s="72">
        <f t="shared" ref="Q1201:Q1206" si="132">Q1200+P1201</f>
        <v>-16672.467278480995</v>
      </c>
      <c r="R1201" s="45">
        <f t="shared" ref="R1201:R1206" si="133">20000+Q1201</f>
        <v>3327.5327215190046</v>
      </c>
      <c r="S1201" s="373" t="s">
        <v>716</v>
      </c>
      <c r="T1201" s="391"/>
      <c r="W1201" s="112"/>
      <c r="X1201" s="112"/>
      <c r="Y1201" s="112"/>
      <c r="Z1201" s="55"/>
      <c r="AA1201" s="489"/>
      <c r="AB1201" s="26"/>
      <c r="AC1201" s="20"/>
      <c r="AD1201" s="92"/>
      <c r="AE1201" s="93"/>
      <c r="AF1201" s="20"/>
      <c r="AG1201" s="20"/>
      <c r="AH1201" s="20"/>
      <c r="AI1201" s="20"/>
    </row>
    <row r="1202" spans="1:35" ht="12.75" customHeight="1">
      <c r="A1202" s="319"/>
      <c r="C1202" s="81" t="s">
        <v>17</v>
      </c>
      <c r="E1202" s="42"/>
      <c r="G1202"/>
      <c r="H1202" s="904"/>
      <c r="I1202" s="26"/>
      <c r="K1202" s="297"/>
      <c r="L1202" s="184" t="s">
        <v>102</v>
      </c>
      <c r="M1202" s="45">
        <v>-1000</v>
      </c>
      <c r="N1202" s="538">
        <f>N1201+M1202</f>
        <v>348.80009400001404</v>
      </c>
      <c r="O1202" s="39"/>
      <c r="P1202" s="133">
        <f>-M1202</f>
        <v>1000</v>
      </c>
      <c r="Q1202" s="72">
        <f t="shared" si="132"/>
        <v>-15672.467278480995</v>
      </c>
      <c r="R1202" s="45">
        <f t="shared" si="133"/>
        <v>4327.5327215190046</v>
      </c>
      <c r="S1202" s="373" t="s">
        <v>247</v>
      </c>
      <c r="T1202" s="391"/>
      <c r="W1202" s="103"/>
      <c r="X1202" s="111"/>
      <c r="Y1202" s="112"/>
      <c r="Z1202" s="55"/>
      <c r="AA1202" s="489"/>
      <c r="AB1202" s="95"/>
      <c r="AC1202" s="20"/>
      <c r="AD1202" s="96"/>
      <c r="AE1202" s="93"/>
      <c r="AF1202" s="20"/>
      <c r="AG1202" s="20"/>
      <c r="AH1202" s="20"/>
      <c r="AI1202" s="20"/>
    </row>
    <row r="1203" spans="1:35" ht="12.75" customHeight="1">
      <c r="A1203" s="319"/>
      <c r="D1203" s="20" t="s">
        <v>14</v>
      </c>
      <c r="E1203" s="42">
        <f>E1197</f>
        <v>8483.35</v>
      </c>
      <c r="F1203" s="20"/>
      <c r="G1203" s="20"/>
      <c r="H1203" s="490">
        <f>G1204+E1204</f>
        <v>934.47999999999956</v>
      </c>
      <c r="I1203" s="26"/>
      <c r="K1203" s="297"/>
      <c r="L1203" s="116" t="s">
        <v>524</v>
      </c>
      <c r="M1203" s="45">
        <v>-9</v>
      </c>
      <c r="N1203" s="538">
        <f t="shared" ref="N1203:N1222" si="134">N1202+M1203</f>
        <v>339.80009400001404</v>
      </c>
      <c r="O1203" s="253"/>
      <c r="P1203" s="133">
        <v>-237.81</v>
      </c>
      <c r="Q1203" s="72">
        <f t="shared" si="132"/>
        <v>-15910.277278480995</v>
      </c>
      <c r="R1203" s="45">
        <f t="shared" si="133"/>
        <v>4089.7227215190051</v>
      </c>
      <c r="S1203" s="373" t="s">
        <v>270</v>
      </c>
      <c r="T1203" s="391" t="s">
        <v>549</v>
      </c>
      <c r="U1203" s="74"/>
      <c r="V1203" s="26"/>
      <c r="W1203" s="111"/>
      <c r="X1203" s="111"/>
      <c r="Y1203" s="112"/>
      <c r="Z1203" s="55"/>
      <c r="AA1203" s="489"/>
      <c r="AB1203" s="26"/>
      <c r="AC1203" s="20"/>
      <c r="AD1203" s="41"/>
      <c r="AE1203" s="93"/>
      <c r="AF1203" s="20"/>
      <c r="AG1203" s="20"/>
      <c r="AH1203" s="20"/>
      <c r="AI1203" s="20"/>
    </row>
    <row r="1204" spans="1:35" ht="12.75" customHeight="1" thickBot="1">
      <c r="A1204" s="319"/>
      <c r="D1204" s="78" t="s">
        <v>13</v>
      </c>
      <c r="E1204" s="483">
        <f>SUM(E1198:E1199)</f>
        <v>934.47999999999956</v>
      </c>
      <c r="F1204" s="482" t="s">
        <v>364</v>
      </c>
      <c r="G1204" s="1037"/>
      <c r="H1204" s="1037"/>
      <c r="I1204" s="26"/>
      <c r="K1204" s="297"/>
      <c r="L1204" s="116" t="s">
        <v>719</v>
      </c>
      <c r="M1204" s="45">
        <v>33.049999999999997</v>
      </c>
      <c r="N1204" s="538">
        <f t="shared" si="134"/>
        <v>372.85009400001405</v>
      </c>
      <c r="O1204" s="253"/>
      <c r="P1204" s="133">
        <v>-162</v>
      </c>
      <c r="Q1204" s="72">
        <f t="shared" si="132"/>
        <v>-16072.277278480995</v>
      </c>
      <c r="R1204" s="45">
        <f t="shared" si="133"/>
        <v>3927.7227215190051</v>
      </c>
      <c r="S1204" s="373" t="s">
        <v>717</v>
      </c>
      <c r="T1204" s="391" t="s">
        <v>718</v>
      </c>
      <c r="U1204" s="74"/>
      <c r="V1204" s="26"/>
      <c r="W1204" s="20"/>
      <c r="X1204" s="20"/>
      <c r="Y1204" s="112"/>
      <c r="Z1204" s="239"/>
      <c r="AA1204" s="94"/>
      <c r="AB1204" s="26"/>
      <c r="AC1204" s="20"/>
      <c r="AD1204" s="92"/>
      <c r="AE1204" s="93"/>
      <c r="AF1204" s="20"/>
      <c r="AG1204" s="20"/>
      <c r="AH1204" s="20"/>
      <c r="AI1204" s="20"/>
    </row>
    <row r="1205" spans="1:35" ht="12.75" customHeight="1" thickTop="1">
      <c r="A1205" s="319"/>
      <c r="D1205" s="20"/>
      <c r="E1205" s="26"/>
      <c r="F1205" s="122"/>
      <c r="G1205" s="1038">
        <f>E1203+E1204+G1204</f>
        <v>9417.83</v>
      </c>
      <c r="H1205" s="1038"/>
      <c r="I1205" s="26"/>
      <c r="K1205" s="273"/>
      <c r="L1205" s="184" t="s">
        <v>102</v>
      </c>
      <c r="M1205" s="45">
        <v>500</v>
      </c>
      <c r="N1205" s="538">
        <f t="shared" si="134"/>
        <v>872.850094000014</v>
      </c>
      <c r="O1205" s="253"/>
      <c r="P1205" s="133">
        <v>-500</v>
      </c>
      <c r="Q1205" s="72">
        <f t="shared" si="132"/>
        <v>-16572.277278480993</v>
      </c>
      <c r="R1205" s="45">
        <f t="shared" si="133"/>
        <v>3427.7227215190069</v>
      </c>
      <c r="S1205" s="373" t="s">
        <v>247</v>
      </c>
      <c r="T1205" s="391"/>
      <c r="U1205" s="74"/>
      <c r="V1205" s="26"/>
      <c r="W1205" s="26"/>
      <c r="X1205" s="20"/>
      <c r="Y1205" s="112"/>
      <c r="Z1205" s="239"/>
      <c r="AA1205" s="94"/>
      <c r="AB1205" s="95"/>
      <c r="AC1205" s="20"/>
      <c r="AD1205" s="92"/>
      <c r="AE1205" s="93"/>
      <c r="AF1205" s="20"/>
      <c r="AG1205" s="20"/>
      <c r="AH1205" s="20"/>
      <c r="AI1205" s="20"/>
    </row>
    <row r="1206" spans="1:35" ht="12.75" customHeight="1">
      <c r="A1206" s="333"/>
      <c r="B1206" s="333"/>
      <c r="C1206" s="333"/>
      <c r="D1206" s="408"/>
      <c r="E1206" s="412"/>
      <c r="F1206" s="50"/>
      <c r="G1206" s="409"/>
      <c r="H1206" s="905"/>
      <c r="I1206" s="26"/>
      <c r="K1206" s="273"/>
      <c r="L1206" s="116" t="s">
        <v>720</v>
      </c>
      <c r="M1206" s="45">
        <v>-384</v>
      </c>
      <c r="N1206" s="538">
        <f t="shared" si="134"/>
        <v>488.850094000014</v>
      </c>
      <c r="O1206" s="253"/>
      <c r="P1206" s="133">
        <v>2223</v>
      </c>
      <c r="Q1206" s="72">
        <f t="shared" si="132"/>
        <v>-14349.277278480993</v>
      </c>
      <c r="R1206" s="45">
        <f t="shared" si="133"/>
        <v>5650.7227215190069</v>
      </c>
      <c r="S1206" s="373" t="s">
        <v>293</v>
      </c>
      <c r="T1206" s="391" t="s">
        <v>712</v>
      </c>
      <c r="U1206" s="20"/>
      <c r="V1206" s="20"/>
      <c r="W1206" s="26"/>
      <c r="X1206" s="91"/>
      <c r="Y1206" s="20"/>
      <c r="Z1206" s="239"/>
      <c r="AA1206" s="94"/>
      <c r="AB1206" s="26"/>
      <c r="AC1206" s="20"/>
      <c r="AD1206" s="20"/>
      <c r="AE1206" s="20"/>
      <c r="AF1206" s="20"/>
      <c r="AG1206" s="20"/>
      <c r="AH1206" s="20"/>
      <c r="AI1206" s="20"/>
    </row>
    <row r="1207" spans="1:35" ht="12.75" customHeight="1">
      <c r="A1207" s="333"/>
      <c r="B1207" s="333"/>
      <c r="C1207" s="333"/>
      <c r="D1207" s="408"/>
      <c r="E1207" s="412"/>
      <c r="F1207" s="50"/>
      <c r="G1207" s="409"/>
      <c r="H1207" s="905"/>
      <c r="I1207" s="26"/>
      <c r="K1207" s="273"/>
      <c r="L1207" s="116" t="s">
        <v>24</v>
      </c>
      <c r="M1207" s="45">
        <v>300</v>
      </c>
      <c r="N1207" s="538">
        <f t="shared" si="134"/>
        <v>788.850094000014</v>
      </c>
      <c r="O1207" s="253"/>
      <c r="P1207" s="133">
        <v>-268.51</v>
      </c>
      <c r="Q1207" s="72">
        <f>Q1206+P1207</f>
        <v>-14617.787278480993</v>
      </c>
      <c r="R1207" s="45">
        <f>20000+Q1207</f>
        <v>5382.2127215190067</v>
      </c>
      <c r="S1207" s="373" t="s">
        <v>723</v>
      </c>
      <c r="T1207" s="391"/>
      <c r="U1207" s="20"/>
      <c r="V1207" s="20"/>
      <c r="W1207" s="26"/>
      <c r="X1207" s="91"/>
      <c r="Y1207" s="20"/>
      <c r="Z1207" s="239"/>
      <c r="AA1207" s="94"/>
      <c r="AB1207" s="26"/>
      <c r="AC1207" s="20"/>
      <c r="AD1207" s="20"/>
      <c r="AE1207" s="20"/>
      <c r="AF1207" s="20"/>
      <c r="AG1207" s="20"/>
      <c r="AH1207" s="20"/>
      <c r="AI1207" s="20"/>
    </row>
    <row r="1208" spans="1:35" ht="12.75" customHeight="1">
      <c r="A1208" s="333"/>
      <c r="B1208" s="333"/>
      <c r="C1208" s="333"/>
      <c r="D1208" s="408"/>
      <c r="E1208" s="412"/>
      <c r="F1208" s="50"/>
      <c r="G1208" s="409"/>
      <c r="H1208" s="905"/>
      <c r="I1208" s="26"/>
      <c r="K1208" s="273"/>
      <c r="L1208" s="116" t="s">
        <v>722</v>
      </c>
      <c r="M1208" s="45">
        <v>-677.57</v>
      </c>
      <c r="N1208" s="538">
        <f t="shared" si="134"/>
        <v>111.28009400001395</v>
      </c>
      <c r="O1208" s="253"/>
      <c r="P1208" s="133">
        <v>-147.9</v>
      </c>
      <c r="Q1208" s="72">
        <f>Q1207+P1208</f>
        <v>-14765.687278480993</v>
      </c>
      <c r="R1208" s="45">
        <f>20000+Q1208</f>
        <v>5234.312721519007</v>
      </c>
      <c r="S1208" s="373" t="s">
        <v>724</v>
      </c>
      <c r="T1208" s="391"/>
      <c r="U1208" s="20"/>
      <c r="V1208" s="20"/>
      <c r="W1208" s="26"/>
      <c r="X1208" s="91"/>
      <c r="Y1208" s="20"/>
      <c r="Z1208" s="239"/>
      <c r="AA1208" s="94"/>
      <c r="AB1208" s="26"/>
      <c r="AC1208" s="20"/>
      <c r="AD1208" s="20"/>
      <c r="AE1208" s="20"/>
      <c r="AF1208" s="20"/>
      <c r="AG1208" s="20"/>
      <c r="AH1208" s="20"/>
      <c r="AI1208" s="20"/>
    </row>
    <row r="1209" spans="1:35" ht="12.75" customHeight="1">
      <c r="A1209" s="333"/>
      <c r="B1209" s="333"/>
      <c r="C1209" s="333"/>
      <c r="D1209" s="133"/>
      <c r="E1209" s="133"/>
      <c r="F1209" s="50"/>
      <c r="G1209" s="409"/>
      <c r="H1209" s="401"/>
      <c r="I1209" s="874"/>
      <c r="K1209" s="273"/>
      <c r="L1209" s="116" t="s">
        <v>715</v>
      </c>
      <c r="M1209" s="45">
        <v>649.64</v>
      </c>
      <c r="N1209" s="538">
        <f t="shared" si="134"/>
        <v>760.92009400001393</v>
      </c>
      <c r="O1209" s="253"/>
      <c r="P1209" s="133">
        <v>-45</v>
      </c>
      <c r="Q1209" s="72">
        <f>Q1208+P1209</f>
        <v>-14810.687278480993</v>
      </c>
      <c r="R1209" s="45">
        <f>20000+Q1209</f>
        <v>5189.312721519007</v>
      </c>
      <c r="S1209" s="373" t="s">
        <v>572</v>
      </c>
      <c r="T1209" s="391"/>
      <c r="U1209" s="20"/>
      <c r="V1209" s="26"/>
      <c r="W1209" s="26"/>
      <c r="X1209" s="91"/>
      <c r="Y1209" s="20"/>
      <c r="Z1209" s="239"/>
      <c r="AA1209" s="94"/>
      <c r="AB1209" s="26"/>
      <c r="AC1209" s="20"/>
      <c r="AD1209" s="20"/>
      <c r="AE1209" s="20"/>
      <c r="AF1209" s="20"/>
      <c r="AG1209" s="20"/>
      <c r="AH1209" s="20"/>
      <c r="AI1209" s="20"/>
    </row>
    <row r="1210" spans="1:35" ht="12.75" customHeight="1">
      <c r="A1210" s="333"/>
      <c r="B1210" s="333"/>
      <c r="C1210" s="333"/>
      <c r="D1210" s="133"/>
      <c r="E1210" s="133"/>
      <c r="F1210" s="50"/>
      <c r="G1210" s="409"/>
      <c r="H1210" s="401"/>
      <c r="I1210" s="874"/>
      <c r="K1210" s="273"/>
      <c r="L1210" s="116" t="s">
        <v>705</v>
      </c>
      <c r="M1210" s="196">
        <v>-149</v>
      </c>
      <c r="N1210" s="531">
        <f t="shared" si="134"/>
        <v>611.92009400001393</v>
      </c>
      <c r="O1210" s="253"/>
      <c r="P1210" s="133">
        <v>-45</v>
      </c>
      <c r="Q1210" s="72">
        <f>Q1209+P1210</f>
        <v>-14855.687278480993</v>
      </c>
      <c r="R1210" s="45">
        <f>20000+Q1210</f>
        <v>5144.312721519007</v>
      </c>
      <c r="S1210" s="373" t="s">
        <v>572</v>
      </c>
      <c r="T1210" s="391"/>
      <c r="U1210" s="20"/>
      <c r="V1210" s="26"/>
      <c r="W1210" s="26"/>
      <c r="X1210" s="91"/>
      <c r="Y1210" s="20"/>
      <c r="Z1210" s="239"/>
      <c r="AA1210" s="94"/>
      <c r="AB1210" s="26"/>
      <c r="AC1210" s="20"/>
      <c r="AD1210" s="20"/>
      <c r="AE1210" s="20"/>
      <c r="AF1210" s="20"/>
      <c r="AG1210" s="20"/>
      <c r="AH1210" s="20"/>
      <c r="AI1210" s="20"/>
    </row>
    <row r="1211" spans="1:35" ht="12.75" customHeight="1">
      <c r="A1211" s="333"/>
      <c r="B1211" s="333"/>
      <c r="C1211" s="333"/>
      <c r="D1211" s="133"/>
      <c r="E1211" s="133"/>
      <c r="F1211" s="50"/>
      <c r="G1211" s="409"/>
      <c r="H1211" s="401"/>
      <c r="I1211" s="315"/>
      <c r="J1211" s="511"/>
      <c r="K1211" s="258" t="s">
        <v>248</v>
      </c>
      <c r="L1211" s="266" t="s">
        <v>51</v>
      </c>
      <c r="M1211" s="911">
        <f>E1203</f>
        <v>8483.35</v>
      </c>
      <c r="N1211" s="538">
        <f t="shared" si="134"/>
        <v>9095.2700940000141</v>
      </c>
      <c r="O1211" s="253"/>
      <c r="P1211" s="49">
        <f>E1204</f>
        <v>934.47999999999956</v>
      </c>
      <c r="Q1211" s="73">
        <f>Q1210+P1211</f>
        <v>-13921.207278480993</v>
      </c>
      <c r="R1211" s="45">
        <f>20000+Q1211</f>
        <v>6078.7927215190066</v>
      </c>
      <c r="S1211" s="373"/>
      <c r="T1211" s="833"/>
      <c r="U1211" s="20"/>
      <c r="V1211" s="26"/>
      <c r="W1211" s="26"/>
      <c r="X1211" s="91"/>
      <c r="Y1211" s="20"/>
      <c r="Z1211" s="239"/>
      <c r="AA1211" s="94"/>
      <c r="AB1211" s="26"/>
      <c r="AC1211" s="20"/>
      <c r="AD1211" s="20"/>
      <c r="AE1211" s="20"/>
      <c r="AF1211" s="20"/>
      <c r="AG1211" s="20"/>
      <c r="AH1211" s="20"/>
      <c r="AI1211" s="20"/>
    </row>
    <row r="1212" spans="1:35" ht="12.75" customHeight="1">
      <c r="A1212" s="333"/>
      <c r="B1212" s="333"/>
      <c r="C1212" s="333"/>
      <c r="D1212" s="133"/>
      <c r="E1212" s="133"/>
      <c r="F1212" s="50"/>
      <c r="G1212" s="409"/>
      <c r="H1212" s="401"/>
      <c r="I1212" s="962"/>
      <c r="J1212" s="962"/>
      <c r="K1212" s="258" t="s">
        <v>248</v>
      </c>
      <c r="L1212" s="266" t="s">
        <v>509</v>
      </c>
      <c r="M1212" s="911">
        <v>-2850</v>
      </c>
      <c r="N1212" s="538">
        <f t="shared" si="134"/>
        <v>6245.2700940000141</v>
      </c>
      <c r="O1212" s="253"/>
      <c r="P1212" s="64">
        <f>SUM(P1198:P1211)</f>
        <v>-13921.207278480993</v>
      </c>
      <c r="Q1212" s="287"/>
      <c r="R1212" s="317"/>
      <c r="S1212" s="611"/>
      <c r="T1212" s="372"/>
      <c r="U1212" s="20"/>
      <c r="V1212" s="26"/>
      <c r="W1212" s="26"/>
      <c r="X1212" s="91"/>
      <c r="Y1212" s="20"/>
      <c r="Z1212" s="239"/>
      <c r="AA1212" s="94"/>
      <c r="AB1212" s="26"/>
      <c r="AC1212" s="20"/>
      <c r="AD1212" s="20"/>
      <c r="AE1212" s="20"/>
      <c r="AF1212" s="20"/>
      <c r="AG1212" s="20"/>
      <c r="AH1212" s="20"/>
      <c r="AI1212" s="20"/>
    </row>
    <row r="1213" spans="1:35" ht="12.75" customHeight="1">
      <c r="A1213" s="333"/>
      <c r="B1213" s="333"/>
      <c r="C1213" s="333"/>
      <c r="D1213" s="133"/>
      <c r="E1213" s="133"/>
      <c r="F1213" s="50"/>
      <c r="G1213" s="409"/>
      <c r="H1213" s="401"/>
      <c r="I1213" s="493"/>
      <c r="J1213" s="517"/>
      <c r="K1213" s="258" t="s">
        <v>248</v>
      </c>
      <c r="L1213" s="266" t="s">
        <v>552</v>
      </c>
      <c r="M1213" s="196">
        <v>-400</v>
      </c>
      <c r="N1213" s="538">
        <f t="shared" si="134"/>
        <v>5845.2700940000141</v>
      </c>
      <c r="O1213" s="253"/>
      <c r="P1213" s="68"/>
      <c r="Q1213" s="287"/>
      <c r="R1213" s="317"/>
      <c r="S1213" s="611"/>
      <c r="T1213" s="372"/>
      <c r="U1213" s="20"/>
      <c r="V1213" s="26"/>
      <c r="W1213" s="26"/>
      <c r="X1213" s="91"/>
      <c r="Y1213" s="20"/>
      <c r="Z1213" s="239"/>
      <c r="AA1213" s="94"/>
      <c r="AB1213" s="26"/>
      <c r="AC1213" s="20"/>
      <c r="AD1213" s="20"/>
      <c r="AE1213" s="20"/>
      <c r="AF1213" s="20"/>
      <c r="AG1213" s="20"/>
      <c r="AH1213" s="20"/>
      <c r="AI1213" s="20"/>
    </row>
    <row r="1214" spans="1:35" ht="12.75" customHeight="1">
      <c r="A1214" s="333"/>
      <c r="B1214" s="333"/>
      <c r="C1214" s="333"/>
      <c r="D1214" s="133"/>
      <c r="E1214" s="133"/>
      <c r="F1214" s="50"/>
      <c r="G1214" s="409"/>
      <c r="H1214" s="401"/>
      <c r="I1214" s="493"/>
      <c r="J1214" s="709"/>
      <c r="K1214" s="258" t="s">
        <v>248</v>
      </c>
      <c r="L1214" s="266" t="s">
        <v>195</v>
      </c>
      <c r="M1214" s="45">
        <v>-2065.2199999999998</v>
      </c>
      <c r="N1214" s="538">
        <f t="shared" si="134"/>
        <v>3780.0500940000143</v>
      </c>
      <c r="O1214" s="253"/>
      <c r="P1214" s="68"/>
      <c r="Q1214" s="287"/>
      <c r="R1214" s="317"/>
      <c r="S1214" s="611"/>
      <c r="T1214" s="372"/>
      <c r="U1214" s="20"/>
      <c r="V1214" s="26"/>
      <c r="W1214" s="26"/>
      <c r="X1214" s="91"/>
      <c r="Y1214" s="20"/>
      <c r="Z1214" s="239"/>
      <c r="AA1214" s="94"/>
      <c r="AB1214" s="26"/>
      <c r="AC1214" s="20"/>
      <c r="AD1214" s="20"/>
      <c r="AE1214" s="20"/>
      <c r="AF1214" s="20"/>
      <c r="AG1214" s="20"/>
      <c r="AH1214" s="20"/>
      <c r="AI1214" s="20"/>
    </row>
    <row r="1215" spans="1:35" ht="12.75" customHeight="1">
      <c r="A1215" s="333"/>
      <c r="B1215" s="333"/>
      <c r="C1215" s="333"/>
      <c r="D1215" s="133"/>
      <c r="E1215" s="133"/>
      <c r="F1215" s="50"/>
      <c r="G1215" s="409"/>
      <c r="H1215" s="401"/>
      <c r="I1215" s="495"/>
      <c r="K1215" s="85" t="s">
        <v>248</v>
      </c>
      <c r="L1215" s="266" t="s">
        <v>180</v>
      </c>
      <c r="M1215" s="45">
        <v>-59</v>
      </c>
      <c r="N1215" s="538">
        <f t="shared" si="134"/>
        <v>3721.0500940000143</v>
      </c>
      <c r="O1215" s="253"/>
      <c r="V1215" s="26"/>
      <c r="W1215" s="26"/>
      <c r="X1215" s="91"/>
      <c r="Y1215" s="20"/>
      <c r="Z1215" s="239"/>
      <c r="AA1215" s="94"/>
      <c r="AB1215" s="26"/>
      <c r="AC1215" s="20"/>
      <c r="AD1215" s="20"/>
      <c r="AE1215" s="20"/>
      <c r="AF1215" s="20"/>
      <c r="AG1215" s="20"/>
      <c r="AH1215" s="20"/>
      <c r="AI1215" s="20"/>
    </row>
    <row r="1216" spans="1:35" ht="12.75" customHeight="1">
      <c r="A1216" s="333"/>
      <c r="B1216" s="333"/>
      <c r="C1216" s="333"/>
      <c r="D1216" s="133"/>
      <c r="E1216" s="133"/>
      <c r="F1216" s="50"/>
      <c r="G1216" s="409"/>
      <c r="H1216" s="401"/>
      <c r="I1216" s="961"/>
      <c r="J1216" s="961"/>
      <c r="K1216" s="258" t="s">
        <v>248</v>
      </c>
      <c r="L1216" s="266" t="s">
        <v>61</v>
      </c>
      <c r="M1216" s="45">
        <v>-252.5</v>
      </c>
      <c r="N1216" s="538">
        <f t="shared" si="134"/>
        <v>3468.5500940000143</v>
      </c>
      <c r="O1216" s="253"/>
      <c r="V1216" s="26"/>
      <c r="W1216" s="26"/>
      <c r="X1216" s="91"/>
      <c r="Y1216" s="20"/>
      <c r="Z1216" s="239"/>
      <c r="AA1216" s="94"/>
      <c r="AB1216" s="26"/>
      <c r="AC1216" s="20"/>
      <c r="AD1216" s="20"/>
      <c r="AE1216" s="20"/>
      <c r="AF1216" s="20"/>
      <c r="AG1216" s="20"/>
      <c r="AH1216" s="20"/>
      <c r="AI1216" s="20"/>
    </row>
    <row r="1217" spans="1:35" ht="12.75" customHeight="1">
      <c r="A1217" s="333"/>
      <c r="B1217" s="333"/>
      <c r="C1217" s="333"/>
      <c r="D1217" s="413"/>
      <c r="E1217" s="34"/>
      <c r="F1217" s="50"/>
      <c r="G1217" s="409"/>
      <c r="H1217" s="509"/>
      <c r="I1217" s="961" t="s">
        <v>685</v>
      </c>
      <c r="J1217" s="961"/>
      <c r="K1217" s="258" t="s">
        <v>248</v>
      </c>
      <c r="L1217" s="266" t="s">
        <v>148</v>
      </c>
      <c r="M1217" s="45">
        <v>1000</v>
      </c>
      <c r="N1217" s="538">
        <f t="shared" si="134"/>
        <v>4468.5500940000147</v>
      </c>
      <c r="O1217" s="253"/>
      <c r="V1217" s="26"/>
      <c r="W1217" s="26"/>
      <c r="X1217" s="91"/>
      <c r="Y1217" s="20"/>
      <c r="Z1217" s="239"/>
      <c r="AA1217" s="94"/>
      <c r="AB1217" s="26"/>
      <c r="AC1217" s="20"/>
      <c r="AD1217" s="20"/>
      <c r="AE1217" s="20"/>
      <c r="AF1217" s="20"/>
      <c r="AG1217" s="20"/>
      <c r="AH1217" s="20"/>
      <c r="AI1217" s="20"/>
    </row>
    <row r="1218" spans="1:35" ht="12.75" customHeight="1">
      <c r="A1218" s="333"/>
      <c r="B1218" s="333"/>
      <c r="C1218" s="333"/>
      <c r="D1218" s="413"/>
      <c r="E1218" s="34"/>
      <c r="F1218" s="50"/>
      <c r="G1218" s="414"/>
      <c r="H1218" s="509"/>
      <c r="I1218" s="510"/>
      <c r="J1218" s="521"/>
      <c r="K1218" s="85" t="s">
        <v>189</v>
      </c>
      <c r="L1218" s="267" t="s">
        <v>16</v>
      </c>
      <c r="M1218" s="175">
        <v>-103.99</v>
      </c>
      <c r="N1218" s="538">
        <f t="shared" si="134"/>
        <v>4364.5600940000149</v>
      </c>
      <c r="O1218" s="253"/>
      <c r="V1218" s="26"/>
      <c r="W1218" s="26"/>
      <c r="X1218" s="91"/>
      <c r="Y1218" s="20"/>
      <c r="Z1218" s="239"/>
      <c r="AA1218" s="94"/>
      <c r="AB1218" s="26"/>
      <c r="AC1218" s="20"/>
      <c r="AD1218" s="20"/>
      <c r="AE1218" s="20"/>
      <c r="AF1218" s="20"/>
      <c r="AG1218" s="20"/>
      <c r="AH1218" s="20"/>
      <c r="AI1218" s="20"/>
    </row>
    <row r="1219" spans="1:35" ht="12.75" customHeight="1">
      <c r="A1219" s="333"/>
      <c r="B1219" s="333"/>
      <c r="C1219" s="333"/>
      <c r="D1219" s="48"/>
      <c r="E1219" s="133"/>
      <c r="F1219" s="50"/>
      <c r="G1219" s="414"/>
      <c r="H1219" s="509"/>
      <c r="K1219" s="258" t="s">
        <v>189</v>
      </c>
      <c r="L1219" s="268" t="s">
        <v>56</v>
      </c>
      <c r="M1219" s="175">
        <v>-1300</v>
      </c>
      <c r="N1219" s="538">
        <f t="shared" si="134"/>
        <v>3064.5600940000149</v>
      </c>
      <c r="O1219" s="253"/>
      <c r="V1219" s="26"/>
      <c r="W1219" s="26"/>
      <c r="X1219" s="91"/>
      <c r="Y1219" s="20"/>
      <c r="Z1219" s="239"/>
      <c r="AA1219" s="94"/>
      <c r="AB1219" s="26"/>
      <c r="AC1219" s="20"/>
      <c r="AD1219" s="20"/>
      <c r="AE1219" s="20"/>
      <c r="AF1219" s="20"/>
      <c r="AG1219" s="20"/>
      <c r="AH1219" s="20"/>
      <c r="AI1219" s="20"/>
    </row>
    <row r="1220" spans="1:35" ht="12.75" customHeight="1">
      <c r="A1220" s="328"/>
      <c r="B1220" s="328"/>
      <c r="C1220" s="328"/>
      <c r="D1220" s="547"/>
      <c r="E1220" s="133"/>
      <c r="F1220" s="50"/>
      <c r="G1220" s="414"/>
      <c r="H1220" s="905"/>
      <c r="I1220" s="875"/>
      <c r="J1220" s="899"/>
      <c r="K1220" s="258" t="s">
        <v>189</v>
      </c>
      <c r="L1220" s="268" t="s">
        <v>23</v>
      </c>
      <c r="M1220" s="133">
        <v>-250.77</v>
      </c>
      <c r="N1220" s="538">
        <f t="shared" si="134"/>
        <v>2813.790094000015</v>
      </c>
      <c r="O1220" s="497"/>
      <c r="V1220" s="26"/>
      <c r="W1220" s="26"/>
      <c r="X1220" s="91"/>
      <c r="Y1220" s="20"/>
      <c r="Z1220" s="239"/>
      <c r="AA1220" s="94"/>
      <c r="AB1220" s="26"/>
      <c r="AC1220" s="20"/>
      <c r="AD1220" s="20"/>
      <c r="AE1220" s="20"/>
      <c r="AF1220" s="20"/>
      <c r="AG1220" s="20"/>
      <c r="AH1220" s="20"/>
      <c r="AI1220" s="20"/>
    </row>
    <row r="1221" spans="1:35" ht="12.75" customHeight="1">
      <c r="A1221" s="328"/>
      <c r="B1221" s="328"/>
      <c r="C1221" s="328"/>
      <c r="D1221" s="547"/>
      <c r="E1221" s="133"/>
      <c r="F1221" s="50"/>
      <c r="G1221" s="414"/>
      <c r="H1221" s="498"/>
      <c r="I1221" s="875"/>
      <c r="J1221" s="899"/>
      <c r="K1221" s="258" t="s">
        <v>189</v>
      </c>
      <c r="L1221" s="116" t="s">
        <v>714</v>
      </c>
      <c r="M1221" s="45">
        <v>-530.74</v>
      </c>
      <c r="N1221" s="538">
        <f t="shared" si="134"/>
        <v>2283.0500940000147</v>
      </c>
      <c r="O1221" s="497"/>
      <c r="V1221" s="26"/>
      <c r="W1221" s="26"/>
      <c r="X1221" s="91"/>
      <c r="Y1221" s="20"/>
      <c r="Z1221" s="239"/>
      <c r="AA1221" s="94"/>
      <c r="AB1221" s="26"/>
      <c r="AC1221" s="20"/>
      <c r="AD1221" s="20"/>
      <c r="AE1221" s="20"/>
      <c r="AF1221" s="20"/>
      <c r="AG1221" s="20"/>
      <c r="AH1221" s="20"/>
      <c r="AI1221" s="20"/>
    </row>
    <row r="1222" spans="1:35" ht="12.75" customHeight="1">
      <c r="F1222" s="50"/>
      <c r="G1222" s="414"/>
      <c r="H1222" s="498"/>
      <c r="I1222" s="235"/>
      <c r="J1222" s="534"/>
      <c r="K1222" s="258" t="s">
        <v>189</v>
      </c>
      <c r="L1222" s="116" t="s">
        <v>585</v>
      </c>
      <c r="M1222" s="175">
        <f>-63.85</f>
        <v>-63.85</v>
      </c>
      <c r="N1222" s="538">
        <f t="shared" si="134"/>
        <v>2219.2000940000148</v>
      </c>
      <c r="V1222" s="26"/>
      <c r="AA1222" s="238"/>
    </row>
    <row r="1223" spans="1:35" ht="12.75" customHeight="1">
      <c r="G1223"/>
      <c r="H1223" s="33"/>
      <c r="I1223" s="543"/>
      <c r="J1223" s="504"/>
      <c r="K1223" s="321" t="s">
        <v>190</v>
      </c>
      <c r="L1223" s="269" t="s">
        <v>375</v>
      </c>
      <c r="M1223" s="366">
        <v>-47.52</v>
      </c>
      <c r="N1223" s="566">
        <f>N1222+M1223</f>
        <v>2171.6800940000148</v>
      </c>
      <c r="V1223" s="26"/>
      <c r="AA1223" s="238"/>
    </row>
    <row r="1224" spans="1:35" ht="12.75" customHeight="1">
      <c r="G1224"/>
      <c r="H1224" s="33"/>
      <c r="J1224" s="504"/>
      <c r="L1224" s="23"/>
      <c r="M1224" s="168">
        <f>SUM(M1198:M1223)</f>
        <v>2171.6800940000148</v>
      </c>
      <c r="N1224" s="806"/>
      <c r="V1224" s="26"/>
      <c r="AA1224" s="238"/>
    </row>
    <row r="1225" spans="1:35" s="78" customFormat="1">
      <c r="E1225" s="15"/>
      <c r="G1225" s="129"/>
      <c r="K1225" s="257"/>
      <c r="M1225" s="15"/>
      <c r="P1225" s="15"/>
      <c r="Q1225" s="15"/>
      <c r="R1225" s="15"/>
      <c r="S1225" s="385"/>
      <c r="Z1225" s="15"/>
      <c r="AA1225" s="130"/>
      <c r="AB1225" s="15"/>
    </row>
    <row r="1227" spans="1:35" ht="12.75" customHeight="1">
      <c r="B1227" s="1030" t="s">
        <v>725</v>
      </c>
      <c r="C1227" s="1030"/>
      <c r="D1227" s="1030"/>
      <c r="E1227" s="1030"/>
      <c r="G1227" s="261"/>
      <c r="H1227" s="658"/>
      <c r="I1227" s="26"/>
      <c r="K1227" s="258"/>
      <c r="L1227" s="100"/>
      <c r="M1227" s="1031" t="s">
        <v>54</v>
      </c>
      <c r="N1227" s="912"/>
      <c r="O1227" s="917"/>
      <c r="P1227" s="1033" t="s">
        <v>48</v>
      </c>
      <c r="Q1227" s="1035" t="s">
        <v>581</v>
      </c>
      <c r="R1227" s="1035"/>
      <c r="S1227" s="377"/>
      <c r="X1227" s="35"/>
      <c r="Y1227" s="35"/>
      <c r="Z1227" s="26"/>
      <c r="AA1227" s="918"/>
      <c r="AB1227" s="26"/>
      <c r="AC1227" s="20"/>
      <c r="AD1227" s="20"/>
      <c r="AE1227" s="20"/>
      <c r="AF1227" s="20"/>
      <c r="AG1227" s="20"/>
      <c r="AH1227" s="20"/>
      <c r="AI1227" s="20"/>
    </row>
    <row r="1228" spans="1:35" ht="12.75" customHeight="1">
      <c r="C1228" s="17" t="s">
        <v>357</v>
      </c>
      <c r="D1228" s="14"/>
      <c r="E1228" s="877">
        <v>8483.35</v>
      </c>
      <c r="G1228" s="1036"/>
      <c r="H1228" s="1036"/>
      <c r="I1228" s="26"/>
      <c r="K1228" s="260" t="s">
        <v>221</v>
      </c>
      <c r="L1228" s="156"/>
      <c r="M1228" s="1032"/>
      <c r="N1228" s="912" t="s">
        <v>43</v>
      </c>
      <c r="O1228" s="917"/>
      <c r="P1228" s="1034"/>
      <c r="Q1228" s="913" t="s">
        <v>43</v>
      </c>
      <c r="R1228" s="914" t="s">
        <v>53</v>
      </c>
      <c r="S1228" s="377"/>
      <c r="X1228" s="118"/>
      <c r="Y1228" s="111"/>
      <c r="Z1228" s="117"/>
      <c r="AA1228" s="89"/>
      <c r="AB1228" s="90"/>
      <c r="AC1228" s="20"/>
      <c r="AD1228" s="41"/>
      <c r="AE1228" s="20"/>
      <c r="AF1228" s="20"/>
      <c r="AG1228" s="20"/>
      <c r="AH1228" s="20"/>
      <c r="AI1228" s="20"/>
    </row>
    <row r="1229" spans="1:35" ht="12.75" customHeight="1">
      <c r="C1229" s="17"/>
      <c r="D1229" s="14" t="s">
        <v>24</v>
      </c>
      <c r="E1229" s="44">
        <f>'[1]MAY '' 14'!$C$27</f>
        <v>2029.48</v>
      </c>
      <c r="G1229" s="30"/>
      <c r="H1229" s="624">
        <f>SUM(E1229:E1230)</f>
        <v>2029.48</v>
      </c>
      <c r="I1229" s="26"/>
      <c r="K1229" s="273"/>
      <c r="L1229" s="235" t="s">
        <v>226</v>
      </c>
      <c r="M1229" s="45">
        <f>$M$1224</f>
        <v>2171.6800940000148</v>
      </c>
      <c r="N1229" s="71">
        <f>M1229</f>
        <v>2171.6800940000148</v>
      </c>
      <c r="O1229" s="26"/>
      <c r="P1229" s="45">
        <f>$Q$1211</f>
        <v>-13921.207278480993</v>
      </c>
      <c r="Q1229" s="71">
        <f>P1229</f>
        <v>-13921.207278480993</v>
      </c>
      <c r="R1229" s="45">
        <f>20000+Q1229</f>
        <v>6078.7927215190066</v>
      </c>
      <c r="S1229" s="378" t="s">
        <v>298</v>
      </c>
      <c r="T1229" s="367" t="s">
        <v>299</v>
      </c>
      <c r="W1229" s="392"/>
      <c r="X1229" s="111"/>
      <c r="Y1229" s="111"/>
      <c r="Z1229" s="45"/>
      <c r="AA1229" s="488"/>
      <c r="AB1229" s="26"/>
      <c r="AC1229" s="20"/>
      <c r="AD1229" s="92"/>
      <c r="AE1229" s="93"/>
      <c r="AF1229" s="20"/>
      <c r="AG1229" s="20"/>
      <c r="AH1229" s="20"/>
      <c r="AI1229" s="20"/>
    </row>
    <row r="1230" spans="1:35" ht="12.75" customHeight="1">
      <c r="C1230" s="17"/>
      <c r="D1230" s="143" t="s">
        <v>225</v>
      </c>
      <c r="E1230" s="15"/>
      <c r="G1230"/>
      <c r="H1230" s="624"/>
      <c r="I1230" s="26"/>
      <c r="K1230" s="297"/>
      <c r="L1230" s="116" t="s">
        <v>102</v>
      </c>
      <c r="M1230" s="45">
        <v>-1500</v>
      </c>
      <c r="N1230" s="538">
        <f>N1229+M1230</f>
        <v>671.68009400001483</v>
      </c>
      <c r="O1230" s="65"/>
      <c r="P1230" s="133">
        <v>-241.31</v>
      </c>
      <c r="Q1230" s="72">
        <f>Q1229+P1230</f>
        <v>-14162.517278480993</v>
      </c>
      <c r="R1230" s="45">
        <f>20000+Q1230</f>
        <v>5837.4827215190071</v>
      </c>
      <c r="S1230" s="373" t="s">
        <v>253</v>
      </c>
      <c r="T1230" s="391"/>
      <c r="W1230" s="111"/>
      <c r="X1230" s="111"/>
      <c r="Y1230" s="112"/>
      <c r="Z1230" s="55"/>
      <c r="AA1230" s="489"/>
      <c r="AB1230" s="95"/>
      <c r="AC1230" s="20"/>
      <c r="AD1230" s="41"/>
      <c r="AE1230" s="93"/>
      <c r="AF1230" s="20"/>
      <c r="AG1230" s="20"/>
      <c r="AH1230" s="20"/>
      <c r="AI1230" s="20"/>
    </row>
    <row r="1231" spans="1:35" ht="12.75" customHeight="1">
      <c r="C1231" s="18" t="s">
        <v>5</v>
      </c>
      <c r="D1231" s="14"/>
      <c r="E1231" s="14">
        <f>SUM(E1228:E1230)</f>
        <v>10512.83</v>
      </c>
      <c r="G1231" s="242"/>
      <c r="H1231" s="492"/>
      <c r="I1231" s="26"/>
      <c r="K1231" s="297" t="s">
        <v>223</v>
      </c>
      <c r="L1231" s="184" t="s">
        <v>227</v>
      </c>
      <c r="M1231" s="45">
        <v>-449</v>
      </c>
      <c r="N1231" s="538">
        <f>N1230+M1231</f>
        <v>222.68009400001483</v>
      </c>
      <c r="O1231" s="49"/>
      <c r="P1231" s="133">
        <f>-M1230</f>
        <v>1500</v>
      </c>
      <c r="Q1231" s="72">
        <f>Q1230+P1231</f>
        <v>-12662.517278480993</v>
      </c>
      <c r="R1231" s="45">
        <f>20000+Q1231</f>
        <v>7337.4827215190071</v>
      </c>
      <c r="S1231" s="373" t="s">
        <v>247</v>
      </c>
      <c r="T1231" s="391"/>
      <c r="W1231" s="111"/>
      <c r="X1231" s="111"/>
      <c r="Y1231" s="112"/>
      <c r="Z1231" s="55"/>
      <c r="AA1231" s="489"/>
      <c r="AB1231" s="26"/>
      <c r="AC1231" s="20"/>
      <c r="AD1231" s="92"/>
      <c r="AE1231" s="93"/>
      <c r="AF1231" s="20"/>
      <c r="AG1231" s="20"/>
      <c r="AH1231" s="20"/>
      <c r="AI1231" s="20"/>
    </row>
    <row r="1232" spans="1:35" ht="12.75" customHeight="1">
      <c r="G1232" s="20"/>
      <c r="H1232" s="490"/>
      <c r="I1232" s="26"/>
      <c r="K1232" s="297" t="s">
        <v>223</v>
      </c>
      <c r="L1232" s="116" t="s">
        <v>524</v>
      </c>
      <c r="M1232" s="45">
        <v>-9</v>
      </c>
      <c r="N1232" s="538">
        <f>N1231+M1232</f>
        <v>213.68009400001483</v>
      </c>
      <c r="O1232" s="39"/>
      <c r="P1232" s="133">
        <v>-2450</v>
      </c>
      <c r="Q1232" s="72">
        <f t="shared" ref="Q1232:Q1240" si="135">Q1231+P1232</f>
        <v>-15112.517278480993</v>
      </c>
      <c r="R1232" s="45">
        <f t="shared" ref="R1232:R1240" si="136">20000+Q1232</f>
        <v>4887.4827215190071</v>
      </c>
      <c r="S1232" s="373" t="s">
        <v>728</v>
      </c>
      <c r="T1232" s="391"/>
      <c r="W1232" s="112"/>
      <c r="X1232" s="112"/>
      <c r="Y1232" s="112"/>
      <c r="Z1232" s="55"/>
      <c r="AA1232" s="489"/>
      <c r="AB1232" s="26"/>
      <c r="AC1232" s="20"/>
      <c r="AD1232" s="92"/>
      <c r="AE1232" s="93"/>
      <c r="AF1232" s="20"/>
      <c r="AG1232" s="20"/>
      <c r="AH1232" s="20"/>
      <c r="AI1232" s="20"/>
    </row>
    <row r="1233" spans="1:35" ht="12.75" customHeight="1">
      <c r="A1233" s="319"/>
      <c r="C1233" s="81" t="s">
        <v>17</v>
      </c>
      <c r="E1233" s="42"/>
      <c r="G1233"/>
      <c r="H1233" s="915"/>
      <c r="I1233" s="26"/>
      <c r="K1233" s="297"/>
      <c r="L1233" s="184" t="s">
        <v>727</v>
      </c>
      <c r="M1233" s="45">
        <v>-200</v>
      </c>
      <c r="N1233" s="538">
        <f t="shared" ref="N1233:N1252" si="137">N1232+M1233</f>
        <v>13.680094000014833</v>
      </c>
      <c r="O1233" s="39"/>
      <c r="P1233" s="133">
        <v>-160</v>
      </c>
      <c r="Q1233" s="72">
        <f t="shared" si="135"/>
        <v>-15272.517278480993</v>
      </c>
      <c r="R1233" s="45">
        <f t="shared" si="136"/>
        <v>4727.4827215190071</v>
      </c>
      <c r="S1233" s="373" t="s">
        <v>729</v>
      </c>
      <c r="T1233" s="391"/>
      <c r="W1233" s="103"/>
      <c r="X1233" s="111"/>
      <c r="Y1233" s="112"/>
      <c r="Z1233" s="55"/>
      <c r="AA1233" s="489"/>
      <c r="AB1233" s="95"/>
      <c r="AC1233" s="20"/>
      <c r="AD1233" s="96"/>
      <c r="AE1233" s="93"/>
      <c r="AF1233" s="20"/>
      <c r="AG1233" s="20"/>
      <c r="AH1233" s="20"/>
      <c r="AI1233" s="20"/>
    </row>
    <row r="1234" spans="1:35" ht="12.75" customHeight="1">
      <c r="A1234" s="319"/>
      <c r="D1234" s="20" t="s">
        <v>14</v>
      </c>
      <c r="E1234" s="42">
        <f>E1228</f>
        <v>8483.35</v>
      </c>
      <c r="F1234" s="20"/>
      <c r="G1234" s="20"/>
      <c r="H1234" s="490">
        <f>G1235+E1235</f>
        <v>2029.48</v>
      </c>
      <c r="I1234" s="26"/>
      <c r="K1234" s="297"/>
      <c r="L1234" s="116" t="s">
        <v>159</v>
      </c>
      <c r="M1234" s="45">
        <f>6000-(6000-5622)-2000-1622</f>
        <v>2000</v>
      </c>
      <c r="N1234" s="538">
        <f t="shared" si="137"/>
        <v>2013.6800940000148</v>
      </c>
      <c r="O1234" s="253"/>
      <c r="P1234" s="133">
        <v>-510</v>
      </c>
      <c r="Q1234" s="72">
        <f t="shared" si="135"/>
        <v>-15782.517278480993</v>
      </c>
      <c r="R1234" s="45">
        <f t="shared" si="136"/>
        <v>4217.4827215190071</v>
      </c>
      <c r="S1234" s="373" t="s">
        <v>730</v>
      </c>
      <c r="T1234" s="391">
        <f>SUM(P1232:P1236)</f>
        <v>-3322.44</v>
      </c>
      <c r="U1234" s="74"/>
      <c r="V1234" s="26"/>
      <c r="W1234" s="111"/>
      <c r="X1234" s="111"/>
      <c r="Y1234" s="112"/>
      <c r="Z1234" s="55"/>
      <c r="AA1234" s="489"/>
      <c r="AB1234" s="26"/>
      <c r="AC1234" s="20"/>
      <c r="AD1234" s="41"/>
      <c r="AE1234" s="93"/>
      <c r="AF1234" s="20"/>
      <c r="AG1234" s="20"/>
      <c r="AH1234" s="20"/>
      <c r="AI1234" s="20"/>
    </row>
    <row r="1235" spans="1:35" ht="12.75" customHeight="1" thickBot="1">
      <c r="A1235" s="319"/>
      <c r="D1235" s="78" t="s">
        <v>13</v>
      </c>
      <c r="E1235" s="483">
        <f>SUM(E1229:E1230)</f>
        <v>2029.48</v>
      </c>
      <c r="F1235" s="482" t="s">
        <v>364</v>
      </c>
      <c r="G1235" s="1037"/>
      <c r="H1235" s="1037"/>
      <c r="I1235" s="26"/>
      <c r="K1235" s="297"/>
      <c r="L1235" s="116" t="s">
        <v>733</v>
      </c>
      <c r="M1235" s="45">
        <v>-0.9</v>
      </c>
      <c r="N1235" s="538">
        <f t="shared" si="137"/>
        <v>2012.7800940000147</v>
      </c>
      <c r="O1235" s="253"/>
      <c r="P1235" s="133">
        <v>-97.44</v>
      </c>
      <c r="Q1235" s="72">
        <f t="shared" si="135"/>
        <v>-15879.957278480993</v>
      </c>
      <c r="R1235" s="45">
        <f t="shared" si="136"/>
        <v>4120.0427215190066</v>
      </c>
      <c r="S1235" s="373" t="s">
        <v>270</v>
      </c>
      <c r="T1235" s="391"/>
      <c r="U1235" s="74"/>
      <c r="V1235" s="26"/>
      <c r="W1235" s="20"/>
      <c r="X1235" s="20"/>
      <c r="Y1235" s="112"/>
      <c r="Z1235" s="239"/>
      <c r="AA1235" s="94"/>
      <c r="AB1235" s="26"/>
      <c r="AC1235" s="20"/>
      <c r="AD1235" s="92"/>
      <c r="AE1235" s="93"/>
      <c r="AF1235" s="20"/>
      <c r="AG1235" s="20"/>
      <c r="AH1235" s="20"/>
      <c r="AI1235" s="20"/>
    </row>
    <row r="1236" spans="1:35" ht="12.75" customHeight="1" thickTop="1">
      <c r="A1236" s="319"/>
      <c r="D1236" s="20"/>
      <c r="E1236" s="26"/>
      <c r="F1236" s="122"/>
      <c r="G1236" s="1038">
        <f>E1234+E1235+G1235</f>
        <v>10512.83</v>
      </c>
      <c r="H1236" s="1038"/>
      <c r="I1236" s="26"/>
      <c r="K1236" s="297"/>
      <c r="L1236" s="116" t="s">
        <v>135</v>
      </c>
      <c r="M1236" s="45">
        <v>-420.49</v>
      </c>
      <c r="N1236" s="538">
        <f t="shared" si="137"/>
        <v>1592.2900940000147</v>
      </c>
      <c r="O1236" s="253"/>
      <c r="P1236" s="133">
        <v>-105</v>
      </c>
      <c r="Q1236" s="72">
        <f t="shared" si="135"/>
        <v>-15984.957278480993</v>
      </c>
      <c r="R1236" s="45">
        <f t="shared" si="136"/>
        <v>4015.0427215190066</v>
      </c>
      <c r="S1236" s="373" t="s">
        <v>731</v>
      </c>
      <c r="T1236" s="391"/>
      <c r="U1236" s="74"/>
      <c r="V1236" s="26"/>
      <c r="W1236" s="26"/>
      <c r="X1236" s="20"/>
      <c r="Y1236" s="112"/>
      <c r="Z1236" s="239"/>
      <c r="AA1236" s="94"/>
      <c r="AB1236" s="95"/>
      <c r="AC1236" s="20"/>
      <c r="AD1236" s="92"/>
      <c r="AE1236" s="93"/>
      <c r="AF1236" s="20"/>
      <c r="AG1236" s="20"/>
      <c r="AH1236" s="20"/>
      <c r="AI1236" s="20"/>
    </row>
    <row r="1237" spans="1:35" ht="12.75" customHeight="1">
      <c r="A1237" s="333"/>
      <c r="B1237" s="333"/>
      <c r="C1237" s="333"/>
      <c r="D1237" s="408"/>
      <c r="E1237" s="412"/>
      <c r="F1237" s="50"/>
      <c r="G1237" s="409"/>
      <c r="H1237" s="916"/>
      <c r="I1237" s="26"/>
      <c r="K1237" s="297"/>
      <c r="L1237" s="116" t="s">
        <v>732</v>
      </c>
      <c r="M1237" s="45">
        <v>-324.98</v>
      </c>
      <c r="N1237" s="538">
        <f t="shared" si="137"/>
        <v>1267.3100940000147</v>
      </c>
      <c r="O1237" s="253"/>
      <c r="P1237" s="133">
        <v>-556.67999999999995</v>
      </c>
      <c r="Q1237" s="72">
        <f t="shared" si="135"/>
        <v>-16541.637278480994</v>
      </c>
      <c r="R1237" s="45">
        <f t="shared" si="136"/>
        <v>3458.3627215190063</v>
      </c>
      <c r="S1237" s="373" t="s">
        <v>270</v>
      </c>
      <c r="T1237" s="391" t="s">
        <v>549</v>
      </c>
      <c r="U1237" s="20"/>
      <c r="V1237" s="20"/>
      <c r="W1237" s="26"/>
      <c r="X1237" s="91"/>
      <c r="Y1237" s="20"/>
      <c r="Z1237" s="239"/>
      <c r="AA1237" s="94"/>
      <c r="AB1237" s="26"/>
      <c r="AC1237" s="20"/>
      <c r="AD1237" s="20"/>
      <c r="AE1237" s="20"/>
      <c r="AF1237" s="20"/>
      <c r="AG1237" s="20"/>
      <c r="AH1237" s="20"/>
      <c r="AI1237" s="20"/>
    </row>
    <row r="1238" spans="1:35" ht="12.75" customHeight="1">
      <c r="A1238" s="333"/>
      <c r="B1238" s="333"/>
      <c r="C1238" s="333"/>
      <c r="D1238" s="133"/>
      <c r="E1238" s="133"/>
      <c r="F1238" s="50"/>
      <c r="G1238" s="409"/>
      <c r="H1238" s="401"/>
      <c r="I1238" s="26"/>
      <c r="K1238" s="297"/>
      <c r="L1238" s="116" t="s">
        <v>742</v>
      </c>
      <c r="M1238" s="45">
        <v>-47</v>
      </c>
      <c r="N1238" s="538">
        <f t="shared" si="137"/>
        <v>1220.3100940000147</v>
      </c>
      <c r="O1238" s="253"/>
      <c r="P1238" s="133">
        <v>-1014</v>
      </c>
      <c r="Q1238" s="72">
        <f t="shared" si="135"/>
        <v>-17555.637278480994</v>
      </c>
      <c r="R1238" s="45">
        <f t="shared" si="136"/>
        <v>2444.3627215190063</v>
      </c>
      <c r="S1238" s="373" t="s">
        <v>407</v>
      </c>
      <c r="T1238" s="391"/>
      <c r="U1238" s="20"/>
      <c r="V1238" s="26"/>
      <c r="W1238" s="26"/>
      <c r="X1238" s="91"/>
      <c r="Y1238" s="20"/>
      <c r="Z1238" s="239"/>
      <c r="AA1238" s="94"/>
      <c r="AB1238" s="26"/>
      <c r="AC1238" s="20"/>
      <c r="AD1238" s="20"/>
      <c r="AE1238" s="20"/>
      <c r="AF1238" s="20"/>
      <c r="AG1238" s="20"/>
      <c r="AH1238" s="20"/>
      <c r="AI1238" s="20"/>
    </row>
    <row r="1239" spans="1:35" ht="12.75" customHeight="1">
      <c r="A1239" s="333"/>
      <c r="B1239" s="333"/>
      <c r="C1239" s="333"/>
      <c r="D1239" s="133"/>
      <c r="E1239" s="133"/>
      <c r="F1239" s="50"/>
      <c r="G1239" s="409"/>
      <c r="H1239" s="401"/>
      <c r="I1239" s="26"/>
      <c r="K1239" s="297"/>
      <c r="L1239" s="116" t="s">
        <v>24</v>
      </c>
      <c r="M1239" s="45">
        <f>2000-1804</f>
        <v>196</v>
      </c>
      <c r="N1239" s="538">
        <f t="shared" si="137"/>
        <v>1416.3100940000147</v>
      </c>
      <c r="O1239" s="253"/>
      <c r="P1239" s="133">
        <v>-2000</v>
      </c>
      <c r="Q1239" s="72">
        <f t="shared" si="135"/>
        <v>-19555.637278480994</v>
      </c>
      <c r="R1239" s="45">
        <f t="shared" si="136"/>
        <v>444.3627215190063</v>
      </c>
      <c r="S1239" s="373" t="s">
        <v>564</v>
      </c>
      <c r="T1239" s="391"/>
      <c r="U1239" s="234"/>
      <c r="V1239" s="26"/>
      <c r="W1239" s="26"/>
      <c r="X1239" s="91"/>
      <c r="Y1239" s="20"/>
      <c r="Z1239" s="239"/>
      <c r="AA1239" s="94"/>
      <c r="AB1239" s="26"/>
      <c r="AC1239" s="20"/>
      <c r="AD1239" s="20"/>
      <c r="AE1239" s="20"/>
      <c r="AF1239" s="20"/>
      <c r="AG1239" s="20"/>
      <c r="AH1239" s="20"/>
      <c r="AI1239" s="20"/>
    </row>
    <row r="1240" spans="1:35" ht="12.75" customHeight="1">
      <c r="A1240" s="333"/>
      <c r="B1240" s="333"/>
      <c r="C1240" s="333"/>
      <c r="D1240" s="133"/>
      <c r="E1240" s="133"/>
      <c r="F1240" s="50"/>
      <c r="G1240" s="409"/>
      <c r="H1240" s="401"/>
      <c r="I1240" s="315"/>
      <c r="J1240" s="511"/>
      <c r="K1240" s="258" t="s">
        <v>248</v>
      </c>
      <c r="L1240" s="266" t="s">
        <v>51</v>
      </c>
      <c r="M1240" s="146">
        <f>E1234</f>
        <v>8483.35</v>
      </c>
      <c r="N1240" s="538">
        <f t="shared" si="137"/>
        <v>9899.6600940000153</v>
      </c>
      <c r="O1240" s="253"/>
      <c r="P1240" s="133">
        <v>-400.48</v>
      </c>
      <c r="Q1240" s="72">
        <f t="shared" si="135"/>
        <v>-19956.117278480993</v>
      </c>
      <c r="R1240" s="45">
        <f t="shared" si="136"/>
        <v>43.882721519006736</v>
      </c>
      <c r="S1240" s="373" t="s">
        <v>734</v>
      </c>
      <c r="T1240" s="391"/>
      <c r="U1240" s="20"/>
      <c r="V1240" s="26"/>
      <c r="W1240" s="26"/>
      <c r="X1240" s="91"/>
      <c r="Y1240" s="20"/>
      <c r="Z1240" s="239"/>
      <c r="AA1240" s="94"/>
      <c r="AB1240" s="26"/>
      <c r="AC1240" s="20"/>
      <c r="AD1240" s="20"/>
      <c r="AE1240" s="20"/>
      <c r="AF1240" s="20"/>
      <c r="AG1240" s="20"/>
      <c r="AH1240" s="20"/>
      <c r="AI1240" s="20"/>
    </row>
    <row r="1241" spans="1:35" ht="12.75" customHeight="1">
      <c r="A1241" s="333"/>
      <c r="B1241" s="333"/>
      <c r="C1241" s="333"/>
      <c r="D1241" s="133"/>
      <c r="E1241" s="133"/>
      <c r="F1241" s="50"/>
      <c r="G1241" s="409"/>
      <c r="H1241" s="401"/>
      <c r="I1241" s="962"/>
      <c r="J1241" s="962"/>
      <c r="K1241" s="258" t="s">
        <v>248</v>
      </c>
      <c r="L1241" s="266" t="s">
        <v>528</v>
      </c>
      <c r="M1241" s="146">
        <v>-2850</v>
      </c>
      <c r="N1241" s="538">
        <f t="shared" si="137"/>
        <v>7049.6600940000153</v>
      </c>
      <c r="O1241" s="253"/>
      <c r="P1241" s="49">
        <f>E1235</f>
        <v>2029.48</v>
      </c>
      <c r="Q1241" s="73">
        <f>Q1240+P1241</f>
        <v>-17926.637278480994</v>
      </c>
      <c r="R1241" s="45">
        <f>20000+Q1241</f>
        <v>2073.3627215190063</v>
      </c>
      <c r="S1241" s="373"/>
      <c r="T1241" s="833"/>
      <c r="U1241" s="20"/>
      <c r="V1241" s="26"/>
      <c r="W1241" s="26"/>
      <c r="X1241" s="91"/>
      <c r="Y1241" s="20"/>
      <c r="Z1241" s="239"/>
      <c r="AA1241" s="94"/>
      <c r="AB1241" s="26"/>
      <c r="AC1241" s="20"/>
      <c r="AD1241" s="20"/>
      <c r="AE1241" s="20"/>
      <c r="AF1241" s="20"/>
      <c r="AG1241" s="20"/>
      <c r="AH1241" s="20"/>
      <c r="AI1241" s="20"/>
    </row>
    <row r="1242" spans="1:35" ht="12.75" customHeight="1">
      <c r="A1242" s="333"/>
      <c r="B1242" s="333"/>
      <c r="C1242" s="333"/>
      <c r="D1242" s="133"/>
      <c r="E1242" s="133"/>
      <c r="F1242" s="50"/>
      <c r="G1242" s="409"/>
      <c r="H1242" s="401"/>
      <c r="I1242" s="493"/>
      <c r="J1242" s="517"/>
      <c r="K1242" s="258" t="s">
        <v>248</v>
      </c>
      <c r="L1242" s="266" t="s">
        <v>552</v>
      </c>
      <c r="M1242" s="45">
        <v>-400</v>
      </c>
      <c r="N1242" s="538">
        <f t="shared" si="137"/>
        <v>6649.6600940000153</v>
      </c>
      <c r="O1242" s="253"/>
      <c r="P1242" s="64">
        <f>SUM(P1229:P1241)</f>
        <v>-17926.637278480994</v>
      </c>
      <c r="Q1242" s="287"/>
      <c r="R1242" s="317"/>
      <c r="S1242" s="611"/>
      <c r="T1242" s="372"/>
      <c r="U1242" s="20"/>
      <c r="V1242" s="26"/>
      <c r="W1242" s="26"/>
      <c r="X1242" s="91"/>
      <c r="Y1242" s="20"/>
      <c r="Z1242" s="239"/>
      <c r="AA1242" s="94"/>
      <c r="AB1242" s="26"/>
      <c r="AC1242" s="20"/>
      <c r="AD1242" s="20"/>
      <c r="AE1242" s="20"/>
      <c r="AF1242" s="20"/>
      <c r="AG1242" s="20"/>
      <c r="AH1242" s="20"/>
      <c r="AI1242" s="20"/>
    </row>
    <row r="1243" spans="1:35" ht="12.75" customHeight="1">
      <c r="A1243" s="333"/>
      <c r="B1243" s="333"/>
      <c r="C1243" s="333"/>
      <c r="D1243" s="133"/>
      <c r="E1243" s="133"/>
      <c r="F1243" s="50"/>
      <c r="G1243" s="409"/>
      <c r="H1243" s="401"/>
      <c r="I1243" s="493"/>
      <c r="J1243" s="709"/>
      <c r="K1243" s="258" t="s">
        <v>248</v>
      </c>
      <c r="L1243" s="266" t="s">
        <v>195</v>
      </c>
      <c r="M1243" s="45">
        <v>-2065.2199999999998</v>
      </c>
      <c r="N1243" s="538">
        <f t="shared" si="137"/>
        <v>4584.440094000016</v>
      </c>
      <c r="O1243" s="253"/>
      <c r="P1243" s="68"/>
      <c r="Q1243" s="287"/>
      <c r="R1243" s="317"/>
      <c r="S1243" s="611"/>
      <c r="T1243" s="372"/>
      <c r="U1243" s="20"/>
      <c r="V1243" s="26"/>
      <c r="W1243" s="26"/>
      <c r="X1243" s="91"/>
      <c r="Y1243" s="20"/>
      <c r="Z1243" s="239"/>
      <c r="AA1243" s="94"/>
      <c r="AB1243" s="26"/>
      <c r="AC1243" s="20"/>
      <c r="AD1243" s="20"/>
      <c r="AE1243" s="20"/>
      <c r="AF1243" s="20"/>
      <c r="AG1243" s="20"/>
      <c r="AH1243" s="20"/>
      <c r="AI1243" s="20"/>
    </row>
    <row r="1244" spans="1:35" ht="12.75" customHeight="1">
      <c r="A1244" s="333"/>
      <c r="B1244" s="333"/>
      <c r="C1244" s="333"/>
      <c r="D1244" s="133"/>
      <c r="E1244" s="133"/>
      <c r="F1244" s="50"/>
      <c r="G1244" s="409"/>
      <c r="H1244" s="401"/>
      <c r="I1244" s="495"/>
      <c r="K1244" s="85" t="s">
        <v>248</v>
      </c>
      <c r="L1244" s="266" t="s">
        <v>180</v>
      </c>
      <c r="M1244" s="45">
        <v>-59</v>
      </c>
      <c r="N1244" s="538">
        <f t="shared" si="137"/>
        <v>4525.440094000016</v>
      </c>
      <c r="O1244" s="253"/>
      <c r="P1244" s="68"/>
      <c r="Q1244" s="287"/>
      <c r="R1244" s="317"/>
      <c r="S1244" s="611"/>
      <c r="T1244" s="372"/>
      <c r="U1244" s="20"/>
      <c r="V1244" s="26"/>
      <c r="W1244" s="26"/>
      <c r="X1244" s="91"/>
      <c r="Y1244" s="20"/>
      <c r="Z1244" s="239"/>
      <c r="AA1244" s="94"/>
      <c r="AB1244" s="26"/>
      <c r="AC1244" s="20"/>
      <c r="AD1244" s="20"/>
      <c r="AE1244" s="20"/>
      <c r="AF1244" s="20"/>
      <c r="AG1244" s="20"/>
      <c r="AH1244" s="20"/>
      <c r="AI1244" s="20"/>
    </row>
    <row r="1245" spans="1:35" ht="12.75" customHeight="1">
      <c r="A1245" s="333"/>
      <c r="B1245" s="333"/>
      <c r="C1245" s="333"/>
      <c r="D1245" s="413"/>
      <c r="E1245" s="34"/>
      <c r="F1245" s="50"/>
      <c r="G1245" s="409"/>
      <c r="H1245" s="509"/>
      <c r="I1245" s="961"/>
      <c r="J1245" s="961"/>
      <c r="K1245" s="258" t="s">
        <v>248</v>
      </c>
      <c r="L1245" s="266" t="s">
        <v>61</v>
      </c>
      <c r="M1245" s="45">
        <v>-193.5</v>
      </c>
      <c r="N1245" s="538">
        <f t="shared" si="137"/>
        <v>4331.940094000016</v>
      </c>
      <c r="O1245" s="253"/>
      <c r="P1245" s="68"/>
      <c r="Q1245" s="878"/>
      <c r="R1245" s="879"/>
      <c r="S1245" s="611"/>
      <c r="T1245" s="372"/>
      <c r="U1245" s="20"/>
      <c r="V1245" s="26"/>
      <c r="W1245" s="26"/>
      <c r="X1245" s="91"/>
      <c r="Y1245" s="20"/>
      <c r="Z1245" s="239"/>
      <c r="AA1245" s="94"/>
      <c r="AB1245" s="26"/>
      <c r="AC1245" s="20"/>
      <c r="AD1245" s="20"/>
      <c r="AE1245" s="20"/>
      <c r="AF1245" s="20"/>
      <c r="AG1245" s="20"/>
      <c r="AH1245" s="20"/>
      <c r="AI1245" s="20"/>
    </row>
    <row r="1246" spans="1:35" ht="12.75" customHeight="1">
      <c r="A1246" s="333"/>
      <c r="B1246" s="333"/>
      <c r="C1246" s="333"/>
      <c r="D1246" s="413"/>
      <c r="E1246" s="34"/>
      <c r="F1246" s="50"/>
      <c r="G1246" s="414"/>
      <c r="H1246" s="509"/>
      <c r="I1246" s="961" t="s">
        <v>685</v>
      </c>
      <c r="J1246" s="961"/>
      <c r="K1246" s="258" t="s">
        <v>248</v>
      </c>
      <c r="L1246" s="266" t="s">
        <v>148</v>
      </c>
      <c r="M1246" s="45">
        <v>1000</v>
      </c>
      <c r="N1246" s="538">
        <f t="shared" si="137"/>
        <v>5331.940094000016</v>
      </c>
      <c r="O1246" s="253"/>
      <c r="U1246" s="20"/>
      <c r="V1246" s="26"/>
      <c r="W1246" s="26"/>
      <c r="X1246" s="91"/>
      <c r="Y1246" s="20"/>
      <c r="Z1246" s="239"/>
      <c r="AA1246" s="94"/>
      <c r="AB1246" s="26"/>
      <c r="AC1246" s="20"/>
      <c r="AD1246" s="20"/>
      <c r="AE1246" s="20"/>
      <c r="AF1246" s="20"/>
      <c r="AG1246" s="20"/>
      <c r="AH1246" s="20"/>
      <c r="AI1246" s="20"/>
    </row>
    <row r="1247" spans="1:35" ht="12.75" customHeight="1">
      <c r="A1247" s="333"/>
      <c r="B1247" s="333"/>
      <c r="C1247" s="333"/>
      <c r="D1247" s="48"/>
      <c r="E1247" s="133"/>
      <c r="F1247" s="50"/>
      <c r="G1247" s="414"/>
      <c r="H1247" s="509"/>
      <c r="I1247" s="510"/>
      <c r="J1247" s="521"/>
      <c r="K1247" s="85" t="s">
        <v>189</v>
      </c>
      <c r="L1247" s="267" t="s">
        <v>16</v>
      </c>
      <c r="M1247" s="175">
        <v>-103.99</v>
      </c>
      <c r="N1247" s="538">
        <f t="shared" si="137"/>
        <v>5227.9500940000162</v>
      </c>
      <c r="O1247" s="253"/>
      <c r="V1247" s="26"/>
      <c r="W1247" s="26"/>
      <c r="X1247" s="91"/>
      <c r="Y1247" s="20"/>
      <c r="Z1247" s="239"/>
      <c r="AA1247" s="94"/>
      <c r="AB1247" s="26"/>
      <c r="AC1247" s="20"/>
      <c r="AD1247" s="20"/>
      <c r="AE1247" s="20"/>
      <c r="AF1247" s="20"/>
      <c r="AG1247" s="20"/>
      <c r="AH1247" s="20"/>
      <c r="AI1247" s="20"/>
    </row>
    <row r="1248" spans="1:35" ht="12.75" customHeight="1">
      <c r="A1248" s="328"/>
      <c r="B1248" s="328"/>
      <c r="C1248" s="328"/>
      <c r="D1248" s="547"/>
      <c r="E1248" s="133"/>
      <c r="F1248" s="50"/>
      <c r="G1248" s="414"/>
      <c r="H1248" s="916"/>
      <c r="K1248" s="258" t="s">
        <v>189</v>
      </c>
      <c r="L1248" s="268" t="s">
        <v>56</v>
      </c>
      <c r="M1248" s="175">
        <v>-1300</v>
      </c>
      <c r="N1248" s="538">
        <f t="shared" si="137"/>
        <v>3927.9500940000162</v>
      </c>
      <c r="O1248" s="497"/>
      <c r="V1248" s="26"/>
      <c r="W1248" s="26"/>
      <c r="X1248" s="91"/>
      <c r="Y1248" s="20"/>
      <c r="Z1248" s="239"/>
      <c r="AA1248" s="94"/>
      <c r="AB1248" s="26"/>
      <c r="AC1248" s="20"/>
      <c r="AD1248" s="20"/>
      <c r="AE1248" s="20"/>
      <c r="AF1248" s="20"/>
      <c r="AG1248" s="20"/>
      <c r="AH1248" s="20"/>
      <c r="AI1248" s="20"/>
    </row>
    <row r="1249" spans="1:35" ht="12.75" customHeight="1">
      <c r="A1249" s="328"/>
      <c r="B1249" s="328"/>
      <c r="C1249" s="328"/>
      <c r="D1249" s="547"/>
      <c r="E1249" s="133"/>
      <c r="F1249" s="50"/>
      <c r="G1249" s="414"/>
      <c r="H1249" s="498"/>
      <c r="I1249" s="875"/>
      <c r="J1249" s="899"/>
      <c r="K1249" s="258" t="s">
        <v>189</v>
      </c>
      <c r="L1249" s="268" t="s">
        <v>23</v>
      </c>
      <c r="M1249" s="133">
        <v>-236.32</v>
      </c>
      <c r="N1249" s="538">
        <f t="shared" si="137"/>
        <v>3691.630094000016</v>
      </c>
      <c r="O1249" s="497"/>
      <c r="V1249" s="26"/>
      <c r="W1249" s="26"/>
      <c r="X1249" s="91"/>
      <c r="Y1249" s="20"/>
      <c r="Z1249" s="239"/>
      <c r="AA1249" s="94"/>
      <c r="AB1249" s="26"/>
      <c r="AC1249" s="20"/>
      <c r="AD1249" s="20"/>
      <c r="AE1249" s="20"/>
      <c r="AF1249" s="20"/>
      <c r="AG1249" s="20"/>
      <c r="AH1249" s="20"/>
      <c r="AI1249" s="20"/>
    </row>
    <row r="1250" spans="1:35" ht="12.75" customHeight="1">
      <c r="F1250" s="50"/>
      <c r="G1250" s="414"/>
      <c r="H1250" s="498"/>
      <c r="I1250" s="875"/>
      <c r="J1250" s="899"/>
      <c r="K1250" s="258" t="s">
        <v>189</v>
      </c>
      <c r="L1250" s="116" t="s">
        <v>714</v>
      </c>
      <c r="M1250" s="45">
        <v>-530.74</v>
      </c>
      <c r="N1250" s="538">
        <f t="shared" si="137"/>
        <v>3160.8900940000158</v>
      </c>
      <c r="V1250" s="26"/>
      <c r="AA1250" s="238"/>
    </row>
    <row r="1251" spans="1:35" ht="12.75" customHeight="1">
      <c r="G1251"/>
      <c r="H1251" s="33"/>
      <c r="I1251" s="235"/>
      <c r="J1251" s="534"/>
      <c r="K1251" s="258" t="s">
        <v>189</v>
      </c>
      <c r="L1251" s="116" t="s">
        <v>585</v>
      </c>
      <c r="M1251" s="175">
        <f>-63.85</f>
        <v>-63.85</v>
      </c>
      <c r="N1251" s="538">
        <f t="shared" si="137"/>
        <v>3097.0400940000159</v>
      </c>
      <c r="V1251" s="26"/>
      <c r="AA1251" s="238"/>
    </row>
    <row r="1252" spans="1:35" ht="12.75" customHeight="1">
      <c r="G1252"/>
      <c r="H1252" s="33"/>
      <c r="I1252" s="543"/>
      <c r="J1252" s="504"/>
      <c r="K1252" s="321" t="s">
        <v>190</v>
      </c>
      <c r="L1252" s="269" t="s">
        <v>375</v>
      </c>
      <c r="M1252" s="366">
        <v>-47.52</v>
      </c>
      <c r="N1252" s="566">
        <f t="shared" si="137"/>
        <v>3049.5200940000159</v>
      </c>
      <c r="V1252" s="26"/>
      <c r="AA1252" s="238"/>
    </row>
    <row r="1253" spans="1:35" ht="12.75" customHeight="1">
      <c r="G1253"/>
      <c r="H1253" s="33"/>
      <c r="J1253" s="504"/>
      <c r="L1253" s="23"/>
      <c r="M1253" s="168">
        <f>SUM(M1229:M1252)</f>
        <v>3049.5200940000159</v>
      </c>
      <c r="N1253" s="806"/>
      <c r="V1253" s="26"/>
      <c r="AA1253" s="238"/>
    </row>
    <row r="1254" spans="1:35" s="78" customFormat="1">
      <c r="E1254" s="15"/>
      <c r="G1254" s="129"/>
      <c r="K1254" s="257"/>
      <c r="M1254" s="15"/>
      <c r="P1254" s="15"/>
      <c r="Q1254" s="15"/>
      <c r="R1254" s="15"/>
      <c r="S1254" s="385"/>
      <c r="Z1254" s="15"/>
      <c r="AA1254" s="130"/>
      <c r="AB1254" s="15"/>
    </row>
    <row r="1256" spans="1:35" ht="12.75" customHeight="1">
      <c r="B1256" s="1030" t="s">
        <v>735</v>
      </c>
      <c r="C1256" s="1030"/>
      <c r="D1256" s="1030"/>
      <c r="E1256" s="1030"/>
      <c r="G1256" s="261"/>
      <c r="H1256" s="658"/>
      <c r="I1256" s="26"/>
      <c r="K1256" s="258"/>
      <c r="L1256" s="100"/>
      <c r="M1256" s="1031" t="s">
        <v>54</v>
      </c>
      <c r="N1256" s="923"/>
      <c r="O1256" s="928"/>
      <c r="P1256" s="1033" t="s">
        <v>48</v>
      </c>
      <c r="Q1256" s="1035" t="s">
        <v>749</v>
      </c>
      <c r="R1256" s="1035"/>
      <c r="S1256" s="377"/>
      <c r="X1256" s="35"/>
      <c r="Y1256" s="35"/>
      <c r="Z1256" s="26"/>
      <c r="AA1256" s="929"/>
      <c r="AB1256" s="26"/>
      <c r="AC1256" s="20"/>
      <c r="AD1256" s="20"/>
      <c r="AE1256" s="20"/>
      <c r="AF1256" s="20"/>
      <c r="AG1256" s="20"/>
      <c r="AH1256" s="20"/>
      <c r="AI1256" s="20"/>
    </row>
    <row r="1257" spans="1:35" ht="12.75" customHeight="1">
      <c r="C1257" s="17" t="s">
        <v>357</v>
      </c>
      <c r="D1257" s="14"/>
      <c r="E1257" s="877">
        <v>8483.35</v>
      </c>
      <c r="G1257" s="1036"/>
      <c r="H1257" s="1036"/>
      <c r="I1257" s="26"/>
      <c r="K1257" s="260" t="s">
        <v>221</v>
      </c>
      <c r="L1257" s="156"/>
      <c r="M1257" s="1032"/>
      <c r="N1257" s="923" t="s">
        <v>43</v>
      </c>
      <c r="O1257" s="928"/>
      <c r="P1257" s="1034"/>
      <c r="Q1257" s="924" t="s">
        <v>43</v>
      </c>
      <c r="R1257" s="925" t="s">
        <v>53</v>
      </c>
      <c r="S1257" s="377"/>
      <c r="X1257" s="118"/>
      <c r="Y1257" s="111"/>
      <c r="Z1257" s="117"/>
      <c r="AA1257" s="89"/>
      <c r="AB1257" s="90"/>
      <c r="AC1257" s="20"/>
      <c r="AD1257" s="41"/>
      <c r="AE1257" s="20"/>
      <c r="AF1257" s="20"/>
      <c r="AG1257" s="20"/>
      <c r="AH1257" s="20"/>
      <c r="AI1257" s="20"/>
    </row>
    <row r="1258" spans="1:35" ht="12.75" customHeight="1">
      <c r="C1258" s="17"/>
      <c r="D1258" s="14" t="s">
        <v>24</v>
      </c>
      <c r="E1258" s="44">
        <f>'[1]JUNE ''14'!$C$33</f>
        <v>2176.4999999999991</v>
      </c>
      <c r="G1258" s="30"/>
      <c r="H1258" s="624">
        <f>SUM(E1258:E1259)</f>
        <v>2176.4999999999991</v>
      </c>
      <c r="I1258" s="26"/>
      <c r="K1258" s="273"/>
      <c r="L1258" s="235" t="s">
        <v>226</v>
      </c>
      <c r="M1258" s="45">
        <f>$M$1253</f>
        <v>3049.5200940000159</v>
      </c>
      <c r="N1258" s="71">
        <f>M1258</f>
        <v>3049.5200940000159</v>
      </c>
      <c r="O1258" s="26"/>
      <c r="P1258" s="45">
        <f>$Q$1241</f>
        <v>-17926.637278480994</v>
      </c>
      <c r="Q1258" s="71">
        <f>P1258</f>
        <v>-17926.637278480994</v>
      </c>
      <c r="R1258" s="45">
        <f>20000+Q1258</f>
        <v>2073.3627215190063</v>
      </c>
      <c r="S1258" s="378" t="s">
        <v>298</v>
      </c>
      <c r="T1258" s="367" t="s">
        <v>299</v>
      </c>
      <c r="W1258" s="392"/>
      <c r="X1258" s="111"/>
      <c r="Y1258" s="111"/>
      <c r="Z1258" s="45"/>
      <c r="AA1258" s="488"/>
      <c r="AB1258" s="26"/>
      <c r="AC1258" s="20"/>
      <c r="AD1258" s="92"/>
      <c r="AE1258" s="93"/>
      <c r="AF1258" s="20"/>
      <c r="AG1258" s="20"/>
      <c r="AH1258" s="20"/>
      <c r="AI1258" s="20"/>
    </row>
    <row r="1259" spans="1:35" ht="12.75" customHeight="1">
      <c r="C1259" s="17"/>
      <c r="D1259" s="143" t="s">
        <v>225</v>
      </c>
      <c r="E1259" s="15"/>
      <c r="G1259"/>
      <c r="H1259" s="624"/>
      <c r="I1259" s="26"/>
      <c r="K1259" s="297"/>
      <c r="L1259" s="116" t="s">
        <v>313</v>
      </c>
      <c r="M1259" s="45">
        <v>-142.51</v>
      </c>
      <c r="N1259" s="538">
        <f t="shared" ref="N1259:N1280" si="138">N1258+M1259</f>
        <v>2907.0100940000157</v>
      </c>
      <c r="O1259" s="65"/>
      <c r="P1259" s="133">
        <v>-629.04</v>
      </c>
      <c r="Q1259" s="72">
        <f>Q1258+P1259</f>
        <v>-18555.677278480995</v>
      </c>
      <c r="R1259" s="45">
        <f>20000+Q1259</f>
        <v>1444.3227215190054</v>
      </c>
      <c r="S1259" s="373" t="s">
        <v>270</v>
      </c>
      <c r="T1259" s="391" t="s">
        <v>549</v>
      </c>
      <c r="W1259" s="111"/>
      <c r="X1259" s="111"/>
      <c r="Y1259" s="112"/>
      <c r="Z1259" s="55"/>
      <c r="AA1259" s="489"/>
      <c r="AB1259" s="95"/>
      <c r="AC1259" s="20"/>
      <c r="AD1259" s="41"/>
      <c r="AE1259" s="93"/>
      <c r="AF1259" s="20"/>
      <c r="AG1259" s="20"/>
      <c r="AH1259" s="20"/>
      <c r="AI1259" s="20"/>
    </row>
    <row r="1260" spans="1:35" ht="12.75" customHeight="1">
      <c r="C1260" s="18" t="s">
        <v>5</v>
      </c>
      <c r="D1260" s="14"/>
      <c r="E1260" s="14">
        <f>SUM(E1257:E1259)</f>
        <v>10659.849999999999</v>
      </c>
      <c r="G1260" s="242"/>
      <c r="H1260" s="492"/>
      <c r="I1260" s="26"/>
      <c r="K1260" s="297"/>
      <c r="L1260" s="116" t="s">
        <v>148</v>
      </c>
      <c r="M1260" s="45">
        <v>2000</v>
      </c>
      <c r="N1260" s="538">
        <f t="shared" si="138"/>
        <v>4907.0100940000157</v>
      </c>
      <c r="O1260" s="49"/>
      <c r="P1260" s="133">
        <v>-170.58</v>
      </c>
      <c r="Q1260" s="72">
        <f>Q1259+P1260</f>
        <v>-18726.257278480996</v>
      </c>
      <c r="R1260" s="45">
        <f>20000+Q1260</f>
        <v>1273.7427215190037</v>
      </c>
      <c r="S1260" s="373" t="s">
        <v>253</v>
      </c>
      <c r="T1260" s="391"/>
      <c r="W1260" s="111"/>
      <c r="X1260" s="111"/>
      <c r="Y1260" s="112"/>
      <c r="Z1260" s="55"/>
      <c r="AA1260" s="489"/>
      <c r="AB1260" s="26"/>
      <c r="AC1260" s="20"/>
      <c r="AD1260" s="92"/>
      <c r="AE1260" s="93"/>
      <c r="AF1260" s="20"/>
      <c r="AG1260" s="20"/>
      <c r="AH1260" s="20"/>
      <c r="AI1260" s="20"/>
    </row>
    <row r="1261" spans="1:35" ht="12.75" customHeight="1">
      <c r="G1261" s="20"/>
      <c r="H1261" s="490"/>
      <c r="I1261" s="26"/>
      <c r="K1261" s="297"/>
      <c r="L1261" s="116" t="s">
        <v>102</v>
      </c>
      <c r="M1261" s="45">
        <v>-3000</v>
      </c>
      <c r="N1261" s="538">
        <f t="shared" si="138"/>
        <v>1907.0100940000157</v>
      </c>
      <c r="O1261" s="39"/>
      <c r="P1261" s="133">
        <v>-193.9</v>
      </c>
      <c r="Q1261" s="72">
        <f t="shared" ref="Q1261:Q1278" si="139">Q1260+P1261</f>
        <v>-18920.157278480998</v>
      </c>
      <c r="R1261" s="45">
        <f t="shared" ref="R1261:R1272" si="140">20000+Q1261</f>
        <v>1079.8427215190022</v>
      </c>
      <c r="S1261" s="373" t="s">
        <v>259</v>
      </c>
      <c r="T1261" s="391"/>
      <c r="W1261" s="112"/>
      <c r="X1261" s="112"/>
      <c r="Y1261" s="112"/>
      <c r="Z1261" s="55"/>
      <c r="AA1261" s="489"/>
      <c r="AB1261" s="26"/>
      <c r="AC1261" s="20"/>
      <c r="AD1261" s="92"/>
      <c r="AE1261" s="93"/>
      <c r="AF1261" s="20"/>
      <c r="AG1261" s="20"/>
      <c r="AH1261" s="20"/>
      <c r="AI1261" s="20"/>
    </row>
    <row r="1262" spans="1:35" ht="12.75" customHeight="1">
      <c r="A1262" s="319"/>
      <c r="C1262" s="81" t="s">
        <v>17</v>
      </c>
      <c r="E1262" s="42"/>
      <c r="G1262"/>
      <c r="H1262" s="926"/>
      <c r="I1262" s="26"/>
      <c r="K1262" s="297"/>
      <c r="L1262" s="184" t="s">
        <v>745</v>
      </c>
      <c r="M1262" s="45">
        <v>-555.53</v>
      </c>
      <c r="N1262" s="538">
        <f t="shared" si="138"/>
        <v>1351.4800940000157</v>
      </c>
      <c r="O1262" s="39"/>
      <c r="P1262" s="133">
        <v>-399.99</v>
      </c>
      <c r="Q1262" s="72">
        <f t="shared" si="139"/>
        <v>-19320.147278480999</v>
      </c>
      <c r="R1262" s="45">
        <f t="shared" si="140"/>
        <v>679.85272151900062</v>
      </c>
      <c r="S1262" s="373" t="s">
        <v>701</v>
      </c>
      <c r="T1262" s="391" t="s">
        <v>744</v>
      </c>
      <c r="W1262" s="103"/>
      <c r="X1262" s="111"/>
      <c r="Y1262" s="112"/>
      <c r="Z1262" s="55"/>
      <c r="AA1262" s="489"/>
      <c r="AB1262" s="95"/>
      <c r="AC1262" s="20"/>
      <c r="AD1262" s="96"/>
      <c r="AE1262" s="93"/>
      <c r="AF1262" s="20"/>
      <c r="AG1262" s="20"/>
      <c r="AH1262" s="20"/>
      <c r="AI1262" s="20"/>
    </row>
    <row r="1263" spans="1:35" ht="12.75" customHeight="1">
      <c r="A1263" s="319"/>
      <c r="D1263" s="20" t="s">
        <v>14</v>
      </c>
      <c r="E1263" s="42">
        <f>E1257</f>
        <v>8483.35</v>
      </c>
      <c r="F1263" s="20"/>
      <c r="G1263" s="20"/>
      <c r="H1263" s="490">
        <f>G1264+E1264</f>
        <v>2176.4999999999991</v>
      </c>
      <c r="I1263" s="26"/>
      <c r="K1263" s="297" t="s">
        <v>223</v>
      </c>
      <c r="L1263" s="184" t="s">
        <v>227</v>
      </c>
      <c r="M1263" s="45">
        <v>-449</v>
      </c>
      <c r="N1263" s="538">
        <f t="shared" si="138"/>
        <v>902.4800940000157</v>
      </c>
      <c r="O1263" s="253"/>
      <c r="P1263" s="133">
        <f>-M1261</f>
        <v>3000</v>
      </c>
      <c r="Q1263" s="72">
        <f t="shared" si="139"/>
        <v>-16320.147278480999</v>
      </c>
      <c r="R1263" s="45">
        <f t="shared" si="140"/>
        <v>3679.8527215190006</v>
      </c>
      <c r="S1263" s="373" t="s">
        <v>247</v>
      </c>
      <c r="T1263" s="391"/>
      <c r="U1263" s="74"/>
      <c r="V1263" s="26"/>
      <c r="W1263" s="111"/>
      <c r="X1263" s="111"/>
      <c r="Y1263" s="112"/>
      <c r="Z1263" s="55"/>
      <c r="AA1263" s="489"/>
      <c r="AB1263" s="26"/>
      <c r="AC1263" s="20"/>
      <c r="AD1263" s="41"/>
      <c r="AE1263" s="93"/>
      <c r="AF1263" s="20"/>
      <c r="AG1263" s="20"/>
      <c r="AH1263" s="20"/>
      <c r="AI1263" s="20"/>
    </row>
    <row r="1264" spans="1:35" ht="12.75" customHeight="1" thickBot="1">
      <c r="A1264" s="319"/>
      <c r="D1264" s="78" t="s">
        <v>13</v>
      </c>
      <c r="E1264" s="483">
        <f>SUM(E1258:E1259)</f>
        <v>2176.4999999999991</v>
      </c>
      <c r="F1264" s="482" t="s">
        <v>364</v>
      </c>
      <c r="G1264" s="1037"/>
      <c r="H1264" s="1037"/>
      <c r="I1264" s="26"/>
      <c r="K1264" s="297" t="s">
        <v>223</v>
      </c>
      <c r="L1264" s="116" t="s">
        <v>524</v>
      </c>
      <c r="M1264" s="45">
        <v>-9</v>
      </c>
      <c r="N1264" s="538">
        <f t="shared" si="138"/>
        <v>893.4800940000157</v>
      </c>
      <c r="O1264" s="253"/>
      <c r="P1264" s="133">
        <v>-647.5</v>
      </c>
      <c r="Q1264" s="72">
        <f t="shared" si="139"/>
        <v>-16967.647278480999</v>
      </c>
      <c r="R1264" s="45">
        <f t="shared" si="140"/>
        <v>3032.3527215190006</v>
      </c>
      <c r="S1264" s="373" t="s">
        <v>537</v>
      </c>
      <c r="T1264" s="391"/>
      <c r="U1264" s="74"/>
      <c r="V1264" s="26"/>
      <c r="W1264" s="20"/>
      <c r="X1264" s="20"/>
      <c r="Y1264" s="112"/>
      <c r="Z1264" s="239"/>
      <c r="AA1264" s="94"/>
      <c r="AB1264" s="26"/>
      <c r="AC1264" s="20"/>
      <c r="AD1264" s="92"/>
      <c r="AE1264" s="93"/>
      <c r="AF1264" s="20"/>
      <c r="AG1264" s="20"/>
      <c r="AH1264" s="20"/>
      <c r="AI1264" s="20"/>
    </row>
    <row r="1265" spans="1:35" ht="12.75" customHeight="1" thickTop="1">
      <c r="A1265" s="319"/>
      <c r="D1265" s="20"/>
      <c r="E1265" s="26"/>
      <c r="F1265" s="122"/>
      <c r="G1265" s="1038">
        <f>E1263+E1264+G1264</f>
        <v>10659.849999999999</v>
      </c>
      <c r="H1265" s="1038"/>
      <c r="I1265" s="26"/>
      <c r="K1265" s="297"/>
      <c r="L1265" s="116" t="s">
        <v>705</v>
      </c>
      <c r="M1265" s="45">
        <v>-99</v>
      </c>
      <c r="N1265" s="538">
        <f t="shared" si="138"/>
        <v>794.4800940000157</v>
      </c>
      <c r="O1265" s="253"/>
      <c r="P1265" s="133">
        <v>-363.75</v>
      </c>
      <c r="Q1265" s="72">
        <f t="shared" si="139"/>
        <v>-17331.397278480999</v>
      </c>
      <c r="R1265" s="45">
        <f t="shared" si="140"/>
        <v>2668.6027215190006</v>
      </c>
      <c r="S1265" s="373" t="s">
        <v>258</v>
      </c>
      <c r="T1265" s="391"/>
      <c r="U1265" s="74"/>
      <c r="V1265" s="26"/>
      <c r="W1265" s="26"/>
      <c r="X1265" s="20"/>
      <c r="Y1265" s="112"/>
      <c r="Z1265" s="239"/>
      <c r="AA1265" s="94"/>
      <c r="AB1265" s="95"/>
      <c r="AC1265" s="20"/>
      <c r="AD1265" s="92"/>
      <c r="AE1265" s="93"/>
      <c r="AF1265" s="20"/>
      <c r="AG1265" s="20"/>
      <c r="AH1265" s="20"/>
      <c r="AI1265" s="20"/>
    </row>
    <row r="1266" spans="1:35" ht="12.75" customHeight="1">
      <c r="A1266" s="333"/>
      <c r="B1266" s="333"/>
      <c r="C1266" s="333"/>
      <c r="D1266" s="408"/>
      <c r="E1266" s="412"/>
      <c r="F1266" s="50"/>
      <c r="G1266" s="409"/>
      <c r="H1266" s="927"/>
      <c r="I1266" s="26"/>
      <c r="K1266" s="297"/>
      <c r="L1266" s="116" t="s">
        <v>752</v>
      </c>
      <c r="M1266" s="45">
        <v>-29</v>
      </c>
      <c r="N1266" s="538">
        <f t="shared" si="138"/>
        <v>765.4800940000157</v>
      </c>
      <c r="O1266" s="253"/>
      <c r="P1266" s="133">
        <v>-419.51</v>
      </c>
      <c r="Q1266" s="72">
        <f t="shared" si="139"/>
        <v>-17750.907278480998</v>
      </c>
      <c r="R1266" s="45">
        <f t="shared" si="140"/>
        <v>2249.0927215190022</v>
      </c>
      <c r="S1266" s="373" t="s">
        <v>270</v>
      </c>
      <c r="T1266" s="391" t="s">
        <v>549</v>
      </c>
      <c r="U1266" s="20"/>
      <c r="V1266" s="20"/>
      <c r="W1266" s="26"/>
      <c r="X1266" s="91"/>
      <c r="Y1266" s="20"/>
      <c r="Z1266" s="239"/>
      <c r="AA1266" s="94"/>
      <c r="AB1266" s="26"/>
      <c r="AC1266" s="20"/>
      <c r="AD1266" s="20"/>
      <c r="AE1266" s="20"/>
      <c r="AF1266" s="20"/>
      <c r="AG1266" s="20"/>
      <c r="AH1266" s="20"/>
      <c r="AI1266" s="20"/>
    </row>
    <row r="1267" spans="1:35" ht="12.75" customHeight="1">
      <c r="A1267" s="333"/>
      <c r="B1267" s="333"/>
      <c r="C1267" s="333"/>
      <c r="D1267" s="133"/>
      <c r="E1267" s="133"/>
      <c r="F1267" s="50"/>
      <c r="G1267" s="409"/>
      <c r="H1267" s="401"/>
      <c r="I1267" s="26"/>
      <c r="K1267" s="297"/>
      <c r="L1267" s="116" t="s">
        <v>760</v>
      </c>
      <c r="M1267" s="45">
        <v>5000</v>
      </c>
      <c r="N1267" s="538">
        <f t="shared" si="138"/>
        <v>5765.4800940000159</v>
      </c>
      <c r="O1267" s="253"/>
      <c r="P1267" s="133">
        <v>-156.19999999999999</v>
      </c>
      <c r="Q1267" s="72">
        <f t="shared" si="139"/>
        <v>-17907.107278480999</v>
      </c>
      <c r="R1267" s="45">
        <f t="shared" si="140"/>
        <v>2092.8927215190015</v>
      </c>
      <c r="S1267" s="373" t="s">
        <v>270</v>
      </c>
      <c r="T1267" s="391"/>
      <c r="U1267" s="20"/>
      <c r="V1267" s="26"/>
      <c r="W1267" s="26"/>
      <c r="X1267" s="91"/>
      <c r="Y1267" s="20"/>
      <c r="Z1267" s="239"/>
      <c r="AA1267" s="94"/>
      <c r="AB1267" s="26"/>
      <c r="AC1267" s="20"/>
      <c r="AD1267" s="20"/>
      <c r="AE1267" s="20"/>
      <c r="AF1267" s="20"/>
      <c r="AG1267" s="20"/>
      <c r="AH1267" s="20"/>
      <c r="AI1267" s="20"/>
    </row>
    <row r="1268" spans="1:35" ht="12.75" customHeight="1">
      <c r="A1268" s="333"/>
      <c r="B1268" s="333"/>
      <c r="C1268" s="333"/>
      <c r="D1268" s="133"/>
      <c r="E1268" s="133"/>
      <c r="F1268" s="50"/>
      <c r="G1268" s="409"/>
      <c r="H1268" s="401"/>
      <c r="I1268" s="315"/>
      <c r="J1268" s="511"/>
      <c r="K1268" s="258" t="s">
        <v>248</v>
      </c>
      <c r="L1268" s="266" t="s">
        <v>51</v>
      </c>
      <c r="M1268" s="146">
        <f>E1257</f>
        <v>8483.35</v>
      </c>
      <c r="N1268" s="538">
        <f t="shared" si="138"/>
        <v>14248.830094000015</v>
      </c>
      <c r="O1268" s="253"/>
      <c r="P1268" s="133">
        <v>-81.94</v>
      </c>
      <c r="Q1268" s="72">
        <f t="shared" si="139"/>
        <v>-17989.047278480997</v>
      </c>
      <c r="R1268" s="45">
        <f t="shared" si="140"/>
        <v>2010.9527215190028</v>
      </c>
      <c r="S1268" s="373" t="s">
        <v>270</v>
      </c>
      <c r="T1268" s="391"/>
      <c r="U1268" s="234"/>
      <c r="V1268" s="26"/>
      <c r="W1268" s="26"/>
      <c r="X1268" s="91"/>
      <c r="Y1268" s="20"/>
      <c r="Z1268" s="239"/>
      <c r="AA1268" s="94"/>
      <c r="AB1268" s="26"/>
      <c r="AC1268" s="20"/>
      <c r="AD1268" s="20"/>
      <c r="AE1268" s="20"/>
      <c r="AF1268" s="20"/>
      <c r="AG1268" s="20"/>
      <c r="AH1268" s="20"/>
      <c r="AI1268" s="20"/>
    </row>
    <row r="1269" spans="1:35" ht="12.75" customHeight="1">
      <c r="A1269" s="333"/>
      <c r="B1269" s="333"/>
      <c r="C1269" s="333"/>
      <c r="D1269" s="133"/>
      <c r="E1269" s="133"/>
      <c r="F1269" s="50"/>
      <c r="G1269" s="409"/>
      <c r="H1269" s="401"/>
      <c r="I1269" s="962"/>
      <c r="J1269" s="962"/>
      <c r="K1269" s="258" t="s">
        <v>248</v>
      </c>
      <c r="L1269" s="266" t="s">
        <v>542</v>
      </c>
      <c r="M1269" s="146">
        <v>-2850</v>
      </c>
      <c r="N1269" s="538">
        <f t="shared" si="138"/>
        <v>11398.830094000015</v>
      </c>
      <c r="O1269" s="253"/>
      <c r="P1269" s="133">
        <v>-67.959999999999994</v>
      </c>
      <c r="Q1269" s="72">
        <f t="shared" si="139"/>
        <v>-18057.007278480996</v>
      </c>
      <c r="R1269" s="45">
        <f t="shared" si="140"/>
        <v>1942.9927215190037</v>
      </c>
      <c r="S1269" s="373" t="s">
        <v>307</v>
      </c>
      <c r="T1269" s="391"/>
      <c r="U1269" s="234"/>
      <c r="V1269" s="26"/>
      <c r="W1269" s="26"/>
      <c r="X1269" s="91"/>
      <c r="Y1269" s="20"/>
      <c r="Z1269" s="239"/>
      <c r="AA1269" s="94"/>
      <c r="AB1269" s="26"/>
      <c r="AC1269" s="20"/>
      <c r="AD1269" s="20"/>
      <c r="AE1269" s="20"/>
      <c r="AF1269" s="20"/>
      <c r="AG1269" s="20"/>
      <c r="AH1269" s="20"/>
      <c r="AI1269" s="20"/>
    </row>
    <row r="1270" spans="1:35" ht="12.75" customHeight="1">
      <c r="A1270" s="333"/>
      <c r="B1270" s="333"/>
      <c r="C1270" s="333"/>
      <c r="D1270" s="133"/>
      <c r="E1270" s="133"/>
      <c r="F1270" s="50"/>
      <c r="G1270" s="409"/>
      <c r="H1270" s="401"/>
      <c r="I1270" s="493"/>
      <c r="J1270" s="517"/>
      <c r="K1270" s="258" t="s">
        <v>248</v>
      </c>
      <c r="L1270" s="266" t="s">
        <v>552</v>
      </c>
      <c r="M1270" s="45">
        <v>-400</v>
      </c>
      <c r="N1270" s="538">
        <f t="shared" si="138"/>
        <v>10998.830094000015</v>
      </c>
      <c r="O1270" s="253"/>
      <c r="P1270" s="133">
        <v>-1579.6</v>
      </c>
      <c r="Q1270" s="72">
        <f t="shared" si="139"/>
        <v>-19636.607278480995</v>
      </c>
      <c r="R1270" s="45">
        <f t="shared" si="140"/>
        <v>363.39272151900514</v>
      </c>
      <c r="S1270" s="373" t="s">
        <v>433</v>
      </c>
      <c r="T1270" s="391"/>
      <c r="U1270" s="234"/>
      <c r="V1270" s="26"/>
      <c r="W1270" s="26"/>
      <c r="X1270" s="91"/>
      <c r="Y1270" s="20"/>
      <c r="Z1270" s="239"/>
      <c r="AA1270" s="94"/>
      <c r="AB1270" s="26"/>
      <c r="AC1270" s="20"/>
      <c r="AD1270" s="20"/>
      <c r="AE1270" s="20"/>
      <c r="AF1270" s="20"/>
      <c r="AG1270" s="20"/>
      <c r="AH1270" s="20"/>
      <c r="AI1270" s="20"/>
    </row>
    <row r="1271" spans="1:35" ht="12.75" customHeight="1">
      <c r="A1271" s="333"/>
      <c r="B1271" s="333"/>
      <c r="C1271" s="333"/>
      <c r="D1271" s="133"/>
      <c r="E1271" s="133"/>
      <c r="F1271" s="50"/>
      <c r="G1271" s="409"/>
      <c r="H1271" s="401"/>
      <c r="I1271" s="493"/>
      <c r="J1271" s="709"/>
      <c r="K1271" s="258" t="s">
        <v>248</v>
      </c>
      <c r="L1271" s="266" t="s">
        <v>195</v>
      </c>
      <c r="M1271" s="45">
        <v>-2065.2199999999998</v>
      </c>
      <c r="N1271" s="538">
        <f t="shared" si="138"/>
        <v>8933.610094000016</v>
      </c>
      <c r="O1271" s="253"/>
      <c r="P1271" s="133">
        <v>2000</v>
      </c>
      <c r="Q1271" s="72">
        <f t="shared" si="139"/>
        <v>-17636.607278480995</v>
      </c>
      <c r="R1271" s="45">
        <f t="shared" si="140"/>
        <v>2363.3927215190051</v>
      </c>
      <c r="S1271" s="373" t="s">
        <v>280</v>
      </c>
      <c r="T1271" s="391"/>
      <c r="U1271" s="234"/>
      <c r="V1271" s="26"/>
      <c r="W1271" s="26"/>
      <c r="X1271" s="91"/>
      <c r="Y1271" s="20"/>
      <c r="Z1271" s="239"/>
      <c r="AA1271" s="94"/>
      <c r="AB1271" s="26"/>
      <c r="AC1271" s="20"/>
      <c r="AD1271" s="20"/>
      <c r="AE1271" s="20"/>
      <c r="AF1271" s="20"/>
      <c r="AG1271" s="20"/>
      <c r="AH1271" s="20"/>
      <c r="AI1271" s="20"/>
    </row>
    <row r="1272" spans="1:35" ht="12.75" customHeight="1">
      <c r="A1272" s="333"/>
      <c r="B1272" s="333"/>
      <c r="C1272" s="333"/>
      <c r="D1272" s="133"/>
      <c r="E1272" s="133"/>
      <c r="F1272" s="50"/>
      <c r="G1272" s="409"/>
      <c r="H1272" s="401"/>
      <c r="I1272" s="495"/>
      <c r="K1272" s="85" t="s">
        <v>248</v>
      </c>
      <c r="L1272" s="266" t="s">
        <v>180</v>
      </c>
      <c r="M1272" s="45">
        <v>-59</v>
      </c>
      <c r="N1272" s="538">
        <f t="shared" si="138"/>
        <v>8874.610094000016</v>
      </c>
      <c r="O1272" s="253"/>
      <c r="P1272" s="133">
        <v>-150</v>
      </c>
      <c r="Q1272" s="72">
        <f t="shared" si="139"/>
        <v>-17786.607278480995</v>
      </c>
      <c r="R1272" s="45">
        <f t="shared" si="140"/>
        <v>2213.3927215190051</v>
      </c>
      <c r="S1272" s="373" t="s">
        <v>751</v>
      </c>
      <c r="T1272" s="391"/>
      <c r="U1272" s="234"/>
      <c r="V1272" s="26"/>
      <c r="W1272" s="26"/>
      <c r="X1272" s="91"/>
      <c r="Y1272" s="20"/>
      <c r="Z1272" s="239"/>
      <c r="AA1272" s="94"/>
      <c r="AB1272" s="26"/>
      <c r="AC1272" s="20"/>
      <c r="AD1272" s="20"/>
      <c r="AE1272" s="20"/>
      <c r="AF1272" s="20"/>
      <c r="AG1272" s="20"/>
      <c r="AH1272" s="20"/>
      <c r="AI1272" s="20"/>
    </row>
    <row r="1273" spans="1:35" ht="12.75" customHeight="1">
      <c r="A1273" s="333"/>
      <c r="B1273" s="333"/>
      <c r="C1273" s="333"/>
      <c r="D1273" s="133"/>
      <c r="E1273" s="133"/>
      <c r="F1273" s="50"/>
      <c r="G1273" s="409"/>
      <c r="H1273" s="401"/>
      <c r="I1273" s="961"/>
      <c r="J1273" s="961"/>
      <c r="K1273" s="258" t="s">
        <v>248</v>
      </c>
      <c r="L1273" s="266" t="s">
        <v>61</v>
      </c>
      <c r="M1273" s="45">
        <v>-193.5</v>
      </c>
      <c r="N1273" s="538">
        <f t="shared" si="138"/>
        <v>8681.110094000016</v>
      </c>
      <c r="O1273" s="253"/>
      <c r="P1273" s="133">
        <v>0</v>
      </c>
      <c r="Q1273" s="72">
        <f t="shared" si="139"/>
        <v>-17786.607278480995</v>
      </c>
      <c r="R1273" s="45">
        <f t="shared" ref="R1273:R1287" si="141">28000+Q1273</f>
        <v>10213.392721519005</v>
      </c>
      <c r="S1273" s="922" t="s">
        <v>750</v>
      </c>
      <c r="T1273" s="391"/>
      <c r="U1273" s="234"/>
      <c r="V1273" s="26"/>
      <c r="W1273" s="26"/>
      <c r="X1273" s="91"/>
      <c r="Y1273" s="20"/>
      <c r="Z1273" s="239"/>
      <c r="AA1273" s="94"/>
      <c r="AB1273" s="26"/>
      <c r="AC1273" s="20"/>
      <c r="AD1273" s="20"/>
      <c r="AE1273" s="20"/>
      <c r="AF1273" s="20"/>
      <c r="AG1273" s="20"/>
      <c r="AH1273" s="20"/>
      <c r="AI1273" s="20"/>
    </row>
    <row r="1274" spans="1:35" ht="12.75" customHeight="1">
      <c r="A1274" s="333"/>
      <c r="B1274" s="333"/>
      <c r="C1274" s="333"/>
      <c r="D1274" s="413"/>
      <c r="E1274" s="34"/>
      <c r="F1274" s="50"/>
      <c r="G1274" s="409"/>
      <c r="H1274" s="509"/>
      <c r="I1274" s="961"/>
      <c r="J1274" s="961"/>
      <c r="K1274" s="258" t="s">
        <v>248</v>
      </c>
      <c r="L1274" s="266" t="s">
        <v>148</v>
      </c>
      <c r="M1274" s="45">
        <v>200</v>
      </c>
      <c r="N1274" s="538">
        <f t="shared" si="138"/>
        <v>8881.110094000016</v>
      </c>
      <c r="O1274" s="253"/>
      <c r="P1274" s="133">
        <v>-118.09</v>
      </c>
      <c r="Q1274" s="72">
        <f t="shared" si="139"/>
        <v>-17904.697278480995</v>
      </c>
      <c r="R1274" s="45">
        <f t="shared" si="141"/>
        <v>10095.302721519005</v>
      </c>
      <c r="S1274" s="373" t="s">
        <v>282</v>
      </c>
      <c r="T1274" s="391"/>
      <c r="U1274" s="234"/>
      <c r="V1274" s="26"/>
      <c r="W1274" s="26"/>
      <c r="X1274" s="91"/>
      <c r="Y1274" s="20"/>
      <c r="Z1274" s="239"/>
      <c r="AA1274" s="94"/>
      <c r="AB1274" s="26"/>
      <c r="AC1274" s="20"/>
      <c r="AD1274" s="20"/>
      <c r="AE1274" s="20"/>
      <c r="AF1274" s="20"/>
      <c r="AG1274" s="20"/>
      <c r="AH1274" s="20"/>
      <c r="AI1274" s="20"/>
    </row>
    <row r="1275" spans="1:35" ht="12.75" customHeight="1">
      <c r="A1275" s="333"/>
      <c r="B1275" s="333"/>
      <c r="C1275" s="333"/>
      <c r="D1275" s="413"/>
      <c r="E1275" s="34"/>
      <c r="F1275" s="50"/>
      <c r="G1275" s="414"/>
      <c r="H1275" s="509"/>
      <c r="I1275" s="510"/>
      <c r="J1275" s="521"/>
      <c r="K1275" s="85" t="s">
        <v>189</v>
      </c>
      <c r="L1275" s="267" t="s">
        <v>16</v>
      </c>
      <c r="M1275" s="175">
        <v>-103.99</v>
      </c>
      <c r="N1275" s="538">
        <f t="shared" si="138"/>
        <v>8777.1200940000163</v>
      </c>
      <c r="O1275" s="253"/>
      <c r="P1275" s="133">
        <v>-191.16</v>
      </c>
      <c r="Q1275" s="72">
        <f t="shared" si="139"/>
        <v>-18095.857278480995</v>
      </c>
      <c r="R1275" s="45">
        <f t="shared" si="141"/>
        <v>9904.1427215190051</v>
      </c>
      <c r="S1275" s="373" t="s">
        <v>723</v>
      </c>
      <c r="T1275" s="391"/>
      <c r="U1275" s="234"/>
      <c r="V1275" s="26"/>
      <c r="W1275" s="26"/>
      <c r="X1275" s="91"/>
      <c r="Y1275" s="20"/>
      <c r="Z1275" s="239"/>
      <c r="AA1275" s="94"/>
      <c r="AB1275" s="26"/>
      <c r="AC1275" s="20"/>
      <c r="AD1275" s="20"/>
      <c r="AE1275" s="20"/>
      <c r="AF1275" s="20"/>
      <c r="AG1275" s="20"/>
      <c r="AH1275" s="20"/>
      <c r="AI1275" s="20"/>
    </row>
    <row r="1276" spans="1:35" ht="12.75" customHeight="1">
      <c r="A1276" s="333"/>
      <c r="B1276" s="333"/>
      <c r="C1276" s="333"/>
      <c r="D1276" s="48"/>
      <c r="E1276" s="133"/>
      <c r="F1276" s="50"/>
      <c r="G1276" s="414"/>
      <c r="H1276" s="509"/>
      <c r="K1276" s="258" t="s">
        <v>189</v>
      </c>
      <c r="L1276" s="268" t="s">
        <v>56</v>
      </c>
      <c r="M1276" s="175">
        <v>-1300</v>
      </c>
      <c r="N1276" s="538">
        <f t="shared" si="138"/>
        <v>7477.1200940000163</v>
      </c>
      <c r="O1276" s="253"/>
      <c r="P1276" s="133">
        <v>-191.64</v>
      </c>
      <c r="Q1276" s="72">
        <f t="shared" si="139"/>
        <v>-18287.497278480994</v>
      </c>
      <c r="R1276" s="45">
        <f t="shared" si="141"/>
        <v>9712.5027215190057</v>
      </c>
      <c r="S1276" s="373" t="s">
        <v>753</v>
      </c>
      <c r="T1276" s="391"/>
      <c r="U1276" s="234"/>
      <c r="V1276" s="26"/>
      <c r="W1276" s="26"/>
      <c r="X1276" s="91"/>
      <c r="Y1276" s="20"/>
      <c r="Z1276" s="239"/>
      <c r="AA1276" s="94"/>
      <c r="AB1276" s="26"/>
      <c r="AC1276" s="20"/>
      <c r="AD1276" s="20"/>
      <c r="AE1276" s="20"/>
      <c r="AF1276" s="20"/>
      <c r="AG1276" s="20"/>
      <c r="AH1276" s="20"/>
      <c r="AI1276" s="20"/>
    </row>
    <row r="1277" spans="1:35" ht="12.75" customHeight="1">
      <c r="A1277" s="328"/>
      <c r="B1277" s="328"/>
      <c r="C1277" s="328"/>
      <c r="D1277" s="547"/>
      <c r="E1277" s="133"/>
      <c r="F1277" s="50"/>
      <c r="G1277" s="414"/>
      <c r="H1277" s="927"/>
      <c r="I1277" s="875"/>
      <c r="J1277" s="899"/>
      <c r="K1277" s="258" t="s">
        <v>189</v>
      </c>
      <c r="L1277" s="268" t="s">
        <v>23</v>
      </c>
      <c r="M1277" s="133">
        <v>-763.5</v>
      </c>
      <c r="N1277" s="538">
        <f t="shared" si="138"/>
        <v>6713.6200940000163</v>
      </c>
      <c r="O1277" s="497"/>
      <c r="P1277" s="133">
        <v>-1552</v>
      </c>
      <c r="Q1277" s="72">
        <f t="shared" si="139"/>
        <v>-19839.497278480994</v>
      </c>
      <c r="R1277" s="45">
        <f t="shared" si="141"/>
        <v>8160.5027215190057</v>
      </c>
      <c r="S1277" s="373" t="s">
        <v>754</v>
      </c>
      <c r="T1277" s="391" t="s">
        <v>549</v>
      </c>
      <c r="U1277" s="234"/>
      <c r="V1277" s="26"/>
      <c r="W1277" s="26"/>
      <c r="X1277" s="91"/>
      <c r="Y1277" s="20"/>
      <c r="Z1277" s="239"/>
      <c r="AA1277" s="94"/>
      <c r="AB1277" s="26"/>
      <c r="AC1277" s="20"/>
      <c r="AD1277" s="20"/>
      <c r="AE1277" s="20"/>
      <c r="AF1277" s="20"/>
      <c r="AG1277" s="20"/>
      <c r="AH1277" s="20"/>
      <c r="AI1277" s="20"/>
    </row>
    <row r="1278" spans="1:35" ht="12.75" customHeight="1">
      <c r="A1278" s="328"/>
      <c r="B1278" s="328"/>
      <c r="C1278" s="328"/>
      <c r="D1278" s="547"/>
      <c r="E1278" s="133"/>
      <c r="F1278" s="50"/>
      <c r="G1278" s="414"/>
      <c r="H1278" s="498"/>
      <c r="I1278" s="875"/>
      <c r="J1278" s="899"/>
      <c r="K1278" s="258" t="s">
        <v>189</v>
      </c>
      <c r="L1278" s="116" t="s">
        <v>714</v>
      </c>
      <c r="M1278" s="45">
        <v>-530.74</v>
      </c>
      <c r="N1278" s="538">
        <f t="shared" si="138"/>
        <v>6182.8800940000165</v>
      </c>
      <c r="O1278" s="497"/>
      <c r="P1278" s="133">
        <v>-249.85</v>
      </c>
      <c r="Q1278" s="72">
        <f t="shared" si="139"/>
        <v>-20089.347278480993</v>
      </c>
      <c r="R1278" s="45">
        <f t="shared" si="141"/>
        <v>7910.6527215190072</v>
      </c>
      <c r="S1278" s="373" t="s">
        <v>258</v>
      </c>
      <c r="T1278" s="391"/>
      <c r="U1278" s="234"/>
      <c r="V1278" s="26"/>
      <c r="W1278" s="26"/>
      <c r="X1278" s="91"/>
      <c r="Y1278" s="20"/>
      <c r="Z1278" s="239"/>
      <c r="AA1278" s="94"/>
      <c r="AB1278" s="26"/>
      <c r="AC1278" s="20"/>
      <c r="AD1278" s="20"/>
      <c r="AE1278" s="20"/>
      <c r="AF1278" s="20"/>
      <c r="AG1278" s="20"/>
      <c r="AH1278" s="20"/>
      <c r="AI1278" s="20"/>
    </row>
    <row r="1279" spans="1:35" ht="12.75" customHeight="1">
      <c r="F1279" s="50"/>
      <c r="G1279" s="414"/>
      <c r="H1279" s="498"/>
      <c r="I1279" s="235"/>
      <c r="J1279" s="534"/>
      <c r="K1279" s="258" t="s">
        <v>189</v>
      </c>
      <c r="L1279" s="116" t="s">
        <v>585</v>
      </c>
      <c r="M1279" s="175">
        <f>-63.85</f>
        <v>-63.85</v>
      </c>
      <c r="N1279" s="538">
        <f t="shared" si="138"/>
        <v>6119.0300940000161</v>
      </c>
      <c r="P1279" s="133">
        <v>-345</v>
      </c>
      <c r="Q1279" s="72">
        <f t="shared" ref="Q1279:Q1287" si="142">Q1278+P1279</f>
        <v>-20434.347278480993</v>
      </c>
      <c r="R1279" s="45">
        <f t="shared" si="141"/>
        <v>7565.6527215190072</v>
      </c>
      <c r="S1279" s="373" t="s">
        <v>755</v>
      </c>
      <c r="T1279" s="391"/>
      <c r="U1279" s="234"/>
      <c r="V1279" s="26"/>
      <c r="AA1279" s="238"/>
    </row>
    <row r="1280" spans="1:35" ht="12.75" customHeight="1">
      <c r="G1280"/>
      <c r="H1280" s="33"/>
      <c r="I1280" s="543"/>
      <c r="J1280" s="504"/>
      <c r="K1280" s="321" t="s">
        <v>190</v>
      </c>
      <c r="L1280" s="269" t="s">
        <v>375</v>
      </c>
      <c r="M1280" s="366">
        <v>-47.52</v>
      </c>
      <c r="N1280" s="566">
        <f t="shared" si="138"/>
        <v>6071.5100940000157</v>
      </c>
      <c r="P1280" s="133">
        <v>3000</v>
      </c>
      <c r="Q1280" s="72">
        <f t="shared" si="142"/>
        <v>-17434.347278480993</v>
      </c>
      <c r="R1280" s="45">
        <f t="shared" si="141"/>
        <v>10565.652721519007</v>
      </c>
      <c r="S1280" s="373" t="s">
        <v>280</v>
      </c>
      <c r="T1280" s="391"/>
      <c r="U1280" s="20"/>
      <c r="V1280" s="26"/>
      <c r="AA1280" s="238"/>
    </row>
    <row r="1281" spans="2:35" ht="12.75" customHeight="1">
      <c r="G1281"/>
      <c r="H1281" s="33"/>
      <c r="J1281" s="504"/>
      <c r="L1281" s="23"/>
      <c r="M1281" s="168">
        <f>SUM(M1258:M1280)</f>
        <v>6071.5100940000157</v>
      </c>
      <c r="N1281" s="865"/>
      <c r="P1281" s="133">
        <v>-283.88</v>
      </c>
      <c r="Q1281" s="72">
        <f t="shared" si="142"/>
        <v>-17718.227278480994</v>
      </c>
      <c r="R1281" s="45">
        <f t="shared" si="141"/>
        <v>10281.772721519006</v>
      </c>
      <c r="S1281" s="373" t="s">
        <v>282</v>
      </c>
      <c r="T1281" s="391" t="s">
        <v>549</v>
      </c>
      <c r="U1281" s="20"/>
      <c r="V1281" s="26"/>
      <c r="AA1281" s="238"/>
    </row>
    <row r="1282" spans="2:35" ht="12.75" customHeight="1">
      <c r="G1282"/>
      <c r="H1282" s="33"/>
      <c r="I1282" s="20"/>
      <c r="J1282" s="504"/>
      <c r="K1282" s="751"/>
      <c r="L1282" s="401"/>
      <c r="M1282" s="860"/>
      <c r="N1282" s="49"/>
      <c r="P1282" s="133">
        <v>-1014</v>
      </c>
      <c r="Q1282" s="72">
        <f t="shared" si="142"/>
        <v>-18732.227278480994</v>
      </c>
      <c r="R1282" s="45">
        <f t="shared" si="141"/>
        <v>9267.7727215190062</v>
      </c>
      <c r="S1282" s="373" t="s">
        <v>268</v>
      </c>
      <c r="T1282" s="391"/>
      <c r="U1282" s="20"/>
      <c r="V1282" s="26"/>
      <c r="AA1282" s="238"/>
    </row>
    <row r="1283" spans="2:35" ht="12.75" customHeight="1">
      <c r="G1283"/>
      <c r="H1283" s="33"/>
      <c r="I1283" s="20"/>
      <c r="J1283" s="504"/>
      <c r="K1283" s="751"/>
      <c r="L1283" s="401"/>
      <c r="M1283" s="860"/>
      <c r="N1283" s="49"/>
      <c r="P1283" s="133">
        <v>-198.48</v>
      </c>
      <c r="Q1283" s="72">
        <f t="shared" si="142"/>
        <v>-18930.707278480993</v>
      </c>
      <c r="R1283" s="45">
        <f t="shared" si="141"/>
        <v>9069.2927215190066</v>
      </c>
      <c r="S1283" s="373" t="s">
        <v>270</v>
      </c>
      <c r="T1283" s="391" t="s">
        <v>549</v>
      </c>
      <c r="U1283" s="20"/>
      <c r="V1283" s="26"/>
      <c r="AA1283" s="238"/>
    </row>
    <row r="1284" spans="2:35" ht="12.75" customHeight="1">
      <c r="G1284"/>
      <c r="H1284" s="33"/>
      <c r="I1284" s="20"/>
      <c r="J1284" s="504"/>
      <c r="K1284" s="751"/>
      <c r="L1284" s="401"/>
      <c r="M1284" s="860"/>
      <c r="N1284" s="49"/>
      <c r="P1284" s="133">
        <v>-217.47</v>
      </c>
      <c r="Q1284" s="72">
        <f t="shared" si="142"/>
        <v>-19148.177278480995</v>
      </c>
      <c r="R1284" s="45">
        <f t="shared" si="141"/>
        <v>8851.8227215190054</v>
      </c>
      <c r="S1284" s="373" t="s">
        <v>270</v>
      </c>
      <c r="T1284" s="391"/>
      <c r="U1284" s="20"/>
      <c r="V1284" s="26"/>
      <c r="AA1284" s="238"/>
    </row>
    <row r="1285" spans="2:35" ht="12.75" customHeight="1">
      <c r="G1285"/>
      <c r="H1285" s="33"/>
      <c r="I1285" s="20"/>
      <c r="J1285" s="504"/>
      <c r="K1285" s="751"/>
      <c r="L1285" s="401"/>
      <c r="M1285" s="860"/>
      <c r="N1285" s="49"/>
      <c r="P1285" s="133">
        <v>-5000</v>
      </c>
      <c r="Q1285" s="72">
        <f t="shared" si="142"/>
        <v>-24148.177278480995</v>
      </c>
      <c r="R1285" s="45">
        <f t="shared" si="141"/>
        <v>3851.8227215190054</v>
      </c>
      <c r="S1285" s="373" t="s">
        <v>247</v>
      </c>
      <c r="T1285" s="391"/>
      <c r="U1285" s="20"/>
      <c r="V1285" s="26"/>
      <c r="AA1285" s="238"/>
    </row>
    <row r="1286" spans="2:35" ht="12.75" customHeight="1">
      <c r="G1286"/>
      <c r="H1286" s="33"/>
      <c r="I1286" s="20"/>
      <c r="J1286" s="504"/>
      <c r="K1286" s="751"/>
      <c r="L1286" s="401"/>
      <c r="M1286" s="860"/>
      <c r="N1286" s="49"/>
      <c r="P1286" s="133">
        <v>-319</v>
      </c>
      <c r="Q1286" s="72">
        <f t="shared" si="142"/>
        <v>-24467.177278480995</v>
      </c>
      <c r="R1286" s="45">
        <f t="shared" si="141"/>
        <v>3532.8227215190054</v>
      </c>
      <c r="S1286" s="373" t="s">
        <v>761</v>
      </c>
      <c r="T1286" s="391"/>
      <c r="U1286" s="20"/>
      <c r="V1286" s="26"/>
      <c r="AA1286" s="238"/>
    </row>
    <row r="1287" spans="2:35" ht="12.75" customHeight="1">
      <c r="G1287"/>
      <c r="H1287" s="33"/>
      <c r="I1287" s="20"/>
      <c r="J1287" s="504"/>
      <c r="K1287" s="751"/>
      <c r="L1287" s="401"/>
      <c r="M1287" s="860"/>
      <c r="N1287" s="49"/>
      <c r="P1287" s="49">
        <f>E1264</f>
        <v>2176.4999999999991</v>
      </c>
      <c r="Q1287" s="73">
        <f t="shared" si="142"/>
        <v>-22290.677278480995</v>
      </c>
      <c r="R1287" s="45">
        <f t="shared" si="141"/>
        <v>5709.3227215190054</v>
      </c>
      <c r="S1287" s="373"/>
      <c r="T1287" s="833"/>
      <c r="U1287" s="20"/>
      <c r="V1287" s="26"/>
      <c r="AA1287" s="238"/>
    </row>
    <row r="1288" spans="2:35" ht="12.75" customHeight="1">
      <c r="G1288"/>
      <c r="H1288" s="33"/>
      <c r="P1288" s="64">
        <f>SUM(P1258:P1287)</f>
        <v>-22290.677278480995</v>
      </c>
      <c r="Q1288" s="287" t="s">
        <v>243</v>
      </c>
      <c r="R1288" s="317"/>
      <c r="S1288" s="611"/>
      <c r="T1288" s="372"/>
      <c r="U1288" s="20"/>
      <c r="V1288" s="26"/>
      <c r="AA1288" s="238"/>
    </row>
    <row r="1289" spans="2:35" s="78" customFormat="1">
      <c r="E1289" s="15"/>
      <c r="G1289" s="129"/>
      <c r="K1289" s="257"/>
      <c r="M1289" s="15"/>
      <c r="P1289" s="15"/>
      <c r="Q1289" s="15"/>
      <c r="R1289" s="15"/>
      <c r="S1289" s="385"/>
      <c r="Z1289" s="15"/>
      <c r="AA1289" s="130"/>
      <c r="AB1289" s="15"/>
    </row>
    <row r="1291" spans="2:35" ht="12.75" customHeight="1">
      <c r="B1291" s="1030" t="s">
        <v>756</v>
      </c>
      <c r="C1291" s="1030"/>
      <c r="D1291" s="1030"/>
      <c r="E1291" s="1030"/>
      <c r="G1291" s="261"/>
      <c r="H1291" s="658"/>
      <c r="I1291" s="26"/>
      <c r="K1291" s="258"/>
      <c r="L1291" s="100"/>
      <c r="M1291" s="1031" t="s">
        <v>54</v>
      </c>
      <c r="N1291" s="931"/>
      <c r="O1291" s="936"/>
      <c r="P1291" s="1033" t="s">
        <v>48</v>
      </c>
      <c r="Q1291" s="1035" t="s">
        <v>749</v>
      </c>
      <c r="R1291" s="1035"/>
      <c r="S1291" s="377"/>
      <c r="X1291" s="35"/>
      <c r="Y1291" s="35"/>
      <c r="Z1291" s="26"/>
      <c r="AA1291" s="935"/>
      <c r="AB1291" s="26"/>
      <c r="AC1291" s="20"/>
      <c r="AD1291" s="20"/>
      <c r="AE1291" s="20"/>
      <c r="AF1291" s="20"/>
      <c r="AG1291" s="20"/>
      <c r="AH1291" s="20"/>
      <c r="AI1291" s="20"/>
    </row>
    <row r="1292" spans="2:35" ht="12.75" customHeight="1">
      <c r="C1292" s="17" t="s">
        <v>357</v>
      </c>
      <c r="D1292" s="14"/>
      <c r="E1292" s="877">
        <v>8483.35</v>
      </c>
      <c r="G1292" s="1036"/>
      <c r="H1292" s="1036"/>
      <c r="I1292" s="26"/>
      <c r="K1292" s="260" t="s">
        <v>221</v>
      </c>
      <c r="L1292" s="156"/>
      <c r="M1292" s="1032"/>
      <c r="N1292" s="931" t="s">
        <v>43</v>
      </c>
      <c r="O1292" s="936"/>
      <c r="P1292" s="1034"/>
      <c r="Q1292" s="932" t="s">
        <v>43</v>
      </c>
      <c r="R1292" s="933" t="s">
        <v>53</v>
      </c>
      <c r="S1292" s="377"/>
      <c r="X1292" s="118"/>
      <c r="Y1292" s="111"/>
      <c r="Z1292" s="117"/>
      <c r="AA1292" s="89"/>
      <c r="AB1292" s="90"/>
      <c r="AC1292" s="20"/>
      <c r="AD1292" s="41"/>
      <c r="AE1292" s="20"/>
      <c r="AF1292" s="20"/>
      <c r="AG1292" s="20"/>
      <c r="AH1292" s="20"/>
      <c r="AI1292" s="20"/>
    </row>
    <row r="1293" spans="2:35" ht="12.75" customHeight="1">
      <c r="C1293" s="17"/>
      <c r="D1293" s="14" t="s">
        <v>24</v>
      </c>
      <c r="E1293" s="44">
        <f>'[1]JULY ''14'!$C$16</f>
        <v>3278.5299999999993</v>
      </c>
      <c r="G1293" s="30"/>
      <c r="H1293" s="624">
        <f>SUM(E1293:E1294)</f>
        <v>3278.5299999999993</v>
      </c>
      <c r="I1293" s="26"/>
      <c r="K1293" s="273"/>
      <c r="L1293" s="235" t="s">
        <v>226</v>
      </c>
      <c r="M1293" s="45">
        <f>$M$1281</f>
        <v>6071.5100940000157</v>
      </c>
      <c r="N1293" s="71">
        <f>M1293</f>
        <v>6071.5100940000157</v>
      </c>
      <c r="O1293" s="26"/>
      <c r="P1293" s="45">
        <f>$Q$1287</f>
        <v>-22290.677278480995</v>
      </c>
      <c r="Q1293" s="71">
        <f>P1293</f>
        <v>-22290.677278480995</v>
      </c>
      <c r="R1293" s="45">
        <f>28000+Q1293</f>
        <v>5709.3227215190054</v>
      </c>
      <c r="S1293" s="378" t="s">
        <v>298</v>
      </c>
      <c r="T1293" s="367" t="s">
        <v>299</v>
      </c>
      <c r="W1293" s="392"/>
      <c r="X1293" s="111"/>
      <c r="Y1293" s="111"/>
      <c r="Z1293" s="45"/>
      <c r="AA1293" s="488"/>
      <c r="AB1293" s="26"/>
      <c r="AC1293" s="20"/>
      <c r="AD1293" s="92"/>
      <c r="AE1293" s="93"/>
      <c r="AF1293" s="20"/>
      <c r="AG1293" s="20"/>
      <c r="AH1293" s="20"/>
      <c r="AI1293" s="20"/>
    </row>
    <row r="1294" spans="2:35" ht="12.75" customHeight="1">
      <c r="C1294" s="17"/>
      <c r="D1294" s="143" t="s">
        <v>225</v>
      </c>
      <c r="E1294" s="15"/>
      <c r="G1294"/>
      <c r="H1294" s="624"/>
      <c r="I1294" s="26"/>
      <c r="K1294" s="297"/>
      <c r="L1294" s="116" t="s">
        <v>762</v>
      </c>
      <c r="M1294" s="45">
        <v>-10</v>
      </c>
      <c r="N1294" s="538">
        <f t="shared" ref="N1294:N1313" si="143">N1293+M1294</f>
        <v>6061.5100940000157</v>
      </c>
      <c r="O1294" s="65"/>
      <c r="P1294" s="133">
        <v>-722.46</v>
      </c>
      <c r="Q1294" s="72">
        <f>Q1293+P1294</f>
        <v>-23013.137278480994</v>
      </c>
      <c r="R1294" s="45">
        <f>28000+Q1294</f>
        <v>4986.8627215190063</v>
      </c>
      <c r="S1294" s="373" t="s">
        <v>282</v>
      </c>
      <c r="T1294" s="391" t="s">
        <v>549</v>
      </c>
      <c r="W1294" s="111"/>
      <c r="X1294" s="111"/>
      <c r="Y1294" s="112"/>
      <c r="Z1294" s="55"/>
      <c r="AA1294" s="489"/>
      <c r="AB1294" s="95"/>
      <c r="AC1294" s="20"/>
      <c r="AD1294" s="41"/>
      <c r="AE1294" s="93"/>
      <c r="AF1294" s="20"/>
      <c r="AG1294" s="20"/>
      <c r="AH1294" s="20"/>
      <c r="AI1294" s="20"/>
    </row>
    <row r="1295" spans="2:35" ht="12.75" customHeight="1">
      <c r="C1295" s="18" t="s">
        <v>5</v>
      </c>
      <c r="D1295" s="14"/>
      <c r="E1295" s="14">
        <f>SUM(E1292:E1294)</f>
        <v>11761.88</v>
      </c>
      <c r="G1295" s="242"/>
      <c r="H1295" s="492"/>
      <c r="I1295" s="26"/>
      <c r="K1295" s="297"/>
      <c r="L1295" s="116" t="s">
        <v>102</v>
      </c>
      <c r="M1295" s="45">
        <v>-5000</v>
      </c>
      <c r="N1295" s="538">
        <f t="shared" si="143"/>
        <v>1061.5100940000157</v>
      </c>
      <c r="O1295" s="49"/>
      <c r="P1295" s="133">
        <v>-215.95</v>
      </c>
      <c r="Q1295" s="72">
        <f t="shared" ref="Q1295:Q1303" si="144">Q1294+P1295</f>
        <v>-23229.087278480994</v>
      </c>
      <c r="R1295" s="45">
        <f t="shared" ref="R1295:R1303" si="145">28000+Q1295</f>
        <v>4770.9127215190056</v>
      </c>
      <c r="S1295" s="373" t="s">
        <v>253</v>
      </c>
      <c r="T1295" s="391"/>
      <c r="W1295" s="111"/>
      <c r="X1295" s="111"/>
      <c r="Y1295" s="112"/>
      <c r="Z1295" s="55"/>
      <c r="AA1295" s="489"/>
      <c r="AB1295" s="26"/>
      <c r="AC1295" s="20"/>
      <c r="AD1295" s="92"/>
      <c r="AE1295" s="93"/>
      <c r="AF1295" s="20"/>
      <c r="AG1295" s="20"/>
      <c r="AH1295" s="20"/>
      <c r="AI1295" s="20"/>
    </row>
    <row r="1296" spans="2:35" ht="12.75" customHeight="1">
      <c r="G1296" s="20"/>
      <c r="H1296" s="490"/>
      <c r="I1296" s="26"/>
      <c r="K1296" s="297" t="s">
        <v>223</v>
      </c>
      <c r="L1296" s="184" t="s">
        <v>227</v>
      </c>
      <c r="M1296" s="45">
        <v>-449</v>
      </c>
      <c r="N1296" s="538">
        <f t="shared" si="143"/>
        <v>612.51009400001567</v>
      </c>
      <c r="O1296" s="39"/>
      <c r="P1296" s="133">
        <f>-M1295</f>
        <v>5000</v>
      </c>
      <c r="Q1296" s="72">
        <f t="shared" si="144"/>
        <v>-18229.087278480994</v>
      </c>
      <c r="R1296" s="45">
        <f t="shared" si="145"/>
        <v>9770.9127215190056</v>
      </c>
      <c r="S1296" s="373" t="s">
        <v>247</v>
      </c>
      <c r="T1296" s="391"/>
      <c r="W1296" s="112"/>
      <c r="X1296" s="112"/>
      <c r="Y1296" s="112"/>
      <c r="Z1296" s="55"/>
      <c r="AA1296" s="489"/>
      <c r="AB1296" s="26"/>
      <c r="AC1296" s="20"/>
      <c r="AD1296" s="92"/>
      <c r="AE1296" s="93"/>
      <c r="AF1296" s="20"/>
      <c r="AG1296" s="20"/>
      <c r="AH1296" s="20"/>
      <c r="AI1296" s="20"/>
    </row>
    <row r="1297" spans="1:35" ht="12.75" customHeight="1">
      <c r="A1297" s="319"/>
      <c r="C1297" s="81" t="s">
        <v>17</v>
      </c>
      <c r="E1297" s="42"/>
      <c r="G1297"/>
      <c r="H1297" s="937"/>
      <c r="I1297" s="26"/>
      <c r="K1297" s="297" t="s">
        <v>223</v>
      </c>
      <c r="L1297" s="116" t="s">
        <v>524</v>
      </c>
      <c r="M1297" s="45">
        <v>-10</v>
      </c>
      <c r="N1297" s="538">
        <f t="shared" si="143"/>
        <v>602.51009400001567</v>
      </c>
      <c r="O1297" s="39"/>
      <c r="P1297" s="133">
        <v>-76.27</v>
      </c>
      <c r="Q1297" s="72">
        <f t="shared" si="144"/>
        <v>-18305.357278480995</v>
      </c>
      <c r="R1297" s="45">
        <f t="shared" si="145"/>
        <v>9694.6427215190051</v>
      </c>
      <c r="S1297" s="373" t="s">
        <v>763</v>
      </c>
      <c r="T1297" s="391"/>
      <c r="W1297" s="103"/>
      <c r="X1297" s="111"/>
      <c r="Y1297" s="112"/>
      <c r="Z1297" s="55"/>
      <c r="AA1297" s="489"/>
      <c r="AB1297" s="95"/>
      <c r="AC1297" s="20"/>
      <c r="AD1297" s="96"/>
      <c r="AE1297" s="93"/>
      <c r="AF1297" s="20"/>
      <c r="AG1297" s="20"/>
      <c r="AH1297" s="20"/>
      <c r="AI1297" s="20"/>
    </row>
    <row r="1298" spans="1:35" ht="12.75" customHeight="1">
      <c r="A1298" s="319"/>
      <c r="D1298" s="20" t="s">
        <v>14</v>
      </c>
      <c r="E1298" s="42">
        <f>E1292</f>
        <v>8483.35</v>
      </c>
      <c r="F1298" s="20"/>
      <c r="G1298" s="20"/>
      <c r="H1298" s="490">
        <f>G1299+E1299</f>
        <v>3278.5299999999993</v>
      </c>
      <c r="I1298" s="26"/>
      <c r="K1298" s="297"/>
      <c r="L1298" s="116" t="s">
        <v>766</v>
      </c>
      <c r="M1298" s="45">
        <v>-99</v>
      </c>
      <c r="N1298" s="538">
        <f t="shared" si="143"/>
        <v>503.51009400001567</v>
      </c>
      <c r="O1298" s="253"/>
      <c r="P1298" s="133">
        <v>-259.10000000000002</v>
      </c>
      <c r="Q1298" s="72">
        <f t="shared" si="144"/>
        <v>-18564.457278480993</v>
      </c>
      <c r="R1298" s="45">
        <f t="shared" si="145"/>
        <v>9435.5427215190066</v>
      </c>
      <c r="S1298" s="373" t="s">
        <v>764</v>
      </c>
      <c r="T1298" s="391"/>
      <c r="U1298" s="74"/>
      <c r="V1298" s="26"/>
      <c r="W1298" s="111"/>
      <c r="X1298" s="111"/>
      <c r="Y1298" s="112"/>
      <c r="Z1298" s="55"/>
      <c r="AA1298" s="489"/>
      <c r="AB1298" s="26"/>
      <c r="AC1298" s="20"/>
      <c r="AD1298" s="41"/>
      <c r="AE1298" s="93"/>
      <c r="AF1298" s="20"/>
      <c r="AG1298" s="20"/>
      <c r="AH1298" s="20"/>
      <c r="AI1298" s="20"/>
    </row>
    <row r="1299" spans="1:35" ht="12.75" customHeight="1" thickBot="1">
      <c r="A1299" s="319"/>
      <c r="D1299" s="78" t="s">
        <v>13</v>
      </c>
      <c r="E1299" s="483">
        <f>SUM(E1293:E1294)</f>
        <v>3278.5299999999993</v>
      </c>
      <c r="F1299" s="482" t="s">
        <v>364</v>
      </c>
      <c r="G1299" s="1037"/>
      <c r="H1299" s="1037"/>
      <c r="I1299" s="26"/>
      <c r="K1299" s="273"/>
      <c r="L1299" s="116" t="s">
        <v>767</v>
      </c>
      <c r="M1299" s="45">
        <v>-45</v>
      </c>
      <c r="N1299" s="538">
        <f t="shared" si="143"/>
        <v>458.51009400001567</v>
      </c>
      <c r="O1299" s="253"/>
      <c r="P1299" s="133">
        <v>-200</v>
      </c>
      <c r="Q1299" s="72">
        <f t="shared" si="144"/>
        <v>-18764.457278480993</v>
      </c>
      <c r="R1299" s="45">
        <f t="shared" si="145"/>
        <v>9235.5427215190066</v>
      </c>
      <c r="S1299" s="373" t="s">
        <v>765</v>
      </c>
      <c r="T1299" s="391"/>
      <c r="U1299" s="74"/>
      <c r="V1299" s="26"/>
      <c r="W1299" s="20"/>
      <c r="X1299" s="20"/>
      <c r="Y1299" s="112"/>
      <c r="Z1299" s="239"/>
      <c r="AA1299" s="94"/>
      <c r="AB1299" s="26"/>
      <c r="AC1299" s="20"/>
      <c r="AD1299" s="92"/>
      <c r="AE1299" s="93"/>
      <c r="AF1299" s="20"/>
      <c r="AG1299" s="20"/>
      <c r="AH1299" s="20"/>
      <c r="AI1299" s="20"/>
    </row>
    <row r="1300" spans="1:35" ht="12.75" customHeight="1" thickTop="1">
      <c r="A1300" s="319"/>
      <c r="D1300" s="20"/>
      <c r="E1300" s="26"/>
      <c r="F1300" s="122"/>
      <c r="G1300" s="1038">
        <f>E1298+E1299+G1299</f>
        <v>11761.88</v>
      </c>
      <c r="H1300" s="1038"/>
      <c r="I1300" s="26"/>
      <c r="K1300" s="273"/>
      <c r="L1300" s="116" t="s">
        <v>343</v>
      </c>
      <c r="M1300" s="45">
        <v>-450</v>
      </c>
      <c r="N1300" s="538">
        <f t="shared" si="143"/>
        <v>8.5100940000156697</v>
      </c>
      <c r="O1300" s="253"/>
      <c r="P1300" s="133">
        <v>-220.35</v>
      </c>
      <c r="Q1300" s="72">
        <f t="shared" si="144"/>
        <v>-18984.807278480992</v>
      </c>
      <c r="R1300" s="45">
        <f t="shared" si="145"/>
        <v>9015.192721519008</v>
      </c>
      <c r="S1300" s="373" t="s">
        <v>723</v>
      </c>
      <c r="T1300" s="391"/>
      <c r="U1300" s="74"/>
      <c r="V1300" s="26"/>
      <c r="W1300" s="26"/>
      <c r="X1300" s="20"/>
      <c r="Y1300" s="112"/>
      <c r="Z1300" s="239"/>
      <c r="AA1300" s="94"/>
      <c r="AB1300" s="95"/>
      <c r="AC1300" s="20"/>
      <c r="AD1300" s="92"/>
      <c r="AE1300" s="93"/>
      <c r="AF1300" s="20"/>
      <c r="AG1300" s="20"/>
      <c r="AH1300" s="20"/>
      <c r="AI1300" s="20"/>
    </row>
    <row r="1301" spans="1:35" ht="12.75" customHeight="1">
      <c r="A1301" s="333"/>
      <c r="B1301" s="333"/>
      <c r="C1301" s="333"/>
      <c r="D1301" s="408"/>
      <c r="E1301" s="412"/>
      <c r="F1301" s="50"/>
      <c r="G1301" s="409"/>
      <c r="H1301" s="934"/>
      <c r="I1301" s="26"/>
      <c r="K1301" s="258" t="s">
        <v>248</v>
      </c>
      <c r="L1301" s="266" t="s">
        <v>51</v>
      </c>
      <c r="M1301" s="146">
        <f>E1298</f>
        <v>8483.35</v>
      </c>
      <c r="N1301" s="538">
        <f t="shared" si="143"/>
        <v>8491.860094000016</v>
      </c>
      <c r="O1301" s="253"/>
      <c r="P1301" s="133">
        <v>-57.05</v>
      </c>
      <c r="Q1301" s="72">
        <f t="shared" si="144"/>
        <v>-19041.857278480991</v>
      </c>
      <c r="R1301" s="45">
        <f t="shared" si="145"/>
        <v>8958.1427215190088</v>
      </c>
      <c r="S1301" s="373" t="s">
        <v>763</v>
      </c>
      <c r="T1301" s="391"/>
      <c r="U1301" s="20"/>
      <c r="V1301" s="20"/>
      <c r="W1301" s="26"/>
      <c r="X1301" s="91"/>
      <c r="Y1301" s="20"/>
      <c r="Z1301" s="239"/>
      <c r="AA1301" s="94"/>
      <c r="AB1301" s="26"/>
      <c r="AC1301" s="20"/>
      <c r="AD1301" s="20"/>
      <c r="AE1301" s="20"/>
      <c r="AF1301" s="20"/>
      <c r="AG1301" s="20"/>
      <c r="AH1301" s="20"/>
      <c r="AI1301" s="20"/>
    </row>
    <row r="1302" spans="1:35" ht="12.75" customHeight="1">
      <c r="A1302" s="333"/>
      <c r="B1302" s="333"/>
      <c r="C1302" s="333"/>
      <c r="D1302" s="133"/>
      <c r="E1302" s="133"/>
      <c r="F1302" s="50"/>
      <c r="G1302" s="409"/>
      <c r="H1302" s="401"/>
      <c r="I1302" s="26"/>
      <c r="K1302" s="258" t="s">
        <v>248</v>
      </c>
      <c r="L1302" s="266" t="s">
        <v>578</v>
      </c>
      <c r="M1302" s="146">
        <v>-2850</v>
      </c>
      <c r="N1302" s="538">
        <f t="shared" si="143"/>
        <v>5641.860094000016</v>
      </c>
      <c r="O1302" s="253"/>
      <c r="P1302" s="133">
        <v>-50</v>
      </c>
      <c r="Q1302" s="72">
        <f t="shared" si="144"/>
        <v>-19091.857278480991</v>
      </c>
      <c r="R1302" s="45">
        <f t="shared" si="145"/>
        <v>8908.1427215190088</v>
      </c>
      <c r="S1302" s="373" t="s">
        <v>768</v>
      </c>
      <c r="T1302" s="391"/>
      <c r="U1302" s="20"/>
      <c r="V1302" s="26"/>
      <c r="W1302" s="26"/>
      <c r="X1302" s="91"/>
      <c r="Y1302" s="20"/>
      <c r="Z1302" s="239"/>
      <c r="AA1302" s="94"/>
      <c r="AB1302" s="26"/>
      <c r="AC1302" s="20"/>
      <c r="AD1302" s="20"/>
      <c r="AE1302" s="20"/>
      <c r="AF1302" s="20"/>
      <c r="AG1302" s="20"/>
      <c r="AH1302" s="20"/>
      <c r="AI1302" s="20"/>
    </row>
    <row r="1303" spans="1:35" ht="12.75" customHeight="1">
      <c r="A1303" s="333"/>
      <c r="B1303" s="333"/>
      <c r="C1303" s="333"/>
      <c r="D1303" s="133"/>
      <c r="E1303" s="133"/>
      <c r="F1303" s="50"/>
      <c r="G1303" s="409"/>
      <c r="H1303" s="401"/>
      <c r="I1303" s="26"/>
      <c r="K1303" s="258" t="s">
        <v>248</v>
      </c>
      <c r="L1303" s="266" t="s">
        <v>552</v>
      </c>
      <c r="M1303" s="45">
        <v>-400</v>
      </c>
      <c r="N1303" s="538">
        <f t="shared" si="143"/>
        <v>5241.860094000016</v>
      </c>
      <c r="O1303" s="253"/>
      <c r="P1303" s="133">
        <v>-870.39</v>
      </c>
      <c r="Q1303" s="72">
        <f t="shared" si="144"/>
        <v>-19962.247278480991</v>
      </c>
      <c r="R1303" s="45">
        <f t="shared" si="145"/>
        <v>8037.7527215190094</v>
      </c>
      <c r="S1303" s="373" t="s">
        <v>270</v>
      </c>
      <c r="T1303" s="391" t="s">
        <v>549</v>
      </c>
      <c r="U1303" s="20"/>
      <c r="V1303" s="26"/>
      <c r="W1303" s="26"/>
      <c r="X1303" s="91"/>
      <c r="Y1303" s="20"/>
      <c r="Z1303" s="239"/>
      <c r="AA1303" s="94"/>
      <c r="AB1303" s="26"/>
      <c r="AC1303" s="20"/>
      <c r="AD1303" s="20"/>
      <c r="AE1303" s="20"/>
      <c r="AF1303" s="20"/>
      <c r="AG1303" s="20"/>
      <c r="AH1303" s="20"/>
      <c r="AI1303" s="20"/>
    </row>
    <row r="1304" spans="1:35" ht="12.75" customHeight="1">
      <c r="A1304" s="333"/>
      <c r="B1304" s="333"/>
      <c r="C1304" s="333"/>
      <c r="D1304" s="133"/>
      <c r="E1304" s="133"/>
      <c r="F1304" s="50"/>
      <c r="G1304" s="409"/>
      <c r="H1304" s="401"/>
      <c r="I1304" s="874"/>
      <c r="K1304" s="258"/>
      <c r="L1304" s="266" t="s">
        <v>333</v>
      </c>
      <c r="M1304" s="45">
        <v>-50</v>
      </c>
      <c r="N1304" s="538">
        <f t="shared" si="143"/>
        <v>5191.860094000016</v>
      </c>
      <c r="O1304" s="253"/>
      <c r="P1304" s="133">
        <v>-551.1</v>
      </c>
      <c r="Q1304" s="72">
        <f>Q1303+P1304</f>
        <v>-20513.347278480989</v>
      </c>
      <c r="R1304" s="45">
        <f>28000+Q1304</f>
        <v>7486.6527215190108</v>
      </c>
      <c r="S1304" s="373" t="s">
        <v>258</v>
      </c>
      <c r="T1304" s="391"/>
      <c r="U1304" s="234"/>
      <c r="V1304" s="26"/>
      <c r="W1304" s="26"/>
      <c r="X1304" s="91"/>
      <c r="Y1304" s="20"/>
      <c r="Z1304" s="239"/>
      <c r="AA1304" s="94"/>
      <c r="AB1304" s="26"/>
      <c r="AC1304" s="20"/>
      <c r="AD1304" s="20"/>
      <c r="AE1304" s="20"/>
      <c r="AF1304" s="20"/>
      <c r="AG1304" s="20"/>
      <c r="AH1304" s="20"/>
      <c r="AI1304" s="20"/>
    </row>
    <row r="1305" spans="1:35" ht="12.75" customHeight="1">
      <c r="A1305" s="333"/>
      <c r="B1305" s="333"/>
      <c r="C1305" s="333"/>
      <c r="D1305" s="133"/>
      <c r="E1305" s="133"/>
      <c r="F1305" s="50"/>
      <c r="G1305" s="409"/>
      <c r="H1305" s="401"/>
      <c r="I1305" s="315"/>
      <c r="J1305" s="511"/>
      <c r="K1305" s="258" t="s">
        <v>248</v>
      </c>
      <c r="L1305" s="266" t="s">
        <v>195</v>
      </c>
      <c r="M1305" s="45">
        <v>-2065.2199999999998</v>
      </c>
      <c r="N1305" s="538">
        <f t="shared" si="143"/>
        <v>3126.6400940000162</v>
      </c>
      <c r="O1305" s="253"/>
      <c r="P1305" s="133">
        <v>-1014</v>
      </c>
      <c r="Q1305" s="72">
        <f>Q1304+P1305</f>
        <v>-21527.347278480989</v>
      </c>
      <c r="R1305" s="45">
        <f>28000+Q1305</f>
        <v>6472.6527215190108</v>
      </c>
      <c r="S1305" s="373" t="s">
        <v>268</v>
      </c>
      <c r="T1305" s="391"/>
      <c r="U1305" s="234"/>
      <c r="V1305" s="26"/>
      <c r="W1305" s="26"/>
      <c r="X1305" s="91"/>
      <c r="Y1305" s="20"/>
      <c r="Z1305" s="239"/>
      <c r="AA1305" s="94"/>
      <c r="AB1305" s="26"/>
      <c r="AC1305" s="20"/>
      <c r="AD1305" s="20"/>
      <c r="AE1305" s="20"/>
      <c r="AF1305" s="20"/>
      <c r="AG1305" s="20"/>
      <c r="AH1305" s="20"/>
      <c r="AI1305" s="20"/>
    </row>
    <row r="1306" spans="1:35" ht="12.75" customHeight="1">
      <c r="A1306" s="333"/>
      <c r="B1306" s="333"/>
      <c r="C1306" s="333"/>
      <c r="D1306" s="133"/>
      <c r="E1306" s="133"/>
      <c r="F1306" s="50"/>
      <c r="G1306" s="409"/>
      <c r="H1306" s="401"/>
      <c r="I1306" s="962"/>
      <c r="J1306" s="962"/>
      <c r="K1306" s="85" t="s">
        <v>248</v>
      </c>
      <c r="L1306" s="266" t="s">
        <v>180</v>
      </c>
      <c r="M1306" s="45">
        <v>-59</v>
      </c>
      <c r="N1306" s="538">
        <f t="shared" si="143"/>
        <v>3067.6400940000162</v>
      </c>
      <c r="O1306" s="253"/>
      <c r="P1306" s="133">
        <f>-550-14</f>
        <v>-564</v>
      </c>
      <c r="Q1306" s="72">
        <f>Q1305+P1306</f>
        <v>-22091.347278480989</v>
      </c>
      <c r="R1306" s="45">
        <f>28000+Q1306</f>
        <v>5908.6527215190108</v>
      </c>
      <c r="S1306" s="373" t="s">
        <v>268</v>
      </c>
      <c r="T1306" s="391"/>
      <c r="U1306" s="234"/>
      <c r="V1306" s="26"/>
      <c r="W1306" s="26"/>
      <c r="X1306" s="91"/>
      <c r="Y1306" s="20"/>
      <c r="Z1306" s="239"/>
      <c r="AA1306" s="94"/>
      <c r="AB1306" s="26"/>
      <c r="AC1306" s="20"/>
      <c r="AD1306" s="20"/>
      <c r="AE1306" s="20"/>
      <c r="AF1306" s="20"/>
      <c r="AG1306" s="20"/>
      <c r="AH1306" s="20"/>
      <c r="AI1306" s="20"/>
    </row>
    <row r="1307" spans="1:35" ht="12.75" customHeight="1">
      <c r="A1307" s="333"/>
      <c r="B1307" s="333"/>
      <c r="C1307" s="333"/>
      <c r="D1307" s="133"/>
      <c r="E1307" s="133"/>
      <c r="F1307" s="50"/>
      <c r="G1307" s="409"/>
      <c r="H1307" s="401"/>
      <c r="I1307" s="493"/>
      <c r="J1307" s="517"/>
      <c r="K1307" s="258" t="s">
        <v>248</v>
      </c>
      <c r="L1307" s="266" t="s">
        <v>61</v>
      </c>
      <c r="M1307" s="45">
        <v>-193.57</v>
      </c>
      <c r="N1307" s="538">
        <f t="shared" si="143"/>
        <v>2874.0700940000161</v>
      </c>
      <c r="O1307" s="253"/>
      <c r="P1307" s="49">
        <f>E1299</f>
        <v>3278.5299999999993</v>
      </c>
      <c r="Q1307" s="73">
        <f>Q1306+P1307</f>
        <v>-18812.81727848099</v>
      </c>
      <c r="R1307" s="45">
        <f>28000+Q1307</f>
        <v>9187.1827215190096</v>
      </c>
      <c r="S1307" s="373"/>
      <c r="T1307" s="391"/>
      <c r="U1307" s="234"/>
      <c r="V1307" s="26"/>
      <c r="W1307" s="26"/>
      <c r="X1307" s="91"/>
      <c r="Y1307" s="20"/>
      <c r="Z1307" s="239"/>
      <c r="AA1307" s="94"/>
      <c r="AB1307" s="26"/>
      <c r="AC1307" s="20"/>
      <c r="AD1307" s="20"/>
      <c r="AE1307" s="20"/>
      <c r="AF1307" s="20"/>
      <c r="AG1307" s="20"/>
      <c r="AH1307" s="20"/>
      <c r="AI1307" s="20"/>
    </row>
    <row r="1308" spans="1:35" ht="12.75" customHeight="1">
      <c r="A1308" s="333"/>
      <c r="B1308" s="333"/>
      <c r="C1308" s="333"/>
      <c r="D1308" s="133"/>
      <c r="E1308" s="133"/>
      <c r="F1308" s="50"/>
      <c r="G1308" s="409"/>
      <c r="H1308" s="401"/>
      <c r="I1308" s="493"/>
      <c r="J1308" s="709"/>
      <c r="K1308" s="258" t="s">
        <v>248</v>
      </c>
      <c r="L1308" s="266" t="s">
        <v>148</v>
      </c>
      <c r="M1308" s="45">
        <v>200</v>
      </c>
      <c r="N1308" s="538">
        <f t="shared" si="143"/>
        <v>3074.0700940000161</v>
      </c>
      <c r="O1308" s="253"/>
      <c r="P1308" s="64">
        <f>SUM(P1293:P1307)</f>
        <v>-18812.81727848099</v>
      </c>
      <c r="Q1308" s="287" t="s">
        <v>243</v>
      </c>
      <c r="R1308" s="317"/>
      <c r="S1308" s="611"/>
      <c r="T1308" s="391"/>
      <c r="U1308" s="20"/>
      <c r="V1308" s="26"/>
      <c r="W1308" s="26"/>
      <c r="X1308" s="91"/>
      <c r="Y1308" s="20"/>
      <c r="Z1308" s="239"/>
      <c r="AA1308" s="94"/>
      <c r="AB1308" s="26"/>
      <c r="AC1308" s="20"/>
      <c r="AD1308" s="20"/>
      <c r="AE1308" s="20"/>
      <c r="AF1308" s="20"/>
      <c r="AG1308" s="20"/>
      <c r="AH1308" s="20"/>
      <c r="AI1308" s="20"/>
    </row>
    <row r="1309" spans="1:35" ht="12.75" customHeight="1">
      <c r="A1309" s="333"/>
      <c r="B1309" s="333"/>
      <c r="C1309" s="333"/>
      <c r="D1309" s="133"/>
      <c r="E1309" s="133"/>
      <c r="F1309" s="50"/>
      <c r="G1309" s="409"/>
      <c r="H1309" s="401"/>
      <c r="I1309" s="495"/>
      <c r="K1309" s="85" t="s">
        <v>189</v>
      </c>
      <c r="L1309" s="267" t="s">
        <v>16</v>
      </c>
      <c r="M1309" s="175">
        <v>-103.99</v>
      </c>
      <c r="N1309" s="538">
        <f t="shared" si="143"/>
        <v>2970.0800940000163</v>
      </c>
      <c r="O1309" s="253"/>
      <c r="P1309" s="68"/>
      <c r="Q1309" s="287"/>
      <c r="R1309" s="317"/>
      <c r="S1309" s="611"/>
      <c r="T1309" s="391"/>
      <c r="U1309" s="20"/>
      <c r="V1309" s="26"/>
      <c r="W1309" s="26"/>
      <c r="X1309" s="91"/>
      <c r="Y1309" s="20"/>
      <c r="Z1309" s="239"/>
      <c r="AA1309" s="94"/>
      <c r="AB1309" s="26"/>
      <c r="AC1309" s="20"/>
      <c r="AD1309" s="20"/>
      <c r="AE1309" s="20"/>
      <c r="AF1309" s="20"/>
      <c r="AG1309" s="20"/>
      <c r="AH1309" s="20"/>
      <c r="AI1309" s="20"/>
    </row>
    <row r="1310" spans="1:35" ht="12.75" customHeight="1">
      <c r="A1310" s="333"/>
      <c r="B1310" s="333"/>
      <c r="C1310" s="333"/>
      <c r="D1310" s="413"/>
      <c r="E1310" s="34"/>
      <c r="F1310" s="50"/>
      <c r="G1310" s="409"/>
      <c r="H1310" s="509"/>
      <c r="I1310" s="961"/>
      <c r="J1310" s="961"/>
      <c r="K1310" s="258" t="s">
        <v>189</v>
      </c>
      <c r="L1310" s="268" t="s">
        <v>56</v>
      </c>
      <c r="M1310" s="175">
        <v>-1300</v>
      </c>
      <c r="N1310" s="538">
        <f t="shared" si="143"/>
        <v>1670.0800940000163</v>
      </c>
      <c r="O1310" s="253"/>
      <c r="T1310" s="833"/>
      <c r="U1310" s="20"/>
      <c r="V1310" s="26"/>
      <c r="W1310" s="26"/>
      <c r="X1310" s="91"/>
      <c r="Y1310" s="20"/>
      <c r="Z1310" s="239"/>
      <c r="AA1310" s="94"/>
      <c r="AB1310" s="26"/>
      <c r="AC1310" s="20"/>
      <c r="AD1310" s="20"/>
      <c r="AE1310" s="20"/>
      <c r="AF1310" s="20"/>
      <c r="AG1310" s="20"/>
      <c r="AH1310" s="20"/>
      <c r="AI1310" s="20"/>
    </row>
    <row r="1311" spans="1:35" ht="12.75" customHeight="1">
      <c r="A1311" s="333"/>
      <c r="B1311" s="333"/>
      <c r="C1311" s="333"/>
      <c r="D1311" s="413"/>
      <c r="E1311" s="34"/>
      <c r="F1311" s="50"/>
      <c r="G1311" s="414"/>
      <c r="H1311" s="509"/>
      <c r="I1311" s="961"/>
      <c r="J1311" s="961"/>
      <c r="K1311" s="258" t="s">
        <v>189</v>
      </c>
      <c r="L1311" s="268" t="s">
        <v>23</v>
      </c>
      <c r="M1311" s="133">
        <v>-315.61</v>
      </c>
      <c r="N1311" s="538">
        <f t="shared" si="143"/>
        <v>1354.4700940000162</v>
      </c>
      <c r="O1311" s="253"/>
      <c r="T1311" s="372"/>
      <c r="U1311" s="20"/>
      <c r="V1311" s="26"/>
      <c r="W1311" s="26"/>
      <c r="X1311" s="91"/>
      <c r="Y1311" s="20"/>
      <c r="Z1311" s="239"/>
      <c r="AA1311" s="94"/>
      <c r="AB1311" s="26"/>
      <c r="AC1311" s="20"/>
      <c r="AD1311" s="20"/>
      <c r="AE1311" s="20"/>
      <c r="AF1311" s="20"/>
      <c r="AG1311" s="20"/>
      <c r="AH1311" s="20"/>
      <c r="AI1311" s="20"/>
    </row>
    <row r="1312" spans="1:35" ht="12.75" customHeight="1">
      <c r="A1312" s="333"/>
      <c r="B1312" s="333"/>
      <c r="C1312" s="333"/>
      <c r="D1312" s="48"/>
      <c r="E1312" s="133"/>
      <c r="F1312" s="50"/>
      <c r="G1312" s="414"/>
      <c r="H1312" s="509"/>
      <c r="I1312" s="510"/>
      <c r="J1312" s="521"/>
      <c r="K1312" s="258" t="s">
        <v>189</v>
      </c>
      <c r="L1312" s="116" t="s">
        <v>714</v>
      </c>
      <c r="M1312" s="45">
        <v>-530.74</v>
      </c>
      <c r="N1312" s="538">
        <f t="shared" si="143"/>
        <v>823.73009400001615</v>
      </c>
      <c r="O1312" s="253"/>
      <c r="T1312" s="372"/>
      <c r="U1312" s="20"/>
      <c r="V1312" s="26"/>
      <c r="W1312" s="26"/>
      <c r="X1312" s="91"/>
      <c r="Y1312" s="20"/>
      <c r="Z1312" s="239"/>
      <c r="AA1312" s="94"/>
      <c r="AB1312" s="26"/>
      <c r="AC1312" s="20"/>
      <c r="AD1312" s="20"/>
      <c r="AE1312" s="20"/>
      <c r="AF1312" s="20"/>
      <c r="AG1312" s="20"/>
      <c r="AH1312" s="20"/>
      <c r="AI1312" s="20"/>
    </row>
    <row r="1313" spans="1:35" ht="12.75" customHeight="1">
      <c r="A1313" s="328"/>
      <c r="B1313" s="328"/>
      <c r="C1313" s="328"/>
      <c r="D1313" s="547"/>
      <c r="E1313" s="133"/>
      <c r="F1313" s="50"/>
      <c r="G1313" s="414"/>
      <c r="H1313" s="934"/>
      <c r="K1313" s="258" t="s">
        <v>189</v>
      </c>
      <c r="L1313" s="116" t="s">
        <v>585</v>
      </c>
      <c r="M1313" s="175">
        <f>-63.85</f>
        <v>-63.85</v>
      </c>
      <c r="N1313" s="538">
        <f t="shared" si="143"/>
        <v>759.88009400001613</v>
      </c>
      <c r="O1313" s="497"/>
      <c r="W1313" s="26"/>
      <c r="X1313" s="91"/>
      <c r="Y1313" s="20"/>
      <c r="Z1313" s="239"/>
      <c r="AA1313" s="94"/>
      <c r="AB1313" s="26"/>
      <c r="AC1313" s="20"/>
      <c r="AD1313" s="20"/>
      <c r="AE1313" s="20"/>
      <c r="AF1313" s="20"/>
      <c r="AG1313" s="20"/>
      <c r="AH1313" s="20"/>
      <c r="AI1313" s="20"/>
    </row>
    <row r="1314" spans="1:35" ht="12.75" customHeight="1">
      <c r="A1314" s="328"/>
      <c r="B1314" s="328"/>
      <c r="C1314" s="328"/>
      <c r="D1314" s="547"/>
      <c r="E1314" s="133"/>
      <c r="F1314" s="50"/>
      <c r="G1314" s="414"/>
      <c r="H1314" s="498"/>
      <c r="I1314" s="875"/>
      <c r="J1314" s="899"/>
      <c r="K1314" s="321" t="s">
        <v>190</v>
      </c>
      <c r="L1314" s="269" t="s">
        <v>375</v>
      </c>
      <c r="M1314" s="366">
        <v>-47.52</v>
      </c>
      <c r="N1314" s="566">
        <f>N1313+M1314</f>
        <v>712.36009400001615</v>
      </c>
      <c r="O1314" s="497"/>
      <c r="W1314" s="26"/>
      <c r="X1314" s="91"/>
      <c r="Y1314" s="20"/>
      <c r="Z1314" s="239"/>
      <c r="AA1314" s="94"/>
      <c r="AB1314" s="26"/>
      <c r="AC1314" s="20"/>
      <c r="AD1314" s="20"/>
      <c r="AE1314" s="20"/>
      <c r="AF1314" s="20"/>
      <c r="AG1314" s="20"/>
      <c r="AH1314" s="20"/>
      <c r="AI1314" s="20"/>
    </row>
    <row r="1315" spans="1:35" ht="12.75" customHeight="1">
      <c r="F1315" s="50"/>
      <c r="G1315" s="414"/>
      <c r="H1315" s="498"/>
      <c r="I1315" s="875"/>
      <c r="J1315" s="899"/>
      <c r="L1315" s="23"/>
      <c r="M1315" s="168">
        <f>SUM(M1293:M1314)</f>
        <v>712.36009400001615</v>
      </c>
      <c r="N1315" s="806"/>
      <c r="AA1315" s="238"/>
    </row>
    <row r="1316" spans="1:35" s="78" customFormat="1">
      <c r="E1316" s="15"/>
      <c r="G1316" s="129"/>
      <c r="K1316" s="257"/>
      <c r="M1316" s="15"/>
      <c r="P1316" s="15"/>
      <c r="Q1316" s="15"/>
      <c r="R1316" s="15"/>
      <c r="S1316" s="385"/>
      <c r="Z1316" s="15"/>
      <c r="AA1316" s="130"/>
      <c r="AB1316" s="15"/>
    </row>
    <row r="1318" spans="1:35" ht="12.75" customHeight="1">
      <c r="B1318" s="1030" t="s">
        <v>769</v>
      </c>
      <c r="C1318" s="1030"/>
      <c r="D1318" s="1030"/>
      <c r="E1318" s="1030"/>
      <c r="G1318" s="261"/>
      <c r="H1318" s="658"/>
      <c r="I1318" s="26"/>
      <c r="K1318" s="258"/>
      <c r="L1318" s="100"/>
      <c r="M1318" s="1031" t="s">
        <v>54</v>
      </c>
      <c r="N1318" s="945"/>
      <c r="O1318" s="950"/>
      <c r="P1318" s="1033" t="s">
        <v>48</v>
      </c>
      <c r="Q1318" s="1035" t="s">
        <v>749</v>
      </c>
      <c r="R1318" s="1035"/>
      <c r="S1318" s="377"/>
      <c r="X1318" s="35"/>
      <c r="Y1318" s="35"/>
      <c r="Z1318" s="26"/>
      <c r="AA1318" s="949"/>
      <c r="AB1318" s="26"/>
      <c r="AC1318" s="20"/>
      <c r="AD1318" s="20"/>
      <c r="AE1318" s="20"/>
      <c r="AF1318" s="20"/>
      <c r="AG1318" s="20"/>
      <c r="AH1318" s="20"/>
      <c r="AI1318" s="20"/>
    </row>
    <row r="1319" spans="1:35" ht="12.75" customHeight="1">
      <c r="C1319" s="17" t="s">
        <v>357</v>
      </c>
      <c r="D1319" s="14"/>
      <c r="E1319" s="877">
        <v>8483.35</v>
      </c>
      <c r="G1319" s="1036"/>
      <c r="H1319" s="1036"/>
      <c r="I1319" s="26"/>
      <c r="K1319" s="260" t="s">
        <v>221</v>
      </c>
      <c r="L1319" s="156"/>
      <c r="M1319" s="1032"/>
      <c r="N1319" s="945" t="s">
        <v>43</v>
      </c>
      <c r="O1319" s="950"/>
      <c r="P1319" s="1034"/>
      <c r="Q1319" s="946" t="s">
        <v>43</v>
      </c>
      <c r="R1319" s="947" t="s">
        <v>53</v>
      </c>
      <c r="S1319" s="377"/>
      <c r="X1319" s="118"/>
      <c r="Y1319" s="111"/>
      <c r="Z1319" s="117"/>
      <c r="AA1319" s="89"/>
      <c r="AB1319" s="90"/>
      <c r="AC1319" s="20"/>
      <c r="AD1319" s="41"/>
      <c r="AE1319" s="20"/>
      <c r="AF1319" s="20"/>
      <c r="AG1319" s="20"/>
      <c r="AH1319" s="20"/>
      <c r="AI1319" s="20"/>
    </row>
    <row r="1320" spans="1:35" ht="12.75" customHeight="1">
      <c r="C1320" s="17"/>
      <c r="D1320" s="14" t="s">
        <v>24</v>
      </c>
      <c r="E1320" s="44">
        <f>'[1]AUG ''14'!$C$16</f>
        <v>1426.9799999999996</v>
      </c>
      <c r="G1320" s="30"/>
      <c r="H1320" s="624">
        <f>SUM(E1320:E1321)</f>
        <v>1426.9799999999996</v>
      </c>
      <c r="I1320" s="26"/>
      <c r="K1320" s="273"/>
      <c r="L1320" s="235" t="s">
        <v>226</v>
      </c>
      <c r="M1320" s="45">
        <f>$M$1315</f>
        <v>712.36009400001615</v>
      </c>
      <c r="N1320" s="71">
        <f>M1320</f>
        <v>712.36009400001615</v>
      </c>
      <c r="O1320" s="26"/>
      <c r="P1320" s="45">
        <f>$Q$1307</f>
        <v>-18812.81727848099</v>
      </c>
      <c r="Q1320" s="71">
        <f>P1320</f>
        <v>-18812.81727848099</v>
      </c>
      <c r="R1320" s="45">
        <f>28000+Q1320</f>
        <v>9187.1827215190096</v>
      </c>
      <c r="S1320" s="378" t="s">
        <v>298</v>
      </c>
      <c r="T1320" s="367" t="s">
        <v>299</v>
      </c>
      <c r="W1320" s="392"/>
      <c r="X1320" s="111"/>
      <c r="Y1320" s="111"/>
      <c r="Z1320" s="45"/>
      <c r="AA1320" s="488"/>
      <c r="AB1320" s="26"/>
      <c r="AC1320" s="20"/>
      <c r="AD1320" s="92"/>
      <c r="AE1320" s="93"/>
      <c r="AF1320" s="20"/>
      <c r="AG1320" s="20"/>
      <c r="AH1320" s="20"/>
      <c r="AI1320" s="20"/>
    </row>
    <row r="1321" spans="1:35" ht="12.75" customHeight="1">
      <c r="C1321" s="17"/>
      <c r="D1321" s="143" t="s">
        <v>225</v>
      </c>
      <c r="E1321" s="15"/>
      <c r="G1321"/>
      <c r="H1321" s="624"/>
      <c r="I1321" s="26"/>
      <c r="K1321" s="297"/>
      <c r="L1321" s="116" t="s">
        <v>773</v>
      </c>
      <c r="M1321" s="45">
        <v>-557.08000000000004</v>
      </c>
      <c r="N1321" s="538">
        <f t="shared" ref="N1321:N1346" si="146">N1320+M1321</f>
        <v>155.28009400001611</v>
      </c>
      <c r="O1321" s="65"/>
      <c r="P1321" s="133">
        <v>-209.8</v>
      </c>
      <c r="Q1321" s="72">
        <f>Q1320+P1321</f>
        <v>-19022.61727848099</v>
      </c>
      <c r="R1321" s="45">
        <f>28000+Q1321</f>
        <v>8977.3827215190104</v>
      </c>
      <c r="S1321" s="373" t="s">
        <v>774</v>
      </c>
      <c r="T1321" s="391"/>
      <c r="W1321" s="111"/>
      <c r="X1321" s="111"/>
      <c r="Y1321" s="112"/>
      <c r="Z1321" s="55"/>
      <c r="AA1321" s="489"/>
      <c r="AB1321" s="95"/>
      <c r="AC1321" s="20"/>
      <c r="AD1321" s="41"/>
      <c r="AE1321" s="93"/>
      <c r="AF1321" s="20"/>
      <c r="AG1321" s="20"/>
      <c r="AH1321" s="20"/>
      <c r="AI1321" s="20"/>
    </row>
    <row r="1322" spans="1:35" ht="12.75" customHeight="1">
      <c r="C1322" s="18" t="s">
        <v>5</v>
      </c>
      <c r="D1322" s="14"/>
      <c r="E1322" s="14">
        <f>SUM(E1319:E1321)</f>
        <v>9910.33</v>
      </c>
      <c r="G1322" s="242"/>
      <c r="H1322" s="492"/>
      <c r="I1322" s="26"/>
      <c r="K1322" s="297"/>
      <c r="L1322" s="116" t="s">
        <v>102</v>
      </c>
      <c r="M1322" s="45">
        <v>500</v>
      </c>
      <c r="N1322" s="538">
        <f t="shared" si="146"/>
        <v>655.28009400001611</v>
      </c>
      <c r="O1322" s="49"/>
      <c r="P1322" s="133">
        <v>-833.45</v>
      </c>
      <c r="Q1322" s="72">
        <f t="shared" ref="Q1322:Q1339" si="147">Q1321+P1322</f>
        <v>-19856.06727848099</v>
      </c>
      <c r="R1322" s="45">
        <f t="shared" ref="R1322:R1339" si="148">28000+Q1322</f>
        <v>8143.9327215190096</v>
      </c>
      <c r="S1322" s="373" t="s">
        <v>443</v>
      </c>
      <c r="T1322" s="391"/>
      <c r="W1322" s="111"/>
      <c r="X1322" s="111"/>
      <c r="Y1322" s="112"/>
      <c r="Z1322" s="55"/>
      <c r="AA1322" s="489"/>
      <c r="AB1322" s="26"/>
      <c r="AC1322" s="20"/>
      <c r="AD1322" s="92"/>
      <c r="AE1322" s="93"/>
      <c r="AF1322" s="20"/>
      <c r="AG1322" s="20"/>
      <c r="AH1322" s="20"/>
      <c r="AI1322" s="20"/>
    </row>
    <row r="1323" spans="1:35" ht="12.75" customHeight="1">
      <c r="G1323" s="20"/>
      <c r="H1323" s="490"/>
      <c r="I1323" s="26"/>
      <c r="K1323" s="297"/>
      <c r="L1323" s="116" t="s">
        <v>775</v>
      </c>
      <c r="M1323" s="45">
        <v>-415</v>
      </c>
      <c r="N1323" s="538">
        <f t="shared" si="146"/>
        <v>240.28009400001611</v>
      </c>
      <c r="O1323" s="39"/>
      <c r="P1323" s="133">
        <v>-500</v>
      </c>
      <c r="Q1323" s="72">
        <f t="shared" si="147"/>
        <v>-20356.06727848099</v>
      </c>
      <c r="R1323" s="45">
        <f t="shared" si="148"/>
        <v>7643.9327215190096</v>
      </c>
      <c r="S1323" s="373" t="s">
        <v>247</v>
      </c>
      <c r="T1323" s="391"/>
      <c r="W1323" s="112"/>
      <c r="X1323" s="112"/>
      <c r="Y1323" s="112"/>
      <c r="Z1323" s="55"/>
      <c r="AA1323" s="489"/>
      <c r="AB1323" s="26"/>
      <c r="AC1323" s="20"/>
      <c r="AD1323" s="92"/>
      <c r="AE1323" s="93"/>
      <c r="AF1323" s="20"/>
      <c r="AG1323" s="20"/>
      <c r="AH1323" s="20"/>
      <c r="AI1323" s="20"/>
    </row>
    <row r="1324" spans="1:35" ht="12.75" customHeight="1">
      <c r="A1324" s="319"/>
      <c r="C1324" s="81" t="s">
        <v>17</v>
      </c>
      <c r="E1324" s="42"/>
      <c r="G1324"/>
      <c r="H1324" s="951"/>
      <c r="I1324" s="26"/>
      <c r="K1324" s="297"/>
      <c r="L1324" s="116" t="s">
        <v>782</v>
      </c>
      <c r="M1324" s="45">
        <v>100</v>
      </c>
      <c r="N1324" s="538">
        <f t="shared" si="146"/>
        <v>340.28009400001611</v>
      </c>
      <c r="O1324" s="39"/>
      <c r="P1324" s="133">
        <v>-500</v>
      </c>
      <c r="Q1324" s="72">
        <f t="shared" si="147"/>
        <v>-20856.06727848099</v>
      </c>
      <c r="R1324" s="45">
        <f t="shared" si="148"/>
        <v>7143.9327215190096</v>
      </c>
      <c r="S1324" s="373" t="s">
        <v>247</v>
      </c>
      <c r="T1324" s="391"/>
      <c r="W1324" s="103"/>
      <c r="X1324" s="111"/>
      <c r="Y1324" s="112"/>
      <c r="Z1324" s="55"/>
      <c r="AA1324" s="489"/>
      <c r="AB1324" s="95"/>
      <c r="AC1324" s="20"/>
      <c r="AD1324" s="96"/>
      <c r="AE1324" s="93"/>
      <c r="AF1324" s="20"/>
      <c r="AG1324" s="20"/>
      <c r="AH1324" s="20"/>
      <c r="AI1324" s="20"/>
    </row>
    <row r="1325" spans="1:35" ht="12.75" customHeight="1">
      <c r="A1325" s="319"/>
      <c r="D1325" s="20" t="s">
        <v>14</v>
      </c>
      <c r="E1325" s="42">
        <f>E1319</f>
        <v>8483.35</v>
      </c>
      <c r="F1325" s="20"/>
      <c r="G1325" s="20"/>
      <c r="H1325" s="490">
        <f>G1326+E1326</f>
        <v>1426.9799999999996</v>
      </c>
      <c r="I1325" s="26"/>
      <c r="K1325" s="297"/>
      <c r="L1325" s="116" t="s">
        <v>102</v>
      </c>
      <c r="M1325" s="45">
        <v>500</v>
      </c>
      <c r="N1325" s="538">
        <f t="shared" si="146"/>
        <v>840.28009400001611</v>
      </c>
      <c r="O1325" s="253"/>
      <c r="P1325" s="133">
        <v>-300</v>
      </c>
      <c r="Q1325" s="72">
        <f t="shared" si="147"/>
        <v>-21156.06727848099</v>
      </c>
      <c r="R1325" s="45">
        <f t="shared" si="148"/>
        <v>6843.9327215190096</v>
      </c>
      <c r="S1325" s="373" t="s">
        <v>776</v>
      </c>
      <c r="T1325" s="391"/>
      <c r="U1325" s="74"/>
      <c r="V1325" s="26"/>
      <c r="W1325" s="111"/>
      <c r="X1325" s="111"/>
      <c r="Y1325" s="112"/>
      <c r="Z1325" s="55"/>
      <c r="AA1325" s="489"/>
      <c r="AB1325" s="26"/>
      <c r="AC1325" s="20"/>
      <c r="AD1325" s="41"/>
      <c r="AE1325" s="93"/>
      <c r="AF1325" s="20"/>
      <c r="AG1325" s="20"/>
      <c r="AH1325" s="20"/>
      <c r="AI1325" s="20"/>
    </row>
    <row r="1326" spans="1:35" ht="12.75" customHeight="1" thickBot="1">
      <c r="A1326" s="319"/>
      <c r="D1326" s="78" t="s">
        <v>13</v>
      </c>
      <c r="E1326" s="483">
        <f>SUM(E1320:E1321)</f>
        <v>1426.9799999999996</v>
      </c>
      <c r="F1326" s="482" t="s">
        <v>364</v>
      </c>
      <c r="G1326" s="1037"/>
      <c r="H1326" s="1037"/>
      <c r="I1326" s="26"/>
      <c r="K1326" s="297" t="s">
        <v>223</v>
      </c>
      <c r="L1326" s="184" t="s">
        <v>227</v>
      </c>
      <c r="M1326" s="45">
        <v>-449</v>
      </c>
      <c r="N1326" s="538">
        <f t="shared" si="146"/>
        <v>391.28009400001611</v>
      </c>
      <c r="O1326" s="253"/>
      <c r="P1326" s="133">
        <v>-307.3</v>
      </c>
      <c r="Q1326" s="72">
        <f t="shared" si="147"/>
        <v>-21463.36727848099</v>
      </c>
      <c r="R1326" s="45">
        <f t="shared" si="148"/>
        <v>6536.6327215190104</v>
      </c>
      <c r="S1326" s="373" t="s">
        <v>253</v>
      </c>
      <c r="T1326" s="391"/>
      <c r="U1326" s="74"/>
      <c r="V1326" s="26"/>
      <c r="W1326" s="20"/>
      <c r="X1326" s="20"/>
      <c r="Y1326" s="112"/>
      <c r="Z1326" s="239"/>
      <c r="AA1326" s="94"/>
      <c r="AB1326" s="26"/>
      <c r="AC1326" s="20"/>
      <c r="AD1326" s="92"/>
      <c r="AE1326" s="93"/>
      <c r="AF1326" s="20"/>
      <c r="AG1326" s="20"/>
      <c r="AH1326" s="20"/>
      <c r="AI1326" s="20"/>
    </row>
    <row r="1327" spans="1:35" ht="12.75" customHeight="1" thickTop="1">
      <c r="A1327" s="319"/>
      <c r="D1327" s="20"/>
      <c r="E1327" s="26"/>
      <c r="F1327" s="122"/>
      <c r="G1327" s="1038">
        <f>E1325+E1326+G1326</f>
        <v>9910.33</v>
      </c>
      <c r="H1327" s="1038"/>
      <c r="I1327" s="26"/>
      <c r="K1327" s="297" t="s">
        <v>223</v>
      </c>
      <c r="L1327" s="116" t="s">
        <v>524</v>
      </c>
      <c r="M1327" s="45">
        <v>-10</v>
      </c>
      <c r="N1327" s="538">
        <f t="shared" si="146"/>
        <v>381.28009400001611</v>
      </c>
      <c r="O1327" s="253"/>
      <c r="P1327" s="133">
        <v>-550</v>
      </c>
      <c r="Q1327" s="72">
        <f t="shared" si="147"/>
        <v>-22013.36727848099</v>
      </c>
      <c r="R1327" s="45">
        <f t="shared" si="148"/>
        <v>5986.6327215190104</v>
      </c>
      <c r="S1327" s="373" t="s">
        <v>780</v>
      </c>
      <c r="T1327" s="391" t="s">
        <v>549</v>
      </c>
      <c r="U1327" s="74"/>
      <c r="V1327" s="26"/>
      <c r="W1327" s="26"/>
      <c r="X1327" s="20"/>
      <c r="Y1327" s="112"/>
      <c r="Z1327" s="239"/>
      <c r="AA1327" s="94"/>
      <c r="AB1327" s="95"/>
      <c r="AC1327" s="20"/>
      <c r="AD1327" s="92"/>
      <c r="AE1327" s="93"/>
      <c r="AF1327" s="20"/>
      <c r="AG1327" s="20"/>
      <c r="AH1327" s="20"/>
      <c r="AI1327" s="20"/>
    </row>
    <row r="1328" spans="1:35" ht="12.75" customHeight="1">
      <c r="A1328" s="333"/>
      <c r="B1328" s="333"/>
      <c r="C1328" s="333"/>
      <c r="D1328" s="408"/>
      <c r="E1328" s="412"/>
      <c r="F1328" s="50"/>
      <c r="G1328" s="409"/>
      <c r="H1328" s="948"/>
      <c r="I1328" s="26"/>
      <c r="K1328" s="273"/>
      <c r="L1328" s="116" t="s">
        <v>787</v>
      </c>
      <c r="M1328" s="45">
        <v>-300</v>
      </c>
      <c r="N1328" s="538">
        <f t="shared" si="146"/>
        <v>81.280094000016106</v>
      </c>
      <c r="O1328" s="253"/>
      <c r="P1328" s="133">
        <v>-349.37</v>
      </c>
      <c r="Q1328" s="72">
        <f t="shared" si="147"/>
        <v>-22362.737278480989</v>
      </c>
      <c r="R1328" s="45">
        <f t="shared" si="148"/>
        <v>5637.2627215190114</v>
      </c>
      <c r="S1328" s="373" t="s">
        <v>282</v>
      </c>
      <c r="T1328" s="391" t="s">
        <v>549</v>
      </c>
      <c r="U1328" s="20"/>
      <c r="V1328" s="20"/>
      <c r="W1328" s="26"/>
      <c r="X1328" s="91"/>
      <c r="Y1328" s="20"/>
      <c r="Z1328" s="239"/>
      <c r="AA1328" s="94"/>
      <c r="AB1328" s="26"/>
      <c r="AC1328" s="20"/>
      <c r="AD1328" s="20"/>
      <c r="AE1328" s="20"/>
      <c r="AF1328" s="20"/>
      <c r="AG1328" s="20"/>
      <c r="AH1328" s="20"/>
      <c r="AI1328" s="20"/>
    </row>
    <row r="1329" spans="1:35" ht="12.75" customHeight="1">
      <c r="A1329" s="333"/>
      <c r="B1329" s="333"/>
      <c r="C1329" s="333"/>
      <c r="D1329" s="133"/>
      <c r="E1329" s="133"/>
      <c r="F1329" s="50"/>
      <c r="G1329" s="409"/>
      <c r="H1329" s="401"/>
      <c r="I1329" s="26"/>
      <c r="K1329" s="273"/>
      <c r="L1329" s="116" t="s">
        <v>762</v>
      </c>
      <c r="M1329" s="45">
        <v>-10</v>
      </c>
      <c r="N1329" s="538">
        <f t="shared" si="146"/>
        <v>71.280094000016106</v>
      </c>
      <c r="O1329" s="253"/>
      <c r="P1329" s="133">
        <v>-296.95</v>
      </c>
      <c r="Q1329" s="72">
        <f t="shared" si="147"/>
        <v>-22659.687278480989</v>
      </c>
      <c r="R1329" s="45">
        <f t="shared" si="148"/>
        <v>5340.3127215190107</v>
      </c>
      <c r="S1329" s="373" t="s">
        <v>258</v>
      </c>
      <c r="T1329" s="391"/>
      <c r="U1329" s="20"/>
      <c r="V1329" s="26"/>
      <c r="W1329" s="26"/>
      <c r="X1329" s="91"/>
      <c r="Y1329" s="20"/>
      <c r="Z1329" s="239"/>
      <c r="AA1329" s="94"/>
      <c r="AB1329" s="26"/>
      <c r="AC1329" s="20"/>
      <c r="AD1329" s="20"/>
      <c r="AE1329" s="20"/>
      <c r="AF1329" s="20"/>
      <c r="AG1329" s="20"/>
      <c r="AH1329" s="20"/>
      <c r="AI1329" s="20"/>
    </row>
    <row r="1330" spans="1:35" ht="12.75" customHeight="1">
      <c r="A1330" s="333"/>
      <c r="B1330" s="333"/>
      <c r="C1330" s="333"/>
      <c r="D1330" s="133"/>
      <c r="E1330" s="133"/>
      <c r="F1330" s="50"/>
      <c r="G1330" s="409"/>
      <c r="H1330" s="401"/>
      <c r="I1330" s="26"/>
      <c r="K1330" s="273"/>
      <c r="L1330" s="116" t="s">
        <v>788</v>
      </c>
      <c r="M1330" s="45">
        <v>-62</v>
      </c>
      <c r="N1330" s="538">
        <f t="shared" si="146"/>
        <v>9.2800940000161063</v>
      </c>
      <c r="O1330" s="253"/>
      <c r="P1330" s="133">
        <v>-54</v>
      </c>
      <c r="Q1330" s="72">
        <f t="shared" si="147"/>
        <v>-22713.687278480989</v>
      </c>
      <c r="R1330" s="45">
        <f t="shared" si="148"/>
        <v>5286.3127215190107</v>
      </c>
      <c r="S1330" s="373" t="s">
        <v>781</v>
      </c>
      <c r="T1330" s="391"/>
      <c r="U1330" s="20"/>
      <c r="V1330" s="26"/>
      <c r="W1330" s="26"/>
      <c r="X1330" s="91"/>
      <c r="Y1330" s="20"/>
      <c r="Z1330" s="239"/>
      <c r="AA1330" s="94"/>
      <c r="AB1330" s="26"/>
      <c r="AC1330" s="20"/>
      <c r="AD1330" s="20"/>
      <c r="AE1330" s="20"/>
      <c r="AF1330" s="20"/>
      <c r="AG1330" s="20"/>
      <c r="AH1330" s="20"/>
      <c r="AI1330" s="20"/>
    </row>
    <row r="1331" spans="1:35" ht="12.75" customHeight="1">
      <c r="A1331" s="333"/>
      <c r="B1331" s="333"/>
      <c r="C1331" s="333"/>
      <c r="D1331" s="133"/>
      <c r="E1331" s="133"/>
      <c r="F1331" s="50"/>
      <c r="G1331" s="409"/>
      <c r="H1331" s="401"/>
      <c r="I1331" s="26"/>
      <c r="K1331" s="273"/>
      <c r="L1331" s="116" t="s">
        <v>789</v>
      </c>
      <c r="M1331" s="45">
        <v>-0.7</v>
      </c>
      <c r="N1331" s="538">
        <f t="shared" si="146"/>
        <v>8.580094000016107</v>
      </c>
      <c r="O1331" s="253"/>
      <c r="P1331" s="133">
        <v>-138.28</v>
      </c>
      <c r="Q1331" s="72">
        <f t="shared" si="147"/>
        <v>-22851.967278480988</v>
      </c>
      <c r="R1331" s="45">
        <f t="shared" si="148"/>
        <v>5148.0327215190118</v>
      </c>
      <c r="S1331" s="373" t="s">
        <v>258</v>
      </c>
      <c r="T1331" s="391"/>
      <c r="U1331" s="20"/>
      <c r="V1331" s="26"/>
      <c r="W1331" s="26"/>
      <c r="X1331" s="91"/>
      <c r="Y1331" s="20"/>
      <c r="Z1331" s="239"/>
      <c r="AA1331" s="94"/>
      <c r="AB1331" s="26"/>
      <c r="AC1331" s="20"/>
      <c r="AD1331" s="20"/>
      <c r="AE1331" s="20"/>
      <c r="AF1331" s="20"/>
      <c r="AG1331" s="20"/>
      <c r="AH1331" s="20"/>
      <c r="AI1331" s="20"/>
    </row>
    <row r="1332" spans="1:35" ht="12.75" customHeight="1">
      <c r="A1332" s="333"/>
      <c r="B1332" s="333"/>
      <c r="C1332" s="333"/>
      <c r="D1332" s="133"/>
      <c r="E1332" s="133"/>
      <c r="F1332" s="50"/>
      <c r="G1332" s="409"/>
      <c r="H1332" s="401"/>
      <c r="I1332" s="26"/>
      <c r="K1332" s="273"/>
      <c r="L1332" s="116" t="s">
        <v>24</v>
      </c>
      <c r="M1332" s="45">
        <v>1000</v>
      </c>
      <c r="N1332" s="538">
        <f t="shared" si="146"/>
        <v>1008.5800940000161</v>
      </c>
      <c r="O1332" s="253"/>
      <c r="P1332" s="133">
        <v>-689.9</v>
      </c>
      <c r="Q1332" s="72">
        <f t="shared" si="147"/>
        <v>-23541.86727848099</v>
      </c>
      <c r="R1332" s="45">
        <f t="shared" si="148"/>
        <v>4458.1327215190104</v>
      </c>
      <c r="S1332" s="373" t="s">
        <v>783</v>
      </c>
      <c r="T1332" s="391" t="s">
        <v>549</v>
      </c>
      <c r="U1332" s="20"/>
      <c r="V1332" s="26"/>
      <c r="W1332" s="26"/>
      <c r="X1332" s="91"/>
      <c r="Y1332" s="20"/>
      <c r="Z1332" s="239"/>
      <c r="AA1332" s="94"/>
      <c r="AB1332" s="26"/>
      <c r="AC1332" s="20"/>
      <c r="AD1332" s="20"/>
      <c r="AE1332" s="20"/>
      <c r="AF1332" s="20"/>
      <c r="AG1332" s="20"/>
      <c r="AH1332" s="20"/>
      <c r="AI1332" s="20"/>
    </row>
    <row r="1333" spans="1:35" ht="12.75" customHeight="1">
      <c r="A1333" s="333"/>
      <c r="B1333" s="333"/>
      <c r="C1333" s="333"/>
      <c r="D1333" s="133"/>
      <c r="E1333" s="133"/>
      <c r="F1333" s="50"/>
      <c r="G1333" s="409"/>
      <c r="H1333" s="401"/>
      <c r="I1333" s="26"/>
      <c r="K1333" s="273"/>
      <c r="L1333" s="401" t="s">
        <v>787</v>
      </c>
      <c r="M1333" s="45">
        <v>-605.44000000000005</v>
      </c>
      <c r="N1333" s="538">
        <f t="shared" si="146"/>
        <v>403.14009400001601</v>
      </c>
      <c r="O1333" s="253"/>
      <c r="P1333" s="133">
        <v>-295.20999999999998</v>
      </c>
      <c r="Q1333" s="72">
        <f t="shared" si="147"/>
        <v>-23837.077278480989</v>
      </c>
      <c r="R1333" s="45">
        <f t="shared" si="148"/>
        <v>4162.9227215190112</v>
      </c>
      <c r="S1333" s="373" t="s">
        <v>270</v>
      </c>
      <c r="T1333" s="391"/>
      <c r="U1333" s="20"/>
      <c r="V1333" s="26"/>
      <c r="W1333" s="26"/>
      <c r="X1333" s="91"/>
      <c r="Y1333" s="20"/>
      <c r="Z1333" s="239"/>
      <c r="AA1333" s="94"/>
      <c r="AB1333" s="26"/>
      <c r="AC1333" s="20"/>
      <c r="AD1333" s="20"/>
      <c r="AE1333" s="20"/>
      <c r="AF1333" s="20"/>
      <c r="AG1333" s="20"/>
      <c r="AH1333" s="20"/>
      <c r="AI1333" s="20"/>
    </row>
    <row r="1334" spans="1:35" ht="12.75" customHeight="1">
      <c r="A1334" s="333"/>
      <c r="B1334" s="333"/>
      <c r="C1334" s="333"/>
      <c r="D1334" s="133"/>
      <c r="E1334" s="133"/>
      <c r="F1334" s="50"/>
      <c r="G1334" s="409"/>
      <c r="H1334" s="401"/>
      <c r="I1334" s="26"/>
      <c r="K1334" s="258" t="s">
        <v>248</v>
      </c>
      <c r="L1334" s="266" t="s">
        <v>51</v>
      </c>
      <c r="M1334" s="146">
        <f>E1325</f>
        <v>8483.35</v>
      </c>
      <c r="N1334" s="538">
        <f t="shared" si="146"/>
        <v>8886.4900940000171</v>
      </c>
      <c r="O1334" s="253"/>
      <c r="P1334" s="133">
        <v>-524.47</v>
      </c>
      <c r="Q1334" s="72">
        <f t="shared" si="147"/>
        <v>-24361.54727848099</v>
      </c>
      <c r="R1334" s="45">
        <f t="shared" si="148"/>
        <v>3638.4527215190101</v>
      </c>
      <c r="S1334" s="373" t="s">
        <v>270</v>
      </c>
      <c r="T1334" s="391" t="s">
        <v>549</v>
      </c>
      <c r="U1334" s="20"/>
      <c r="V1334" s="26"/>
      <c r="W1334" s="26"/>
      <c r="X1334" s="91"/>
      <c r="Y1334" s="20"/>
      <c r="Z1334" s="239"/>
      <c r="AA1334" s="94"/>
      <c r="AB1334" s="26"/>
      <c r="AC1334" s="20"/>
      <c r="AD1334" s="20"/>
      <c r="AE1334" s="20"/>
      <c r="AF1334" s="20"/>
      <c r="AG1334" s="20"/>
      <c r="AH1334" s="20"/>
      <c r="AI1334" s="20"/>
    </row>
    <row r="1335" spans="1:35" ht="12.75" customHeight="1">
      <c r="A1335" s="333"/>
      <c r="B1335" s="333"/>
      <c r="C1335" s="333"/>
      <c r="D1335" s="133"/>
      <c r="E1335" s="133"/>
      <c r="F1335" s="50"/>
      <c r="G1335" s="409"/>
      <c r="H1335" s="401"/>
      <c r="I1335" s="874"/>
      <c r="K1335" s="258" t="s">
        <v>248</v>
      </c>
      <c r="L1335" s="266" t="s">
        <v>770</v>
      </c>
      <c r="M1335" s="146">
        <v>-2850</v>
      </c>
      <c r="N1335" s="538">
        <f t="shared" si="146"/>
        <v>6036.4900940000171</v>
      </c>
      <c r="O1335" s="253"/>
      <c r="P1335" s="133">
        <v>-109.98</v>
      </c>
      <c r="Q1335" s="72">
        <f t="shared" si="147"/>
        <v>-24471.527278480989</v>
      </c>
      <c r="R1335" s="45">
        <f t="shared" si="148"/>
        <v>3528.4727215190105</v>
      </c>
      <c r="S1335" s="373" t="s">
        <v>270</v>
      </c>
      <c r="T1335" s="391" t="s">
        <v>549</v>
      </c>
      <c r="U1335" s="234"/>
      <c r="V1335" s="26"/>
      <c r="W1335" s="26"/>
      <c r="X1335" s="91"/>
      <c r="Y1335" s="20"/>
      <c r="Z1335" s="239"/>
      <c r="AA1335" s="94"/>
      <c r="AB1335" s="26"/>
      <c r="AC1335" s="20"/>
      <c r="AD1335" s="20"/>
      <c r="AE1335" s="20"/>
      <c r="AF1335" s="20"/>
      <c r="AG1335" s="20"/>
      <c r="AH1335" s="20"/>
      <c r="AI1335" s="20"/>
    </row>
    <row r="1336" spans="1:35" ht="12.75" customHeight="1">
      <c r="A1336" s="333"/>
      <c r="B1336" s="333"/>
      <c r="C1336" s="333"/>
      <c r="D1336" s="133"/>
      <c r="E1336" s="133"/>
      <c r="F1336" s="50"/>
      <c r="G1336" s="409"/>
      <c r="H1336" s="401"/>
      <c r="I1336" s="315"/>
      <c r="J1336" s="511"/>
      <c r="K1336" s="258" t="s">
        <v>248</v>
      </c>
      <c r="L1336" s="266" t="s">
        <v>552</v>
      </c>
      <c r="M1336" s="45">
        <v>-300</v>
      </c>
      <c r="N1336" s="538">
        <f t="shared" si="146"/>
        <v>5736.4900940000171</v>
      </c>
      <c r="O1336" s="253"/>
      <c r="P1336" s="133">
        <v>2000</v>
      </c>
      <c r="Q1336" s="72">
        <f t="shared" si="147"/>
        <v>-22471.527278480989</v>
      </c>
      <c r="R1336" s="45">
        <f t="shared" si="148"/>
        <v>5528.4727215190105</v>
      </c>
      <c r="S1336" s="373" t="s">
        <v>280</v>
      </c>
      <c r="T1336" s="391"/>
      <c r="U1336" s="234"/>
      <c r="V1336" s="26"/>
      <c r="W1336" s="26"/>
      <c r="X1336" s="91"/>
      <c r="Y1336" s="20"/>
      <c r="Z1336" s="239"/>
      <c r="AA1336" s="94"/>
      <c r="AB1336" s="26"/>
      <c r="AC1336" s="20"/>
      <c r="AD1336" s="20"/>
      <c r="AE1336" s="20"/>
      <c r="AF1336" s="20"/>
      <c r="AG1336" s="20"/>
      <c r="AH1336" s="20"/>
      <c r="AI1336" s="20"/>
    </row>
    <row r="1337" spans="1:35" ht="12.75" customHeight="1">
      <c r="A1337" s="333"/>
      <c r="B1337" s="333"/>
      <c r="C1337" s="333"/>
      <c r="D1337" s="133"/>
      <c r="E1337" s="133"/>
      <c r="F1337" s="50"/>
      <c r="G1337" s="409"/>
      <c r="H1337" s="401"/>
      <c r="I1337" s="962"/>
      <c r="J1337" s="962"/>
      <c r="K1337" s="258"/>
      <c r="L1337" s="266" t="s">
        <v>333</v>
      </c>
      <c r="M1337" s="45">
        <v>-50</v>
      </c>
      <c r="N1337" s="538">
        <f t="shared" si="146"/>
        <v>5686.4900940000171</v>
      </c>
      <c r="O1337" s="253"/>
      <c r="P1337" s="133">
        <v>-123.62</v>
      </c>
      <c r="Q1337" s="72">
        <f t="shared" si="147"/>
        <v>-22595.147278480988</v>
      </c>
      <c r="R1337" s="45">
        <f t="shared" si="148"/>
        <v>5404.8527215190115</v>
      </c>
      <c r="S1337" s="373" t="s">
        <v>307</v>
      </c>
      <c r="T1337" s="391"/>
      <c r="U1337" s="234"/>
      <c r="V1337" s="26"/>
      <c r="W1337" s="26"/>
      <c r="X1337" s="91"/>
      <c r="Y1337" s="20"/>
      <c r="Z1337" s="239"/>
      <c r="AA1337" s="94"/>
      <c r="AB1337" s="26"/>
      <c r="AC1337" s="20"/>
      <c r="AD1337" s="20"/>
      <c r="AE1337" s="20"/>
      <c r="AF1337" s="20"/>
      <c r="AG1337" s="20"/>
      <c r="AH1337" s="20"/>
      <c r="AI1337" s="20"/>
    </row>
    <row r="1338" spans="1:35" ht="12.75" customHeight="1">
      <c r="A1338" s="333"/>
      <c r="B1338" s="333"/>
      <c r="C1338" s="333"/>
      <c r="D1338" s="133"/>
      <c r="E1338" s="133"/>
      <c r="F1338" s="50"/>
      <c r="G1338" s="409"/>
      <c r="H1338" s="401"/>
      <c r="I1338" s="493"/>
      <c r="J1338" s="517"/>
      <c r="K1338" s="258" t="s">
        <v>248</v>
      </c>
      <c r="L1338" s="266" t="s">
        <v>195</v>
      </c>
      <c r="M1338" s="45">
        <v>-2065.2199999999998</v>
      </c>
      <c r="N1338" s="538">
        <f t="shared" si="146"/>
        <v>3621.2700940000173</v>
      </c>
      <c r="O1338" s="253"/>
      <c r="P1338" s="133">
        <v>-162.9</v>
      </c>
      <c r="Q1338" s="72">
        <f t="shared" si="147"/>
        <v>-22758.04727848099</v>
      </c>
      <c r="R1338" s="45">
        <f t="shared" si="148"/>
        <v>5241.9527215190101</v>
      </c>
      <c r="S1338" s="373" t="s">
        <v>282</v>
      </c>
      <c r="T1338" s="391" t="s">
        <v>549</v>
      </c>
      <c r="U1338" s="234"/>
      <c r="V1338" s="26"/>
      <c r="W1338" s="26"/>
      <c r="X1338" s="91"/>
      <c r="Y1338" s="20"/>
      <c r="Z1338" s="239"/>
      <c r="AA1338" s="94"/>
      <c r="AB1338" s="26"/>
      <c r="AC1338" s="20"/>
      <c r="AD1338" s="20"/>
      <c r="AE1338" s="20"/>
      <c r="AF1338" s="20"/>
      <c r="AG1338" s="20"/>
      <c r="AH1338" s="20"/>
      <c r="AI1338" s="20"/>
    </row>
    <row r="1339" spans="1:35" ht="12.75" customHeight="1">
      <c r="A1339" s="333"/>
      <c r="B1339" s="333"/>
      <c r="C1339" s="333"/>
      <c r="D1339" s="133"/>
      <c r="E1339" s="133"/>
      <c r="F1339" s="50"/>
      <c r="G1339" s="409"/>
      <c r="H1339" s="401"/>
      <c r="I1339" s="493"/>
      <c r="J1339" s="709"/>
      <c r="K1339" s="85" t="s">
        <v>248</v>
      </c>
      <c r="L1339" s="266" t="s">
        <v>180</v>
      </c>
      <c r="M1339" s="45">
        <v>-59</v>
      </c>
      <c r="N1339" s="538">
        <f t="shared" si="146"/>
        <v>3562.2700940000173</v>
      </c>
      <c r="O1339" s="253"/>
      <c r="P1339" s="133">
        <v>-47</v>
      </c>
      <c r="Q1339" s="72">
        <f t="shared" si="147"/>
        <v>-22805.04727848099</v>
      </c>
      <c r="R1339" s="45">
        <f t="shared" si="148"/>
        <v>5194.9527215190101</v>
      </c>
      <c r="S1339" s="373" t="s">
        <v>572</v>
      </c>
      <c r="T1339" s="391"/>
      <c r="U1339" s="20"/>
      <c r="V1339" s="253"/>
      <c r="W1339" s="26"/>
      <c r="X1339" s="91"/>
      <c r="Y1339" s="20"/>
      <c r="Z1339" s="239"/>
      <c r="AA1339" s="94"/>
      <c r="AB1339" s="26"/>
      <c r="AC1339" s="20"/>
      <c r="AD1339" s="20"/>
      <c r="AE1339" s="20"/>
      <c r="AF1339" s="20"/>
      <c r="AG1339" s="20"/>
      <c r="AH1339" s="20"/>
      <c r="AI1339" s="20"/>
    </row>
    <row r="1340" spans="1:35" ht="12.75" customHeight="1">
      <c r="A1340" s="333"/>
      <c r="B1340" s="333"/>
      <c r="C1340" s="333"/>
      <c r="D1340" s="133"/>
      <c r="E1340" s="133"/>
      <c r="F1340" s="50"/>
      <c r="G1340" s="409"/>
      <c r="H1340" s="401"/>
      <c r="I1340" s="495"/>
      <c r="K1340" s="258" t="s">
        <v>248</v>
      </c>
      <c r="L1340" s="266" t="s">
        <v>61</v>
      </c>
      <c r="M1340" s="45">
        <v>-588.51</v>
      </c>
      <c r="N1340" s="538">
        <f t="shared" si="146"/>
        <v>2973.7600940000175</v>
      </c>
      <c r="O1340" s="253"/>
      <c r="P1340" s="133">
        <v>-47</v>
      </c>
      <c r="Q1340" s="72">
        <f>Q1339+P1340</f>
        <v>-22852.04727848099</v>
      </c>
      <c r="R1340" s="45">
        <f>28000+Q1340</f>
        <v>5147.9527215190101</v>
      </c>
      <c r="S1340" s="373" t="s">
        <v>572</v>
      </c>
      <c r="T1340" s="391"/>
      <c r="U1340" s="20"/>
      <c r="V1340" s="253"/>
      <c r="W1340" s="26"/>
      <c r="X1340" s="91"/>
      <c r="Y1340" s="20"/>
      <c r="Z1340" s="239"/>
      <c r="AA1340" s="94"/>
      <c r="AB1340" s="26"/>
      <c r="AC1340" s="20"/>
      <c r="AD1340" s="20"/>
      <c r="AE1340" s="20"/>
      <c r="AF1340" s="20"/>
      <c r="AG1340" s="20"/>
      <c r="AH1340" s="20"/>
      <c r="AI1340" s="20"/>
    </row>
    <row r="1341" spans="1:35" ht="12.75" customHeight="1">
      <c r="A1341" s="333"/>
      <c r="B1341" s="333"/>
      <c r="C1341" s="333"/>
      <c r="D1341" s="413"/>
      <c r="E1341" s="34"/>
      <c r="F1341" s="50"/>
      <c r="G1341" s="409"/>
      <c r="H1341" s="509"/>
      <c r="I1341" s="961"/>
      <c r="J1341" s="961"/>
      <c r="K1341" s="258" t="s">
        <v>248</v>
      </c>
      <c r="L1341" s="266" t="s">
        <v>148</v>
      </c>
      <c r="M1341" s="45">
        <v>560</v>
      </c>
      <c r="N1341" s="538">
        <f t="shared" si="146"/>
        <v>3533.7600940000175</v>
      </c>
      <c r="O1341" s="253"/>
      <c r="P1341" s="543">
        <v>-274</v>
      </c>
      <c r="Q1341" s="72">
        <f>Q1340+P1341</f>
        <v>-23126.04727848099</v>
      </c>
      <c r="R1341" s="45">
        <f>28000+Q1341</f>
        <v>4873.9527215190101</v>
      </c>
      <c r="S1341" s="373" t="s">
        <v>790</v>
      </c>
      <c r="T1341" s="391"/>
      <c r="U1341" s="20"/>
      <c r="V1341" s="253"/>
      <c r="W1341" s="26"/>
      <c r="X1341" s="91"/>
      <c r="Y1341" s="20"/>
      <c r="Z1341" s="239"/>
      <c r="AA1341" s="94"/>
      <c r="AB1341" s="26"/>
      <c r="AC1341" s="20"/>
      <c r="AD1341" s="20"/>
      <c r="AE1341" s="20"/>
      <c r="AF1341" s="20"/>
      <c r="AG1341" s="20"/>
      <c r="AH1341" s="20"/>
      <c r="AI1341" s="20"/>
    </row>
    <row r="1342" spans="1:35" ht="12.75" customHeight="1">
      <c r="A1342" s="333"/>
      <c r="B1342" s="333"/>
      <c r="C1342" s="333"/>
      <c r="D1342" s="413"/>
      <c r="E1342" s="34"/>
      <c r="F1342" s="50"/>
      <c r="G1342" s="414"/>
      <c r="H1342" s="509"/>
      <c r="I1342" s="961"/>
      <c r="J1342" s="961"/>
      <c r="K1342" s="85" t="s">
        <v>189</v>
      </c>
      <c r="L1342" s="267" t="s">
        <v>16</v>
      </c>
      <c r="M1342" s="175">
        <v>-103.99</v>
      </c>
      <c r="N1342" s="538">
        <f t="shared" si="146"/>
        <v>3429.7700940000177</v>
      </c>
      <c r="O1342" s="253"/>
      <c r="P1342" s="133">
        <v>-684.27</v>
      </c>
      <c r="Q1342" s="72">
        <f>Q1341+P1342</f>
        <v>-23810.31727848099</v>
      </c>
      <c r="R1342" s="45">
        <f>28000+Q1342</f>
        <v>4189.6827215190096</v>
      </c>
      <c r="S1342" s="373" t="s">
        <v>270</v>
      </c>
      <c r="T1342" s="391" t="s">
        <v>549</v>
      </c>
      <c r="U1342" s="20"/>
      <c r="V1342" s="253"/>
      <c r="W1342" s="26"/>
      <c r="X1342" s="91"/>
      <c r="Y1342" s="20"/>
      <c r="Z1342" s="239"/>
      <c r="AA1342" s="94"/>
      <c r="AB1342" s="26"/>
      <c r="AC1342" s="20"/>
      <c r="AD1342" s="20"/>
      <c r="AE1342" s="20"/>
      <c r="AF1342" s="20"/>
      <c r="AG1342" s="20"/>
      <c r="AH1342" s="20"/>
      <c r="AI1342" s="20"/>
    </row>
    <row r="1343" spans="1:35" ht="12.75" customHeight="1">
      <c r="A1343" s="333"/>
      <c r="B1343" s="333"/>
      <c r="C1343" s="333"/>
      <c r="D1343" s="48"/>
      <c r="E1343" s="133"/>
      <c r="F1343" s="50"/>
      <c r="G1343" s="414"/>
      <c r="H1343" s="509"/>
      <c r="I1343" s="510"/>
      <c r="J1343" s="521"/>
      <c r="K1343" s="258" t="s">
        <v>189</v>
      </c>
      <c r="L1343" s="268" t="s">
        <v>56</v>
      </c>
      <c r="M1343" s="175">
        <v>-1300</v>
      </c>
      <c r="N1343" s="538">
        <f t="shared" si="146"/>
        <v>2129.7700940000177</v>
      </c>
      <c r="O1343" s="253"/>
      <c r="P1343" s="49">
        <f>E1326</f>
        <v>1426.9799999999996</v>
      </c>
      <c r="Q1343" s="73">
        <f>Q1342+P1343</f>
        <v>-22383.337278480991</v>
      </c>
      <c r="R1343" s="45">
        <f>28000+Q1343</f>
        <v>5616.6627215190092</v>
      </c>
      <c r="S1343" s="373"/>
      <c r="T1343" s="833"/>
      <c r="U1343" s="20"/>
      <c r="V1343" s="253"/>
      <c r="W1343" s="26"/>
      <c r="X1343" s="91"/>
      <c r="Y1343" s="20"/>
      <c r="Z1343" s="239"/>
      <c r="AA1343" s="94"/>
      <c r="AB1343" s="26"/>
      <c r="AC1343" s="20"/>
      <c r="AD1343" s="20"/>
      <c r="AE1343" s="20"/>
      <c r="AF1343" s="20"/>
      <c r="AG1343" s="20"/>
      <c r="AH1343" s="20"/>
      <c r="AI1343" s="20"/>
    </row>
    <row r="1344" spans="1:35" ht="12.75" customHeight="1">
      <c r="A1344" s="328"/>
      <c r="B1344" s="328"/>
      <c r="C1344" s="328"/>
      <c r="D1344" s="547"/>
      <c r="E1344" s="133"/>
      <c r="F1344" s="50"/>
      <c r="G1344" s="414"/>
      <c r="H1344" s="948"/>
      <c r="K1344" s="258" t="s">
        <v>189</v>
      </c>
      <c r="L1344" s="268" t="s">
        <v>23</v>
      </c>
      <c r="M1344" s="133">
        <v>-297.70999999999998</v>
      </c>
      <c r="N1344" s="538">
        <f t="shared" si="146"/>
        <v>1832.0600940000177</v>
      </c>
      <c r="O1344" s="497"/>
      <c r="P1344" s="64">
        <f>SUM(P1320:P1343)</f>
        <v>-22383.337278480991</v>
      </c>
      <c r="Q1344" s="287" t="s">
        <v>243</v>
      </c>
      <c r="R1344" s="317"/>
      <c r="S1344" s="611"/>
      <c r="T1344" s="372"/>
      <c r="U1344" s="20"/>
      <c r="V1344" s="26"/>
      <c r="W1344" s="26"/>
      <c r="X1344" s="91"/>
      <c r="Y1344" s="20"/>
      <c r="Z1344" s="239"/>
      <c r="AA1344" s="94"/>
      <c r="AB1344" s="26"/>
      <c r="AC1344" s="20"/>
      <c r="AD1344" s="20"/>
      <c r="AE1344" s="20"/>
      <c r="AF1344" s="20"/>
      <c r="AG1344" s="20"/>
      <c r="AH1344" s="20"/>
      <c r="AI1344" s="20"/>
    </row>
    <row r="1345" spans="1:35" ht="12.75" customHeight="1">
      <c r="A1345" s="328"/>
      <c r="B1345" s="328"/>
      <c r="C1345" s="328"/>
      <c r="D1345" s="547"/>
      <c r="E1345" s="133"/>
      <c r="F1345" s="50"/>
      <c r="G1345" s="414"/>
      <c r="H1345" s="498"/>
      <c r="I1345" s="875"/>
      <c r="J1345" s="899"/>
      <c r="K1345" s="258" t="s">
        <v>189</v>
      </c>
      <c r="L1345" s="116" t="s">
        <v>714</v>
      </c>
      <c r="M1345" s="45">
        <v>-530.74</v>
      </c>
      <c r="N1345" s="538">
        <f t="shared" si="146"/>
        <v>1301.3200940000177</v>
      </c>
      <c r="O1345" s="497"/>
      <c r="P1345" s="68"/>
      <c r="Q1345" s="287"/>
      <c r="R1345" s="317"/>
      <c r="S1345" s="611"/>
      <c r="T1345" s="372"/>
      <c r="U1345" s="20"/>
      <c r="V1345" s="26"/>
      <c r="W1345" s="26"/>
      <c r="X1345" s="91"/>
      <c r="Y1345" s="20"/>
      <c r="Z1345" s="239"/>
      <c r="AA1345" s="94"/>
      <c r="AB1345" s="26"/>
      <c r="AC1345" s="20"/>
      <c r="AD1345" s="20"/>
      <c r="AE1345" s="20"/>
      <c r="AF1345" s="20"/>
      <c r="AG1345" s="20"/>
      <c r="AH1345" s="20"/>
      <c r="AI1345" s="20"/>
    </row>
    <row r="1346" spans="1:35" ht="12.75" customHeight="1">
      <c r="F1346" s="50"/>
      <c r="G1346" s="414"/>
      <c r="H1346" s="498"/>
      <c r="I1346" s="875"/>
      <c r="J1346" s="899"/>
      <c r="K1346" s="258" t="s">
        <v>189</v>
      </c>
      <c r="L1346" s="116" t="s">
        <v>585</v>
      </c>
      <c r="M1346" s="175">
        <v>-66.989999999999995</v>
      </c>
      <c r="N1346" s="538">
        <f t="shared" si="146"/>
        <v>1234.3300940000177</v>
      </c>
      <c r="U1346" s="20"/>
      <c r="V1346" s="26"/>
      <c r="AA1346" s="238"/>
    </row>
    <row r="1347" spans="1:35" ht="12.75" customHeight="1">
      <c r="G1347"/>
      <c r="H1347" s="33"/>
      <c r="I1347" s="235"/>
      <c r="J1347" s="534"/>
      <c r="K1347" s="321" t="s">
        <v>190</v>
      </c>
      <c r="L1347" s="269" t="s">
        <v>375</v>
      </c>
      <c r="M1347" s="366">
        <v>-47.52</v>
      </c>
      <c r="N1347" s="566">
        <f>N1346+M1347</f>
        <v>1186.8100940000177</v>
      </c>
      <c r="U1347" s="20"/>
      <c r="V1347" s="26"/>
      <c r="AA1347" s="238"/>
    </row>
    <row r="1348" spans="1:35" ht="12.75" customHeight="1">
      <c r="G1348"/>
      <c r="H1348" s="33"/>
      <c r="I1348" s="543"/>
      <c r="J1348" s="504"/>
      <c r="L1348" s="23"/>
      <c r="M1348" s="168">
        <f>SUM(M1320:M1347)</f>
        <v>1186.8100940000177</v>
      </c>
      <c r="N1348" s="806"/>
      <c r="U1348" s="20"/>
      <c r="V1348" s="26"/>
      <c r="AA1348" s="238"/>
    </row>
    <row r="1349" spans="1:35" s="78" customFormat="1" ht="12.75" customHeight="1">
      <c r="E1349" s="15"/>
      <c r="H1349" s="861"/>
      <c r="J1349" s="583"/>
      <c r="K1349" s="772"/>
      <c r="M1349" s="710"/>
      <c r="N1349" s="584"/>
      <c r="P1349" s="15"/>
      <c r="Q1349" s="15"/>
      <c r="R1349" s="15"/>
      <c r="S1349" s="385"/>
      <c r="V1349" s="15"/>
      <c r="Z1349" s="15"/>
      <c r="AA1349" s="130"/>
      <c r="AB1349" s="15"/>
    </row>
    <row r="1350" spans="1:35" ht="12.75" customHeight="1">
      <c r="G1350"/>
      <c r="H1350" s="33"/>
      <c r="I1350" s="532"/>
      <c r="J1350" s="504"/>
      <c r="K1350" s="299"/>
      <c r="L1350" s="184"/>
      <c r="M1350" s="226"/>
      <c r="N1350" s="49"/>
      <c r="V1350" s="26"/>
      <c r="AA1350" s="238"/>
    </row>
    <row r="1351" spans="1:35" ht="12.75" customHeight="1">
      <c r="B1351" s="1030" t="s">
        <v>791</v>
      </c>
      <c r="C1351" s="1030"/>
      <c r="D1351" s="1030"/>
      <c r="E1351" s="1030"/>
      <c r="G1351" s="261"/>
      <c r="H1351" s="658"/>
      <c r="I1351" s="26"/>
      <c r="K1351" s="258"/>
      <c r="L1351" s="100"/>
      <c r="M1351" s="1031" t="s">
        <v>54</v>
      </c>
      <c r="N1351" s="954"/>
      <c r="O1351" s="959"/>
      <c r="P1351" s="1033" t="s">
        <v>48</v>
      </c>
      <c r="Q1351" s="1035" t="s">
        <v>749</v>
      </c>
      <c r="R1351" s="1035"/>
      <c r="S1351" s="377"/>
      <c r="X1351" s="35"/>
      <c r="Y1351" s="35"/>
      <c r="Z1351" s="26"/>
      <c r="AA1351" s="960"/>
      <c r="AB1351" s="26"/>
      <c r="AC1351" s="20"/>
      <c r="AD1351" s="20"/>
      <c r="AE1351" s="20"/>
      <c r="AF1351" s="20"/>
      <c r="AG1351" s="20"/>
      <c r="AH1351" s="20"/>
      <c r="AI1351" s="20"/>
    </row>
    <row r="1352" spans="1:35" ht="12.75" customHeight="1">
      <c r="C1352" s="17" t="s">
        <v>357</v>
      </c>
      <c r="D1352" s="14"/>
      <c r="E1352" s="877">
        <v>8483.35</v>
      </c>
      <c r="G1352" s="1036"/>
      <c r="H1352" s="1036"/>
      <c r="I1352" s="26"/>
      <c r="K1352" s="260" t="s">
        <v>221</v>
      </c>
      <c r="L1352" s="156"/>
      <c r="M1352" s="1032"/>
      <c r="N1352" s="954" t="s">
        <v>43</v>
      </c>
      <c r="O1352" s="959"/>
      <c r="P1352" s="1034"/>
      <c r="Q1352" s="955" t="s">
        <v>43</v>
      </c>
      <c r="R1352" s="956" t="s">
        <v>53</v>
      </c>
      <c r="S1352" s="377"/>
      <c r="X1352" s="118"/>
      <c r="Y1352" s="111"/>
      <c r="Z1352" s="117"/>
      <c r="AA1352" s="89"/>
      <c r="AB1352" s="90"/>
      <c r="AC1352" s="20"/>
      <c r="AD1352" s="41"/>
      <c r="AE1352" s="20"/>
      <c r="AF1352" s="20"/>
      <c r="AG1352" s="20"/>
      <c r="AH1352" s="20"/>
      <c r="AI1352" s="20"/>
    </row>
    <row r="1353" spans="1:35" ht="12.75" customHeight="1">
      <c r="C1353" s="17"/>
      <c r="D1353" s="14" t="s">
        <v>24</v>
      </c>
      <c r="E1353" s="44">
        <f>'[1]SEP ''14'!$C$19</f>
        <v>3792.2000000000003</v>
      </c>
      <c r="G1353" s="30"/>
      <c r="H1353" s="624">
        <f>SUM(E1353:E1354)</f>
        <v>3792.2000000000003</v>
      </c>
      <c r="I1353" s="26"/>
      <c r="K1353" s="273"/>
      <c r="L1353" s="235" t="s">
        <v>226</v>
      </c>
      <c r="M1353" s="45">
        <f>$M$1348</f>
        <v>1186.8100940000177</v>
      </c>
      <c r="N1353" s="71">
        <f>M1353</f>
        <v>1186.8100940000177</v>
      </c>
      <c r="O1353" s="26"/>
      <c r="P1353" s="45">
        <f>$Q$1343</f>
        <v>-22383.337278480991</v>
      </c>
      <c r="Q1353" s="71">
        <f>P1353</f>
        <v>-22383.337278480991</v>
      </c>
      <c r="R1353" s="45">
        <f>28000+Q1353</f>
        <v>5616.6627215190092</v>
      </c>
      <c r="S1353" s="378" t="s">
        <v>298</v>
      </c>
      <c r="T1353" s="367" t="s">
        <v>299</v>
      </c>
      <c r="W1353" s="392"/>
      <c r="X1353" s="111"/>
      <c r="Y1353" s="111"/>
      <c r="Z1353" s="45"/>
      <c r="AA1353" s="488"/>
      <c r="AB1353" s="26"/>
      <c r="AC1353" s="20"/>
      <c r="AD1353" s="92"/>
      <c r="AE1353" s="93"/>
      <c r="AF1353" s="20"/>
      <c r="AG1353" s="20"/>
      <c r="AH1353" s="20"/>
      <c r="AI1353" s="20"/>
    </row>
    <row r="1354" spans="1:35" ht="12.75" customHeight="1">
      <c r="C1354" s="17"/>
      <c r="D1354" s="143" t="s">
        <v>225</v>
      </c>
      <c r="E1354" s="15"/>
      <c r="G1354"/>
      <c r="H1354" s="624"/>
      <c r="I1354" s="26"/>
      <c r="K1354" s="297"/>
      <c r="L1354" s="116" t="s">
        <v>135</v>
      </c>
      <c r="M1354" s="45">
        <v>-453.25</v>
      </c>
      <c r="N1354" s="538">
        <f t="shared" ref="N1354:N1376" si="149">N1353+M1354</f>
        <v>733.56009400001767</v>
      </c>
      <c r="O1354" s="65"/>
      <c r="P1354" s="133">
        <v>-264.88</v>
      </c>
      <c r="Q1354" s="72">
        <f>Q1353+P1354</f>
        <v>-22648.217278480992</v>
      </c>
      <c r="R1354" s="45">
        <f>28000+Q1354</f>
        <v>5351.7827215190082</v>
      </c>
      <c r="S1354" s="373" t="s">
        <v>282</v>
      </c>
      <c r="T1354" s="391" t="s">
        <v>549</v>
      </c>
      <c r="W1354" s="111"/>
      <c r="X1354" s="111"/>
      <c r="Y1354" s="112"/>
      <c r="Z1354" s="55"/>
      <c r="AA1354" s="489"/>
      <c r="AB1354" s="95"/>
      <c r="AC1354" s="20"/>
      <c r="AD1354" s="41"/>
      <c r="AE1354" s="93"/>
      <c r="AF1354" s="20"/>
      <c r="AG1354" s="20"/>
      <c r="AH1354" s="20"/>
      <c r="AI1354" s="20"/>
    </row>
    <row r="1355" spans="1:35" ht="12.75" customHeight="1">
      <c r="C1355" s="18" t="s">
        <v>5</v>
      </c>
      <c r="D1355" s="14"/>
      <c r="E1355" s="14">
        <f>SUM(E1352:E1354)</f>
        <v>12275.550000000001</v>
      </c>
      <c r="G1355" s="242"/>
      <c r="H1355" s="492"/>
      <c r="I1355" s="26"/>
      <c r="K1355" s="297"/>
      <c r="L1355" s="116" t="s">
        <v>762</v>
      </c>
      <c r="M1355" s="45">
        <v>-10</v>
      </c>
      <c r="N1355" s="538">
        <f t="shared" si="149"/>
        <v>723.56009400001767</v>
      </c>
      <c r="O1355" s="39"/>
      <c r="P1355" s="133">
        <v>-373.15</v>
      </c>
      <c r="Q1355" s="72">
        <f t="shared" ref="Q1355:Q1368" si="150">Q1354+P1355</f>
        <v>-23021.367278480993</v>
      </c>
      <c r="R1355" s="45">
        <f t="shared" ref="R1355:R1368" si="151">28000+Q1355</f>
        <v>4978.6327215190067</v>
      </c>
      <c r="S1355" s="373" t="s">
        <v>270</v>
      </c>
      <c r="T1355" s="391" t="s">
        <v>549</v>
      </c>
      <c r="W1355" s="111"/>
      <c r="X1355" s="111"/>
      <c r="Y1355" s="112"/>
      <c r="Z1355" s="55"/>
      <c r="AA1355" s="489"/>
      <c r="AB1355" s="26"/>
      <c r="AC1355" s="20"/>
      <c r="AD1355" s="92"/>
      <c r="AE1355" s="93"/>
      <c r="AF1355" s="20"/>
      <c r="AG1355" s="20"/>
      <c r="AH1355" s="20"/>
      <c r="AI1355" s="20"/>
    </row>
    <row r="1356" spans="1:35" ht="12.75" customHeight="1">
      <c r="G1356" s="20"/>
      <c r="H1356" s="490"/>
      <c r="I1356" s="26"/>
      <c r="K1356" s="297" t="s">
        <v>223</v>
      </c>
      <c r="L1356" s="184" t="s">
        <v>227</v>
      </c>
      <c r="M1356" s="45">
        <v>-449</v>
      </c>
      <c r="N1356" s="538">
        <f t="shared" si="149"/>
        <v>274.56009400001767</v>
      </c>
      <c r="O1356" s="253"/>
      <c r="P1356" s="133">
        <v>-259.56</v>
      </c>
      <c r="Q1356" s="72">
        <f t="shared" si="150"/>
        <v>-23280.927278480995</v>
      </c>
      <c r="R1356" s="45">
        <f t="shared" si="151"/>
        <v>4719.0727215190054</v>
      </c>
      <c r="S1356" s="373" t="s">
        <v>253</v>
      </c>
      <c r="T1356" s="391"/>
      <c r="W1356" s="112"/>
      <c r="X1356" s="112"/>
      <c r="Y1356" s="112"/>
      <c r="Z1356" s="55"/>
      <c r="AA1356" s="489"/>
      <c r="AB1356" s="26"/>
      <c r="AC1356" s="20"/>
      <c r="AD1356" s="92"/>
      <c r="AE1356" s="93"/>
      <c r="AF1356" s="20"/>
      <c r="AG1356" s="20"/>
      <c r="AH1356" s="20"/>
      <c r="AI1356" s="20"/>
    </row>
    <row r="1357" spans="1:35" ht="12.75" customHeight="1">
      <c r="A1357" s="319"/>
      <c r="C1357" s="81" t="s">
        <v>17</v>
      </c>
      <c r="E1357" s="42"/>
      <c r="G1357"/>
      <c r="H1357" s="957"/>
      <c r="I1357" s="26"/>
      <c r="K1357" s="297" t="s">
        <v>223</v>
      </c>
      <c r="L1357" s="116" t="s">
        <v>524</v>
      </c>
      <c r="M1357" s="45">
        <v>-10</v>
      </c>
      <c r="N1357" s="538">
        <f t="shared" si="149"/>
        <v>264.56009400001767</v>
      </c>
      <c r="O1357" s="253"/>
      <c r="P1357" s="133">
        <v>-351.64</v>
      </c>
      <c r="Q1357" s="72">
        <f t="shared" si="150"/>
        <v>-23632.567278480994</v>
      </c>
      <c r="R1357" s="45">
        <f t="shared" si="151"/>
        <v>4367.432721519006</v>
      </c>
      <c r="S1357" s="373" t="s">
        <v>270</v>
      </c>
      <c r="T1357" s="391" t="s">
        <v>549</v>
      </c>
      <c r="W1357" s="103"/>
      <c r="X1357" s="111"/>
      <c r="Y1357" s="112"/>
      <c r="Z1357" s="55"/>
      <c r="AA1357" s="489"/>
      <c r="AB1357" s="95"/>
      <c r="AC1357" s="20"/>
      <c r="AD1357" s="96"/>
      <c r="AE1357" s="93"/>
      <c r="AF1357" s="20"/>
      <c r="AG1357" s="20"/>
      <c r="AH1357" s="20"/>
      <c r="AI1357" s="20"/>
    </row>
    <row r="1358" spans="1:35" ht="12.75" customHeight="1">
      <c r="A1358" s="319"/>
      <c r="D1358" s="20" t="s">
        <v>14</v>
      </c>
      <c r="E1358" s="42">
        <f>E1352</f>
        <v>8483.35</v>
      </c>
      <c r="F1358" s="20"/>
      <c r="G1358" s="20"/>
      <c r="H1358" s="490">
        <f>G1359+E1359</f>
        <v>3792.2000000000003</v>
      </c>
      <c r="I1358" s="26"/>
      <c r="K1358" s="273"/>
      <c r="L1358" s="116" t="s">
        <v>621</v>
      </c>
      <c r="M1358" s="45">
        <v>-149</v>
      </c>
      <c r="N1358" s="538">
        <f t="shared" si="149"/>
        <v>115.56009400001767</v>
      </c>
      <c r="O1358" s="253"/>
      <c r="P1358" s="133">
        <v>-328.93</v>
      </c>
      <c r="Q1358" s="72">
        <f t="shared" si="150"/>
        <v>-23961.497278480994</v>
      </c>
      <c r="R1358" s="45">
        <f t="shared" si="151"/>
        <v>4038.5027215190057</v>
      </c>
      <c r="S1358" s="373" t="s">
        <v>270</v>
      </c>
      <c r="T1358" s="391"/>
      <c r="U1358" s="74"/>
      <c r="V1358" s="26"/>
      <c r="W1358" s="111"/>
      <c r="X1358" s="111"/>
      <c r="Y1358" s="112"/>
      <c r="Z1358" s="55"/>
      <c r="AA1358" s="489"/>
      <c r="AB1358" s="26"/>
      <c r="AC1358" s="20"/>
      <c r="AD1358" s="41"/>
      <c r="AE1358" s="93"/>
      <c r="AF1358" s="20"/>
      <c r="AG1358" s="20"/>
      <c r="AH1358" s="20"/>
      <c r="AI1358" s="20"/>
    </row>
    <row r="1359" spans="1:35" ht="12.75" customHeight="1" thickBot="1">
      <c r="A1359" s="319"/>
      <c r="D1359" s="78" t="s">
        <v>13</v>
      </c>
      <c r="E1359" s="483">
        <f>SUM(E1353:E1354)</f>
        <v>3792.2000000000003</v>
      </c>
      <c r="F1359" s="482" t="s">
        <v>364</v>
      </c>
      <c r="G1359" s="1037"/>
      <c r="H1359" s="1037"/>
      <c r="I1359" s="26"/>
      <c r="K1359" s="273"/>
      <c r="L1359" s="116" t="s">
        <v>795</v>
      </c>
      <c r="M1359" s="45">
        <v>-55</v>
      </c>
      <c r="N1359" s="538">
        <f t="shared" si="149"/>
        <v>60.560094000017671</v>
      </c>
      <c r="O1359" s="253"/>
      <c r="P1359" s="133">
        <v>-540.19000000000005</v>
      </c>
      <c r="Q1359" s="72">
        <f t="shared" si="150"/>
        <v>-24501.687278480993</v>
      </c>
      <c r="R1359" s="45">
        <f t="shared" si="151"/>
        <v>3498.312721519007</v>
      </c>
      <c r="S1359" s="373" t="s">
        <v>270</v>
      </c>
      <c r="T1359" s="391" t="s">
        <v>549</v>
      </c>
      <c r="U1359" s="74"/>
      <c r="V1359" s="26"/>
      <c r="W1359" s="20"/>
      <c r="X1359" s="20"/>
      <c r="Y1359" s="112"/>
      <c r="Z1359" s="239"/>
      <c r="AA1359" s="94"/>
      <c r="AB1359" s="26"/>
      <c r="AC1359" s="20"/>
      <c r="AD1359" s="92"/>
      <c r="AE1359" s="93"/>
      <c r="AF1359" s="20"/>
      <c r="AG1359" s="20"/>
      <c r="AH1359" s="20"/>
      <c r="AI1359" s="20"/>
    </row>
    <row r="1360" spans="1:35" ht="12.75" customHeight="1" thickTop="1">
      <c r="A1360" s="319"/>
      <c r="D1360" s="20"/>
      <c r="E1360" s="26"/>
      <c r="F1360" s="122"/>
      <c r="G1360" s="1038">
        <f>E1358+E1359+G1359</f>
        <v>12275.550000000001</v>
      </c>
      <c r="H1360" s="1038"/>
      <c r="I1360" s="26"/>
      <c r="K1360" s="273"/>
      <c r="L1360" s="116" t="s">
        <v>795</v>
      </c>
      <c r="M1360" s="45">
        <v>-60</v>
      </c>
      <c r="N1360" s="538">
        <f t="shared" si="149"/>
        <v>0.56009400001767062</v>
      </c>
      <c r="O1360" s="253"/>
      <c r="P1360" s="133">
        <v>-300</v>
      </c>
      <c r="Q1360" s="72">
        <f t="shared" si="150"/>
        <v>-24801.687278480993</v>
      </c>
      <c r="R1360" s="45">
        <f t="shared" si="151"/>
        <v>3198.312721519007</v>
      </c>
      <c r="S1360" s="373" t="s">
        <v>796</v>
      </c>
      <c r="T1360" s="391"/>
      <c r="U1360" s="74"/>
      <c r="V1360" s="26"/>
      <c r="W1360" s="26"/>
      <c r="X1360" s="20"/>
      <c r="Y1360" s="112"/>
      <c r="Z1360" s="239"/>
      <c r="AA1360" s="94"/>
      <c r="AB1360" s="95"/>
      <c r="AC1360" s="20"/>
      <c r="AD1360" s="92"/>
      <c r="AE1360" s="93"/>
      <c r="AF1360" s="20"/>
      <c r="AG1360" s="20"/>
      <c r="AH1360" s="20"/>
      <c r="AI1360" s="20"/>
    </row>
    <row r="1361" spans="1:35" ht="12.75" customHeight="1">
      <c r="A1361" s="333"/>
      <c r="B1361" s="333"/>
      <c r="C1361" s="333"/>
      <c r="D1361" s="408"/>
      <c r="E1361" s="412"/>
      <c r="F1361" s="50"/>
      <c r="G1361" s="409"/>
      <c r="H1361" s="958"/>
      <c r="I1361" s="26"/>
      <c r="K1361" s="273"/>
      <c r="L1361" s="116" t="s">
        <v>51</v>
      </c>
      <c r="M1361" s="45">
        <v>1000</v>
      </c>
      <c r="N1361" s="538">
        <f t="shared" si="149"/>
        <v>1000.5600940000177</v>
      </c>
      <c r="O1361" s="253"/>
      <c r="P1361" s="133">
        <v>-495.9</v>
      </c>
      <c r="Q1361" s="72">
        <f t="shared" si="150"/>
        <v>-25297.587278480994</v>
      </c>
      <c r="R1361" s="45">
        <f t="shared" si="151"/>
        <v>2702.4127215190056</v>
      </c>
      <c r="S1361" s="373" t="s">
        <v>797</v>
      </c>
      <c r="T1361" s="391"/>
      <c r="U1361" s="20"/>
      <c r="V1361" s="20"/>
      <c r="W1361" s="26"/>
      <c r="X1361" s="91"/>
      <c r="Y1361" s="20"/>
      <c r="Z1361" s="239"/>
      <c r="AA1361" s="94"/>
      <c r="AB1361" s="26"/>
      <c r="AC1361" s="20"/>
      <c r="AD1361" s="20"/>
      <c r="AE1361" s="20"/>
      <c r="AF1361" s="20"/>
      <c r="AG1361" s="20"/>
      <c r="AH1361" s="20"/>
      <c r="AI1361" s="20"/>
    </row>
    <row r="1362" spans="1:35" ht="12.75" customHeight="1">
      <c r="A1362" s="333"/>
      <c r="B1362" s="333"/>
      <c r="C1362" s="333"/>
      <c r="D1362" s="133"/>
      <c r="E1362" s="133"/>
      <c r="F1362" s="50"/>
      <c r="G1362" s="409"/>
      <c r="H1362" s="401"/>
      <c r="I1362" s="26"/>
      <c r="K1362" s="273"/>
      <c r="L1362" s="116" t="s">
        <v>630</v>
      </c>
      <c r="M1362" s="45">
        <v>-99</v>
      </c>
      <c r="N1362" s="538">
        <f t="shared" si="149"/>
        <v>901.56009400001767</v>
      </c>
      <c r="O1362" s="253"/>
      <c r="P1362" s="133">
        <v>-551.95000000000005</v>
      </c>
      <c r="Q1362" s="72">
        <f t="shared" si="150"/>
        <v>-25849.537278480995</v>
      </c>
      <c r="R1362" s="45">
        <f t="shared" si="151"/>
        <v>2150.4627215190048</v>
      </c>
      <c r="S1362" s="373" t="s">
        <v>798</v>
      </c>
      <c r="T1362" s="391" t="s">
        <v>549</v>
      </c>
      <c r="U1362" s="20"/>
      <c r="V1362" s="26"/>
      <c r="W1362" s="26"/>
      <c r="X1362" s="91"/>
      <c r="Y1362" s="20"/>
      <c r="Z1362" s="239"/>
      <c r="AA1362" s="94"/>
      <c r="AB1362" s="26"/>
      <c r="AC1362" s="20"/>
      <c r="AD1362" s="20"/>
      <c r="AE1362" s="20"/>
      <c r="AF1362" s="20"/>
      <c r="AG1362" s="20"/>
      <c r="AH1362" s="20"/>
      <c r="AI1362" s="20"/>
    </row>
    <row r="1363" spans="1:35" ht="12.75" customHeight="1">
      <c r="A1363" s="333"/>
      <c r="B1363" s="333"/>
      <c r="C1363" s="333"/>
      <c r="D1363" s="133"/>
      <c r="E1363" s="133"/>
      <c r="F1363" s="50"/>
      <c r="G1363" s="409"/>
      <c r="H1363" s="401"/>
      <c r="I1363" s="26"/>
      <c r="K1363" s="258" t="s">
        <v>248</v>
      </c>
      <c r="L1363" s="266" t="s">
        <v>51</v>
      </c>
      <c r="M1363" s="146">
        <f>E1358-M1361</f>
        <v>7483.35</v>
      </c>
      <c r="N1363" s="538">
        <f t="shared" si="149"/>
        <v>8384.9100940000171</v>
      </c>
      <c r="O1363" s="253"/>
      <c r="P1363" s="133">
        <v>-350</v>
      </c>
      <c r="Q1363" s="72">
        <f t="shared" si="150"/>
        <v>-26199.537278480995</v>
      </c>
      <c r="R1363" s="45">
        <f t="shared" si="151"/>
        <v>1800.4627215190048</v>
      </c>
      <c r="S1363" s="373" t="s">
        <v>799</v>
      </c>
      <c r="T1363" s="391"/>
      <c r="U1363" s="20"/>
      <c r="V1363" s="26"/>
      <c r="W1363" s="26"/>
      <c r="X1363" s="91"/>
      <c r="Y1363" s="20"/>
      <c r="Z1363" s="239"/>
      <c r="AA1363" s="94"/>
      <c r="AB1363" s="26"/>
      <c r="AC1363" s="20"/>
      <c r="AD1363" s="20"/>
      <c r="AE1363" s="20"/>
      <c r="AF1363" s="20"/>
      <c r="AG1363" s="20"/>
      <c r="AH1363" s="20"/>
      <c r="AI1363" s="20"/>
    </row>
    <row r="1364" spans="1:35" ht="12.75" customHeight="1">
      <c r="A1364" s="333"/>
      <c r="B1364" s="333"/>
      <c r="C1364" s="333"/>
      <c r="D1364" s="133"/>
      <c r="E1364" s="133"/>
      <c r="F1364" s="50"/>
      <c r="G1364" s="409"/>
      <c r="H1364" s="401"/>
      <c r="I1364" s="26"/>
      <c r="K1364" s="258" t="s">
        <v>248</v>
      </c>
      <c r="L1364" s="266" t="s">
        <v>589</v>
      </c>
      <c r="M1364" s="146">
        <v>-3135</v>
      </c>
      <c r="N1364" s="538">
        <f t="shared" si="149"/>
        <v>5249.9100940000171</v>
      </c>
      <c r="O1364" s="253"/>
      <c r="P1364" s="133">
        <v>-224.55</v>
      </c>
      <c r="Q1364" s="72">
        <f t="shared" si="150"/>
        <v>-26424.087278480994</v>
      </c>
      <c r="R1364" s="45">
        <f t="shared" si="151"/>
        <v>1575.9127215190056</v>
      </c>
      <c r="S1364" s="373" t="s">
        <v>270</v>
      </c>
      <c r="T1364" s="391"/>
      <c r="U1364" s="20"/>
      <c r="V1364" s="26"/>
      <c r="W1364" s="26"/>
      <c r="X1364" s="91"/>
      <c r="Y1364" s="20"/>
      <c r="Z1364" s="239"/>
      <c r="AA1364" s="94"/>
      <c r="AB1364" s="26"/>
      <c r="AC1364" s="20"/>
      <c r="AD1364" s="20"/>
      <c r="AE1364" s="20"/>
      <c r="AF1364" s="20"/>
      <c r="AG1364" s="20"/>
      <c r="AH1364" s="20"/>
      <c r="AI1364" s="20"/>
    </row>
    <row r="1365" spans="1:35" ht="12.75" customHeight="1">
      <c r="A1365" s="333"/>
      <c r="B1365" s="333"/>
      <c r="C1365" s="333"/>
      <c r="D1365" s="133"/>
      <c r="E1365" s="133"/>
      <c r="F1365" s="50"/>
      <c r="G1365" s="409"/>
      <c r="H1365" s="401"/>
      <c r="I1365" s="26"/>
      <c r="K1365" s="258" t="s">
        <v>248</v>
      </c>
      <c r="L1365" s="266" t="s">
        <v>552</v>
      </c>
      <c r="M1365" s="45">
        <v>-200</v>
      </c>
      <c r="N1365" s="538">
        <f t="shared" si="149"/>
        <v>5049.9100940000171</v>
      </c>
      <c r="O1365" s="253"/>
      <c r="P1365" s="133">
        <v>-230</v>
      </c>
      <c r="Q1365" s="72">
        <f t="shared" si="150"/>
        <v>-26654.087278480994</v>
      </c>
      <c r="R1365" s="45">
        <f t="shared" si="151"/>
        <v>1345.9127215190056</v>
      </c>
      <c r="S1365" s="373" t="s">
        <v>800</v>
      </c>
      <c r="T1365" s="391" t="s">
        <v>549</v>
      </c>
      <c r="U1365" s="234"/>
      <c r="V1365" s="26"/>
      <c r="W1365" s="26"/>
      <c r="X1365" s="91"/>
      <c r="Y1365" s="20"/>
      <c r="Z1365" s="239"/>
      <c r="AA1365" s="94"/>
      <c r="AB1365" s="26"/>
      <c r="AC1365" s="20"/>
      <c r="AD1365" s="20"/>
      <c r="AE1365" s="20"/>
      <c r="AF1365" s="20"/>
      <c r="AG1365" s="20"/>
      <c r="AH1365" s="20"/>
      <c r="AI1365" s="20"/>
    </row>
    <row r="1366" spans="1:35" ht="12.75" customHeight="1">
      <c r="A1366" s="333"/>
      <c r="B1366" s="333"/>
      <c r="C1366" s="333"/>
      <c r="D1366" s="133"/>
      <c r="E1366" s="133"/>
      <c r="F1366" s="50"/>
      <c r="G1366" s="409"/>
      <c r="H1366" s="401"/>
      <c r="I1366" s="874"/>
      <c r="K1366" s="258"/>
      <c r="L1366" s="266" t="s">
        <v>333</v>
      </c>
      <c r="M1366" s="45">
        <v>-100</v>
      </c>
      <c r="N1366" s="538">
        <f t="shared" si="149"/>
        <v>4949.9100940000171</v>
      </c>
      <c r="O1366" s="253"/>
      <c r="P1366" s="133">
        <v>-160.9</v>
      </c>
      <c r="Q1366" s="72">
        <f t="shared" si="150"/>
        <v>-26814.987278480996</v>
      </c>
      <c r="R1366" s="45">
        <f t="shared" si="151"/>
        <v>1185.0127215190041</v>
      </c>
      <c r="S1366" s="373" t="s">
        <v>259</v>
      </c>
      <c r="T1366" s="391"/>
      <c r="U1366" s="20"/>
      <c r="V1366" s="26"/>
      <c r="W1366" s="26"/>
      <c r="X1366" s="91"/>
      <c r="Y1366" s="20"/>
      <c r="Z1366" s="239"/>
      <c r="AA1366" s="94"/>
      <c r="AB1366" s="26"/>
      <c r="AC1366" s="20"/>
      <c r="AD1366" s="20"/>
      <c r="AE1366" s="20"/>
      <c r="AF1366" s="20"/>
      <c r="AG1366" s="20"/>
      <c r="AH1366" s="20"/>
      <c r="AI1366" s="20"/>
    </row>
    <row r="1367" spans="1:35" ht="12.75" customHeight="1">
      <c r="A1367" s="333"/>
      <c r="B1367" s="333"/>
      <c r="C1367" s="333"/>
      <c r="D1367" s="133"/>
      <c r="E1367" s="133"/>
      <c r="F1367" s="50"/>
      <c r="G1367" s="409"/>
      <c r="H1367" s="401"/>
      <c r="I1367" s="315"/>
      <c r="J1367" s="511"/>
      <c r="K1367" s="258" t="s">
        <v>248</v>
      </c>
      <c r="L1367" s="266" t="s">
        <v>195</v>
      </c>
      <c r="M1367" s="196">
        <v>-2065.2199999999998</v>
      </c>
      <c r="N1367" s="538">
        <f t="shared" si="149"/>
        <v>2884.6900940000173</v>
      </c>
      <c r="O1367" s="253"/>
      <c r="P1367" s="133">
        <v>-88.43</v>
      </c>
      <c r="Q1367" s="72">
        <f t="shared" si="150"/>
        <v>-26903.417278480996</v>
      </c>
      <c r="R1367" s="45">
        <f t="shared" si="151"/>
        <v>1096.5827215190038</v>
      </c>
      <c r="S1367" s="373" t="s">
        <v>270</v>
      </c>
      <c r="T1367" s="391"/>
      <c r="U1367" s="20"/>
      <c r="V1367" s="26"/>
      <c r="W1367" s="26"/>
      <c r="X1367" s="91"/>
      <c r="Y1367" s="20"/>
      <c r="Z1367" s="239"/>
      <c r="AA1367" s="94"/>
      <c r="AB1367" s="26"/>
      <c r="AC1367" s="20"/>
      <c r="AD1367" s="20"/>
      <c r="AE1367" s="20"/>
      <c r="AF1367" s="20"/>
      <c r="AG1367" s="20"/>
      <c r="AH1367" s="20"/>
      <c r="AI1367" s="20"/>
    </row>
    <row r="1368" spans="1:35" ht="12.75" customHeight="1">
      <c r="A1368" s="333"/>
      <c r="B1368" s="333"/>
      <c r="C1368" s="333"/>
      <c r="D1368" s="133"/>
      <c r="E1368" s="133"/>
      <c r="F1368" s="50"/>
      <c r="G1368" s="409"/>
      <c r="H1368" s="401"/>
      <c r="I1368" s="962"/>
      <c r="J1368" s="962"/>
      <c r="K1368" s="85" t="s">
        <v>248</v>
      </c>
      <c r="L1368" s="266" t="s">
        <v>180</v>
      </c>
      <c r="M1368" s="45">
        <v>-59</v>
      </c>
      <c r="N1368" s="538">
        <f t="shared" si="149"/>
        <v>2825.6900940000173</v>
      </c>
      <c r="O1368" s="253"/>
      <c r="P1368" s="133">
        <v>-53.98</v>
      </c>
      <c r="Q1368" s="72">
        <f t="shared" si="150"/>
        <v>-26957.397278480996</v>
      </c>
      <c r="R1368" s="45">
        <f t="shared" si="151"/>
        <v>1042.6027215190043</v>
      </c>
      <c r="S1368" s="373" t="s">
        <v>282</v>
      </c>
      <c r="T1368" s="391" t="s">
        <v>549</v>
      </c>
      <c r="U1368" s="20"/>
      <c r="V1368" s="26"/>
      <c r="W1368" s="26"/>
      <c r="X1368" s="91"/>
      <c r="Y1368" s="20"/>
      <c r="Z1368" s="239"/>
      <c r="AA1368" s="94"/>
      <c r="AB1368" s="26"/>
      <c r="AC1368" s="20"/>
      <c r="AD1368" s="20"/>
      <c r="AE1368" s="20"/>
      <c r="AF1368" s="20"/>
      <c r="AG1368" s="20"/>
      <c r="AH1368" s="20"/>
      <c r="AI1368" s="20"/>
    </row>
    <row r="1369" spans="1:35" ht="12.75" customHeight="1">
      <c r="A1369" s="333"/>
      <c r="B1369" s="333"/>
      <c r="C1369" s="333"/>
      <c r="D1369" s="133"/>
      <c r="E1369" s="133"/>
      <c r="F1369" s="50"/>
      <c r="G1369" s="409"/>
      <c r="H1369" s="401"/>
      <c r="I1369" s="493"/>
      <c r="J1369" s="517"/>
      <c r="K1369" s="258" t="s">
        <v>248</v>
      </c>
      <c r="L1369" s="266" t="s">
        <v>61</v>
      </c>
      <c r="M1369" s="196">
        <v>-588.51</v>
      </c>
      <c r="N1369" s="538">
        <f t="shared" si="149"/>
        <v>2237.1800940000176</v>
      </c>
      <c r="O1369" s="253"/>
      <c r="P1369" s="133">
        <v>-379.87</v>
      </c>
      <c r="Q1369" s="72">
        <f t="shared" ref="Q1369:Q1374" si="152">Q1368+P1369</f>
        <v>-27337.267278480995</v>
      </c>
      <c r="R1369" s="45">
        <f t="shared" ref="R1369:R1374" si="153">28000+Q1369</f>
        <v>662.73272151900528</v>
      </c>
      <c r="S1369" s="373" t="s">
        <v>282</v>
      </c>
      <c r="T1369" s="391" t="s">
        <v>549</v>
      </c>
      <c r="U1369" s="20"/>
      <c r="V1369" s="26"/>
      <c r="W1369" s="26"/>
      <c r="X1369" s="91"/>
      <c r="Y1369" s="20"/>
      <c r="Z1369" s="239"/>
      <c r="AA1369" s="94"/>
      <c r="AB1369" s="26"/>
      <c r="AC1369" s="20"/>
      <c r="AD1369" s="20"/>
      <c r="AE1369" s="20"/>
      <c r="AF1369" s="20"/>
      <c r="AG1369" s="20"/>
      <c r="AH1369" s="20"/>
      <c r="AI1369" s="20"/>
    </row>
    <row r="1370" spans="1:35" ht="12.75" customHeight="1">
      <c r="A1370" s="333"/>
      <c r="B1370" s="333"/>
      <c r="C1370" s="333"/>
      <c r="D1370" s="133"/>
      <c r="E1370" s="133"/>
      <c r="F1370" s="50"/>
      <c r="G1370" s="409"/>
      <c r="H1370" s="401"/>
      <c r="I1370" s="493"/>
      <c r="J1370" s="709"/>
      <c r="K1370" s="258" t="s">
        <v>248</v>
      </c>
      <c r="L1370" s="266" t="s">
        <v>148</v>
      </c>
      <c r="M1370" s="196">
        <v>590</v>
      </c>
      <c r="N1370" s="538">
        <f t="shared" si="149"/>
        <v>2827.1800940000176</v>
      </c>
      <c r="O1370" s="253"/>
      <c r="P1370" s="133">
        <v>-323.3</v>
      </c>
      <c r="Q1370" s="72">
        <f t="shared" si="152"/>
        <v>-27660.567278480994</v>
      </c>
      <c r="R1370" s="45">
        <f t="shared" si="153"/>
        <v>339.43272151900601</v>
      </c>
      <c r="S1370" s="373" t="s">
        <v>258</v>
      </c>
      <c r="T1370" s="391"/>
      <c r="U1370" s="20"/>
      <c r="V1370" s="253"/>
      <c r="W1370" s="26"/>
      <c r="X1370" s="91"/>
      <c r="Y1370" s="20"/>
      <c r="Z1370" s="239"/>
      <c r="AA1370" s="94"/>
      <c r="AB1370" s="26"/>
      <c r="AC1370" s="20"/>
      <c r="AD1370" s="20"/>
      <c r="AE1370" s="20"/>
      <c r="AF1370" s="20"/>
      <c r="AG1370" s="20"/>
      <c r="AH1370" s="20"/>
      <c r="AI1370" s="20"/>
    </row>
    <row r="1371" spans="1:35" ht="12.75" customHeight="1">
      <c r="A1371" s="333"/>
      <c r="B1371" s="333"/>
      <c r="C1371" s="333"/>
      <c r="D1371" s="133"/>
      <c r="E1371" s="133"/>
      <c r="F1371" s="50"/>
      <c r="G1371" s="409"/>
      <c r="H1371" s="401"/>
      <c r="I1371" s="495"/>
      <c r="K1371" s="85" t="s">
        <v>189</v>
      </c>
      <c r="L1371" s="267" t="s">
        <v>16</v>
      </c>
      <c r="M1371" s="175">
        <v>-103.99</v>
      </c>
      <c r="N1371" s="538">
        <f t="shared" si="149"/>
        <v>2723.1900940000178</v>
      </c>
      <c r="O1371" s="253"/>
      <c r="P1371" s="133">
        <v>-160.05000000000001</v>
      </c>
      <c r="Q1371" s="72">
        <f t="shared" si="152"/>
        <v>-27820.617278480993</v>
      </c>
      <c r="R1371" s="45">
        <f t="shared" si="153"/>
        <v>179.38272151900674</v>
      </c>
      <c r="S1371" s="373" t="s">
        <v>270</v>
      </c>
      <c r="T1371" s="391"/>
      <c r="U1371" s="20"/>
      <c r="V1371" s="253"/>
      <c r="W1371" s="26"/>
      <c r="X1371" s="91"/>
      <c r="Y1371" s="20"/>
      <c r="Z1371" s="239"/>
      <c r="AA1371" s="94"/>
      <c r="AB1371" s="26"/>
      <c r="AC1371" s="20"/>
      <c r="AD1371" s="20"/>
      <c r="AE1371" s="20"/>
      <c r="AF1371" s="20"/>
      <c r="AG1371" s="20"/>
      <c r="AH1371" s="20"/>
      <c r="AI1371" s="20"/>
    </row>
    <row r="1372" spans="1:35" ht="12.75" customHeight="1">
      <c r="A1372" s="333"/>
      <c r="B1372" s="333"/>
      <c r="C1372" s="333"/>
      <c r="D1372" s="413"/>
      <c r="E1372" s="34"/>
      <c r="F1372" s="50"/>
      <c r="G1372" s="409"/>
      <c r="H1372" s="509"/>
      <c r="I1372" s="961"/>
      <c r="J1372" s="961"/>
      <c r="K1372" s="258" t="s">
        <v>189</v>
      </c>
      <c r="L1372" s="268" t="s">
        <v>56</v>
      </c>
      <c r="M1372" s="175">
        <v>-1300</v>
      </c>
      <c r="N1372" s="538">
        <f t="shared" si="149"/>
        <v>1423.1900940000178</v>
      </c>
      <c r="O1372" s="253"/>
      <c r="P1372" s="133">
        <v>-22.8</v>
      </c>
      <c r="Q1372" s="72">
        <f t="shared" si="152"/>
        <v>-27843.417278480993</v>
      </c>
      <c r="R1372" s="45">
        <f t="shared" si="153"/>
        <v>156.58272151900746</v>
      </c>
      <c r="S1372" s="373" t="s">
        <v>433</v>
      </c>
      <c r="T1372" s="391" t="s">
        <v>549</v>
      </c>
      <c r="U1372" s="20"/>
      <c r="V1372" s="253"/>
      <c r="W1372" s="26"/>
      <c r="X1372" s="91"/>
      <c r="Y1372" s="20"/>
      <c r="Z1372" s="239"/>
      <c r="AA1372" s="94"/>
      <c r="AB1372" s="26"/>
      <c r="AC1372" s="20"/>
      <c r="AD1372" s="20"/>
      <c r="AE1372" s="20"/>
      <c r="AF1372" s="20"/>
      <c r="AG1372" s="20"/>
      <c r="AH1372" s="20"/>
      <c r="AI1372" s="20"/>
    </row>
    <row r="1373" spans="1:35" ht="12.75" customHeight="1">
      <c r="A1373" s="333"/>
      <c r="B1373" s="333"/>
      <c r="C1373" s="333"/>
      <c r="D1373" s="413"/>
      <c r="E1373" s="34"/>
      <c r="F1373" s="50"/>
      <c r="G1373" s="414"/>
      <c r="H1373" s="509"/>
      <c r="I1373" s="961"/>
      <c r="J1373" s="961"/>
      <c r="K1373" s="258" t="s">
        <v>189</v>
      </c>
      <c r="L1373" s="268" t="s">
        <v>23</v>
      </c>
      <c r="M1373" s="133">
        <v>-305.37</v>
      </c>
      <c r="N1373" s="538">
        <f t="shared" si="149"/>
        <v>1117.8200940000179</v>
      </c>
      <c r="O1373" s="497"/>
      <c r="P1373" s="133">
        <v>-63.18</v>
      </c>
      <c r="Q1373" s="72">
        <f t="shared" si="152"/>
        <v>-27906.597278480993</v>
      </c>
      <c r="R1373" s="45">
        <f t="shared" si="153"/>
        <v>93.402721519007173</v>
      </c>
      <c r="S1373" s="373" t="s">
        <v>270</v>
      </c>
      <c r="T1373" s="391"/>
      <c r="V1373" s="253"/>
      <c r="W1373" s="26"/>
      <c r="X1373" s="91"/>
      <c r="Y1373" s="20"/>
      <c r="Z1373" s="239"/>
      <c r="AA1373" s="94"/>
      <c r="AB1373" s="26"/>
      <c r="AC1373" s="20"/>
      <c r="AD1373" s="20"/>
      <c r="AE1373" s="20"/>
      <c r="AF1373" s="20"/>
      <c r="AG1373" s="20"/>
      <c r="AH1373" s="20"/>
      <c r="AI1373" s="20"/>
    </row>
    <row r="1374" spans="1:35" ht="12.75" customHeight="1">
      <c r="A1374" s="333"/>
      <c r="B1374" s="333"/>
      <c r="C1374" s="333"/>
      <c r="D1374" s="48"/>
      <c r="E1374" s="133"/>
      <c r="F1374" s="50"/>
      <c r="G1374" s="414"/>
      <c r="H1374" s="509"/>
      <c r="I1374" s="510"/>
      <c r="J1374" s="521"/>
      <c r="K1374" s="258" t="s">
        <v>189</v>
      </c>
      <c r="L1374" s="116" t="s">
        <v>714</v>
      </c>
      <c r="M1374" s="45">
        <v>-530.74</v>
      </c>
      <c r="N1374" s="538">
        <f t="shared" si="149"/>
        <v>587.08009400001788</v>
      </c>
      <c r="O1374" s="497"/>
      <c r="P1374" s="953">
        <f>E1353</f>
        <v>3792.2000000000003</v>
      </c>
      <c r="Q1374" s="72">
        <f t="shared" si="152"/>
        <v>-24114.397278480992</v>
      </c>
      <c r="R1374" s="45">
        <f t="shared" si="153"/>
        <v>3885.6027215190079</v>
      </c>
      <c r="S1374" s="373" t="s">
        <v>280</v>
      </c>
      <c r="T1374" s="833"/>
      <c r="V1374" s="253"/>
      <c r="W1374" s="26"/>
      <c r="X1374" s="91"/>
      <c r="Y1374" s="20"/>
      <c r="Z1374" s="239"/>
      <c r="AA1374" s="94"/>
      <c r="AB1374" s="26"/>
      <c r="AC1374" s="20"/>
      <c r="AD1374" s="20"/>
      <c r="AE1374" s="20"/>
      <c r="AF1374" s="20"/>
      <c r="AG1374" s="20"/>
      <c r="AH1374" s="20"/>
      <c r="AI1374" s="20"/>
    </row>
    <row r="1375" spans="1:35" ht="12.75" customHeight="1">
      <c r="A1375" s="328"/>
      <c r="B1375" s="328"/>
      <c r="C1375" s="328"/>
      <c r="D1375" s="547"/>
      <c r="E1375" s="133"/>
      <c r="F1375" s="50"/>
      <c r="G1375" s="414"/>
      <c r="H1375" s="958"/>
      <c r="K1375" s="258" t="s">
        <v>189</v>
      </c>
      <c r="L1375" s="116" t="s">
        <v>585</v>
      </c>
      <c r="M1375" s="175">
        <v>-66.989999999999995</v>
      </c>
      <c r="N1375" s="538">
        <f t="shared" si="149"/>
        <v>520.09009400001787</v>
      </c>
      <c r="P1375" s="64">
        <f>SUM(P1353:P1374)</f>
        <v>-24114.397278480992</v>
      </c>
      <c r="Q1375" s="287" t="s">
        <v>243</v>
      </c>
      <c r="R1375" s="317"/>
      <c r="S1375" s="611"/>
      <c r="T1375" s="372"/>
      <c r="V1375" s="26"/>
      <c r="W1375" s="26"/>
      <c r="X1375" s="91"/>
      <c r="Y1375" s="20"/>
      <c r="Z1375" s="239"/>
      <c r="AA1375" s="94"/>
      <c r="AB1375" s="26"/>
      <c r="AC1375" s="20"/>
      <c r="AD1375" s="20"/>
      <c r="AE1375" s="20"/>
      <c r="AF1375" s="20"/>
      <c r="AG1375" s="20"/>
      <c r="AH1375" s="20"/>
      <c r="AI1375" s="20"/>
    </row>
    <row r="1376" spans="1:35" ht="12.75" customHeight="1">
      <c r="G1376"/>
      <c r="H1376" s="33"/>
      <c r="I1376" s="20"/>
      <c r="J1376" s="504"/>
      <c r="K1376" s="321" t="s">
        <v>190</v>
      </c>
      <c r="L1376" s="269" t="s">
        <v>375</v>
      </c>
      <c r="M1376" s="366">
        <v>-47.52</v>
      </c>
      <c r="N1376" s="566">
        <f t="shared" si="149"/>
        <v>472.57009400001789</v>
      </c>
      <c r="V1376" s="26"/>
      <c r="AA1376" s="238"/>
    </row>
    <row r="1377" spans="1:35">
      <c r="L1377" s="23"/>
      <c r="M1377" s="168">
        <f>SUM(M1353:M1376)</f>
        <v>472.57009400001789</v>
      </c>
      <c r="N1377" s="806"/>
    </row>
    <row r="1378" spans="1:35" s="78" customFormat="1">
      <c r="E1378" s="15"/>
      <c r="G1378" s="129"/>
      <c r="K1378" s="831"/>
      <c r="L1378" s="605"/>
      <c r="M1378" s="971"/>
      <c r="N1378" s="972"/>
      <c r="P1378" s="15"/>
      <c r="Q1378" s="15"/>
      <c r="R1378" s="15"/>
      <c r="S1378" s="385"/>
      <c r="Z1378" s="15"/>
      <c r="AA1378" s="130"/>
      <c r="AB1378" s="15"/>
    </row>
    <row r="1379" spans="1:35">
      <c r="K1379" s="256"/>
      <c r="L1379" s="20"/>
      <c r="M1379" s="26"/>
      <c r="N1379" s="20"/>
    </row>
    <row r="1380" spans="1:35" ht="12.75" customHeight="1">
      <c r="B1380" s="1030" t="s">
        <v>801</v>
      </c>
      <c r="C1380" s="1030"/>
      <c r="D1380" s="1030"/>
      <c r="E1380" s="1030"/>
      <c r="G1380" s="261"/>
      <c r="H1380" s="658"/>
      <c r="I1380" s="26"/>
      <c r="K1380" s="258"/>
      <c r="L1380" s="100"/>
      <c r="M1380" s="1031" t="s">
        <v>54</v>
      </c>
      <c r="N1380" s="964"/>
      <c r="O1380" s="969"/>
      <c r="P1380" s="1033" t="s">
        <v>48</v>
      </c>
      <c r="Q1380" s="1035" t="s">
        <v>749</v>
      </c>
      <c r="R1380" s="1035"/>
      <c r="S1380" s="377"/>
      <c r="X1380" s="35"/>
      <c r="Y1380" s="35"/>
      <c r="Z1380" s="26"/>
      <c r="AA1380" s="968"/>
      <c r="AB1380" s="26"/>
      <c r="AC1380" s="20"/>
      <c r="AD1380" s="20"/>
      <c r="AE1380" s="20"/>
      <c r="AF1380" s="20"/>
      <c r="AG1380" s="20"/>
      <c r="AH1380" s="20"/>
      <c r="AI1380" s="20"/>
    </row>
    <row r="1381" spans="1:35" ht="12.75" customHeight="1">
      <c r="C1381" s="17" t="s">
        <v>357</v>
      </c>
      <c r="D1381" s="14"/>
      <c r="E1381" s="877">
        <v>8483.35</v>
      </c>
      <c r="G1381" s="1036"/>
      <c r="H1381" s="1036"/>
      <c r="I1381" s="26"/>
      <c r="K1381" s="260" t="s">
        <v>221</v>
      </c>
      <c r="L1381" s="156"/>
      <c r="M1381" s="1032"/>
      <c r="N1381" s="964" t="s">
        <v>43</v>
      </c>
      <c r="O1381" s="969"/>
      <c r="P1381" s="1034"/>
      <c r="Q1381" s="965" t="s">
        <v>43</v>
      </c>
      <c r="R1381" s="966" t="s">
        <v>53</v>
      </c>
      <c r="S1381" s="377"/>
      <c r="X1381" s="118"/>
      <c r="Y1381" s="111"/>
      <c r="Z1381" s="117"/>
      <c r="AA1381" s="89"/>
      <c r="AB1381" s="90"/>
      <c r="AC1381" s="20"/>
      <c r="AD1381" s="41"/>
      <c r="AE1381" s="20"/>
      <c r="AF1381" s="20"/>
      <c r="AG1381" s="20"/>
      <c r="AH1381" s="20"/>
      <c r="AI1381" s="20"/>
    </row>
    <row r="1382" spans="1:35" ht="12.75" customHeight="1">
      <c r="C1382" s="17"/>
      <c r="D1382" s="14" t="s">
        <v>24</v>
      </c>
      <c r="E1382" s="52">
        <f>'[1]OCT ''14'!$C$17</f>
        <v>1119.6899999999996</v>
      </c>
      <c r="G1382" s="30"/>
      <c r="H1382" s="624">
        <f>SUM(E1382:E1382)</f>
        <v>1119.6899999999996</v>
      </c>
      <c r="I1382" s="26"/>
      <c r="K1382" s="273"/>
      <c r="L1382" s="235" t="s">
        <v>226</v>
      </c>
      <c r="M1382" s="45">
        <f>$M$1377</f>
        <v>472.57009400001789</v>
      </c>
      <c r="N1382" s="71">
        <f>M1382</f>
        <v>472.57009400001789</v>
      </c>
      <c r="O1382" s="26"/>
      <c r="P1382" s="45">
        <f>$Q$1374</f>
        <v>-24114.397278480992</v>
      </c>
      <c r="Q1382" s="71">
        <f>P1382</f>
        <v>-24114.397278480992</v>
      </c>
      <c r="R1382" s="45">
        <f>28000+Q1382</f>
        <v>3885.6027215190079</v>
      </c>
      <c r="S1382" s="378" t="s">
        <v>298</v>
      </c>
      <c r="T1382" s="367" t="s">
        <v>299</v>
      </c>
      <c r="W1382" s="392"/>
      <c r="X1382" s="111"/>
      <c r="Y1382" s="111"/>
      <c r="Z1382" s="45"/>
      <c r="AA1382" s="488"/>
      <c r="AB1382" s="26"/>
      <c r="AC1382" s="20"/>
      <c r="AD1382" s="92"/>
      <c r="AE1382" s="93"/>
      <c r="AF1382" s="20"/>
      <c r="AG1382" s="20"/>
      <c r="AH1382" s="20"/>
      <c r="AI1382" s="20"/>
    </row>
    <row r="1383" spans="1:35" ht="12.75" customHeight="1">
      <c r="C1383" s="18" t="s">
        <v>5</v>
      </c>
      <c r="D1383" s="14"/>
      <c r="E1383" s="14">
        <f>SUM(E1381:E1382)</f>
        <v>9603.0400000000009</v>
      </c>
      <c r="G1383" s="242"/>
      <c r="H1383" s="492"/>
      <c r="I1383" s="26"/>
      <c r="K1383" s="297"/>
      <c r="L1383" s="116" t="s">
        <v>808</v>
      </c>
      <c r="M1383" s="45">
        <v>195.6</v>
      </c>
      <c r="N1383" s="538">
        <f>N1382+M1383</f>
        <v>668.17009400001791</v>
      </c>
      <c r="O1383" s="39"/>
      <c r="P1383" s="133">
        <v>-38</v>
      </c>
      <c r="Q1383" s="72">
        <f t="shared" ref="Q1383:Q1403" si="154">Q1382+P1383</f>
        <v>-24152.397278480992</v>
      </c>
      <c r="R1383" s="45">
        <f t="shared" ref="R1383:R1403" si="155">28000+Q1383</f>
        <v>3847.6027215190079</v>
      </c>
      <c r="S1383" s="373" t="s">
        <v>810</v>
      </c>
      <c r="T1383" s="391" t="s">
        <v>549</v>
      </c>
      <c r="W1383" s="111"/>
      <c r="X1383" s="111"/>
      <c r="Y1383" s="112"/>
      <c r="Z1383" s="55"/>
      <c r="AA1383" s="489"/>
      <c r="AB1383" s="26"/>
      <c r="AC1383" s="20"/>
      <c r="AD1383" s="92"/>
      <c r="AE1383" s="93"/>
      <c r="AF1383" s="20"/>
      <c r="AG1383" s="20"/>
      <c r="AH1383" s="20"/>
      <c r="AI1383" s="20"/>
    </row>
    <row r="1384" spans="1:35" ht="12.75" customHeight="1">
      <c r="G1384" s="20"/>
      <c r="H1384" s="490"/>
      <c r="I1384" s="26"/>
      <c r="K1384" s="297"/>
      <c r="L1384" s="184" t="s">
        <v>112</v>
      </c>
      <c r="M1384" s="45">
        <v>-1500</v>
      </c>
      <c r="N1384" s="538">
        <f>N1383+M1384</f>
        <v>-831.82990599998209</v>
      </c>
      <c r="O1384" s="253"/>
      <c r="P1384" s="133">
        <v>-1265</v>
      </c>
      <c r="Q1384" s="72">
        <f t="shared" si="154"/>
        <v>-25417.397278480992</v>
      </c>
      <c r="R1384" s="45">
        <f t="shared" si="155"/>
        <v>2582.6027215190079</v>
      </c>
      <c r="S1384" s="373" t="s">
        <v>811</v>
      </c>
      <c r="T1384" s="391" t="s">
        <v>549</v>
      </c>
      <c r="W1384" s="112"/>
      <c r="X1384" s="112"/>
      <c r="Y1384" s="112"/>
      <c r="Z1384" s="55"/>
      <c r="AA1384" s="489"/>
      <c r="AB1384" s="26"/>
      <c r="AC1384" s="20"/>
      <c r="AD1384" s="92"/>
      <c r="AE1384" s="93"/>
      <c r="AF1384" s="20"/>
      <c r="AG1384" s="20"/>
      <c r="AH1384" s="20"/>
      <c r="AI1384" s="20"/>
    </row>
    <row r="1385" spans="1:35" ht="12.75" customHeight="1">
      <c r="A1385" s="319"/>
      <c r="C1385" s="81" t="s">
        <v>17</v>
      </c>
      <c r="E1385" s="42"/>
      <c r="G1385"/>
      <c r="H1385" s="970"/>
      <c r="I1385" s="26"/>
      <c r="K1385" s="297"/>
      <c r="L1385" s="184" t="s">
        <v>809</v>
      </c>
      <c r="M1385" s="45">
        <v>1000</v>
      </c>
      <c r="N1385" s="538">
        <f>N1384+M1385</f>
        <v>168.17009400001791</v>
      </c>
      <c r="O1385" s="253"/>
      <c r="P1385" s="133">
        <v>-49</v>
      </c>
      <c r="Q1385" s="72">
        <f t="shared" si="154"/>
        <v>-25466.397278480992</v>
      </c>
      <c r="R1385" s="45">
        <f t="shared" si="155"/>
        <v>2533.6027215190079</v>
      </c>
      <c r="S1385" s="373" t="s">
        <v>781</v>
      </c>
      <c r="T1385" s="391" t="s">
        <v>549</v>
      </c>
      <c r="W1385" s="103"/>
      <c r="X1385" s="111"/>
      <c r="Y1385" s="112"/>
      <c r="Z1385" s="55"/>
      <c r="AA1385" s="489"/>
      <c r="AB1385" s="95"/>
      <c r="AC1385" s="20"/>
      <c r="AD1385" s="96"/>
      <c r="AE1385" s="93"/>
      <c r="AF1385" s="20"/>
      <c r="AG1385" s="20"/>
      <c r="AH1385" s="20"/>
      <c r="AI1385" s="20"/>
    </row>
    <row r="1386" spans="1:35" ht="12.75" customHeight="1">
      <c r="A1386" s="319"/>
      <c r="D1386" s="20" t="s">
        <v>14</v>
      </c>
      <c r="E1386" s="42">
        <f>E1381</f>
        <v>8483.35</v>
      </c>
      <c r="F1386" s="20"/>
      <c r="G1386" s="20"/>
      <c r="H1386" s="490">
        <f>G1387+E1387</f>
        <v>1119.6899999999996</v>
      </c>
      <c r="I1386" s="26"/>
      <c r="K1386" s="297"/>
      <c r="L1386" s="116" t="s">
        <v>684</v>
      </c>
      <c r="M1386" s="45">
        <v>500</v>
      </c>
      <c r="N1386" s="538">
        <f t="shared" ref="N1386:N1423" si="156">N1385+M1386</f>
        <v>668.17009400001791</v>
      </c>
      <c r="O1386" s="253"/>
      <c r="P1386" s="133">
        <v>-387.31</v>
      </c>
      <c r="Q1386" s="72">
        <f t="shared" si="154"/>
        <v>-25853.707278480993</v>
      </c>
      <c r="R1386" s="45">
        <f t="shared" si="155"/>
        <v>2146.2927215190066</v>
      </c>
      <c r="S1386" s="373" t="s">
        <v>270</v>
      </c>
      <c r="T1386" s="391" t="s">
        <v>549</v>
      </c>
      <c r="U1386" s="74"/>
      <c r="V1386" s="26"/>
      <c r="W1386" s="111"/>
      <c r="X1386" s="111"/>
      <c r="Y1386" s="112"/>
      <c r="Z1386" s="55"/>
      <c r="AA1386" s="489"/>
      <c r="AB1386" s="26"/>
      <c r="AC1386" s="20"/>
      <c r="AD1386" s="41"/>
      <c r="AE1386" s="93"/>
      <c r="AF1386" s="20"/>
      <c r="AG1386" s="20"/>
      <c r="AH1386" s="20"/>
      <c r="AI1386" s="20"/>
    </row>
    <row r="1387" spans="1:35" ht="12.75" customHeight="1" thickBot="1">
      <c r="A1387" s="319"/>
      <c r="D1387" s="78" t="s">
        <v>13</v>
      </c>
      <c r="E1387" s="483">
        <f>SUM(E1382:E1382)</f>
        <v>1119.6899999999996</v>
      </c>
      <c r="F1387" s="482" t="s">
        <v>364</v>
      </c>
      <c r="G1387" s="1037"/>
      <c r="H1387" s="1037"/>
      <c r="I1387" s="26"/>
      <c r="K1387" s="297" t="s">
        <v>223</v>
      </c>
      <c r="L1387" s="184" t="s">
        <v>227</v>
      </c>
      <c r="M1387" s="45">
        <v>-449</v>
      </c>
      <c r="N1387" s="538">
        <f t="shared" si="156"/>
        <v>219.17009400001791</v>
      </c>
      <c r="O1387" s="253"/>
      <c r="P1387" s="133">
        <v>-710</v>
      </c>
      <c r="Q1387" s="72">
        <f t="shared" si="154"/>
        <v>-26563.707278480993</v>
      </c>
      <c r="R1387" s="45">
        <f t="shared" si="155"/>
        <v>1436.2927215190066</v>
      </c>
      <c r="S1387" s="373" t="s">
        <v>812</v>
      </c>
      <c r="T1387" s="391" t="s">
        <v>549</v>
      </c>
      <c r="U1387" s="74"/>
      <c r="V1387" s="26"/>
      <c r="W1387" s="20"/>
      <c r="X1387" s="20"/>
      <c r="Y1387" s="112"/>
      <c r="Z1387" s="239"/>
      <c r="AA1387" s="94"/>
      <c r="AB1387" s="26"/>
      <c r="AC1387" s="20"/>
      <c r="AD1387" s="92"/>
      <c r="AE1387" s="93"/>
      <c r="AF1387" s="20"/>
      <c r="AG1387" s="20"/>
      <c r="AH1387" s="20"/>
      <c r="AI1387" s="20"/>
    </row>
    <row r="1388" spans="1:35" ht="12.75" customHeight="1" thickTop="1">
      <c r="A1388" s="319"/>
      <c r="D1388" s="20"/>
      <c r="E1388" s="26"/>
      <c r="F1388" s="122"/>
      <c r="G1388" s="1038">
        <f>E1386+E1387+G1387</f>
        <v>9603.0400000000009</v>
      </c>
      <c r="H1388" s="1038"/>
      <c r="I1388" s="26"/>
      <c r="K1388" s="297" t="s">
        <v>223</v>
      </c>
      <c r="L1388" s="116" t="s">
        <v>524</v>
      </c>
      <c r="M1388" s="45">
        <v>-10</v>
      </c>
      <c r="N1388" s="538">
        <f t="shared" si="156"/>
        <v>209.17009400001791</v>
      </c>
      <c r="O1388" s="253"/>
      <c r="P1388" s="133">
        <v>-321.93</v>
      </c>
      <c r="Q1388" s="72">
        <f t="shared" si="154"/>
        <v>-26885.637278480994</v>
      </c>
      <c r="R1388" s="45">
        <f t="shared" si="155"/>
        <v>1114.3627215190063</v>
      </c>
      <c r="S1388" s="373" t="s">
        <v>253</v>
      </c>
      <c r="T1388" s="391"/>
      <c r="U1388" s="74"/>
      <c r="V1388" s="26"/>
      <c r="W1388" s="26"/>
      <c r="X1388" s="20"/>
      <c r="Y1388" s="112"/>
      <c r="Z1388" s="239"/>
      <c r="AA1388" s="94"/>
      <c r="AB1388" s="95"/>
      <c r="AC1388" s="20"/>
      <c r="AD1388" s="92"/>
      <c r="AE1388" s="93"/>
      <c r="AF1388" s="20"/>
      <c r="AG1388" s="20"/>
      <c r="AH1388" s="20"/>
      <c r="AI1388" s="20"/>
    </row>
    <row r="1389" spans="1:35" ht="12.75" customHeight="1">
      <c r="A1389" s="333"/>
      <c r="B1389" s="333"/>
      <c r="C1389" s="333"/>
      <c r="D1389" s="408"/>
      <c r="E1389" s="412"/>
      <c r="F1389" s="50"/>
      <c r="G1389" s="409"/>
      <c r="H1389" s="967"/>
      <c r="I1389" s="26"/>
      <c r="K1389" s="273"/>
      <c r="L1389" s="116" t="s">
        <v>818</v>
      </c>
      <c r="M1389" s="45">
        <v>-70</v>
      </c>
      <c r="N1389" s="538">
        <f t="shared" si="156"/>
        <v>139.17009400001791</v>
      </c>
      <c r="O1389" s="253"/>
      <c r="P1389" s="133">
        <v>-94.5</v>
      </c>
      <c r="Q1389" s="72">
        <f t="shared" si="154"/>
        <v>-26980.137278480994</v>
      </c>
      <c r="R1389" s="45">
        <f t="shared" si="155"/>
        <v>1019.8627215190063</v>
      </c>
      <c r="S1389" s="373" t="s">
        <v>813</v>
      </c>
      <c r="T1389" s="391"/>
      <c r="U1389" s="20"/>
      <c r="V1389" s="20"/>
      <c r="W1389" s="26"/>
      <c r="X1389" s="91"/>
      <c r="Y1389" s="20"/>
      <c r="Z1389" s="239"/>
      <c r="AA1389" s="94"/>
      <c r="AB1389" s="26"/>
      <c r="AC1389" s="20"/>
      <c r="AD1389" s="20"/>
      <c r="AE1389" s="20"/>
      <c r="AF1389" s="20"/>
      <c r="AG1389" s="20"/>
      <c r="AH1389" s="20"/>
      <c r="AI1389" s="20"/>
    </row>
    <row r="1390" spans="1:35" ht="12.75" customHeight="1">
      <c r="A1390" s="333"/>
      <c r="B1390" s="333"/>
      <c r="C1390" s="333"/>
      <c r="D1390" s="133"/>
      <c r="E1390" s="133"/>
      <c r="F1390" s="50"/>
      <c r="G1390" s="409"/>
      <c r="H1390" s="401"/>
      <c r="I1390" s="26"/>
      <c r="K1390" s="273"/>
      <c r="L1390" s="116" t="s">
        <v>762</v>
      </c>
      <c r="M1390" s="45">
        <v>-10</v>
      </c>
      <c r="N1390" s="538">
        <f t="shared" si="156"/>
        <v>129.17009400001791</v>
      </c>
      <c r="O1390" s="253"/>
      <c r="P1390" s="133">
        <v>-191.86</v>
      </c>
      <c r="Q1390" s="72">
        <f t="shared" si="154"/>
        <v>-27171.997278480994</v>
      </c>
      <c r="R1390" s="45">
        <f t="shared" si="155"/>
        <v>828.00272151900572</v>
      </c>
      <c r="S1390" s="373" t="s">
        <v>814</v>
      </c>
      <c r="T1390" s="391" t="s">
        <v>549</v>
      </c>
      <c r="U1390" s="20"/>
      <c r="V1390" s="26"/>
      <c r="W1390" s="26"/>
      <c r="X1390" s="91"/>
      <c r="Y1390" s="20"/>
      <c r="Z1390" s="239"/>
      <c r="AA1390" s="94"/>
      <c r="AB1390" s="26"/>
      <c r="AC1390" s="20"/>
      <c r="AD1390" s="20"/>
      <c r="AE1390" s="20"/>
      <c r="AF1390" s="20"/>
      <c r="AG1390" s="20"/>
      <c r="AH1390" s="20"/>
      <c r="AI1390" s="20"/>
    </row>
    <row r="1391" spans="1:35" ht="12.75" customHeight="1">
      <c r="A1391" s="333"/>
      <c r="B1391" s="333"/>
      <c r="C1391" s="333"/>
      <c r="D1391" s="133"/>
      <c r="E1391" s="133"/>
      <c r="F1391" s="50"/>
      <c r="G1391" s="409"/>
      <c r="H1391" s="401"/>
      <c r="I1391" s="26"/>
      <c r="K1391" s="273"/>
      <c r="L1391" s="116" t="s">
        <v>820</v>
      </c>
      <c r="M1391" s="45">
        <v>133</v>
      </c>
      <c r="N1391" s="538">
        <f t="shared" si="156"/>
        <v>262.17009400001791</v>
      </c>
      <c r="O1391" s="253"/>
      <c r="P1391" s="133">
        <v>-130.32</v>
      </c>
      <c r="Q1391" s="72">
        <f t="shared" si="154"/>
        <v>-27302.317278480994</v>
      </c>
      <c r="R1391" s="45">
        <f t="shared" si="155"/>
        <v>697.68272151900601</v>
      </c>
      <c r="S1391" s="373" t="s">
        <v>723</v>
      </c>
      <c r="T1391" s="391" t="s">
        <v>549</v>
      </c>
      <c r="U1391" s="20"/>
      <c r="V1391" s="26"/>
      <c r="W1391" s="26"/>
      <c r="X1391" s="91"/>
      <c r="Y1391" s="20"/>
      <c r="Z1391" s="239"/>
      <c r="AA1391" s="94"/>
      <c r="AB1391" s="26"/>
      <c r="AC1391" s="20"/>
      <c r="AD1391" s="20"/>
      <c r="AE1391" s="20"/>
      <c r="AF1391" s="20"/>
      <c r="AG1391" s="20"/>
      <c r="AH1391" s="20"/>
      <c r="AI1391" s="20"/>
    </row>
    <row r="1392" spans="1:35" ht="12.75" customHeight="1">
      <c r="A1392" s="333"/>
      <c r="B1392" s="333"/>
      <c r="C1392" s="333"/>
      <c r="D1392" s="133"/>
      <c r="E1392" s="133"/>
      <c r="F1392" s="50"/>
      <c r="G1392" s="409"/>
      <c r="H1392" s="401"/>
      <c r="I1392" s="26"/>
      <c r="K1392" s="273"/>
      <c r="L1392" s="116" t="s">
        <v>159</v>
      </c>
      <c r="M1392" s="45">
        <v>1200</v>
      </c>
      <c r="N1392" s="538">
        <f t="shared" si="156"/>
        <v>1462.1700940000178</v>
      </c>
      <c r="O1392" s="253"/>
      <c r="P1392" s="133">
        <v>-216.51</v>
      </c>
      <c r="Q1392" s="72">
        <f t="shared" si="154"/>
        <v>-27518.827278480992</v>
      </c>
      <c r="R1392" s="45">
        <f t="shared" si="155"/>
        <v>481.17272151900761</v>
      </c>
      <c r="S1392" s="373" t="s">
        <v>282</v>
      </c>
      <c r="T1392" s="391"/>
      <c r="U1392" s="20"/>
      <c r="V1392" s="26"/>
      <c r="W1392" s="26"/>
      <c r="X1392" s="91"/>
      <c r="Y1392" s="20"/>
      <c r="Z1392" s="239"/>
      <c r="AA1392" s="94"/>
      <c r="AB1392" s="26"/>
      <c r="AC1392" s="20"/>
      <c r="AD1392" s="20"/>
      <c r="AE1392" s="20"/>
      <c r="AF1392" s="20"/>
      <c r="AG1392" s="20"/>
      <c r="AH1392" s="20"/>
      <c r="AI1392" s="20"/>
    </row>
    <row r="1393" spans="1:35" ht="12.75" customHeight="1">
      <c r="A1393" s="333"/>
      <c r="B1393" s="333"/>
      <c r="C1393" s="333"/>
      <c r="D1393" s="133"/>
      <c r="E1393" s="133"/>
      <c r="F1393" s="50"/>
      <c r="G1393" s="409"/>
      <c r="H1393" s="401"/>
      <c r="I1393" s="26"/>
      <c r="K1393" s="273"/>
      <c r="L1393" s="116" t="s">
        <v>823</v>
      </c>
      <c r="M1393" s="45">
        <v>-119.88</v>
      </c>
      <c r="N1393" s="538">
        <f t="shared" si="156"/>
        <v>1342.2900940000177</v>
      </c>
      <c r="O1393" s="253"/>
      <c r="P1393" s="133">
        <v>-29</v>
      </c>
      <c r="Q1393" s="72">
        <f t="shared" si="154"/>
        <v>-27547.827278480992</v>
      </c>
      <c r="R1393" s="45">
        <f t="shared" si="155"/>
        <v>452.17272151900761</v>
      </c>
      <c r="S1393" s="373" t="s">
        <v>815</v>
      </c>
      <c r="T1393" s="391" t="s">
        <v>549</v>
      </c>
      <c r="U1393" s="20"/>
      <c r="V1393" s="26"/>
      <c r="W1393" s="26"/>
      <c r="X1393" s="91"/>
      <c r="Y1393" s="20"/>
      <c r="Z1393" s="239"/>
      <c r="AA1393" s="94"/>
      <c r="AB1393" s="26"/>
      <c r="AC1393" s="20"/>
      <c r="AD1393" s="20"/>
      <c r="AE1393" s="20"/>
      <c r="AF1393" s="20"/>
      <c r="AG1393" s="20"/>
      <c r="AH1393" s="20"/>
      <c r="AI1393" s="20"/>
    </row>
    <row r="1394" spans="1:35" ht="12.75" customHeight="1">
      <c r="A1394" s="333"/>
      <c r="B1394" s="333"/>
      <c r="C1394" s="333"/>
      <c r="D1394" s="133"/>
      <c r="E1394" s="133"/>
      <c r="F1394" s="50"/>
      <c r="G1394" s="409"/>
      <c r="H1394" s="401"/>
      <c r="I1394" s="26"/>
      <c r="K1394" s="273"/>
      <c r="L1394" s="116" t="s">
        <v>710</v>
      </c>
      <c r="M1394" s="45">
        <v>-300</v>
      </c>
      <c r="N1394" s="538">
        <f t="shared" si="156"/>
        <v>1042.2900940000177</v>
      </c>
      <c r="O1394" s="253"/>
      <c r="P1394" s="133">
        <v>2000</v>
      </c>
      <c r="Q1394" s="72">
        <f t="shared" si="154"/>
        <v>-25547.827278480992</v>
      </c>
      <c r="R1394" s="45">
        <f t="shared" si="155"/>
        <v>2452.1727215190076</v>
      </c>
      <c r="S1394" s="373" t="s">
        <v>280</v>
      </c>
      <c r="T1394" s="391"/>
      <c r="U1394" s="20"/>
      <c r="V1394" s="26"/>
      <c r="W1394" s="26"/>
      <c r="X1394" s="91"/>
      <c r="Y1394" s="20"/>
      <c r="Z1394" s="239"/>
      <c r="AA1394" s="94"/>
      <c r="AB1394" s="26"/>
      <c r="AC1394" s="20"/>
      <c r="AD1394" s="20"/>
      <c r="AE1394" s="20"/>
      <c r="AF1394" s="20"/>
      <c r="AG1394" s="20"/>
      <c r="AH1394" s="20"/>
      <c r="AI1394" s="20"/>
    </row>
    <row r="1395" spans="1:35" ht="12.75" customHeight="1">
      <c r="A1395" s="333"/>
      <c r="B1395" s="333"/>
      <c r="C1395" s="333"/>
      <c r="D1395" s="133"/>
      <c r="E1395" s="133"/>
      <c r="F1395" s="50"/>
      <c r="G1395" s="409"/>
      <c r="H1395" s="401"/>
      <c r="I1395" s="26"/>
      <c r="K1395" s="273"/>
      <c r="L1395" s="116" t="s">
        <v>824</v>
      </c>
      <c r="M1395" s="45">
        <v>-170</v>
      </c>
      <c r="N1395" s="538">
        <f t="shared" si="156"/>
        <v>872.29009400001769</v>
      </c>
      <c r="O1395" s="253"/>
      <c r="P1395" s="133">
        <v>-555.33000000000004</v>
      </c>
      <c r="Q1395" s="72">
        <f t="shared" si="154"/>
        <v>-26103.157278480994</v>
      </c>
      <c r="R1395" s="45">
        <f t="shared" si="155"/>
        <v>1896.8427215190059</v>
      </c>
      <c r="S1395" s="373" t="s">
        <v>797</v>
      </c>
      <c r="T1395" s="391" t="s">
        <v>549</v>
      </c>
      <c r="U1395" s="20"/>
      <c r="V1395" s="26"/>
      <c r="W1395" s="26"/>
      <c r="X1395" s="91"/>
      <c r="Y1395" s="20"/>
      <c r="Z1395" s="239"/>
      <c r="AA1395" s="94"/>
      <c r="AB1395" s="26"/>
      <c r="AC1395" s="20"/>
      <c r="AD1395" s="20"/>
      <c r="AE1395" s="20"/>
      <c r="AF1395" s="20"/>
      <c r="AG1395" s="20"/>
      <c r="AH1395" s="20"/>
      <c r="AI1395" s="20"/>
    </row>
    <row r="1396" spans="1:35" ht="12.75" customHeight="1">
      <c r="A1396" s="333"/>
      <c r="B1396" s="333"/>
      <c r="C1396" s="333"/>
      <c r="D1396" s="133"/>
      <c r="E1396" s="133"/>
      <c r="F1396" s="50"/>
      <c r="G1396" s="409"/>
      <c r="H1396" s="401"/>
      <c r="I1396" s="26"/>
      <c r="K1396" s="273"/>
      <c r="L1396" s="116" t="s">
        <v>752</v>
      </c>
      <c r="M1396" s="45">
        <v>-29</v>
      </c>
      <c r="N1396" s="538">
        <f t="shared" si="156"/>
        <v>843.29009400001769</v>
      </c>
      <c r="O1396" s="253"/>
      <c r="P1396" s="133">
        <v>-158.52000000000001</v>
      </c>
      <c r="Q1396" s="72">
        <f t="shared" si="154"/>
        <v>-26261.677278480995</v>
      </c>
      <c r="R1396" s="45">
        <f t="shared" si="155"/>
        <v>1738.3227215190054</v>
      </c>
      <c r="S1396" s="373" t="s">
        <v>270</v>
      </c>
      <c r="T1396" s="391" t="s">
        <v>549</v>
      </c>
      <c r="U1396" s="20"/>
      <c r="V1396" s="26"/>
      <c r="W1396" s="26"/>
      <c r="X1396" s="91"/>
      <c r="Y1396" s="20"/>
      <c r="Z1396" s="239"/>
      <c r="AA1396" s="94"/>
      <c r="AB1396" s="26"/>
      <c r="AC1396" s="20"/>
      <c r="AD1396" s="20"/>
      <c r="AE1396" s="20"/>
      <c r="AF1396" s="20"/>
      <c r="AG1396" s="20"/>
      <c r="AH1396" s="20"/>
      <c r="AI1396" s="20"/>
    </row>
    <row r="1397" spans="1:35" ht="12.75" customHeight="1">
      <c r="A1397" s="333"/>
      <c r="B1397" s="333"/>
      <c r="C1397" s="333"/>
      <c r="D1397" s="133"/>
      <c r="E1397" s="133"/>
      <c r="F1397" s="50"/>
      <c r="G1397" s="409"/>
      <c r="H1397" s="401"/>
      <c r="I1397" s="26"/>
      <c r="K1397" s="273"/>
      <c r="L1397" s="116" t="s">
        <v>684</v>
      </c>
      <c r="M1397" s="45">
        <v>1000</v>
      </c>
      <c r="N1397" s="538">
        <f t="shared" si="156"/>
        <v>1843.2900940000177</v>
      </c>
      <c r="O1397" s="253"/>
      <c r="P1397" s="133">
        <v>-195.4</v>
      </c>
      <c r="Q1397" s="72">
        <f t="shared" si="154"/>
        <v>-26457.077278480996</v>
      </c>
      <c r="R1397" s="45">
        <f t="shared" si="155"/>
        <v>1542.922721519004</v>
      </c>
      <c r="S1397" s="373" t="s">
        <v>816</v>
      </c>
      <c r="T1397" s="391"/>
      <c r="U1397" s="20"/>
      <c r="V1397" s="26"/>
      <c r="W1397" s="26"/>
      <c r="X1397" s="91"/>
      <c r="Y1397" s="20"/>
      <c r="Z1397" s="239"/>
      <c r="AA1397" s="94"/>
      <c r="AB1397" s="26"/>
      <c r="AC1397" s="20"/>
      <c r="AD1397" s="20"/>
      <c r="AE1397" s="20"/>
      <c r="AF1397" s="20"/>
      <c r="AG1397" s="20"/>
      <c r="AH1397" s="20"/>
      <c r="AI1397" s="20"/>
    </row>
    <row r="1398" spans="1:35" ht="12.75" customHeight="1">
      <c r="A1398" s="333"/>
      <c r="B1398" s="333"/>
      <c r="C1398" s="333"/>
      <c r="D1398" s="133"/>
      <c r="E1398" s="133"/>
      <c r="F1398" s="50"/>
      <c r="G1398" s="409"/>
      <c r="H1398" s="401"/>
      <c r="I1398" s="26"/>
      <c r="K1398" s="273"/>
      <c r="L1398" s="116" t="s">
        <v>825</v>
      </c>
      <c r="M1398" s="45">
        <v>-1200</v>
      </c>
      <c r="N1398" s="538">
        <f t="shared" si="156"/>
        <v>643.29009400001769</v>
      </c>
      <c r="O1398" s="253"/>
      <c r="P1398" s="133">
        <v>-134.69999999999999</v>
      </c>
      <c r="Q1398" s="72">
        <f t="shared" si="154"/>
        <v>-26591.777278480997</v>
      </c>
      <c r="R1398" s="45">
        <f t="shared" si="155"/>
        <v>1408.2227215190032</v>
      </c>
      <c r="S1398" s="373" t="s">
        <v>817</v>
      </c>
      <c r="T1398" s="391"/>
      <c r="U1398" s="20"/>
      <c r="V1398" s="26"/>
      <c r="W1398" s="26"/>
      <c r="X1398" s="91"/>
      <c r="Y1398" s="20"/>
      <c r="Z1398" s="239"/>
      <c r="AA1398" s="94"/>
      <c r="AB1398" s="26"/>
      <c r="AC1398" s="20"/>
      <c r="AD1398" s="20"/>
      <c r="AE1398" s="20"/>
      <c r="AF1398" s="20"/>
      <c r="AG1398" s="20"/>
      <c r="AH1398" s="20"/>
      <c r="AI1398" s="20"/>
    </row>
    <row r="1399" spans="1:35" ht="12.75" customHeight="1">
      <c r="A1399" s="333"/>
      <c r="B1399" s="333"/>
      <c r="C1399" s="333"/>
      <c r="D1399" s="133"/>
      <c r="E1399" s="133"/>
      <c r="F1399" s="50"/>
      <c r="G1399" s="409"/>
      <c r="H1399" s="401"/>
      <c r="I1399" s="26"/>
      <c r="K1399" s="273"/>
      <c r="L1399" s="116" t="s">
        <v>762</v>
      </c>
      <c r="M1399" s="45">
        <v>-5</v>
      </c>
      <c r="N1399" s="538">
        <f t="shared" si="156"/>
        <v>638.29009400001769</v>
      </c>
      <c r="O1399" s="253"/>
      <c r="P1399" s="133">
        <v>-47</v>
      </c>
      <c r="Q1399" s="72">
        <f t="shared" si="154"/>
        <v>-26638.777278480997</v>
      </c>
      <c r="R1399" s="45">
        <f t="shared" si="155"/>
        <v>1361.2227215190032</v>
      </c>
      <c r="S1399" s="373" t="s">
        <v>572</v>
      </c>
      <c r="T1399" s="391"/>
      <c r="U1399" s="20"/>
      <c r="V1399" s="26"/>
      <c r="W1399" s="26"/>
      <c r="X1399" s="91"/>
      <c r="Y1399" s="20"/>
      <c r="Z1399" s="239"/>
      <c r="AA1399" s="94"/>
      <c r="AB1399" s="26"/>
      <c r="AC1399" s="20"/>
      <c r="AD1399" s="20"/>
      <c r="AE1399" s="20"/>
      <c r="AF1399" s="20"/>
      <c r="AG1399" s="20"/>
      <c r="AH1399" s="20"/>
      <c r="AI1399" s="20"/>
    </row>
    <row r="1400" spans="1:35" ht="12.75" customHeight="1">
      <c r="A1400" s="333"/>
      <c r="B1400" s="333"/>
      <c r="C1400" s="333"/>
      <c r="D1400" s="133"/>
      <c r="E1400" s="133"/>
      <c r="F1400" s="50"/>
      <c r="G1400" s="409"/>
      <c r="H1400" s="401"/>
      <c r="I1400" s="26"/>
      <c r="K1400" s="273"/>
      <c r="L1400" s="116" t="s">
        <v>752</v>
      </c>
      <c r="M1400" s="45">
        <v>-29</v>
      </c>
      <c r="N1400" s="538">
        <f t="shared" si="156"/>
        <v>609.29009400001769</v>
      </c>
      <c r="O1400" s="253"/>
      <c r="P1400" s="133">
        <v>-47</v>
      </c>
      <c r="Q1400" s="72">
        <f t="shared" si="154"/>
        <v>-26685.777278480997</v>
      </c>
      <c r="R1400" s="45">
        <f t="shared" si="155"/>
        <v>1314.2227215190032</v>
      </c>
      <c r="S1400" s="373" t="s">
        <v>572</v>
      </c>
      <c r="T1400" s="391"/>
      <c r="U1400" s="20"/>
      <c r="V1400" s="26"/>
      <c r="W1400" s="26"/>
      <c r="X1400" s="91"/>
      <c r="Y1400" s="20"/>
      <c r="Z1400" s="239"/>
      <c r="AA1400" s="94"/>
      <c r="AB1400" s="26"/>
      <c r="AC1400" s="20"/>
      <c r="AD1400" s="20"/>
      <c r="AE1400" s="20"/>
      <c r="AF1400" s="20"/>
      <c r="AG1400" s="20"/>
      <c r="AH1400" s="20"/>
      <c r="AI1400" s="20"/>
    </row>
    <row r="1401" spans="1:35" ht="12.75" customHeight="1">
      <c r="A1401" s="333"/>
      <c r="B1401" s="333"/>
      <c r="C1401" s="333"/>
      <c r="D1401" s="133"/>
      <c r="E1401" s="133"/>
      <c r="F1401" s="50"/>
      <c r="G1401" s="409"/>
      <c r="H1401" s="401"/>
      <c r="I1401" s="26"/>
      <c r="K1401" s="273"/>
      <c r="L1401" s="116" t="s">
        <v>313</v>
      </c>
      <c r="M1401" s="45">
        <f>-483.18-9.95</f>
        <v>-493.13</v>
      </c>
      <c r="N1401" s="538">
        <f t="shared" si="156"/>
        <v>116.16009400001769</v>
      </c>
      <c r="O1401" s="253"/>
      <c r="P1401" s="133">
        <v>-295.92</v>
      </c>
      <c r="Q1401" s="72">
        <f t="shared" si="154"/>
        <v>-26981.697278480995</v>
      </c>
      <c r="R1401" s="45">
        <f t="shared" si="155"/>
        <v>1018.302721519005</v>
      </c>
      <c r="S1401" s="373" t="s">
        <v>270</v>
      </c>
      <c r="T1401" s="391"/>
      <c r="U1401" s="20"/>
      <c r="V1401" s="26"/>
      <c r="W1401" s="26"/>
      <c r="X1401" s="91"/>
      <c r="Y1401" s="20"/>
      <c r="Z1401" s="239"/>
      <c r="AA1401" s="94"/>
      <c r="AB1401" s="26"/>
      <c r="AC1401" s="20"/>
      <c r="AD1401" s="20"/>
      <c r="AE1401" s="20"/>
      <c r="AF1401" s="20"/>
      <c r="AG1401" s="20"/>
      <c r="AH1401" s="20"/>
      <c r="AI1401" s="20"/>
    </row>
    <row r="1402" spans="1:35" ht="12.75" customHeight="1">
      <c r="A1402" s="333"/>
      <c r="B1402" s="333"/>
      <c r="C1402" s="333"/>
      <c r="D1402" s="133"/>
      <c r="E1402" s="133"/>
      <c r="F1402" s="50"/>
      <c r="G1402" s="409"/>
      <c r="H1402" s="401"/>
      <c r="I1402" s="26"/>
      <c r="K1402" s="273"/>
      <c r="L1402" s="116" t="s">
        <v>529</v>
      </c>
      <c r="M1402" s="45">
        <v>-81.2</v>
      </c>
      <c r="N1402" s="538">
        <f t="shared" si="156"/>
        <v>34.960094000017691</v>
      </c>
      <c r="O1402" s="253"/>
      <c r="P1402" s="133">
        <v>-10.9</v>
      </c>
      <c r="Q1402" s="72">
        <f t="shared" si="154"/>
        <v>-26992.597278480996</v>
      </c>
      <c r="R1402" s="45">
        <f t="shared" si="155"/>
        <v>1007.4027215190035</v>
      </c>
      <c r="S1402" s="373" t="s">
        <v>821</v>
      </c>
      <c r="T1402" s="391"/>
      <c r="U1402" s="20"/>
      <c r="V1402" s="26"/>
      <c r="W1402" s="26"/>
      <c r="X1402" s="91"/>
      <c r="Y1402" s="20"/>
      <c r="Z1402" s="239"/>
      <c r="AA1402" s="94"/>
      <c r="AB1402" s="26"/>
      <c r="AC1402" s="20"/>
      <c r="AD1402" s="20"/>
      <c r="AE1402" s="20"/>
      <c r="AF1402" s="20"/>
      <c r="AG1402" s="20"/>
      <c r="AH1402" s="20"/>
      <c r="AI1402" s="20"/>
    </row>
    <row r="1403" spans="1:35" ht="12.75" customHeight="1">
      <c r="A1403" s="333"/>
      <c r="B1403" s="333"/>
      <c r="C1403" s="333"/>
      <c r="D1403" s="133"/>
      <c r="E1403" s="133"/>
      <c r="F1403" s="50"/>
      <c r="G1403" s="409"/>
      <c r="H1403" s="401"/>
      <c r="I1403" s="26"/>
      <c r="K1403" s="273"/>
      <c r="L1403" s="116" t="s">
        <v>24</v>
      </c>
      <c r="M1403" s="45">
        <v>2000</v>
      </c>
      <c r="N1403" s="538">
        <f t="shared" si="156"/>
        <v>2034.9600940000178</v>
      </c>
      <c r="O1403" s="253"/>
      <c r="P1403" s="133">
        <v>-543.78</v>
      </c>
      <c r="Q1403" s="72">
        <f t="shared" si="154"/>
        <v>-27536.377278480995</v>
      </c>
      <c r="R1403" s="45">
        <f t="shared" si="155"/>
        <v>463.6227215190047</v>
      </c>
      <c r="S1403" s="373" t="s">
        <v>797</v>
      </c>
      <c r="T1403" s="391"/>
      <c r="U1403" s="20"/>
      <c r="V1403" s="26"/>
      <c r="W1403" s="26"/>
      <c r="X1403" s="91"/>
      <c r="Y1403" s="20"/>
      <c r="Z1403" s="239"/>
      <c r="AA1403" s="94"/>
      <c r="AB1403" s="26"/>
      <c r="AC1403" s="20"/>
      <c r="AD1403" s="20"/>
      <c r="AE1403" s="20"/>
      <c r="AF1403" s="20"/>
      <c r="AG1403" s="20"/>
      <c r="AH1403" s="20"/>
      <c r="AI1403" s="20"/>
    </row>
    <row r="1404" spans="1:35" ht="12.75" customHeight="1">
      <c r="A1404" s="333"/>
      <c r="B1404" s="333"/>
      <c r="C1404" s="333"/>
      <c r="D1404" s="133"/>
      <c r="E1404" s="133"/>
      <c r="F1404" s="50"/>
      <c r="G1404" s="409"/>
      <c r="H1404" s="401"/>
      <c r="I1404" s="26"/>
      <c r="K1404" s="273"/>
      <c r="L1404" s="116" t="s">
        <v>762</v>
      </c>
      <c r="M1404" s="45">
        <v>-10</v>
      </c>
      <c r="N1404" s="538">
        <f t="shared" si="156"/>
        <v>2024.9600940000178</v>
      </c>
      <c r="O1404" s="253"/>
      <c r="P1404" s="133">
        <v>-45.85</v>
      </c>
      <c r="Q1404" s="72">
        <f t="shared" ref="Q1404:Q1410" si="157">Q1403+P1404</f>
        <v>-27582.227278480994</v>
      </c>
      <c r="R1404" s="45">
        <f t="shared" ref="R1404:R1410" si="158">28000+Q1404</f>
        <v>417.77272151900615</v>
      </c>
      <c r="S1404" s="373" t="s">
        <v>822</v>
      </c>
      <c r="T1404" s="391"/>
      <c r="U1404" s="20"/>
      <c r="V1404" s="26"/>
      <c r="W1404" s="26"/>
      <c r="X1404" s="91"/>
      <c r="Y1404" s="20"/>
      <c r="Z1404" s="239"/>
      <c r="AA1404" s="94"/>
      <c r="AB1404" s="26"/>
      <c r="AC1404" s="20"/>
      <c r="AD1404" s="20"/>
      <c r="AE1404" s="20"/>
      <c r="AF1404" s="20"/>
      <c r="AG1404" s="20"/>
      <c r="AH1404" s="20"/>
      <c r="AI1404" s="20"/>
    </row>
    <row r="1405" spans="1:35" ht="12.75" customHeight="1">
      <c r="A1405" s="333"/>
      <c r="B1405" s="333"/>
      <c r="C1405" s="333"/>
      <c r="D1405" s="133"/>
      <c r="E1405" s="133"/>
      <c r="F1405" s="50"/>
      <c r="G1405" s="409"/>
      <c r="H1405" s="401"/>
      <c r="I1405" s="26"/>
      <c r="K1405" s="273"/>
      <c r="L1405" s="116" t="s">
        <v>313</v>
      </c>
      <c r="M1405" s="45">
        <v>-72.23</v>
      </c>
      <c r="N1405" s="538">
        <f t="shared" si="156"/>
        <v>1952.7300940000177</v>
      </c>
      <c r="O1405" s="253"/>
      <c r="P1405" s="133">
        <v>-63.9</v>
      </c>
      <c r="Q1405" s="72">
        <f t="shared" si="157"/>
        <v>-27646.127278480995</v>
      </c>
      <c r="R1405" s="45">
        <f t="shared" si="158"/>
        <v>353.8727215190047</v>
      </c>
      <c r="S1405" s="373" t="s">
        <v>291</v>
      </c>
      <c r="T1405" s="391"/>
      <c r="U1405" s="20"/>
      <c r="V1405" s="26"/>
      <c r="W1405" s="26"/>
      <c r="X1405" s="91"/>
      <c r="Y1405" s="20"/>
      <c r="Z1405" s="239"/>
      <c r="AA1405" s="94"/>
      <c r="AB1405" s="26"/>
      <c r="AC1405" s="20"/>
      <c r="AD1405" s="20"/>
      <c r="AE1405" s="20"/>
      <c r="AF1405" s="20"/>
      <c r="AG1405" s="20"/>
      <c r="AH1405" s="20"/>
      <c r="AI1405" s="20"/>
    </row>
    <row r="1406" spans="1:35" ht="12.75" customHeight="1">
      <c r="A1406" s="333"/>
      <c r="B1406" s="333"/>
      <c r="C1406" s="333"/>
      <c r="D1406" s="133"/>
      <c r="E1406" s="133"/>
      <c r="F1406" s="50"/>
      <c r="G1406" s="409"/>
      <c r="H1406" s="401"/>
      <c r="I1406" s="26"/>
      <c r="K1406" s="273"/>
      <c r="L1406" s="116" t="s">
        <v>24</v>
      </c>
      <c r="M1406" s="45">
        <v>-1066.47</v>
      </c>
      <c r="N1406" s="538">
        <f t="shared" si="156"/>
        <v>886.26009400001772</v>
      </c>
      <c r="O1406" s="253"/>
      <c r="P1406" s="133">
        <v>-136.91999999999999</v>
      </c>
      <c r="Q1406" s="72">
        <f t="shared" si="157"/>
        <v>-27783.047278480994</v>
      </c>
      <c r="R1406" s="45">
        <f t="shared" si="158"/>
        <v>216.95272151900645</v>
      </c>
      <c r="S1406" s="373" t="s">
        <v>270</v>
      </c>
      <c r="T1406" s="391"/>
      <c r="U1406" s="20"/>
      <c r="V1406" s="26"/>
      <c r="W1406" s="26"/>
      <c r="X1406" s="91"/>
      <c r="Y1406" s="20"/>
      <c r="Z1406" s="239"/>
      <c r="AA1406" s="94"/>
      <c r="AB1406" s="26"/>
      <c r="AC1406" s="20"/>
      <c r="AD1406" s="20"/>
      <c r="AE1406" s="20"/>
      <c r="AF1406" s="20"/>
      <c r="AG1406" s="20"/>
      <c r="AH1406" s="20"/>
      <c r="AI1406" s="20"/>
    </row>
    <row r="1407" spans="1:35" ht="12.75" customHeight="1">
      <c r="A1407" s="333"/>
      <c r="B1407" s="333"/>
      <c r="C1407" s="333"/>
      <c r="D1407" s="133"/>
      <c r="E1407" s="133"/>
      <c r="F1407" s="50"/>
      <c r="G1407" s="409"/>
      <c r="H1407" s="401"/>
      <c r="I1407" s="26"/>
      <c r="K1407" s="273"/>
      <c r="L1407" s="116" t="s">
        <v>830</v>
      </c>
      <c r="M1407" s="45">
        <v>-70</v>
      </c>
      <c r="N1407" s="538">
        <f t="shared" si="156"/>
        <v>816.26009400001772</v>
      </c>
      <c r="O1407" s="253"/>
      <c r="P1407" s="133">
        <v>-44.9</v>
      </c>
      <c r="Q1407" s="72">
        <f t="shared" si="157"/>
        <v>-27827.947278480995</v>
      </c>
      <c r="R1407" s="45">
        <f t="shared" si="158"/>
        <v>172.05272151900499</v>
      </c>
      <c r="S1407" s="373" t="s">
        <v>797</v>
      </c>
      <c r="T1407" s="391"/>
      <c r="U1407" s="20"/>
      <c r="V1407" s="26"/>
      <c r="W1407" s="26"/>
      <c r="X1407" s="91"/>
      <c r="Y1407" s="20"/>
      <c r="Z1407" s="239"/>
      <c r="AA1407" s="94"/>
      <c r="AB1407" s="26"/>
      <c r="AC1407" s="20"/>
      <c r="AD1407" s="20"/>
      <c r="AE1407" s="20"/>
      <c r="AF1407" s="20"/>
      <c r="AG1407" s="20"/>
      <c r="AH1407" s="20"/>
      <c r="AI1407" s="20"/>
    </row>
    <row r="1408" spans="1:35" ht="12.75" customHeight="1">
      <c r="A1408" s="333"/>
      <c r="B1408" s="333"/>
      <c r="C1408" s="333"/>
      <c r="D1408" s="133"/>
      <c r="E1408" s="133"/>
      <c r="F1408" s="50"/>
      <c r="G1408" s="409"/>
      <c r="H1408" s="401"/>
      <c r="I1408" s="26"/>
      <c r="K1408" s="273"/>
      <c r="L1408" s="116" t="s">
        <v>752</v>
      </c>
      <c r="M1408" s="45">
        <v>-100</v>
      </c>
      <c r="N1408" s="538">
        <f t="shared" si="156"/>
        <v>716.26009400001772</v>
      </c>
      <c r="O1408" s="253"/>
      <c r="P1408" s="133">
        <v>-238.15</v>
      </c>
      <c r="Q1408" s="72">
        <f t="shared" si="157"/>
        <v>-28066.097278480996</v>
      </c>
      <c r="R1408" s="45">
        <f t="shared" si="158"/>
        <v>-66.097278480996465</v>
      </c>
      <c r="S1408" s="373" t="s">
        <v>270</v>
      </c>
      <c r="T1408" s="391"/>
      <c r="U1408" s="20"/>
      <c r="V1408" s="26"/>
      <c r="W1408" s="26"/>
      <c r="X1408" s="91"/>
      <c r="Y1408" s="20"/>
      <c r="Z1408" s="239"/>
      <c r="AA1408" s="94"/>
      <c r="AB1408" s="26"/>
      <c r="AC1408" s="20"/>
      <c r="AD1408" s="20"/>
      <c r="AE1408" s="20"/>
      <c r="AF1408" s="20"/>
      <c r="AG1408" s="20"/>
      <c r="AH1408" s="20"/>
      <c r="AI1408" s="20"/>
    </row>
    <row r="1409" spans="1:35" ht="12.75" customHeight="1">
      <c r="A1409" s="333"/>
      <c r="B1409" s="333"/>
      <c r="C1409" s="333"/>
      <c r="D1409" s="133"/>
      <c r="E1409" s="133"/>
      <c r="F1409" s="50"/>
      <c r="G1409" s="409"/>
      <c r="H1409" s="401"/>
      <c r="I1409" s="26"/>
      <c r="K1409" s="273"/>
      <c r="L1409" s="116" t="s">
        <v>705</v>
      </c>
      <c r="M1409" s="45">
        <v>-99</v>
      </c>
      <c r="N1409" s="538">
        <f t="shared" si="156"/>
        <v>617.26009400001772</v>
      </c>
      <c r="O1409" s="253"/>
      <c r="P1409" s="133">
        <v>1066.47</v>
      </c>
      <c r="Q1409" s="72">
        <f t="shared" si="157"/>
        <v>-26999.627278480995</v>
      </c>
      <c r="R1409" s="45">
        <f t="shared" si="158"/>
        <v>1000.3727215190047</v>
      </c>
      <c r="S1409" s="373" t="s">
        <v>280</v>
      </c>
      <c r="T1409" s="391"/>
      <c r="U1409" s="20"/>
      <c r="V1409" s="26"/>
      <c r="W1409" s="26"/>
      <c r="X1409" s="91"/>
      <c r="Y1409" s="20"/>
      <c r="Z1409" s="239"/>
      <c r="AA1409" s="94"/>
      <c r="AB1409" s="26"/>
      <c r="AC1409" s="20"/>
      <c r="AD1409" s="20"/>
      <c r="AE1409" s="20"/>
      <c r="AF1409" s="20"/>
      <c r="AG1409" s="20"/>
      <c r="AH1409" s="20"/>
      <c r="AI1409" s="20"/>
    </row>
    <row r="1410" spans="1:35" ht="12.75" customHeight="1">
      <c r="A1410" s="333"/>
      <c r="B1410" s="333"/>
      <c r="C1410" s="333"/>
      <c r="D1410" s="133"/>
      <c r="E1410" s="133"/>
      <c r="F1410" s="50"/>
      <c r="G1410" s="409"/>
      <c r="H1410" s="401"/>
      <c r="I1410" s="26"/>
      <c r="K1410" s="273"/>
      <c r="L1410" s="116" t="s">
        <v>705</v>
      </c>
      <c r="M1410" s="45">
        <v>-99</v>
      </c>
      <c r="N1410" s="538">
        <f t="shared" si="156"/>
        <v>518.26009400001772</v>
      </c>
      <c r="O1410" s="253"/>
      <c r="P1410" s="953">
        <f>E1382</f>
        <v>1119.6899999999996</v>
      </c>
      <c r="Q1410" s="73">
        <f t="shared" si="157"/>
        <v>-25879.937278480997</v>
      </c>
      <c r="R1410" s="45">
        <f t="shared" si="158"/>
        <v>2120.0627215190034</v>
      </c>
      <c r="S1410" s="373" t="s">
        <v>280</v>
      </c>
      <c r="T1410" s="391"/>
      <c r="U1410" s="234"/>
      <c r="V1410" s="26"/>
      <c r="W1410" s="26"/>
      <c r="X1410" s="91"/>
      <c r="Y1410" s="20"/>
      <c r="Z1410" s="239"/>
      <c r="AA1410" s="94"/>
      <c r="AB1410" s="26"/>
      <c r="AC1410" s="20"/>
      <c r="AD1410" s="20"/>
      <c r="AE1410" s="20"/>
      <c r="AF1410" s="20"/>
      <c r="AG1410" s="20"/>
      <c r="AH1410" s="20"/>
      <c r="AI1410" s="20"/>
    </row>
    <row r="1411" spans="1:35" ht="12.75" customHeight="1">
      <c r="A1411" s="333"/>
      <c r="B1411" s="333"/>
      <c r="C1411" s="333"/>
      <c r="D1411" s="133"/>
      <c r="E1411" s="133"/>
      <c r="F1411" s="50"/>
      <c r="G1411" s="409"/>
      <c r="H1411" s="401"/>
      <c r="I1411" s="26"/>
      <c r="K1411" s="273"/>
      <c r="L1411" s="116" t="s">
        <v>835</v>
      </c>
      <c r="M1411" s="45">
        <v>-531.16999999999996</v>
      </c>
      <c r="N1411" s="538">
        <f t="shared" si="156"/>
        <v>-12.909905999982243</v>
      </c>
      <c r="O1411" s="253"/>
      <c r="P1411" s="64">
        <f>SUM(P1382:P1410)</f>
        <v>-25879.937278480997</v>
      </c>
      <c r="Q1411" s="287" t="s">
        <v>243</v>
      </c>
      <c r="R1411" s="317"/>
      <c r="S1411" s="611"/>
      <c r="T1411" s="391"/>
      <c r="U1411" s="20"/>
      <c r="V1411" s="26"/>
      <c r="W1411" s="26"/>
      <c r="X1411" s="91"/>
      <c r="Y1411" s="20"/>
      <c r="Z1411" s="239"/>
      <c r="AA1411" s="94"/>
      <c r="AB1411" s="26"/>
      <c r="AC1411" s="20"/>
      <c r="AD1411" s="20"/>
      <c r="AE1411" s="20"/>
      <c r="AF1411" s="20"/>
      <c r="AG1411" s="20"/>
      <c r="AH1411" s="20"/>
      <c r="AI1411" s="20"/>
    </row>
    <row r="1412" spans="1:35" ht="12.75" customHeight="1">
      <c r="A1412" s="333"/>
      <c r="B1412" s="333"/>
      <c r="C1412" s="333"/>
      <c r="D1412" s="133"/>
      <c r="E1412" s="133"/>
      <c r="F1412" s="50"/>
      <c r="G1412" s="409"/>
      <c r="H1412" s="401"/>
      <c r="I1412" s="874"/>
      <c r="K1412" s="258" t="s">
        <v>248</v>
      </c>
      <c r="L1412" s="266" t="s">
        <v>51</v>
      </c>
      <c r="M1412" s="146">
        <f>E1386</f>
        <v>8483.35</v>
      </c>
      <c r="N1412" s="538">
        <f t="shared" si="156"/>
        <v>8470.4400940000178</v>
      </c>
      <c r="O1412" s="253"/>
      <c r="T1412" s="391"/>
      <c r="U1412" s="20"/>
      <c r="V1412" s="26"/>
      <c r="W1412" s="26"/>
      <c r="X1412" s="91"/>
      <c r="Y1412" s="20"/>
      <c r="Z1412" s="239"/>
      <c r="AA1412" s="94"/>
      <c r="AB1412" s="26"/>
      <c r="AC1412" s="20"/>
      <c r="AD1412" s="20"/>
      <c r="AE1412" s="20"/>
      <c r="AF1412" s="20"/>
      <c r="AG1412" s="20"/>
      <c r="AH1412" s="20"/>
      <c r="AI1412" s="20"/>
    </row>
    <row r="1413" spans="1:35" ht="12.75" customHeight="1">
      <c r="A1413" s="333"/>
      <c r="B1413" s="333"/>
      <c r="C1413" s="333"/>
      <c r="D1413" s="133"/>
      <c r="E1413" s="133"/>
      <c r="F1413" s="50"/>
      <c r="G1413" s="409"/>
      <c r="H1413" s="401"/>
      <c r="I1413" s="315"/>
      <c r="K1413" s="258" t="s">
        <v>248</v>
      </c>
      <c r="L1413" s="266" t="s">
        <v>602</v>
      </c>
      <c r="M1413" s="146">
        <v>-3135</v>
      </c>
      <c r="N1413" s="538">
        <f t="shared" si="156"/>
        <v>5335.4400940000178</v>
      </c>
      <c r="O1413" s="253"/>
      <c r="T1413" s="391"/>
      <c r="U1413" s="20"/>
      <c r="V1413" s="26"/>
      <c r="W1413" s="26"/>
      <c r="X1413" s="91"/>
      <c r="Y1413" s="20"/>
      <c r="Z1413" s="239"/>
      <c r="AA1413" s="94"/>
      <c r="AB1413" s="26"/>
      <c r="AC1413" s="20"/>
      <c r="AD1413" s="20"/>
      <c r="AE1413" s="20"/>
      <c r="AF1413" s="20"/>
      <c r="AG1413" s="20"/>
      <c r="AH1413" s="20"/>
      <c r="AI1413" s="20"/>
    </row>
    <row r="1414" spans="1:35" ht="12.75" customHeight="1">
      <c r="A1414" s="333"/>
      <c r="B1414" s="333"/>
      <c r="C1414" s="333"/>
      <c r="D1414" s="133"/>
      <c r="E1414" s="133"/>
      <c r="F1414" s="50"/>
      <c r="G1414" s="409"/>
      <c r="H1414" s="401"/>
      <c r="I1414" s="962"/>
      <c r="K1414" s="258" t="s">
        <v>248</v>
      </c>
      <c r="L1414" s="266" t="s">
        <v>552</v>
      </c>
      <c r="M1414" s="45">
        <v>-300</v>
      </c>
      <c r="N1414" s="538">
        <f t="shared" si="156"/>
        <v>5035.4400940000178</v>
      </c>
      <c r="O1414" s="253"/>
      <c r="T1414" s="391"/>
      <c r="U1414" s="20"/>
      <c r="V1414" s="26"/>
      <c r="W1414" s="26"/>
      <c r="X1414" s="91"/>
      <c r="Y1414" s="20"/>
      <c r="Z1414" s="239"/>
      <c r="AA1414" s="94"/>
      <c r="AB1414" s="26"/>
      <c r="AC1414" s="20"/>
      <c r="AD1414" s="20"/>
      <c r="AE1414" s="20"/>
      <c r="AF1414" s="20"/>
      <c r="AG1414" s="20"/>
      <c r="AH1414" s="20"/>
      <c r="AI1414" s="20"/>
    </row>
    <row r="1415" spans="1:35" ht="12.75" customHeight="1">
      <c r="A1415" s="333"/>
      <c r="B1415" s="333"/>
      <c r="C1415" s="333"/>
      <c r="D1415" s="133"/>
      <c r="E1415" s="133"/>
      <c r="F1415" s="50"/>
      <c r="G1415" s="409"/>
      <c r="H1415" s="401"/>
      <c r="I1415" s="493"/>
      <c r="K1415" s="258"/>
      <c r="L1415" s="266" t="s">
        <v>333</v>
      </c>
      <c r="M1415" s="45">
        <v>-200</v>
      </c>
      <c r="N1415" s="538">
        <f t="shared" si="156"/>
        <v>4835.4400940000178</v>
      </c>
      <c r="O1415" s="253"/>
      <c r="T1415" s="391"/>
      <c r="U1415" s="20"/>
      <c r="V1415" s="253"/>
      <c r="W1415" s="26"/>
      <c r="X1415" s="91"/>
      <c r="Y1415" s="20"/>
      <c r="Z1415" s="239"/>
      <c r="AA1415" s="94"/>
      <c r="AB1415" s="26"/>
      <c r="AC1415" s="20"/>
      <c r="AD1415" s="20"/>
      <c r="AE1415" s="20"/>
      <c r="AF1415" s="20"/>
      <c r="AG1415" s="20"/>
      <c r="AH1415" s="20"/>
      <c r="AI1415" s="20"/>
    </row>
    <row r="1416" spans="1:35" ht="12.75" customHeight="1">
      <c r="A1416" s="333"/>
      <c r="B1416" s="333"/>
      <c r="C1416" s="333"/>
      <c r="D1416" s="133"/>
      <c r="E1416" s="133"/>
      <c r="F1416" s="50"/>
      <c r="G1416" s="409"/>
      <c r="H1416" s="401"/>
      <c r="I1416" s="493"/>
      <c r="K1416" s="258" t="s">
        <v>248</v>
      </c>
      <c r="L1416" s="266" t="s">
        <v>195</v>
      </c>
      <c r="M1416" s="45">
        <v>-2065.2199999999998</v>
      </c>
      <c r="N1416" s="538">
        <f t="shared" si="156"/>
        <v>2770.220094000018</v>
      </c>
      <c r="O1416" s="253"/>
      <c r="T1416" s="391"/>
      <c r="U1416" s="20"/>
      <c r="V1416" s="253"/>
      <c r="W1416" s="26"/>
      <c r="X1416" s="91"/>
      <c r="Y1416" s="20"/>
      <c r="Z1416" s="239"/>
      <c r="AA1416" s="94"/>
      <c r="AB1416" s="26"/>
      <c r="AC1416" s="20"/>
      <c r="AD1416" s="20"/>
      <c r="AE1416" s="20"/>
      <c r="AF1416" s="20"/>
      <c r="AG1416" s="20"/>
      <c r="AH1416" s="20"/>
      <c r="AI1416" s="20"/>
    </row>
    <row r="1417" spans="1:35" ht="12.75" customHeight="1">
      <c r="A1417" s="333"/>
      <c r="B1417" s="333"/>
      <c r="C1417" s="333"/>
      <c r="D1417" s="413"/>
      <c r="E1417" s="34"/>
      <c r="F1417" s="50"/>
      <c r="G1417" s="409"/>
      <c r="H1417" s="509"/>
      <c r="I1417" s="495"/>
      <c r="J1417" s="511"/>
      <c r="K1417" s="85" t="s">
        <v>248</v>
      </c>
      <c r="L1417" s="266" t="s">
        <v>180</v>
      </c>
      <c r="M1417" s="45">
        <v>-59</v>
      </c>
      <c r="N1417" s="538">
        <f t="shared" si="156"/>
        <v>2711.220094000018</v>
      </c>
      <c r="O1417" s="253"/>
      <c r="T1417" s="391"/>
      <c r="U1417" s="20"/>
      <c r="V1417" s="253"/>
      <c r="W1417" s="26"/>
      <c r="X1417" s="91"/>
      <c r="Y1417" s="20"/>
      <c r="Z1417" s="239"/>
      <c r="AA1417" s="94"/>
      <c r="AB1417" s="26"/>
      <c r="AC1417" s="20"/>
      <c r="AD1417" s="20"/>
      <c r="AE1417" s="20"/>
      <c r="AF1417" s="20"/>
      <c r="AG1417" s="20"/>
      <c r="AH1417" s="20"/>
      <c r="AI1417" s="20"/>
    </row>
    <row r="1418" spans="1:35" ht="12.75" customHeight="1">
      <c r="A1418" s="333"/>
      <c r="B1418" s="333"/>
      <c r="C1418" s="333"/>
      <c r="D1418" s="413"/>
      <c r="E1418" s="34"/>
      <c r="F1418" s="50"/>
      <c r="G1418" s="414"/>
      <c r="H1418" s="509"/>
      <c r="I1418" s="961"/>
      <c r="J1418" s="962"/>
      <c r="K1418" s="258" t="s">
        <v>248</v>
      </c>
      <c r="L1418" s="266" t="s">
        <v>61</v>
      </c>
      <c r="M1418" s="45">
        <v>-588.51</v>
      </c>
      <c r="N1418" s="538">
        <f t="shared" si="156"/>
        <v>2122.7100940000182</v>
      </c>
      <c r="O1418" s="497"/>
      <c r="T1418" s="391"/>
      <c r="U1418" s="20"/>
      <c r="V1418" s="253"/>
      <c r="W1418" s="26"/>
      <c r="X1418" s="91"/>
      <c r="Y1418" s="20"/>
      <c r="Z1418" s="239"/>
      <c r="AA1418" s="94"/>
      <c r="AB1418" s="26"/>
      <c r="AC1418" s="20"/>
      <c r="AD1418" s="20"/>
      <c r="AE1418" s="20"/>
      <c r="AF1418" s="20"/>
      <c r="AG1418" s="20"/>
      <c r="AH1418" s="20"/>
      <c r="AI1418" s="20"/>
    </row>
    <row r="1419" spans="1:35" ht="12.75" customHeight="1">
      <c r="A1419" s="333"/>
      <c r="B1419" s="333"/>
      <c r="C1419" s="333"/>
      <c r="D1419" s="48"/>
      <c r="E1419" s="133"/>
      <c r="F1419" s="50"/>
      <c r="G1419" s="414"/>
      <c r="H1419" s="509"/>
      <c r="I1419" s="961"/>
      <c r="J1419" s="517"/>
      <c r="K1419" s="258" t="s">
        <v>248</v>
      </c>
      <c r="L1419" s="266" t="s">
        <v>148</v>
      </c>
      <c r="M1419" s="774">
        <v>0</v>
      </c>
      <c r="N1419" s="538">
        <f t="shared" si="156"/>
        <v>2122.7100940000182</v>
      </c>
      <c r="O1419" s="497"/>
      <c r="T1419" s="391"/>
      <c r="U1419" s="20"/>
      <c r="V1419" s="253"/>
      <c r="W1419" s="26"/>
      <c r="X1419" s="91"/>
      <c r="Y1419" s="20"/>
      <c r="Z1419" s="239"/>
      <c r="AA1419" s="94"/>
      <c r="AB1419" s="26"/>
      <c r="AC1419" s="20"/>
      <c r="AD1419" s="20"/>
      <c r="AE1419" s="20"/>
      <c r="AF1419" s="20"/>
      <c r="AG1419" s="20"/>
      <c r="AH1419" s="20"/>
      <c r="AI1419" s="20"/>
    </row>
    <row r="1420" spans="1:35" ht="12.75" customHeight="1">
      <c r="A1420" s="328"/>
      <c r="B1420" s="328"/>
      <c r="C1420" s="328"/>
      <c r="D1420" s="547"/>
      <c r="E1420" s="133"/>
      <c r="F1420" s="50"/>
      <c r="G1420" s="414"/>
      <c r="H1420" s="967"/>
      <c r="I1420" s="510"/>
      <c r="J1420" s="709"/>
      <c r="K1420" s="85" t="s">
        <v>189</v>
      </c>
      <c r="L1420" s="267" t="s">
        <v>16</v>
      </c>
      <c r="M1420" s="175">
        <v>-237.99</v>
      </c>
      <c r="N1420" s="538">
        <f t="shared" si="156"/>
        <v>1884.7200940000182</v>
      </c>
      <c r="T1420" s="391"/>
      <c r="U1420" s="20"/>
      <c r="V1420" s="26"/>
      <c r="W1420" s="26"/>
      <c r="X1420" s="91"/>
      <c r="Y1420" s="20"/>
      <c r="Z1420" s="239"/>
      <c r="AA1420" s="94"/>
      <c r="AB1420" s="26"/>
      <c r="AC1420" s="20"/>
      <c r="AD1420" s="20"/>
      <c r="AE1420" s="20"/>
      <c r="AF1420" s="20"/>
      <c r="AG1420" s="20"/>
      <c r="AH1420" s="20"/>
      <c r="AI1420" s="20"/>
    </row>
    <row r="1421" spans="1:35" ht="12.75" customHeight="1">
      <c r="A1421" s="328"/>
      <c r="B1421" s="328"/>
      <c r="C1421" s="328"/>
      <c r="D1421" s="547"/>
      <c r="E1421" s="133"/>
      <c r="F1421" s="50"/>
      <c r="G1421" s="414"/>
      <c r="H1421" s="498"/>
      <c r="K1421" s="258" t="s">
        <v>189</v>
      </c>
      <c r="L1421" s="268" t="s">
        <v>56</v>
      </c>
      <c r="M1421" s="175">
        <v>-1300</v>
      </c>
      <c r="N1421" s="538">
        <f t="shared" si="156"/>
        <v>584.72009400001821</v>
      </c>
      <c r="T1421" s="372"/>
      <c r="U1421" s="20"/>
      <c r="V1421" s="26"/>
      <c r="W1421" s="26"/>
      <c r="X1421" s="91"/>
      <c r="Y1421" s="20"/>
      <c r="Z1421" s="239"/>
      <c r="AA1421" s="94"/>
      <c r="AB1421" s="26"/>
      <c r="AC1421" s="20"/>
      <c r="AD1421" s="20"/>
      <c r="AE1421" s="20"/>
      <c r="AF1421" s="20"/>
      <c r="AG1421" s="20"/>
      <c r="AH1421" s="20"/>
      <c r="AI1421" s="20"/>
    </row>
    <row r="1422" spans="1:35" ht="12.75" customHeight="1">
      <c r="F1422" s="50"/>
      <c r="G1422" s="414"/>
      <c r="H1422" s="498"/>
      <c r="I1422" s="875"/>
      <c r="J1422" s="961"/>
      <c r="K1422" s="258" t="s">
        <v>189</v>
      </c>
      <c r="L1422" s="268" t="s">
        <v>23</v>
      </c>
      <c r="M1422" s="133">
        <v>-287.92</v>
      </c>
      <c r="N1422" s="538">
        <f t="shared" si="156"/>
        <v>296.80009400001819</v>
      </c>
      <c r="U1422" s="20"/>
      <c r="V1422" s="26"/>
      <c r="AA1422" s="238"/>
    </row>
    <row r="1423" spans="1:35">
      <c r="I1423" s="875"/>
      <c r="J1423" s="961"/>
      <c r="K1423" s="258" t="s">
        <v>189</v>
      </c>
      <c r="L1423" s="116" t="s">
        <v>714</v>
      </c>
      <c r="M1423" s="45">
        <v>-530.74</v>
      </c>
      <c r="N1423" s="538">
        <f t="shared" si="156"/>
        <v>-233.93990599998182</v>
      </c>
    </row>
    <row r="1424" spans="1:35">
      <c r="J1424" s="521"/>
      <c r="K1424" s="258" t="s">
        <v>189</v>
      </c>
      <c r="L1424" s="116" t="s">
        <v>585</v>
      </c>
      <c r="M1424" s="175">
        <v>-66.989999999999995</v>
      </c>
      <c r="N1424" s="538">
        <f>N1423+M1424</f>
        <v>-300.92990599998183</v>
      </c>
    </row>
    <row r="1425" spans="1:35">
      <c r="K1425" s="321" t="s">
        <v>190</v>
      </c>
      <c r="L1425" s="269" t="s">
        <v>375</v>
      </c>
      <c r="M1425" s="366">
        <v>-47.52</v>
      </c>
      <c r="N1425" s="566">
        <f>N1424+M1425</f>
        <v>-348.44990599998181</v>
      </c>
    </row>
    <row r="1426" spans="1:35">
      <c r="L1426" s="23"/>
      <c r="M1426" s="168">
        <f>SUM(M1382:M1425)</f>
        <v>-348.44990599998181</v>
      </c>
      <c r="N1426" s="806"/>
    </row>
    <row r="1427" spans="1:35" s="78" customFormat="1">
      <c r="E1427" s="15"/>
      <c r="G1427" s="129"/>
      <c r="K1427" s="257"/>
      <c r="M1427" s="15"/>
      <c r="P1427" s="15"/>
      <c r="Q1427" s="15"/>
      <c r="R1427" s="15"/>
      <c r="S1427" s="385"/>
      <c r="Z1427" s="15"/>
      <c r="AA1427" s="130"/>
      <c r="AB1427" s="15"/>
    </row>
    <row r="1428" spans="1:35">
      <c r="K1428" s="256"/>
      <c r="L1428" s="20"/>
      <c r="M1428" s="26"/>
      <c r="N1428" s="20"/>
      <c r="AA1428" s="238"/>
    </row>
    <row r="1429" spans="1:35" ht="12.75" customHeight="1">
      <c r="B1429" s="1030" t="s">
        <v>829</v>
      </c>
      <c r="C1429" s="1030"/>
      <c r="D1429" s="1030"/>
      <c r="E1429" s="1030"/>
      <c r="G1429" s="261"/>
      <c r="H1429" s="658"/>
      <c r="I1429" s="26"/>
      <c r="K1429" s="258"/>
      <c r="L1429" s="100"/>
      <c r="M1429" s="1031" t="s">
        <v>54</v>
      </c>
      <c r="N1429" s="975"/>
      <c r="O1429" s="980"/>
      <c r="P1429" s="1033" t="s">
        <v>48</v>
      </c>
      <c r="Q1429" s="1035" t="s">
        <v>749</v>
      </c>
      <c r="R1429" s="1035"/>
      <c r="S1429" s="377"/>
      <c r="X1429" s="35"/>
      <c r="Y1429" s="35"/>
      <c r="Z1429" s="26"/>
      <c r="AA1429" s="979"/>
      <c r="AB1429" s="26"/>
      <c r="AC1429" s="20"/>
      <c r="AD1429" s="20"/>
      <c r="AE1429" s="20"/>
      <c r="AF1429" s="20"/>
      <c r="AG1429" s="20"/>
      <c r="AH1429" s="20"/>
      <c r="AI1429" s="20"/>
    </row>
    <row r="1430" spans="1:35" ht="12.75" customHeight="1">
      <c r="C1430" s="17" t="s">
        <v>357</v>
      </c>
      <c r="D1430" s="14"/>
      <c r="E1430" s="877">
        <v>8483.35</v>
      </c>
      <c r="G1430" s="1036"/>
      <c r="H1430" s="1036"/>
      <c r="I1430" s="26"/>
      <c r="K1430" s="260" t="s">
        <v>221</v>
      </c>
      <c r="L1430" s="156"/>
      <c r="M1430" s="1032"/>
      <c r="N1430" s="975" t="s">
        <v>43</v>
      </c>
      <c r="O1430" s="980"/>
      <c r="P1430" s="1034"/>
      <c r="Q1430" s="976" t="s">
        <v>43</v>
      </c>
      <c r="R1430" s="977" t="s">
        <v>53</v>
      </c>
      <c r="S1430" s="377"/>
      <c r="X1430" s="118"/>
      <c r="Y1430" s="111"/>
      <c r="Z1430" s="117"/>
      <c r="AA1430" s="89"/>
      <c r="AB1430" s="90"/>
      <c r="AC1430" s="20"/>
      <c r="AD1430" s="41"/>
      <c r="AE1430" s="20"/>
      <c r="AF1430" s="20"/>
      <c r="AG1430" s="20"/>
      <c r="AH1430" s="20"/>
      <c r="AI1430" s="20"/>
    </row>
    <row r="1431" spans="1:35" ht="12.75" customHeight="1">
      <c r="C1431" s="17"/>
      <c r="D1431" s="14" t="s">
        <v>24</v>
      </c>
      <c r="E1431" s="52">
        <f>'[1]NOV ''14'!$C$17</f>
        <v>235.52000000000041</v>
      </c>
      <c r="G1431" s="30"/>
      <c r="H1431" s="624">
        <f>SUM(E1431:E1431)</f>
        <v>235.52000000000041</v>
      </c>
      <c r="I1431" s="26"/>
      <c r="K1431" s="273"/>
      <c r="L1431" s="235" t="s">
        <v>226</v>
      </c>
      <c r="M1431" s="45">
        <f>$M$1426</f>
        <v>-348.44990599998181</v>
      </c>
      <c r="N1431" s="71">
        <f>M1431</f>
        <v>-348.44990599998181</v>
      </c>
      <c r="O1431" s="26"/>
      <c r="P1431" s="45">
        <f>$Q$1410</f>
        <v>-25879.937278480997</v>
      </c>
      <c r="Q1431" s="71">
        <f>P1431</f>
        <v>-25879.937278480997</v>
      </c>
      <c r="R1431" s="45">
        <f>28000+Q1431</f>
        <v>2120.0627215190034</v>
      </c>
      <c r="S1431" s="378" t="s">
        <v>298</v>
      </c>
      <c r="T1431" s="367" t="s">
        <v>299</v>
      </c>
      <c r="W1431" s="392"/>
      <c r="X1431" s="111"/>
      <c r="Y1431" s="111"/>
      <c r="Z1431" s="45"/>
      <c r="AA1431" s="488"/>
      <c r="AB1431" s="26"/>
      <c r="AC1431" s="20"/>
      <c r="AD1431" s="92"/>
      <c r="AE1431" s="93"/>
      <c r="AF1431" s="20"/>
      <c r="AG1431" s="20"/>
      <c r="AH1431" s="20"/>
      <c r="AI1431" s="20"/>
    </row>
    <row r="1432" spans="1:35" ht="12.75" customHeight="1">
      <c r="C1432" s="18" t="s">
        <v>5</v>
      </c>
      <c r="D1432" s="14"/>
      <c r="E1432" s="14">
        <f>SUM(E1430:E1431)</f>
        <v>8718.8700000000008</v>
      </c>
      <c r="G1432" s="242"/>
      <c r="H1432" s="492"/>
      <c r="I1432" s="26"/>
      <c r="K1432" s="297"/>
      <c r="L1432" s="184" t="s">
        <v>24</v>
      </c>
      <c r="M1432" s="45">
        <v>1000</v>
      </c>
      <c r="N1432" s="538">
        <f>N1431+M1432</f>
        <v>651.55009400001813</v>
      </c>
      <c r="O1432" s="39"/>
      <c r="P1432" s="133">
        <v>-572.12</v>
      </c>
      <c r="Q1432" s="72">
        <f>Q1431+P1432</f>
        <v>-26452.057278480996</v>
      </c>
      <c r="R1432" s="45">
        <f>28000+Q1432</f>
        <v>1547.9427215190044</v>
      </c>
      <c r="S1432" s="373" t="s">
        <v>797</v>
      </c>
      <c r="T1432" s="391"/>
      <c r="W1432" s="111"/>
      <c r="X1432" s="111"/>
      <c r="Y1432" s="112"/>
      <c r="Z1432" s="55"/>
      <c r="AA1432" s="489"/>
      <c r="AB1432" s="26"/>
      <c r="AC1432" s="20"/>
      <c r="AD1432" s="92"/>
      <c r="AE1432" s="93"/>
      <c r="AF1432" s="20"/>
      <c r="AG1432" s="20"/>
      <c r="AH1432" s="20"/>
      <c r="AI1432" s="20"/>
    </row>
    <row r="1433" spans="1:35" ht="12.75" customHeight="1">
      <c r="G1433" s="20"/>
      <c r="H1433" s="490"/>
      <c r="I1433" s="26"/>
      <c r="K1433" s="297"/>
      <c r="L1433" s="116" t="s">
        <v>820</v>
      </c>
      <c r="M1433" s="45">
        <v>103</v>
      </c>
      <c r="N1433" s="538">
        <f>N1432+M1433</f>
        <v>754.55009400001813</v>
      </c>
      <c r="O1433" s="253"/>
      <c r="P1433" s="133">
        <v>-320.5</v>
      </c>
      <c r="Q1433" s="72">
        <f>Q1432+P1433</f>
        <v>-26772.557278480996</v>
      </c>
      <c r="R1433" s="45">
        <f>28000+Q1433</f>
        <v>1227.4427215190044</v>
      </c>
      <c r="S1433" s="373" t="s">
        <v>253</v>
      </c>
      <c r="T1433" s="391"/>
      <c r="W1433" s="112"/>
      <c r="X1433" s="112"/>
      <c r="Y1433" s="112"/>
      <c r="Z1433" s="55"/>
      <c r="AA1433" s="489"/>
      <c r="AB1433" s="26"/>
      <c r="AC1433" s="20"/>
      <c r="AD1433" s="92"/>
      <c r="AE1433" s="93"/>
      <c r="AF1433" s="20"/>
      <c r="AG1433" s="20"/>
      <c r="AH1433" s="20"/>
      <c r="AI1433" s="20"/>
    </row>
    <row r="1434" spans="1:35" ht="12.75" customHeight="1">
      <c r="A1434" s="319"/>
      <c r="C1434" s="81" t="s">
        <v>17</v>
      </c>
      <c r="E1434" s="42"/>
      <c r="G1434"/>
      <c r="H1434" s="981"/>
      <c r="I1434" s="26"/>
      <c r="K1434" s="297" t="s">
        <v>223</v>
      </c>
      <c r="L1434" s="184" t="s">
        <v>227</v>
      </c>
      <c r="M1434" s="45">
        <v>-449</v>
      </c>
      <c r="N1434" s="538">
        <f>N1433+M1434</f>
        <v>305.55009400001813</v>
      </c>
      <c r="O1434" s="253"/>
      <c r="P1434" s="133">
        <v>-237</v>
      </c>
      <c r="Q1434" s="72">
        <f t="shared" ref="Q1434:Q1437" si="159">Q1433+P1434</f>
        <v>-27009.557278480996</v>
      </c>
      <c r="R1434" s="45">
        <f t="shared" ref="R1434:R1437" si="160">28000+Q1434</f>
        <v>990.44272151900441</v>
      </c>
      <c r="S1434" s="373" t="s">
        <v>473</v>
      </c>
      <c r="T1434" s="391"/>
      <c r="W1434" s="103"/>
      <c r="X1434" s="111"/>
      <c r="Y1434" s="112"/>
      <c r="Z1434" s="55"/>
      <c r="AA1434" s="489"/>
      <c r="AB1434" s="95"/>
      <c r="AC1434" s="20"/>
      <c r="AD1434" s="96"/>
      <c r="AE1434" s="93"/>
      <c r="AF1434" s="20"/>
      <c r="AG1434" s="20"/>
      <c r="AH1434" s="20"/>
      <c r="AI1434" s="20"/>
    </row>
    <row r="1435" spans="1:35" ht="12.75" customHeight="1">
      <c r="A1435" s="319"/>
      <c r="D1435" s="20" t="s">
        <v>14</v>
      </c>
      <c r="E1435" s="42">
        <f>E1430</f>
        <v>8483.35</v>
      </c>
      <c r="F1435" s="20"/>
      <c r="G1435" s="20"/>
      <c r="H1435" s="490">
        <f>G1436+E1436</f>
        <v>235.52000000000041</v>
      </c>
      <c r="I1435" s="26"/>
      <c r="K1435" s="297" t="s">
        <v>223</v>
      </c>
      <c r="L1435" s="116" t="s">
        <v>830</v>
      </c>
      <c r="M1435" s="45">
        <v>-55</v>
      </c>
      <c r="N1435" s="538">
        <f>N1434+M1435</f>
        <v>250.55009400001813</v>
      </c>
      <c r="O1435" s="253"/>
      <c r="P1435" s="133">
        <v>-200</v>
      </c>
      <c r="Q1435" s="72">
        <f t="shared" si="159"/>
        <v>-27209.557278480996</v>
      </c>
      <c r="R1435" s="45">
        <f t="shared" si="160"/>
        <v>790.44272151900441</v>
      </c>
      <c r="S1435" s="373" t="s">
        <v>837</v>
      </c>
      <c r="T1435" s="391"/>
      <c r="U1435" s="74"/>
      <c r="V1435" s="26"/>
      <c r="W1435" s="111"/>
      <c r="X1435" s="111"/>
      <c r="Y1435" s="112"/>
      <c r="Z1435" s="55"/>
      <c r="AA1435" s="489"/>
      <c r="AB1435" s="26"/>
      <c r="AC1435" s="20"/>
      <c r="AD1435" s="41"/>
      <c r="AE1435" s="93"/>
      <c r="AF1435" s="20"/>
      <c r="AG1435" s="20"/>
      <c r="AH1435" s="20"/>
      <c r="AI1435" s="20"/>
    </row>
    <row r="1436" spans="1:35" ht="12.75" customHeight="1" thickBot="1">
      <c r="A1436" s="319"/>
      <c r="D1436" s="78" t="s">
        <v>13</v>
      </c>
      <c r="E1436" s="483">
        <f>SUM(E1431:E1431)</f>
        <v>235.52000000000041</v>
      </c>
      <c r="F1436" s="482" t="s">
        <v>364</v>
      </c>
      <c r="G1436" s="1037"/>
      <c r="H1436" s="1037"/>
      <c r="I1436" s="26"/>
      <c r="K1436" s="297" t="s">
        <v>223</v>
      </c>
      <c r="L1436" s="116" t="s">
        <v>524</v>
      </c>
      <c r="M1436" s="45">
        <v>-10</v>
      </c>
      <c r="N1436" s="538">
        <f t="shared" ref="N1436:N1468" si="161">N1435+M1436</f>
        <v>240.55009400001813</v>
      </c>
      <c r="O1436" s="253"/>
      <c r="P1436" s="133">
        <v>-362.39</v>
      </c>
      <c r="Q1436" s="72">
        <f t="shared" si="159"/>
        <v>-27571.947278480995</v>
      </c>
      <c r="R1436" s="45">
        <f t="shared" si="160"/>
        <v>428.05272151900499</v>
      </c>
      <c r="S1436" s="373" t="s">
        <v>270</v>
      </c>
      <c r="T1436" s="391" t="s">
        <v>549</v>
      </c>
      <c r="U1436" s="74"/>
      <c r="V1436" s="26"/>
      <c r="W1436" s="20"/>
      <c r="X1436" s="20"/>
      <c r="Y1436" s="112"/>
      <c r="Z1436" s="239"/>
      <c r="AA1436" s="94"/>
      <c r="AB1436" s="26"/>
      <c r="AC1436" s="20"/>
      <c r="AD1436" s="92"/>
      <c r="AE1436" s="93"/>
      <c r="AF1436" s="20"/>
      <c r="AG1436" s="20"/>
      <c r="AH1436" s="20"/>
      <c r="AI1436" s="20"/>
    </row>
    <row r="1437" spans="1:35" ht="12.75" customHeight="1" thickTop="1">
      <c r="A1437" s="319"/>
      <c r="D1437" s="20"/>
      <c r="E1437" s="26"/>
      <c r="F1437" s="122"/>
      <c r="G1437" s="1038">
        <f>E1435+E1436+G1436</f>
        <v>8718.8700000000008</v>
      </c>
      <c r="H1437" s="1038"/>
      <c r="I1437" s="26"/>
      <c r="K1437" s="273"/>
      <c r="L1437" s="116" t="s">
        <v>24</v>
      </c>
      <c r="M1437" s="45">
        <v>1000</v>
      </c>
      <c r="N1437" s="538">
        <f t="shared" si="161"/>
        <v>1240.5500940000181</v>
      </c>
      <c r="O1437" s="253"/>
      <c r="P1437" s="133">
        <v>-408.8</v>
      </c>
      <c r="Q1437" s="72">
        <f t="shared" si="159"/>
        <v>-27980.747278480994</v>
      </c>
      <c r="R1437" s="45">
        <f t="shared" si="160"/>
        <v>19.252721519005718</v>
      </c>
      <c r="S1437" s="373" t="s">
        <v>282</v>
      </c>
      <c r="T1437" s="391" t="s">
        <v>549</v>
      </c>
      <c r="U1437" s="74"/>
      <c r="V1437" s="26"/>
      <c r="W1437" s="26"/>
      <c r="X1437" s="20"/>
      <c r="Y1437" s="112"/>
      <c r="Z1437" s="239"/>
      <c r="AA1437" s="94"/>
      <c r="AB1437" s="95"/>
      <c r="AC1437" s="20"/>
      <c r="AD1437" s="92"/>
      <c r="AE1437" s="93"/>
      <c r="AF1437" s="20"/>
      <c r="AG1437" s="20"/>
      <c r="AH1437" s="20"/>
      <c r="AI1437" s="20"/>
    </row>
    <row r="1438" spans="1:35" ht="12.75" customHeight="1">
      <c r="A1438" s="333"/>
      <c r="B1438" s="333"/>
      <c r="C1438" s="333"/>
      <c r="D1438" s="408"/>
      <c r="E1438" s="412"/>
      <c r="F1438" s="50"/>
      <c r="G1438" s="409"/>
      <c r="H1438" s="978"/>
      <c r="I1438" s="26"/>
      <c r="K1438" s="273"/>
      <c r="L1438" s="116" t="s">
        <v>343</v>
      </c>
      <c r="M1438" s="45">
        <v>-501.42</v>
      </c>
      <c r="N1438" s="538">
        <f t="shared" si="161"/>
        <v>739.13009400001806</v>
      </c>
      <c r="O1438" s="253"/>
      <c r="P1438" s="133">
        <v>600</v>
      </c>
      <c r="Q1438" s="72">
        <f t="shared" ref="Q1438:Q1443" si="162">Q1437+P1438</f>
        <v>-27380.747278480994</v>
      </c>
      <c r="R1438" s="45">
        <f t="shared" ref="R1438:R1442" si="163">28000+Q1438</f>
        <v>619.25272151900572</v>
      </c>
      <c r="S1438" s="373" t="s">
        <v>247</v>
      </c>
      <c r="T1438" s="391"/>
      <c r="U1438" s="20"/>
      <c r="V1438" s="20"/>
      <c r="W1438" s="26"/>
      <c r="X1438" s="91"/>
      <c r="Y1438" s="20"/>
      <c r="Z1438" s="239"/>
      <c r="AA1438" s="94"/>
      <c r="AB1438" s="26"/>
      <c r="AC1438" s="20"/>
      <c r="AD1438" s="20"/>
      <c r="AE1438" s="20"/>
      <c r="AF1438" s="20"/>
      <c r="AG1438" s="20"/>
      <c r="AH1438" s="20"/>
      <c r="AI1438" s="20"/>
    </row>
    <row r="1439" spans="1:35" ht="12.75" customHeight="1">
      <c r="A1439" s="333"/>
      <c r="B1439" s="333"/>
      <c r="C1439" s="333"/>
      <c r="D1439" s="408"/>
      <c r="E1439" s="412"/>
      <c r="F1439" s="50"/>
      <c r="G1439" s="409"/>
      <c r="H1439" s="978"/>
      <c r="I1439" s="26"/>
      <c r="K1439" s="273"/>
      <c r="L1439" s="116" t="s">
        <v>838</v>
      </c>
      <c r="M1439" s="45">
        <v>-108.9</v>
      </c>
      <c r="N1439" s="538">
        <f t="shared" si="161"/>
        <v>630.23009400001808</v>
      </c>
      <c r="O1439" s="253"/>
      <c r="P1439" s="133">
        <v>-499</v>
      </c>
      <c r="Q1439" s="72">
        <f t="shared" si="162"/>
        <v>-27879.747278480994</v>
      </c>
      <c r="R1439" s="45">
        <f t="shared" si="163"/>
        <v>120.25272151900572</v>
      </c>
      <c r="S1439" s="373" t="s">
        <v>843</v>
      </c>
      <c r="T1439" s="391"/>
      <c r="U1439" s="20"/>
      <c r="V1439" s="20"/>
      <c r="W1439" s="26"/>
      <c r="X1439" s="91"/>
      <c r="Y1439" s="20"/>
      <c r="Z1439" s="239"/>
      <c r="AA1439" s="94"/>
      <c r="AB1439" s="26"/>
      <c r="AC1439" s="20"/>
      <c r="AD1439" s="20"/>
      <c r="AE1439" s="20"/>
      <c r="AF1439" s="20"/>
      <c r="AG1439" s="20"/>
      <c r="AH1439" s="20"/>
      <c r="AI1439" s="20"/>
    </row>
    <row r="1440" spans="1:35" ht="12.75" customHeight="1">
      <c r="A1440" s="333"/>
      <c r="B1440" s="333"/>
      <c r="C1440" s="333"/>
      <c r="D1440" s="408"/>
      <c r="E1440" s="412"/>
      <c r="F1440" s="50"/>
      <c r="G1440" s="409"/>
      <c r="H1440" s="978"/>
      <c r="I1440" s="26"/>
      <c r="K1440" s="273"/>
      <c r="L1440" s="116" t="s">
        <v>839</v>
      </c>
      <c r="M1440" s="45">
        <v>-479.6</v>
      </c>
      <c r="N1440" s="538">
        <f t="shared" si="161"/>
        <v>150.63009400001806</v>
      </c>
      <c r="O1440" s="253"/>
      <c r="P1440" s="133">
        <v>-47</v>
      </c>
      <c r="Q1440" s="72">
        <f t="shared" si="162"/>
        <v>-27926.747278480994</v>
      </c>
      <c r="R1440" s="45">
        <f t="shared" si="163"/>
        <v>73.252721519005718</v>
      </c>
      <c r="S1440" s="373" t="s">
        <v>572</v>
      </c>
      <c r="T1440" s="391"/>
      <c r="U1440" s="20"/>
      <c r="V1440" s="20"/>
      <c r="W1440" s="26"/>
      <c r="X1440" s="91"/>
      <c r="Y1440" s="20"/>
      <c r="Z1440" s="239"/>
      <c r="AA1440" s="94"/>
      <c r="AB1440" s="26"/>
      <c r="AC1440" s="20"/>
      <c r="AD1440" s="20"/>
      <c r="AE1440" s="20"/>
      <c r="AF1440" s="20"/>
      <c r="AG1440" s="20"/>
      <c r="AH1440" s="20"/>
      <c r="AI1440" s="20"/>
    </row>
    <row r="1441" spans="1:35" ht="12.75" customHeight="1">
      <c r="A1441" s="333"/>
      <c r="B1441" s="333"/>
      <c r="C1441" s="333"/>
      <c r="D1441" s="408"/>
      <c r="E1441" s="412"/>
      <c r="F1441" s="50"/>
      <c r="G1441" s="409"/>
      <c r="H1441" s="978"/>
      <c r="I1441" s="26"/>
      <c r="K1441" s="273"/>
      <c r="L1441" s="116" t="s">
        <v>840</v>
      </c>
      <c r="M1441" s="45">
        <v>-99</v>
      </c>
      <c r="N1441" s="538">
        <f t="shared" si="161"/>
        <v>51.630094000018062</v>
      </c>
      <c r="O1441" s="253"/>
      <c r="P1441" s="133">
        <v>-47</v>
      </c>
      <c r="Q1441" s="72">
        <f t="shared" si="162"/>
        <v>-27973.747278480994</v>
      </c>
      <c r="R1441" s="45">
        <f t="shared" si="163"/>
        <v>26.252721519005718</v>
      </c>
      <c r="S1441" s="373" t="s">
        <v>572</v>
      </c>
      <c r="T1441" s="391"/>
      <c r="U1441" s="20"/>
      <c r="V1441" s="20"/>
      <c r="W1441" s="26"/>
      <c r="X1441" s="91"/>
      <c r="Y1441" s="20"/>
      <c r="Z1441" s="239"/>
      <c r="AA1441" s="94"/>
      <c r="AB1441" s="26"/>
      <c r="AC1441" s="20"/>
      <c r="AD1441" s="20"/>
      <c r="AE1441" s="20"/>
      <c r="AF1441" s="20"/>
      <c r="AG1441" s="20"/>
      <c r="AH1441" s="20"/>
      <c r="AI1441" s="20"/>
    </row>
    <row r="1442" spans="1:35" ht="12.75" customHeight="1">
      <c r="A1442" s="333"/>
      <c r="B1442" s="333"/>
      <c r="C1442" s="333"/>
      <c r="D1442" s="408"/>
      <c r="E1442" s="412"/>
      <c r="F1442" s="50"/>
      <c r="G1442" s="409"/>
      <c r="H1442" s="978"/>
      <c r="I1442" s="26"/>
      <c r="K1442" s="273"/>
      <c r="L1442" s="116" t="s">
        <v>752</v>
      </c>
      <c r="M1442" s="45">
        <v>-12</v>
      </c>
      <c r="N1442" s="538">
        <f t="shared" si="161"/>
        <v>39.630094000018062</v>
      </c>
      <c r="O1442" s="253"/>
      <c r="P1442" s="133">
        <v>-55.42</v>
      </c>
      <c r="Q1442" s="72">
        <f t="shared" si="162"/>
        <v>-28029.167278480993</v>
      </c>
      <c r="R1442" s="45">
        <f t="shared" si="163"/>
        <v>-29.167278480992536</v>
      </c>
      <c r="S1442" s="373" t="s">
        <v>282</v>
      </c>
      <c r="T1442" s="391" t="s">
        <v>549</v>
      </c>
      <c r="U1442" s="20"/>
      <c r="V1442" s="20"/>
      <c r="W1442" s="26"/>
      <c r="X1442" s="91"/>
      <c r="Y1442" s="20"/>
      <c r="Z1442" s="239"/>
      <c r="AA1442" s="94"/>
      <c r="AB1442" s="26"/>
      <c r="AC1442" s="20"/>
      <c r="AD1442" s="20"/>
      <c r="AE1442" s="20"/>
      <c r="AF1442" s="20"/>
      <c r="AG1442" s="20"/>
      <c r="AH1442" s="20"/>
      <c r="AI1442" s="20"/>
    </row>
    <row r="1443" spans="1:35" ht="12" customHeight="1">
      <c r="A1443" s="333"/>
      <c r="B1443" s="333"/>
      <c r="C1443" s="333"/>
      <c r="D1443" s="408"/>
      <c r="E1443" s="412"/>
      <c r="F1443" s="50"/>
      <c r="G1443" s="409"/>
      <c r="H1443" s="978"/>
      <c r="I1443" s="26"/>
      <c r="K1443" s="273"/>
      <c r="L1443" s="116" t="s">
        <v>24</v>
      </c>
      <c r="M1443" s="45">
        <v>1000</v>
      </c>
      <c r="N1443" s="538">
        <f t="shared" si="161"/>
        <v>1039.6300940000181</v>
      </c>
      <c r="O1443" s="253"/>
      <c r="P1443" s="133">
        <f>E1431</f>
        <v>235.52000000000041</v>
      </c>
      <c r="Q1443" s="73">
        <f t="shared" si="162"/>
        <v>-27793.647278480992</v>
      </c>
      <c r="R1443" s="45">
        <f>28000+Q1443</f>
        <v>206.3527215190079</v>
      </c>
      <c r="S1443" s="373" t="s">
        <v>280</v>
      </c>
      <c r="T1443" s="391"/>
      <c r="U1443" s="20"/>
      <c r="V1443" s="20"/>
      <c r="W1443" s="26"/>
      <c r="X1443" s="91"/>
      <c r="Y1443" s="20"/>
      <c r="Z1443" s="239"/>
      <c r="AA1443" s="94"/>
      <c r="AB1443" s="26"/>
      <c r="AC1443" s="20"/>
      <c r="AD1443" s="20"/>
      <c r="AE1443" s="20"/>
      <c r="AF1443" s="20"/>
      <c r="AG1443" s="20"/>
      <c r="AH1443" s="20"/>
      <c r="AI1443" s="20"/>
    </row>
    <row r="1444" spans="1:35" ht="12.75" customHeight="1">
      <c r="A1444" s="333"/>
      <c r="B1444" s="333"/>
      <c r="C1444" s="333"/>
      <c r="D1444" s="408"/>
      <c r="E1444" s="412"/>
      <c r="F1444" s="50"/>
      <c r="G1444" s="409"/>
      <c r="H1444" s="978"/>
      <c r="I1444" s="26"/>
      <c r="K1444" s="273"/>
      <c r="L1444" s="116" t="s">
        <v>112</v>
      </c>
      <c r="M1444" s="45">
        <v>-400</v>
      </c>
      <c r="N1444" s="538">
        <f t="shared" si="161"/>
        <v>639.63009400001806</v>
      </c>
      <c r="O1444" s="253"/>
      <c r="P1444" s="64">
        <f>SUM(P1431:P1443)</f>
        <v>-27793.647278480992</v>
      </c>
      <c r="Q1444" s="287" t="s">
        <v>243</v>
      </c>
      <c r="R1444" s="317"/>
      <c r="S1444" s="611"/>
      <c r="T1444" s="372"/>
      <c r="U1444" s="20"/>
      <c r="V1444" s="20"/>
      <c r="W1444" s="26"/>
      <c r="X1444" s="91"/>
      <c r="Y1444" s="20"/>
      <c r="Z1444" s="239"/>
      <c r="AA1444" s="94"/>
      <c r="AB1444" s="26"/>
      <c r="AC1444" s="20"/>
      <c r="AD1444" s="20"/>
      <c r="AE1444" s="20"/>
      <c r="AF1444" s="20"/>
      <c r="AG1444" s="20"/>
      <c r="AH1444" s="20"/>
      <c r="AI1444" s="20"/>
    </row>
    <row r="1445" spans="1:35" ht="12.75" customHeight="1">
      <c r="A1445" s="333"/>
      <c r="B1445" s="333"/>
      <c r="C1445" s="333"/>
      <c r="D1445" s="408"/>
      <c r="E1445" s="412"/>
      <c r="F1445" s="50"/>
      <c r="G1445" s="409"/>
      <c r="H1445" s="978"/>
      <c r="I1445" s="26"/>
      <c r="K1445" s="273"/>
      <c r="L1445" s="116" t="s">
        <v>102</v>
      </c>
      <c r="M1445" s="45">
        <v>-600</v>
      </c>
      <c r="N1445" s="538">
        <f t="shared" si="161"/>
        <v>39.630094000018062</v>
      </c>
      <c r="O1445" s="253"/>
      <c r="P1445" s="68"/>
      <c r="Q1445" s="287"/>
      <c r="R1445" s="317"/>
      <c r="S1445" s="611"/>
      <c r="T1445" s="372"/>
      <c r="U1445" s="20"/>
      <c r="V1445" s="20"/>
      <c r="W1445" s="26"/>
      <c r="X1445" s="91"/>
      <c r="Y1445" s="20"/>
      <c r="Z1445" s="239"/>
      <c r="AA1445" s="94"/>
      <c r="AB1445" s="26"/>
      <c r="AC1445" s="20"/>
      <c r="AD1445" s="20"/>
      <c r="AE1445" s="20"/>
      <c r="AF1445" s="20"/>
      <c r="AG1445" s="20"/>
      <c r="AH1445" s="20"/>
      <c r="AI1445" s="20"/>
    </row>
    <row r="1446" spans="1:35" ht="12.75" customHeight="1">
      <c r="A1446" s="333"/>
      <c r="B1446" s="333"/>
      <c r="C1446" s="333"/>
      <c r="D1446" s="133"/>
      <c r="E1446" s="133"/>
      <c r="F1446" s="50"/>
      <c r="G1446" s="409"/>
      <c r="H1446" s="401"/>
      <c r="I1446" s="26"/>
      <c r="K1446" s="273"/>
      <c r="L1446" s="116" t="s">
        <v>752</v>
      </c>
      <c r="M1446" s="45">
        <v>-29</v>
      </c>
      <c r="N1446" s="538">
        <f t="shared" si="161"/>
        <v>10.630094000018062</v>
      </c>
      <c r="O1446" s="253"/>
      <c r="P1446" s="68"/>
      <c r="Q1446" s="287"/>
      <c r="R1446" s="317"/>
      <c r="S1446" s="611"/>
      <c r="T1446" s="372"/>
      <c r="U1446" s="20"/>
      <c r="V1446" s="26"/>
      <c r="W1446" s="26"/>
      <c r="X1446" s="91"/>
      <c r="Y1446" s="20"/>
      <c r="Z1446" s="239"/>
      <c r="AA1446" s="94"/>
      <c r="AB1446" s="26"/>
      <c r="AC1446" s="20"/>
      <c r="AD1446" s="20"/>
      <c r="AE1446" s="20"/>
      <c r="AF1446" s="20"/>
      <c r="AG1446" s="20"/>
      <c r="AH1446" s="20"/>
      <c r="AI1446" s="20"/>
    </row>
    <row r="1447" spans="1:35" ht="12.75" customHeight="1">
      <c r="A1447" s="333"/>
      <c r="B1447" s="333"/>
      <c r="C1447" s="333"/>
      <c r="D1447" s="133"/>
      <c r="E1447" s="133"/>
      <c r="F1447" s="50"/>
      <c r="G1447" s="409"/>
      <c r="H1447" s="401"/>
      <c r="I1447" s="26"/>
      <c r="K1447" s="273"/>
      <c r="L1447" s="116" t="s">
        <v>844</v>
      </c>
      <c r="M1447" s="45">
        <v>120</v>
      </c>
      <c r="N1447" s="538">
        <f t="shared" si="161"/>
        <v>130.63009400001806</v>
      </c>
      <c r="O1447" s="253"/>
      <c r="P1447" s="68"/>
      <c r="Q1447" s="287"/>
      <c r="R1447" s="317"/>
      <c r="S1447" s="611"/>
      <c r="T1447" s="372"/>
      <c r="U1447" s="20"/>
      <c r="V1447" s="26"/>
      <c r="W1447" s="26"/>
      <c r="X1447" s="91"/>
      <c r="Y1447" s="20"/>
      <c r="Z1447" s="239"/>
      <c r="AA1447" s="94"/>
      <c r="AB1447" s="26"/>
      <c r="AC1447" s="20"/>
      <c r="AD1447" s="20"/>
      <c r="AE1447" s="20"/>
      <c r="AF1447" s="20"/>
      <c r="AG1447" s="20"/>
      <c r="AH1447" s="20"/>
      <c r="AI1447" s="20"/>
    </row>
    <row r="1448" spans="1:35" ht="12.75" customHeight="1">
      <c r="A1448" s="333"/>
      <c r="B1448" s="333"/>
      <c r="C1448" s="333"/>
      <c r="D1448" s="133"/>
      <c r="E1448" s="133"/>
      <c r="F1448" s="50"/>
      <c r="G1448" s="409"/>
      <c r="H1448" s="401"/>
      <c r="I1448" s="26"/>
      <c r="K1448" s="273"/>
      <c r="L1448" s="116" t="s">
        <v>752</v>
      </c>
      <c r="M1448" s="45">
        <v>-12</v>
      </c>
      <c r="N1448" s="538">
        <f t="shared" si="161"/>
        <v>118.63009400001806</v>
      </c>
      <c r="O1448" s="253"/>
      <c r="P1448" s="68"/>
      <c r="Q1448" s="287"/>
      <c r="R1448" s="317"/>
      <c r="S1448" s="611"/>
      <c r="T1448" s="372"/>
      <c r="U1448" s="20"/>
      <c r="V1448" s="26"/>
      <c r="W1448" s="26"/>
      <c r="X1448" s="91"/>
      <c r="Y1448" s="20"/>
      <c r="Z1448" s="239"/>
      <c r="AA1448" s="94"/>
      <c r="AB1448" s="26"/>
      <c r="AC1448" s="20"/>
      <c r="AD1448" s="20"/>
      <c r="AE1448" s="20"/>
      <c r="AF1448" s="20"/>
      <c r="AG1448" s="20"/>
      <c r="AH1448" s="20"/>
      <c r="AI1448" s="20"/>
    </row>
    <row r="1449" spans="1:35" ht="12.75" customHeight="1">
      <c r="A1449" s="333"/>
      <c r="B1449" s="333"/>
      <c r="C1449" s="333"/>
      <c r="D1449" s="133"/>
      <c r="E1449" s="133"/>
      <c r="F1449" s="50"/>
      <c r="G1449" s="409"/>
      <c r="H1449" s="401"/>
      <c r="I1449" s="26"/>
      <c r="K1449" s="273"/>
      <c r="L1449" s="116" t="s">
        <v>142</v>
      </c>
      <c r="M1449" s="45">
        <v>-68.77</v>
      </c>
      <c r="N1449" s="538">
        <f t="shared" si="161"/>
        <v>49.860094000018066</v>
      </c>
      <c r="O1449" s="253"/>
      <c r="P1449" s="68"/>
      <c r="Q1449" s="287"/>
      <c r="R1449" s="317"/>
      <c r="S1449" s="611"/>
      <c r="T1449" s="372"/>
      <c r="U1449" s="20"/>
      <c r="V1449" s="26"/>
      <c r="W1449" s="26"/>
      <c r="X1449" s="91"/>
      <c r="Y1449" s="20"/>
      <c r="Z1449" s="239"/>
      <c r="AA1449" s="94"/>
      <c r="AB1449" s="26"/>
      <c r="AC1449" s="20"/>
      <c r="AD1449" s="20"/>
      <c r="AE1449" s="20"/>
      <c r="AF1449" s="20"/>
      <c r="AG1449" s="20"/>
      <c r="AH1449" s="20"/>
      <c r="AI1449" s="20"/>
    </row>
    <row r="1450" spans="1:35" ht="12.75" customHeight="1">
      <c r="A1450" s="333"/>
      <c r="B1450" s="333"/>
      <c r="C1450" s="333"/>
      <c r="D1450" s="133"/>
      <c r="E1450" s="133"/>
      <c r="F1450" s="50"/>
      <c r="G1450" s="409"/>
      <c r="H1450" s="401"/>
      <c r="I1450" s="26"/>
      <c r="K1450" s="273"/>
      <c r="L1450" s="116" t="s">
        <v>24</v>
      </c>
      <c r="M1450" s="196">
        <v>500</v>
      </c>
      <c r="N1450" s="538">
        <f t="shared" si="161"/>
        <v>549.86009400001808</v>
      </c>
      <c r="O1450" s="253"/>
      <c r="P1450" s="68"/>
      <c r="Q1450" s="287"/>
      <c r="R1450" s="317"/>
      <c r="S1450" s="611"/>
      <c r="T1450" s="372"/>
      <c r="U1450" s="20"/>
      <c r="V1450" s="26"/>
      <c r="W1450" s="26"/>
      <c r="X1450" s="91"/>
      <c r="Y1450" s="20"/>
      <c r="Z1450" s="239"/>
      <c r="AA1450" s="94"/>
      <c r="AB1450" s="26"/>
      <c r="AC1450" s="20"/>
      <c r="AD1450" s="20"/>
      <c r="AE1450" s="20"/>
      <c r="AF1450" s="20"/>
      <c r="AG1450" s="20"/>
      <c r="AH1450" s="20"/>
      <c r="AI1450" s="20"/>
    </row>
    <row r="1451" spans="1:35" ht="12.75" customHeight="1">
      <c r="A1451" s="333"/>
      <c r="B1451" s="333"/>
      <c r="C1451" s="333"/>
      <c r="D1451" s="133"/>
      <c r="E1451" s="133"/>
      <c r="F1451" s="50"/>
      <c r="G1451" s="409"/>
      <c r="H1451" s="401"/>
      <c r="I1451" s="26"/>
      <c r="K1451" s="273"/>
      <c r="L1451" s="116" t="s">
        <v>845</v>
      </c>
      <c r="M1451" s="196">
        <v>-109.99</v>
      </c>
      <c r="N1451" s="538">
        <f t="shared" si="161"/>
        <v>439.87009400001807</v>
      </c>
      <c r="O1451" s="253"/>
      <c r="P1451" s="68"/>
      <c r="Q1451" s="287"/>
      <c r="R1451" s="317"/>
      <c r="S1451" s="611"/>
      <c r="T1451" s="372"/>
      <c r="U1451" s="20"/>
      <c r="V1451" s="26"/>
      <c r="W1451" s="26"/>
      <c r="X1451" s="91"/>
      <c r="Y1451" s="20"/>
      <c r="Z1451" s="239"/>
      <c r="AA1451" s="94"/>
      <c r="AB1451" s="26"/>
      <c r="AC1451" s="20"/>
      <c r="AD1451" s="20"/>
      <c r="AE1451" s="20"/>
      <c r="AF1451" s="20"/>
      <c r="AG1451" s="20"/>
      <c r="AH1451" s="20"/>
      <c r="AI1451" s="20"/>
    </row>
    <row r="1452" spans="1:35" ht="12.75" customHeight="1">
      <c r="A1452" s="333"/>
      <c r="B1452" s="333"/>
      <c r="C1452" s="333"/>
      <c r="D1452" s="133"/>
      <c r="E1452" s="133"/>
      <c r="F1452" s="50"/>
      <c r="G1452" s="409"/>
      <c r="H1452" s="401"/>
      <c r="I1452" s="26"/>
      <c r="K1452" s="273"/>
      <c r="L1452" s="116" t="s">
        <v>846</v>
      </c>
      <c r="M1452" s="196">
        <v>-240</v>
      </c>
      <c r="N1452" s="538">
        <f t="shared" si="161"/>
        <v>199.87009400001807</v>
      </c>
      <c r="O1452" s="253"/>
      <c r="P1452" s="68"/>
      <c r="Q1452" s="287"/>
      <c r="R1452" s="317"/>
      <c r="S1452" s="611"/>
      <c r="T1452" s="372"/>
      <c r="U1452" s="20"/>
      <c r="V1452" s="26"/>
      <c r="W1452" s="26"/>
      <c r="X1452" s="91"/>
      <c r="Y1452" s="20"/>
      <c r="Z1452" s="239"/>
      <c r="AA1452" s="94"/>
      <c r="AB1452" s="26"/>
      <c r="AC1452" s="20"/>
      <c r="AD1452" s="20"/>
      <c r="AE1452" s="20"/>
      <c r="AF1452" s="20"/>
      <c r="AG1452" s="20"/>
      <c r="AH1452" s="20"/>
      <c r="AI1452" s="20"/>
    </row>
    <row r="1453" spans="1:35" ht="12.75" customHeight="1">
      <c r="A1453" s="333"/>
      <c r="B1453" s="333"/>
      <c r="C1453" s="333"/>
      <c r="D1453" s="133"/>
      <c r="E1453" s="133"/>
      <c r="F1453" s="50"/>
      <c r="G1453" s="409"/>
      <c r="H1453" s="401"/>
      <c r="I1453" s="26"/>
      <c r="K1453" s="273"/>
      <c r="L1453" s="116" t="s">
        <v>313</v>
      </c>
      <c r="M1453" s="196">
        <v>-74.63</v>
      </c>
      <c r="N1453" s="538">
        <f t="shared" si="161"/>
        <v>125.24009400001808</v>
      </c>
      <c r="O1453" s="253"/>
      <c r="P1453" s="68"/>
      <c r="Q1453" s="287"/>
      <c r="R1453" s="317"/>
      <c r="S1453" s="611"/>
      <c r="T1453" s="372"/>
      <c r="U1453" s="20"/>
      <c r="V1453" s="26"/>
      <c r="W1453" s="26"/>
      <c r="X1453" s="91"/>
      <c r="Y1453" s="20"/>
      <c r="Z1453" s="239"/>
      <c r="AA1453" s="94"/>
      <c r="AB1453" s="26"/>
      <c r="AC1453" s="20"/>
      <c r="AD1453" s="20"/>
      <c r="AE1453" s="20"/>
      <c r="AF1453" s="20"/>
      <c r="AG1453" s="20"/>
      <c r="AH1453" s="20"/>
      <c r="AI1453" s="20"/>
    </row>
    <row r="1454" spans="1:35" ht="12.75" customHeight="1">
      <c r="A1454" s="333"/>
      <c r="B1454" s="333"/>
      <c r="C1454" s="333"/>
      <c r="D1454" s="133"/>
      <c r="E1454" s="133"/>
      <c r="F1454" s="50"/>
      <c r="G1454" s="409"/>
      <c r="H1454" s="401"/>
      <c r="I1454" s="26"/>
      <c r="K1454" s="258" t="s">
        <v>248</v>
      </c>
      <c r="L1454" s="266" t="s">
        <v>51</v>
      </c>
      <c r="M1454" s="911">
        <f>E1435</f>
        <v>8483.35</v>
      </c>
      <c r="N1454" s="538">
        <f t="shared" si="161"/>
        <v>8608.5900940000192</v>
      </c>
      <c r="O1454" s="253"/>
      <c r="P1454" s="68"/>
      <c r="Q1454" s="287"/>
      <c r="R1454" s="317"/>
      <c r="S1454" s="611"/>
      <c r="T1454" s="372"/>
      <c r="U1454" s="20"/>
      <c r="V1454" s="26"/>
      <c r="W1454" s="26"/>
      <c r="X1454" s="91"/>
      <c r="Y1454" s="20"/>
      <c r="Z1454" s="239"/>
      <c r="AA1454" s="94"/>
      <c r="AB1454" s="26"/>
      <c r="AC1454" s="20"/>
      <c r="AD1454" s="20"/>
      <c r="AE1454" s="20"/>
      <c r="AF1454" s="20"/>
      <c r="AG1454" s="20"/>
      <c r="AH1454" s="20"/>
      <c r="AI1454" s="20"/>
    </row>
    <row r="1455" spans="1:35" ht="12.75" customHeight="1">
      <c r="A1455" s="333"/>
      <c r="B1455" s="333"/>
      <c r="C1455" s="333"/>
      <c r="D1455" s="133"/>
      <c r="E1455" s="133"/>
      <c r="F1455" s="50"/>
      <c r="G1455" s="409"/>
      <c r="H1455" s="401"/>
      <c r="I1455" s="26"/>
      <c r="K1455" s="258"/>
      <c r="L1455" s="266" t="s">
        <v>135</v>
      </c>
      <c r="M1455" s="911">
        <v>-132.6</v>
      </c>
      <c r="N1455" s="538">
        <f t="shared" si="161"/>
        <v>8475.9900940000189</v>
      </c>
      <c r="O1455" s="253"/>
      <c r="P1455" s="68"/>
      <c r="Q1455" s="287"/>
      <c r="R1455" s="317"/>
      <c r="S1455" s="611"/>
      <c r="T1455" s="372"/>
      <c r="U1455" s="20"/>
      <c r="V1455" s="26"/>
      <c r="W1455" s="26"/>
      <c r="X1455" s="91"/>
      <c r="Y1455" s="20"/>
      <c r="Z1455" s="239"/>
      <c r="AA1455" s="94"/>
      <c r="AB1455" s="26"/>
      <c r="AC1455" s="20"/>
      <c r="AD1455" s="20"/>
      <c r="AE1455" s="20"/>
      <c r="AF1455" s="20"/>
      <c r="AG1455" s="20"/>
      <c r="AH1455" s="20"/>
      <c r="AI1455" s="20"/>
    </row>
    <row r="1456" spans="1:35" ht="12.75" customHeight="1">
      <c r="A1456" s="333"/>
      <c r="B1456" s="333"/>
      <c r="C1456" s="333"/>
      <c r="D1456" s="133"/>
      <c r="E1456" s="133"/>
      <c r="F1456" s="50"/>
      <c r="G1456" s="409"/>
      <c r="H1456" s="401"/>
      <c r="I1456" s="26"/>
      <c r="K1456" s="258"/>
      <c r="L1456" s="266" t="s">
        <v>852</v>
      </c>
      <c r="M1456" s="911">
        <v>-64.900000000000006</v>
      </c>
      <c r="N1456" s="538">
        <f t="shared" si="161"/>
        <v>8411.0900940000192</v>
      </c>
      <c r="O1456" s="253"/>
      <c r="P1456" s="68"/>
      <c r="Q1456" s="287"/>
      <c r="R1456" s="317"/>
      <c r="S1456" s="611"/>
      <c r="T1456" s="372"/>
      <c r="U1456" s="20"/>
      <c r="V1456" s="26"/>
      <c r="W1456" s="26"/>
      <c r="X1456" s="91"/>
      <c r="Y1456" s="20"/>
      <c r="Z1456" s="239"/>
      <c r="AA1456" s="94"/>
      <c r="AB1456" s="26"/>
      <c r="AC1456" s="20"/>
      <c r="AD1456" s="20"/>
      <c r="AE1456" s="20"/>
      <c r="AF1456" s="20"/>
      <c r="AG1456" s="20"/>
      <c r="AH1456" s="20"/>
      <c r="AI1456" s="20"/>
    </row>
    <row r="1457" spans="1:35" ht="12.75" customHeight="1">
      <c r="A1457" s="333"/>
      <c r="B1457" s="333"/>
      <c r="C1457" s="333"/>
      <c r="D1457" s="133"/>
      <c r="E1457" s="133"/>
      <c r="F1457" s="50"/>
      <c r="G1457" s="409"/>
      <c r="H1457" s="401"/>
      <c r="I1457" s="26"/>
      <c r="K1457" s="258" t="s">
        <v>248</v>
      </c>
      <c r="L1457" s="266" t="s">
        <v>416</v>
      </c>
      <c r="M1457" s="146">
        <v>-3135</v>
      </c>
      <c r="N1457" s="538">
        <f t="shared" si="161"/>
        <v>5276.0900940000192</v>
      </c>
      <c r="O1457" s="253"/>
      <c r="P1457" s="68"/>
      <c r="Q1457" s="287"/>
      <c r="R1457" s="317"/>
      <c r="S1457" s="611"/>
      <c r="T1457" s="372"/>
      <c r="U1457" s="20"/>
      <c r="V1457" s="26"/>
      <c r="W1457" s="26"/>
      <c r="X1457" s="91"/>
      <c r="Y1457" s="20"/>
      <c r="Z1457" s="239"/>
      <c r="AA1457" s="94"/>
      <c r="AB1457" s="26"/>
      <c r="AC1457" s="20"/>
      <c r="AD1457" s="20"/>
      <c r="AE1457" s="20"/>
      <c r="AF1457" s="20"/>
      <c r="AG1457" s="20"/>
      <c r="AH1457" s="20"/>
      <c r="AI1457" s="20"/>
    </row>
    <row r="1458" spans="1:35" ht="12.75" customHeight="1">
      <c r="A1458" s="333"/>
      <c r="B1458" s="333"/>
      <c r="C1458" s="333"/>
      <c r="D1458" s="133"/>
      <c r="E1458" s="133"/>
      <c r="F1458" s="50"/>
      <c r="G1458" s="409"/>
      <c r="H1458" s="401"/>
      <c r="I1458" s="26"/>
      <c r="J1458" s="974" t="s">
        <v>841</v>
      </c>
      <c r="K1458" s="258" t="s">
        <v>248</v>
      </c>
      <c r="L1458" s="266" t="s">
        <v>552</v>
      </c>
      <c r="M1458" s="45">
        <v>-180</v>
      </c>
      <c r="N1458" s="538">
        <f t="shared" si="161"/>
        <v>5096.0900940000192</v>
      </c>
      <c r="O1458" s="253"/>
      <c r="P1458" s="68"/>
      <c r="Q1458" s="287"/>
      <c r="R1458" s="317"/>
      <c r="S1458" s="611"/>
      <c r="T1458" s="372"/>
      <c r="U1458" s="20"/>
      <c r="V1458" s="26"/>
      <c r="W1458" s="26"/>
      <c r="X1458" s="91"/>
      <c r="Y1458" s="20"/>
      <c r="Z1458" s="239"/>
      <c r="AA1458" s="94"/>
      <c r="AB1458" s="26"/>
      <c r="AC1458" s="20"/>
      <c r="AD1458" s="20"/>
      <c r="AE1458" s="20"/>
      <c r="AF1458" s="20"/>
      <c r="AG1458" s="20"/>
      <c r="AH1458" s="20"/>
      <c r="AI1458" s="20"/>
    </row>
    <row r="1459" spans="1:35" ht="12.75" customHeight="1">
      <c r="A1459" s="333"/>
      <c r="B1459" s="333"/>
      <c r="C1459" s="333"/>
      <c r="D1459" s="133"/>
      <c r="E1459" s="133"/>
      <c r="F1459" s="50"/>
      <c r="G1459" s="409"/>
      <c r="H1459" s="401"/>
      <c r="I1459" s="26"/>
      <c r="J1459" s="974" t="s">
        <v>842</v>
      </c>
      <c r="K1459" s="258" t="s">
        <v>248</v>
      </c>
      <c r="L1459" s="266" t="s">
        <v>333</v>
      </c>
      <c r="M1459" s="45">
        <v>-60</v>
      </c>
      <c r="N1459" s="538">
        <f t="shared" si="161"/>
        <v>5036.0900940000192</v>
      </c>
      <c r="O1459" s="253"/>
      <c r="U1459" s="20"/>
      <c r="V1459" s="26"/>
      <c r="W1459" s="26"/>
      <c r="X1459" s="91"/>
      <c r="Y1459" s="20"/>
      <c r="Z1459" s="239"/>
      <c r="AA1459" s="94"/>
      <c r="AB1459" s="26"/>
      <c r="AC1459" s="20"/>
      <c r="AD1459" s="20"/>
      <c r="AE1459" s="20"/>
      <c r="AF1459" s="20"/>
      <c r="AG1459" s="20"/>
      <c r="AH1459" s="20"/>
      <c r="AI1459" s="20"/>
    </row>
    <row r="1460" spans="1:35" ht="12.75" customHeight="1">
      <c r="A1460" s="333"/>
      <c r="B1460" s="333"/>
      <c r="C1460" s="333"/>
      <c r="D1460" s="133"/>
      <c r="E1460" s="133"/>
      <c r="F1460" s="50"/>
      <c r="G1460" s="409"/>
      <c r="H1460" s="401"/>
      <c r="I1460" s="26"/>
      <c r="K1460" s="258" t="s">
        <v>248</v>
      </c>
      <c r="L1460" s="266" t="s">
        <v>195</v>
      </c>
      <c r="M1460" s="196">
        <v>-2065.2199999999998</v>
      </c>
      <c r="N1460" s="538">
        <f t="shared" si="161"/>
        <v>2970.8700940000194</v>
      </c>
      <c r="O1460" s="253"/>
      <c r="U1460" s="234"/>
      <c r="V1460" s="26"/>
      <c r="W1460" s="26"/>
      <c r="X1460" s="91"/>
      <c r="Y1460" s="20"/>
      <c r="Z1460" s="239"/>
      <c r="AA1460" s="94"/>
      <c r="AB1460" s="26"/>
      <c r="AC1460" s="20"/>
      <c r="AD1460" s="20"/>
      <c r="AE1460" s="20"/>
      <c r="AF1460" s="20"/>
      <c r="AG1460" s="20"/>
      <c r="AH1460" s="20"/>
      <c r="AI1460" s="20"/>
    </row>
    <row r="1461" spans="1:35" ht="12.75" customHeight="1">
      <c r="A1461" s="333"/>
      <c r="B1461" s="333"/>
      <c r="C1461" s="333"/>
      <c r="D1461" s="133"/>
      <c r="E1461" s="133"/>
      <c r="F1461" s="50"/>
      <c r="G1461" s="409"/>
      <c r="H1461" s="401"/>
      <c r="I1461" s="874"/>
      <c r="K1461" s="85" t="s">
        <v>248</v>
      </c>
      <c r="L1461" s="266" t="s">
        <v>180</v>
      </c>
      <c r="M1461" s="45">
        <v>-59</v>
      </c>
      <c r="N1461" s="538">
        <f t="shared" si="161"/>
        <v>2911.8700940000194</v>
      </c>
      <c r="O1461" s="253"/>
      <c r="U1461" s="20"/>
      <c r="V1461" s="26"/>
      <c r="W1461" s="26"/>
      <c r="X1461" s="91"/>
      <c r="Y1461" s="20"/>
      <c r="Z1461" s="239"/>
      <c r="AA1461" s="94"/>
      <c r="AB1461" s="26"/>
      <c r="AC1461" s="20"/>
      <c r="AD1461" s="20"/>
      <c r="AE1461" s="20"/>
      <c r="AF1461" s="20"/>
      <c r="AG1461" s="20"/>
      <c r="AH1461" s="20"/>
      <c r="AI1461" s="20"/>
    </row>
    <row r="1462" spans="1:35" ht="12.75" customHeight="1">
      <c r="A1462" s="333"/>
      <c r="B1462" s="333"/>
      <c r="C1462" s="333"/>
      <c r="D1462" s="133"/>
      <c r="E1462" s="133"/>
      <c r="F1462" s="50"/>
      <c r="G1462" s="409"/>
      <c r="H1462" s="401"/>
      <c r="I1462" s="315"/>
      <c r="J1462" s="511"/>
      <c r="K1462" s="258" t="s">
        <v>248</v>
      </c>
      <c r="L1462" s="266" t="s">
        <v>61</v>
      </c>
      <c r="M1462" s="45">
        <v>-588.51</v>
      </c>
      <c r="N1462" s="538">
        <f t="shared" si="161"/>
        <v>2323.3600940000197</v>
      </c>
      <c r="O1462" s="253"/>
      <c r="U1462" s="20"/>
      <c r="V1462" s="26"/>
      <c r="W1462" s="26"/>
      <c r="X1462" s="91"/>
      <c r="Y1462" s="20"/>
      <c r="Z1462" s="239"/>
      <c r="AA1462" s="94"/>
      <c r="AB1462" s="26"/>
      <c r="AC1462" s="20"/>
      <c r="AD1462" s="20"/>
      <c r="AE1462" s="20"/>
      <c r="AF1462" s="20"/>
      <c r="AG1462" s="20"/>
      <c r="AH1462" s="20"/>
      <c r="AI1462" s="20"/>
    </row>
    <row r="1463" spans="1:35" ht="12.75" customHeight="1">
      <c r="A1463" s="333"/>
      <c r="B1463" s="333"/>
      <c r="C1463" s="333"/>
      <c r="D1463" s="133"/>
      <c r="E1463" s="133"/>
      <c r="F1463" s="50"/>
      <c r="G1463" s="409"/>
      <c r="H1463" s="401"/>
      <c r="I1463" s="962"/>
      <c r="J1463" s="962"/>
      <c r="K1463" s="258" t="s">
        <v>248</v>
      </c>
      <c r="L1463" s="266" t="s">
        <v>148</v>
      </c>
      <c r="M1463" s="774">
        <v>0</v>
      </c>
      <c r="N1463" s="538">
        <f t="shared" si="161"/>
        <v>2323.3600940000197</v>
      </c>
      <c r="O1463" s="253"/>
      <c r="U1463" s="20"/>
      <c r="V1463" s="26"/>
      <c r="W1463" s="26"/>
      <c r="X1463" s="91"/>
      <c r="Y1463" s="20"/>
      <c r="Z1463" s="239"/>
      <c r="AA1463" s="94"/>
      <c r="AB1463" s="26"/>
      <c r="AC1463" s="20"/>
      <c r="AD1463" s="20"/>
      <c r="AE1463" s="20"/>
      <c r="AF1463" s="20"/>
      <c r="AG1463" s="20"/>
      <c r="AH1463" s="20"/>
      <c r="AI1463" s="20"/>
    </row>
    <row r="1464" spans="1:35" ht="12.75" customHeight="1">
      <c r="A1464" s="333"/>
      <c r="B1464" s="333"/>
      <c r="C1464" s="333"/>
      <c r="D1464" s="133"/>
      <c r="E1464" s="133"/>
      <c r="F1464" s="50"/>
      <c r="G1464" s="409"/>
      <c r="H1464" s="401"/>
      <c r="I1464" s="493"/>
      <c r="J1464" s="517"/>
      <c r="K1464" s="85" t="s">
        <v>189</v>
      </c>
      <c r="L1464" s="267" t="s">
        <v>16</v>
      </c>
      <c r="M1464" s="175">
        <v>-243.99</v>
      </c>
      <c r="N1464" s="538">
        <f t="shared" si="161"/>
        <v>2079.3700940000199</v>
      </c>
      <c r="O1464" s="253"/>
      <c r="U1464" s="20"/>
      <c r="V1464" s="26"/>
      <c r="W1464" s="26"/>
      <c r="X1464" s="91"/>
      <c r="Y1464" s="20"/>
      <c r="Z1464" s="239"/>
      <c r="AA1464" s="94"/>
      <c r="AB1464" s="26"/>
      <c r="AC1464" s="20"/>
      <c r="AD1464" s="20"/>
      <c r="AE1464" s="20"/>
      <c r="AF1464" s="20"/>
      <c r="AG1464" s="20"/>
      <c r="AH1464" s="20"/>
      <c r="AI1464" s="20"/>
    </row>
    <row r="1465" spans="1:35" ht="12.75" customHeight="1">
      <c r="A1465" s="333"/>
      <c r="B1465" s="333"/>
      <c r="C1465" s="333"/>
      <c r="D1465" s="133"/>
      <c r="E1465" s="133"/>
      <c r="F1465" s="50"/>
      <c r="G1465" s="409"/>
      <c r="H1465" s="401"/>
      <c r="I1465" s="493"/>
      <c r="J1465" s="709"/>
      <c r="K1465" s="258" t="s">
        <v>189</v>
      </c>
      <c r="L1465" s="268" t="s">
        <v>56</v>
      </c>
      <c r="M1465" s="175">
        <v>-610</v>
      </c>
      <c r="N1465" s="538">
        <f t="shared" si="161"/>
        <v>1469.3700940000199</v>
      </c>
      <c r="O1465" s="253"/>
      <c r="U1465" s="20"/>
      <c r="V1465" s="253"/>
      <c r="W1465" s="26"/>
      <c r="X1465" s="91"/>
      <c r="Y1465" s="20"/>
      <c r="Z1465" s="239"/>
      <c r="AA1465" s="94"/>
      <c r="AB1465" s="26"/>
      <c r="AC1465" s="20"/>
      <c r="AD1465" s="20"/>
      <c r="AE1465" s="20"/>
      <c r="AF1465" s="20"/>
      <c r="AG1465" s="20"/>
      <c r="AH1465" s="20"/>
      <c r="AI1465" s="20"/>
    </row>
    <row r="1466" spans="1:35" ht="12.75" customHeight="1">
      <c r="A1466" s="333"/>
      <c r="B1466" s="333"/>
      <c r="C1466" s="333"/>
      <c r="D1466" s="133"/>
      <c r="E1466" s="133"/>
      <c r="F1466" s="50"/>
      <c r="G1466" s="409"/>
      <c r="H1466" s="401"/>
      <c r="I1466" s="495"/>
      <c r="K1466" s="258" t="s">
        <v>189</v>
      </c>
      <c r="L1466" s="268" t="s">
        <v>23</v>
      </c>
      <c r="M1466" s="133">
        <v>-348.1</v>
      </c>
      <c r="N1466" s="538">
        <f t="shared" si="161"/>
        <v>1121.27009400002</v>
      </c>
      <c r="O1466" s="253"/>
      <c r="U1466" s="20"/>
      <c r="V1466" s="253"/>
      <c r="W1466" s="26"/>
      <c r="X1466" s="91"/>
      <c r="Y1466" s="20"/>
      <c r="Z1466" s="239"/>
      <c r="AA1466" s="94"/>
      <c r="AB1466" s="26"/>
      <c r="AC1466" s="20"/>
      <c r="AD1466" s="20"/>
      <c r="AE1466" s="20"/>
      <c r="AF1466" s="20"/>
      <c r="AG1466" s="20"/>
      <c r="AH1466" s="20"/>
      <c r="AI1466" s="20"/>
    </row>
    <row r="1467" spans="1:35" ht="12.75" customHeight="1">
      <c r="A1467" s="333"/>
      <c r="B1467" s="333"/>
      <c r="C1467" s="333"/>
      <c r="D1467" s="413"/>
      <c r="E1467" s="34"/>
      <c r="F1467" s="50"/>
      <c r="G1467" s="409"/>
      <c r="H1467" s="509"/>
      <c r="I1467" s="961"/>
      <c r="J1467" s="961"/>
      <c r="K1467" s="258" t="s">
        <v>189</v>
      </c>
      <c r="L1467" s="116" t="s">
        <v>714</v>
      </c>
      <c r="M1467" s="45">
        <v>-530.74</v>
      </c>
      <c r="N1467" s="538">
        <f t="shared" si="161"/>
        <v>590.53009400001997</v>
      </c>
      <c r="O1467" s="253"/>
      <c r="U1467" s="20"/>
      <c r="V1467" s="253"/>
      <c r="W1467" s="26"/>
      <c r="X1467" s="91"/>
      <c r="Y1467" s="20"/>
      <c r="Z1467" s="239"/>
      <c r="AA1467" s="94"/>
      <c r="AB1467" s="26"/>
      <c r="AC1467" s="20"/>
      <c r="AD1467" s="20"/>
      <c r="AE1467" s="20"/>
      <c r="AF1467" s="20"/>
      <c r="AG1467" s="20"/>
      <c r="AH1467" s="20"/>
      <c r="AI1467" s="20"/>
    </row>
    <row r="1468" spans="1:35" ht="12.75" customHeight="1">
      <c r="A1468" s="333"/>
      <c r="B1468" s="333"/>
      <c r="C1468" s="333"/>
      <c r="D1468" s="413"/>
      <c r="E1468" s="34"/>
      <c r="F1468" s="50"/>
      <c r="G1468" s="414"/>
      <c r="H1468" s="509"/>
      <c r="I1468" s="961"/>
      <c r="J1468" s="961"/>
      <c r="K1468" s="258" t="s">
        <v>189</v>
      </c>
      <c r="L1468" s="116" t="s">
        <v>585</v>
      </c>
      <c r="M1468" s="175">
        <v>-66.989999999999995</v>
      </c>
      <c r="N1468" s="538">
        <f t="shared" si="161"/>
        <v>523.54009400001996</v>
      </c>
      <c r="O1468" s="497"/>
      <c r="U1468" s="20"/>
      <c r="V1468" s="253"/>
      <c r="W1468" s="26"/>
      <c r="X1468" s="91"/>
      <c r="Y1468" s="20"/>
      <c r="Z1468" s="239"/>
      <c r="AA1468" s="94"/>
      <c r="AB1468" s="26"/>
      <c r="AC1468" s="20"/>
      <c r="AD1468" s="20"/>
      <c r="AE1468" s="20"/>
      <c r="AF1468" s="20"/>
      <c r="AG1468" s="20"/>
      <c r="AH1468" s="20"/>
      <c r="AI1468" s="20"/>
    </row>
    <row r="1469" spans="1:35" ht="12.75" customHeight="1">
      <c r="A1469" s="333"/>
      <c r="B1469" s="333"/>
      <c r="C1469" s="333"/>
      <c r="D1469" s="48"/>
      <c r="E1469" s="133"/>
      <c r="F1469" s="50"/>
      <c r="G1469" s="414"/>
      <c r="H1469" s="509"/>
      <c r="I1469" s="510"/>
      <c r="J1469" s="521"/>
      <c r="K1469" s="321" t="s">
        <v>190</v>
      </c>
      <c r="L1469" s="269" t="s">
        <v>375</v>
      </c>
      <c r="M1469" s="366">
        <v>-47.52</v>
      </c>
      <c r="N1469" s="566">
        <f>N1468+M1469</f>
        <v>476.02009400001998</v>
      </c>
      <c r="O1469" s="497"/>
      <c r="U1469" s="20"/>
      <c r="V1469" s="253"/>
      <c r="W1469" s="26"/>
      <c r="X1469" s="91"/>
      <c r="Y1469" s="20"/>
      <c r="Z1469" s="239"/>
      <c r="AA1469" s="94"/>
      <c r="AB1469" s="26"/>
      <c r="AC1469" s="20"/>
      <c r="AD1469" s="20"/>
      <c r="AE1469" s="20"/>
      <c r="AF1469" s="20"/>
      <c r="AG1469" s="20"/>
      <c r="AH1469" s="20"/>
      <c r="AI1469" s="20"/>
    </row>
    <row r="1470" spans="1:35" ht="12.75" customHeight="1">
      <c r="A1470" s="328"/>
      <c r="B1470" s="328"/>
      <c r="C1470" s="328"/>
      <c r="D1470" s="547"/>
      <c r="E1470" s="133"/>
      <c r="F1470" s="50"/>
      <c r="G1470" s="414"/>
      <c r="H1470" s="978"/>
      <c r="L1470" s="23"/>
      <c r="M1470" s="168">
        <f>SUM(M1431:M1469)</f>
        <v>476.02009400001998</v>
      </c>
      <c r="N1470" s="806"/>
      <c r="U1470" s="20"/>
      <c r="V1470" s="26"/>
      <c r="W1470" s="26"/>
      <c r="X1470" s="91"/>
      <c r="Y1470" s="20"/>
      <c r="Z1470" s="239"/>
      <c r="AA1470" s="94"/>
      <c r="AB1470" s="26"/>
      <c r="AC1470" s="20"/>
      <c r="AD1470" s="20"/>
      <c r="AE1470" s="20"/>
      <c r="AF1470" s="20"/>
      <c r="AG1470" s="20"/>
      <c r="AH1470" s="20"/>
      <c r="AI1470" s="20"/>
    </row>
    <row r="1471" spans="1:35" s="78" customFormat="1" ht="12.75" customHeight="1">
      <c r="A1471" s="424"/>
      <c r="B1471" s="424"/>
      <c r="C1471" s="424"/>
      <c r="D1471" s="995"/>
      <c r="E1471" s="425"/>
      <c r="F1471" s="426"/>
      <c r="G1471" s="830"/>
      <c r="H1471" s="516"/>
      <c r="K1471" s="257"/>
      <c r="L1471" s="129"/>
      <c r="M1471" s="15"/>
      <c r="N1471" s="996"/>
      <c r="P1471" s="15"/>
      <c r="Q1471" s="15"/>
      <c r="R1471" s="15"/>
      <c r="S1471" s="385"/>
      <c r="V1471" s="15"/>
      <c r="W1471" s="15"/>
      <c r="X1471" s="158"/>
      <c r="Z1471" s="159"/>
      <c r="AA1471" s="160"/>
      <c r="AB1471" s="15"/>
    </row>
    <row r="1473" spans="1:35" ht="12.75" customHeight="1">
      <c r="B1473" s="1030" t="s">
        <v>847</v>
      </c>
      <c r="C1473" s="1030"/>
      <c r="D1473" s="1030"/>
      <c r="E1473" s="1030"/>
      <c r="G1473" s="261"/>
      <c r="H1473" s="658"/>
      <c r="I1473" s="26"/>
      <c r="K1473" s="258"/>
      <c r="L1473" s="100"/>
      <c r="M1473" s="1031" t="s">
        <v>54</v>
      </c>
      <c r="N1473" s="986"/>
      <c r="O1473" s="991"/>
      <c r="P1473" s="1033" t="s">
        <v>48</v>
      </c>
      <c r="Q1473" s="1035" t="s">
        <v>749</v>
      </c>
      <c r="R1473" s="1035"/>
      <c r="S1473" s="377"/>
      <c r="X1473" s="35"/>
      <c r="Y1473" s="35"/>
      <c r="Z1473" s="26"/>
      <c r="AA1473" s="992"/>
      <c r="AB1473" s="26"/>
      <c r="AC1473" s="20"/>
      <c r="AD1473" s="20"/>
      <c r="AE1473" s="20"/>
      <c r="AF1473" s="20"/>
      <c r="AG1473" s="20"/>
      <c r="AH1473" s="20"/>
      <c r="AI1473" s="20"/>
    </row>
    <row r="1474" spans="1:35" ht="12.75" customHeight="1">
      <c r="C1474" s="17" t="s">
        <v>357</v>
      </c>
      <c r="D1474" s="14"/>
      <c r="E1474" s="877">
        <v>8483.35</v>
      </c>
      <c r="G1474" s="1036"/>
      <c r="H1474" s="1036"/>
      <c r="I1474" s="26"/>
      <c r="K1474" s="260" t="s">
        <v>221</v>
      </c>
      <c r="L1474" s="156"/>
      <c r="M1474" s="1032"/>
      <c r="N1474" s="986" t="s">
        <v>43</v>
      </c>
      <c r="O1474" s="991"/>
      <c r="P1474" s="1034"/>
      <c r="Q1474" s="987" t="s">
        <v>43</v>
      </c>
      <c r="R1474" s="988" t="s">
        <v>53</v>
      </c>
      <c r="S1474" s="377"/>
      <c r="X1474" s="118"/>
      <c r="Y1474" s="111"/>
      <c r="Z1474" s="117"/>
      <c r="AA1474" s="89"/>
      <c r="AB1474" s="90"/>
      <c r="AC1474" s="20"/>
      <c r="AD1474" s="41"/>
      <c r="AE1474" s="20"/>
      <c r="AF1474" s="20"/>
      <c r="AG1474" s="20"/>
      <c r="AH1474" s="20"/>
      <c r="AI1474" s="20"/>
    </row>
    <row r="1475" spans="1:35" ht="12.75" customHeight="1">
      <c r="C1475" s="17"/>
      <c r="D1475" s="14" t="s">
        <v>24</v>
      </c>
      <c r="E1475" s="45">
        <f>'[1]DEC ''14'!$C$17</f>
        <v>1260.0899999999999</v>
      </c>
      <c r="G1475" s="30"/>
      <c r="H1475" s="624">
        <f>SUM(E1475:E1475)</f>
        <v>1260.0899999999999</v>
      </c>
      <c r="I1475" s="26"/>
      <c r="K1475" s="273"/>
      <c r="L1475" s="235" t="s">
        <v>226</v>
      </c>
      <c r="M1475" s="196">
        <f>$M$1470</f>
        <v>476.02009400001998</v>
      </c>
      <c r="N1475" s="71">
        <f>M1475</f>
        <v>476.02009400001998</v>
      </c>
      <c r="O1475" s="26"/>
      <c r="P1475" s="45">
        <f>Q1443</f>
        <v>-27793.647278480992</v>
      </c>
      <c r="Q1475" s="71">
        <f>P1475</f>
        <v>-27793.647278480992</v>
      </c>
      <c r="R1475" s="45">
        <f>28000+Q1475</f>
        <v>206.3527215190079</v>
      </c>
      <c r="S1475" s="378" t="s">
        <v>298</v>
      </c>
      <c r="T1475" s="367" t="s">
        <v>299</v>
      </c>
      <c r="W1475" s="392"/>
      <c r="X1475" s="111"/>
      <c r="Y1475" s="111"/>
      <c r="Z1475" s="45"/>
      <c r="AA1475" s="488"/>
      <c r="AB1475" s="26"/>
      <c r="AC1475" s="20"/>
      <c r="AD1475" s="92"/>
      <c r="AE1475" s="93"/>
      <c r="AF1475" s="20"/>
      <c r="AG1475" s="20"/>
      <c r="AH1475" s="20"/>
      <c r="AI1475" s="20"/>
    </row>
    <row r="1476" spans="1:35" ht="12.75" customHeight="1">
      <c r="C1476" s="17"/>
      <c r="D1476" s="44" t="s">
        <v>438</v>
      </c>
      <c r="E1476" s="52">
        <v>8500</v>
      </c>
      <c r="G1476" s="30"/>
      <c r="H1476" s="624"/>
      <c r="I1476" s="26"/>
      <c r="K1476" s="297"/>
      <c r="L1476" s="184" t="s">
        <v>235</v>
      </c>
      <c r="M1476" s="196">
        <f>-691.98</f>
        <v>-691.98</v>
      </c>
      <c r="N1476" s="538">
        <f>N1475+M1476</f>
        <v>-215.95990599998004</v>
      </c>
      <c r="O1476" s="39"/>
      <c r="P1476" s="133">
        <v>-187</v>
      </c>
      <c r="Q1476" s="72">
        <f>Q1475+P1476</f>
        <v>-27980.647278480992</v>
      </c>
      <c r="R1476" s="45">
        <f>28000+Q1476</f>
        <v>19.3527215190079</v>
      </c>
      <c r="S1476" s="373" t="s">
        <v>853</v>
      </c>
      <c r="T1476" s="391" t="s">
        <v>854</v>
      </c>
      <c r="W1476" s="111"/>
      <c r="X1476" s="111"/>
      <c r="Y1476" s="112"/>
      <c r="Z1476" s="55"/>
      <c r="AA1476" s="489"/>
      <c r="AB1476" s="26"/>
      <c r="AC1476" s="20"/>
      <c r="AD1476" s="92"/>
      <c r="AE1476" s="93"/>
      <c r="AF1476" s="20"/>
      <c r="AG1476" s="20"/>
      <c r="AH1476" s="20"/>
      <c r="AI1476" s="20"/>
    </row>
    <row r="1477" spans="1:35" ht="12.75" customHeight="1">
      <c r="C1477" s="18" t="s">
        <v>5</v>
      </c>
      <c r="D1477" s="14"/>
      <c r="E1477" s="14">
        <f>SUM(E1474:E1475)</f>
        <v>9743.44</v>
      </c>
      <c r="G1477" s="242"/>
      <c r="H1477" s="492"/>
      <c r="I1477" s="26"/>
      <c r="K1477" s="297"/>
      <c r="L1477" s="184" t="s">
        <v>438</v>
      </c>
      <c r="M1477" s="45">
        <v>1000</v>
      </c>
      <c r="N1477" s="538">
        <f>N1476+M1477</f>
        <v>784.04009400001996</v>
      </c>
      <c r="O1477" s="253"/>
      <c r="P1477" s="133">
        <f>-374.83</f>
        <v>-374.83</v>
      </c>
      <c r="Q1477" s="72">
        <f>Q1476+P1477</f>
        <v>-28355.477278480994</v>
      </c>
      <c r="R1477" s="45">
        <f>28000+Q1477</f>
        <v>-355.47727848099385</v>
      </c>
      <c r="S1477" s="373" t="s">
        <v>253</v>
      </c>
      <c r="T1477" s="391"/>
      <c r="W1477" s="112"/>
      <c r="X1477" s="112"/>
      <c r="Y1477" s="112"/>
      <c r="Z1477" s="55"/>
      <c r="AA1477" s="489"/>
      <c r="AB1477" s="26"/>
      <c r="AC1477" s="20"/>
      <c r="AD1477" s="92"/>
      <c r="AE1477" s="93"/>
      <c r="AF1477" s="20"/>
      <c r="AG1477" s="20"/>
      <c r="AH1477" s="20"/>
      <c r="AI1477" s="20"/>
    </row>
    <row r="1478" spans="1:35" ht="12.75" customHeight="1">
      <c r="G1478" s="20"/>
      <c r="H1478" s="490"/>
      <c r="I1478" s="26"/>
      <c r="K1478" s="297"/>
      <c r="L1478" s="184" t="s">
        <v>855</v>
      </c>
      <c r="M1478" s="45">
        <v>500</v>
      </c>
      <c r="N1478" s="735">
        <f>N1477+M1478</f>
        <v>1284.04009400002</v>
      </c>
      <c r="O1478" s="253"/>
      <c r="P1478" s="668">
        <f>E1476-M1477-M1490</f>
        <v>6000</v>
      </c>
      <c r="Q1478" s="72">
        <f t="shared" ref="Q1478:Q1491" si="164">Q1477+P1478</f>
        <v>-22355.477278480994</v>
      </c>
      <c r="R1478" s="45">
        <f>28000+Q1478</f>
        <v>5644.5227215190062</v>
      </c>
      <c r="S1478" s="373" t="s">
        <v>436</v>
      </c>
      <c r="T1478" s="391"/>
      <c r="W1478" s="103"/>
      <c r="X1478" s="111"/>
      <c r="Y1478" s="112"/>
      <c r="Z1478" s="55"/>
      <c r="AA1478" s="489"/>
      <c r="AB1478" s="95"/>
      <c r="AC1478" s="20"/>
      <c r="AD1478" s="96"/>
      <c r="AE1478" s="93"/>
      <c r="AF1478" s="20"/>
      <c r="AG1478" s="20"/>
      <c r="AH1478" s="20"/>
      <c r="AI1478" s="20"/>
    </row>
    <row r="1479" spans="1:35" ht="12.75" customHeight="1">
      <c r="A1479" s="319"/>
      <c r="C1479" s="81" t="s">
        <v>17</v>
      </c>
      <c r="E1479" s="42"/>
      <c r="G1479"/>
      <c r="H1479" s="990"/>
      <c r="I1479" s="26"/>
      <c r="K1479" s="297" t="s">
        <v>223</v>
      </c>
      <c r="L1479" s="184" t="s">
        <v>227</v>
      </c>
      <c r="M1479" s="45">
        <v>-449</v>
      </c>
      <c r="N1479" s="735">
        <f t="shared" ref="N1479:N1515" si="165">N1478+M1479</f>
        <v>835.04009400001996</v>
      </c>
      <c r="O1479" s="253"/>
      <c r="P1479" s="668">
        <v>-1000</v>
      </c>
      <c r="Q1479" s="72">
        <f t="shared" si="164"/>
        <v>-23355.477278480994</v>
      </c>
      <c r="R1479" s="45">
        <f>28000+Q1479</f>
        <v>4644.5227215190062</v>
      </c>
      <c r="S1479" s="373" t="s">
        <v>247</v>
      </c>
      <c r="T1479" s="391"/>
      <c r="U1479" s="74"/>
      <c r="V1479" s="26"/>
      <c r="W1479" s="111"/>
      <c r="X1479" s="111"/>
      <c r="Y1479" s="112"/>
      <c r="Z1479" s="55"/>
      <c r="AA1479" s="489"/>
      <c r="AB1479" s="26"/>
      <c r="AC1479" s="20"/>
      <c r="AD1479" s="41"/>
      <c r="AE1479" s="93"/>
      <c r="AF1479" s="20"/>
      <c r="AG1479" s="20"/>
      <c r="AH1479" s="20"/>
      <c r="AI1479" s="20"/>
    </row>
    <row r="1480" spans="1:35" ht="12.75" customHeight="1">
      <c r="A1480" s="319"/>
      <c r="D1480" s="20" t="s">
        <v>14</v>
      </c>
      <c r="E1480" s="42">
        <f>E1474</f>
        <v>8483.35</v>
      </c>
      <c r="F1480" s="20"/>
      <c r="G1480" s="20"/>
      <c r="H1480" s="490">
        <f>G1481+E1481</f>
        <v>1260.0899999999999</v>
      </c>
      <c r="I1480" s="26"/>
      <c r="K1480" s="297" t="s">
        <v>223</v>
      </c>
      <c r="L1480" s="116" t="s">
        <v>524</v>
      </c>
      <c r="M1480" s="45">
        <v>-10</v>
      </c>
      <c r="N1480" s="735">
        <f t="shared" si="165"/>
        <v>825.04009400001996</v>
      </c>
      <c r="O1480" s="253"/>
      <c r="P1480" s="668">
        <v>-514</v>
      </c>
      <c r="Q1480" s="72">
        <f t="shared" si="164"/>
        <v>-23869.477278480994</v>
      </c>
      <c r="R1480" s="45">
        <f t="shared" ref="R1480:R1491" si="166">28000+Q1480</f>
        <v>4130.5227215190062</v>
      </c>
      <c r="S1480" s="373" t="s">
        <v>441</v>
      </c>
      <c r="T1480" s="391"/>
      <c r="U1480" s="74"/>
      <c r="V1480" s="26"/>
      <c r="W1480" s="20"/>
      <c r="X1480" s="20"/>
      <c r="Y1480" s="112"/>
      <c r="Z1480" s="239"/>
      <c r="AA1480" s="94"/>
      <c r="AB1480" s="26"/>
      <c r="AC1480" s="20"/>
      <c r="AD1480" s="92"/>
      <c r="AE1480" s="93"/>
      <c r="AF1480" s="20"/>
      <c r="AG1480" s="20"/>
      <c r="AH1480" s="20"/>
      <c r="AI1480" s="20"/>
    </row>
    <row r="1481" spans="1:35" ht="12.75" customHeight="1" thickBot="1">
      <c r="A1481" s="319"/>
      <c r="D1481" s="78" t="s">
        <v>13</v>
      </c>
      <c r="E1481" s="483">
        <f>SUM(E1475:E1475)</f>
        <v>1260.0899999999999</v>
      </c>
      <c r="F1481" s="482" t="s">
        <v>364</v>
      </c>
      <c r="G1481" s="1037"/>
      <c r="H1481" s="1037"/>
      <c r="I1481" s="26"/>
      <c r="K1481" s="297"/>
      <c r="L1481" s="116" t="s">
        <v>856</v>
      </c>
      <c r="M1481" s="45">
        <v>-175</v>
      </c>
      <c r="N1481" s="735">
        <f t="shared" si="165"/>
        <v>650.04009400001996</v>
      </c>
      <c r="O1481" s="253"/>
      <c r="P1481" s="668">
        <v>-614</v>
      </c>
      <c r="Q1481" s="72">
        <f t="shared" si="164"/>
        <v>-24483.477278480994</v>
      </c>
      <c r="R1481" s="45">
        <f t="shared" si="166"/>
        <v>3516.5227215190062</v>
      </c>
      <c r="S1481" s="373" t="s">
        <v>441</v>
      </c>
      <c r="T1481" s="391"/>
      <c r="U1481" s="74"/>
      <c r="V1481" s="26"/>
      <c r="W1481" s="26"/>
      <c r="X1481" s="20"/>
      <c r="Y1481" s="112"/>
      <c r="Z1481" s="239"/>
      <c r="AA1481" s="94"/>
      <c r="AB1481" s="95"/>
      <c r="AC1481" s="20"/>
      <c r="AD1481" s="92"/>
      <c r="AE1481" s="93"/>
      <c r="AF1481" s="20"/>
      <c r="AG1481" s="20"/>
      <c r="AH1481" s="20"/>
      <c r="AI1481" s="20"/>
    </row>
    <row r="1482" spans="1:35" ht="12.75" customHeight="1" thickTop="1">
      <c r="A1482" s="319"/>
      <c r="D1482" s="20"/>
      <c r="E1482" s="26"/>
      <c r="F1482" s="122"/>
      <c r="G1482" s="1038">
        <f>E1480+E1481+G1481</f>
        <v>9743.44</v>
      </c>
      <c r="H1482" s="1038"/>
      <c r="I1482" s="26"/>
      <c r="K1482" s="273"/>
      <c r="L1482" s="116" t="s">
        <v>857</v>
      </c>
      <c r="M1482" s="45">
        <v>-120</v>
      </c>
      <c r="N1482" s="735">
        <f t="shared" si="165"/>
        <v>530.04009400001996</v>
      </c>
      <c r="O1482" s="253"/>
      <c r="P1482" s="668">
        <v>-440.1</v>
      </c>
      <c r="Q1482" s="72">
        <f t="shared" si="164"/>
        <v>-24923.577278480992</v>
      </c>
      <c r="R1482" s="45">
        <f t="shared" si="166"/>
        <v>3076.4227215190076</v>
      </c>
      <c r="S1482" s="373" t="s">
        <v>797</v>
      </c>
      <c r="T1482" s="391"/>
      <c r="U1482" s="20"/>
      <c r="V1482" s="20"/>
      <c r="W1482" s="26"/>
      <c r="X1482" s="91"/>
      <c r="Y1482" s="20"/>
      <c r="Z1482" s="239"/>
      <c r="AA1482" s="94"/>
      <c r="AB1482" s="26"/>
      <c r="AC1482" s="20"/>
      <c r="AD1482" s="20"/>
      <c r="AE1482" s="20"/>
      <c r="AF1482" s="20"/>
      <c r="AG1482" s="20"/>
      <c r="AH1482" s="20"/>
      <c r="AI1482" s="20"/>
    </row>
    <row r="1483" spans="1:35" ht="12.75" customHeight="1">
      <c r="A1483" s="333"/>
      <c r="B1483" s="333"/>
      <c r="C1483" s="333"/>
      <c r="D1483" s="408"/>
      <c r="E1483" s="412"/>
      <c r="F1483" s="50"/>
      <c r="G1483" s="409"/>
      <c r="H1483" s="989"/>
      <c r="I1483" s="26"/>
      <c r="K1483" s="273"/>
      <c r="L1483" s="116" t="s">
        <v>343</v>
      </c>
      <c r="M1483" s="45">
        <v>-400</v>
      </c>
      <c r="N1483" s="735">
        <f t="shared" si="165"/>
        <v>130.04009400001996</v>
      </c>
      <c r="O1483" s="253"/>
      <c r="P1483" s="668">
        <v>-667.6</v>
      </c>
      <c r="Q1483" s="72">
        <f t="shared" si="164"/>
        <v>-25591.177278480991</v>
      </c>
      <c r="R1483" s="665">
        <f t="shared" si="166"/>
        <v>2408.8227215190091</v>
      </c>
      <c r="S1483" s="373" t="s">
        <v>258</v>
      </c>
      <c r="T1483" s="391"/>
      <c r="U1483" s="20"/>
      <c r="V1483" s="20"/>
      <c r="W1483" s="26"/>
      <c r="X1483" s="91"/>
      <c r="Y1483" s="20"/>
      <c r="Z1483" s="239"/>
      <c r="AA1483" s="94"/>
      <c r="AB1483" s="26"/>
      <c r="AC1483" s="20"/>
      <c r="AD1483" s="20"/>
      <c r="AE1483" s="20"/>
      <c r="AF1483" s="20"/>
      <c r="AG1483" s="20"/>
      <c r="AH1483" s="20"/>
      <c r="AI1483" s="20"/>
    </row>
    <row r="1484" spans="1:35" ht="12.75" customHeight="1">
      <c r="A1484" s="333"/>
      <c r="B1484" s="333"/>
      <c r="C1484" s="333"/>
      <c r="D1484" s="408"/>
      <c r="E1484" s="412"/>
      <c r="F1484" s="50"/>
      <c r="G1484" s="409"/>
      <c r="H1484" s="989"/>
      <c r="I1484" s="26"/>
      <c r="K1484" s="273"/>
      <c r="L1484" s="116" t="s">
        <v>133</v>
      </c>
      <c r="M1484" s="45">
        <v>-500</v>
      </c>
      <c r="N1484" s="735">
        <f t="shared" si="165"/>
        <v>-369.95990599998004</v>
      </c>
      <c r="O1484" s="253"/>
      <c r="P1484" s="133">
        <f>-(220*6)</f>
        <v>-1320</v>
      </c>
      <c r="Q1484" s="72">
        <f t="shared" si="164"/>
        <v>-26911.177278480991</v>
      </c>
      <c r="R1484" s="45">
        <f t="shared" si="166"/>
        <v>1088.8227215190091</v>
      </c>
      <c r="S1484" s="373" t="s">
        <v>866</v>
      </c>
      <c r="T1484" s="391"/>
      <c r="U1484" s="20"/>
      <c r="V1484" s="20"/>
      <c r="W1484" s="26"/>
      <c r="X1484" s="91"/>
      <c r="Y1484" s="20"/>
      <c r="Z1484" s="239"/>
      <c r="AA1484" s="94"/>
      <c r="AB1484" s="26"/>
      <c r="AC1484" s="20"/>
      <c r="AD1484" s="20"/>
      <c r="AE1484" s="20"/>
      <c r="AF1484" s="20"/>
      <c r="AG1484" s="20"/>
      <c r="AH1484" s="20"/>
      <c r="AI1484" s="20"/>
    </row>
    <row r="1485" spans="1:35" ht="12.75" customHeight="1">
      <c r="A1485" s="333"/>
      <c r="B1485" s="333"/>
      <c r="C1485" s="333"/>
      <c r="D1485" s="408"/>
      <c r="E1485" s="412"/>
      <c r="F1485" s="50"/>
      <c r="G1485" s="409"/>
      <c r="H1485" s="989"/>
      <c r="I1485" s="26"/>
      <c r="K1485" s="273"/>
      <c r="L1485" s="116" t="s">
        <v>820</v>
      </c>
      <c r="M1485" s="45">
        <v>60</v>
      </c>
      <c r="N1485" s="735">
        <f t="shared" si="165"/>
        <v>-309.95990599998004</v>
      </c>
      <c r="O1485" s="253"/>
      <c r="P1485" s="133">
        <v>-47</v>
      </c>
      <c r="Q1485" s="72">
        <f t="shared" si="164"/>
        <v>-26958.177278480991</v>
      </c>
      <c r="R1485" s="45">
        <f t="shared" si="166"/>
        <v>1041.8227215190091</v>
      </c>
      <c r="S1485" s="373" t="s">
        <v>572</v>
      </c>
      <c r="T1485" s="391"/>
      <c r="U1485" s="20"/>
      <c r="V1485" s="20"/>
      <c r="W1485" s="26"/>
      <c r="X1485" s="91"/>
      <c r="Y1485" s="20"/>
      <c r="Z1485" s="239"/>
      <c r="AA1485" s="94"/>
      <c r="AB1485" s="26"/>
      <c r="AC1485" s="20"/>
      <c r="AD1485" s="20"/>
      <c r="AE1485" s="20"/>
      <c r="AF1485" s="20"/>
      <c r="AG1485" s="20"/>
      <c r="AH1485" s="20"/>
      <c r="AI1485" s="20"/>
    </row>
    <row r="1486" spans="1:35" ht="12.75" customHeight="1">
      <c r="A1486" s="333"/>
      <c r="B1486" s="333"/>
      <c r="C1486" s="333"/>
      <c r="D1486" s="408"/>
      <c r="E1486" s="412"/>
      <c r="F1486" s="50"/>
      <c r="G1486" s="409"/>
      <c r="H1486" s="989"/>
      <c r="I1486" s="26"/>
      <c r="K1486" s="273"/>
      <c r="L1486" s="116" t="s">
        <v>24</v>
      </c>
      <c r="M1486" s="45">
        <v>1000</v>
      </c>
      <c r="N1486" s="735">
        <f t="shared" si="165"/>
        <v>690.04009400001996</v>
      </c>
      <c r="O1486" s="253"/>
      <c r="P1486" s="133">
        <v>-47</v>
      </c>
      <c r="Q1486" s="72">
        <f t="shared" si="164"/>
        <v>-27005.177278480991</v>
      </c>
      <c r="R1486" s="45">
        <f t="shared" si="166"/>
        <v>994.82272151900906</v>
      </c>
      <c r="S1486" s="373" t="s">
        <v>572</v>
      </c>
      <c r="T1486" s="391"/>
      <c r="U1486" s="20"/>
      <c r="V1486" s="20"/>
      <c r="W1486" s="26"/>
      <c r="X1486" s="91"/>
      <c r="Y1486" s="20"/>
      <c r="Z1486" s="239"/>
      <c r="AA1486" s="94"/>
      <c r="AB1486" s="26"/>
      <c r="AC1486" s="20"/>
      <c r="AD1486" s="20"/>
      <c r="AE1486" s="20"/>
      <c r="AF1486" s="20"/>
      <c r="AG1486" s="20"/>
      <c r="AH1486" s="20"/>
      <c r="AI1486" s="20"/>
    </row>
    <row r="1487" spans="1:35" ht="12.75" customHeight="1">
      <c r="A1487" s="333"/>
      <c r="B1487" s="333"/>
      <c r="C1487" s="333"/>
      <c r="D1487" s="408"/>
      <c r="E1487" s="412"/>
      <c r="F1487" s="50"/>
      <c r="G1487" s="409"/>
      <c r="H1487" s="989"/>
      <c r="I1487" s="26"/>
      <c r="K1487" s="273"/>
      <c r="L1487" s="116" t="s">
        <v>313</v>
      </c>
      <c r="M1487" s="45">
        <v>-735.97</v>
      </c>
      <c r="N1487" s="735">
        <f t="shared" si="165"/>
        <v>-45.929905999980065</v>
      </c>
      <c r="O1487" s="253"/>
      <c r="P1487" s="133">
        <v>-592.5</v>
      </c>
      <c r="Q1487" s="72">
        <f t="shared" si="164"/>
        <v>-27597.677278480991</v>
      </c>
      <c r="R1487" s="45">
        <f t="shared" si="166"/>
        <v>402.32272151900906</v>
      </c>
      <c r="S1487" s="373" t="s">
        <v>868</v>
      </c>
      <c r="T1487" s="391"/>
      <c r="U1487" s="20"/>
      <c r="V1487" s="20"/>
      <c r="W1487" s="26"/>
      <c r="X1487" s="91"/>
      <c r="Y1487" s="20"/>
      <c r="Z1487" s="239"/>
      <c r="AA1487" s="94"/>
      <c r="AB1487" s="26"/>
      <c r="AC1487" s="20"/>
      <c r="AD1487" s="20"/>
      <c r="AE1487" s="20"/>
      <c r="AF1487" s="20"/>
      <c r="AG1487" s="20"/>
      <c r="AH1487" s="20"/>
      <c r="AI1487" s="20"/>
    </row>
    <row r="1488" spans="1:35" ht="12.75" customHeight="1">
      <c r="A1488" s="333"/>
      <c r="B1488" s="333"/>
      <c r="C1488" s="333"/>
      <c r="D1488" s="408"/>
      <c r="E1488" s="412"/>
      <c r="F1488" s="50"/>
      <c r="G1488" s="409"/>
      <c r="H1488" s="989"/>
      <c r="I1488" s="26"/>
      <c r="K1488" s="273"/>
      <c r="L1488" s="116" t="s">
        <v>859</v>
      </c>
      <c r="M1488" s="45">
        <v>449</v>
      </c>
      <c r="N1488" s="735">
        <f t="shared" si="165"/>
        <v>403.07009400001994</v>
      </c>
      <c r="O1488" s="253"/>
      <c r="P1488" s="133">
        <v>-50.9</v>
      </c>
      <c r="Q1488" s="72">
        <f t="shared" si="164"/>
        <v>-27648.577278480992</v>
      </c>
      <c r="R1488" s="45">
        <f t="shared" si="166"/>
        <v>351.42272151900761</v>
      </c>
      <c r="S1488" s="373" t="s">
        <v>259</v>
      </c>
      <c r="T1488" s="391"/>
      <c r="U1488" s="20"/>
      <c r="V1488" s="20"/>
      <c r="W1488" s="26"/>
      <c r="X1488" s="91"/>
      <c r="Y1488" s="20"/>
      <c r="Z1488" s="239"/>
      <c r="AA1488" s="94"/>
      <c r="AB1488" s="26"/>
      <c r="AC1488" s="20"/>
      <c r="AD1488" s="20"/>
      <c r="AE1488" s="20"/>
      <c r="AF1488" s="20"/>
      <c r="AG1488" s="20"/>
      <c r="AH1488" s="20"/>
      <c r="AI1488" s="20"/>
    </row>
    <row r="1489" spans="1:35" ht="12.75" customHeight="1">
      <c r="A1489" s="333"/>
      <c r="B1489" s="333"/>
      <c r="C1489" s="333"/>
      <c r="D1489" s="408"/>
      <c r="E1489" s="412"/>
      <c r="F1489" s="50"/>
      <c r="G1489" s="409"/>
      <c r="H1489" s="989"/>
      <c r="I1489" s="26"/>
      <c r="K1489" s="273"/>
      <c r="L1489" s="116" t="s">
        <v>860</v>
      </c>
      <c r="M1489" s="45">
        <v>-115</v>
      </c>
      <c r="N1489" s="735">
        <f t="shared" si="165"/>
        <v>288.07009400001994</v>
      </c>
      <c r="O1489" s="253"/>
      <c r="P1489" s="133">
        <v>-375</v>
      </c>
      <c r="Q1489" s="72">
        <f t="shared" si="164"/>
        <v>-28023.577278480992</v>
      </c>
      <c r="R1489" s="45">
        <f t="shared" si="166"/>
        <v>-23.577278480992391</v>
      </c>
      <c r="S1489" s="373" t="s">
        <v>869</v>
      </c>
      <c r="T1489" s="391"/>
      <c r="U1489" s="20"/>
      <c r="V1489" s="20"/>
      <c r="W1489" s="26"/>
      <c r="X1489" s="91"/>
      <c r="Y1489" s="20"/>
      <c r="Z1489" s="239"/>
      <c r="AA1489" s="94"/>
      <c r="AB1489" s="26"/>
      <c r="AC1489" s="20"/>
      <c r="AD1489" s="20"/>
      <c r="AE1489" s="20"/>
      <c r="AF1489" s="20"/>
      <c r="AG1489" s="20"/>
      <c r="AH1489" s="20"/>
      <c r="AI1489" s="20"/>
    </row>
    <row r="1490" spans="1:35" ht="12.75" customHeight="1">
      <c r="A1490" s="333"/>
      <c r="B1490" s="333"/>
      <c r="C1490" s="333"/>
      <c r="D1490" s="408"/>
      <c r="E1490" s="412"/>
      <c r="F1490" s="50"/>
      <c r="G1490" s="409"/>
      <c r="H1490" s="989"/>
      <c r="I1490" s="26"/>
      <c r="K1490" s="273"/>
      <c r="L1490" s="116" t="s">
        <v>438</v>
      </c>
      <c r="M1490" s="45">
        <v>1500</v>
      </c>
      <c r="N1490" s="735">
        <f t="shared" si="165"/>
        <v>1788.0700940000199</v>
      </c>
      <c r="O1490" s="253"/>
      <c r="P1490" s="133">
        <v>-9.5</v>
      </c>
      <c r="Q1490" s="72">
        <f t="shared" si="164"/>
        <v>-28033.077278480992</v>
      </c>
      <c r="R1490" s="45">
        <f t="shared" si="166"/>
        <v>-33.077278480992391</v>
      </c>
      <c r="S1490" s="373" t="s">
        <v>870</v>
      </c>
      <c r="T1490" s="391"/>
      <c r="U1490" s="20"/>
      <c r="V1490" s="20"/>
      <c r="W1490" s="26"/>
      <c r="X1490" s="91"/>
      <c r="Y1490" s="20"/>
      <c r="Z1490" s="239"/>
      <c r="AA1490" s="94"/>
      <c r="AB1490" s="26"/>
      <c r="AC1490" s="20"/>
      <c r="AD1490" s="20"/>
      <c r="AE1490" s="20"/>
      <c r="AF1490" s="20"/>
      <c r="AG1490" s="20"/>
      <c r="AH1490" s="20"/>
      <c r="AI1490" s="20"/>
    </row>
    <row r="1491" spans="1:35" ht="12.75" customHeight="1">
      <c r="A1491" s="333"/>
      <c r="B1491" s="333"/>
      <c r="C1491" s="333"/>
      <c r="D1491" s="408"/>
      <c r="E1491" s="412"/>
      <c r="F1491" s="50"/>
      <c r="G1491" s="409"/>
      <c r="H1491" s="989"/>
      <c r="I1491" s="26"/>
      <c r="K1491" s="273"/>
      <c r="L1491" s="116" t="s">
        <v>102</v>
      </c>
      <c r="M1491" s="45">
        <v>1000</v>
      </c>
      <c r="N1491" s="735">
        <f t="shared" si="165"/>
        <v>2788.0700940000197</v>
      </c>
      <c r="O1491" s="253"/>
      <c r="P1491" s="133">
        <f>E1475</f>
        <v>1260.0899999999999</v>
      </c>
      <c r="Q1491" s="73">
        <f t="shared" si="164"/>
        <v>-26772.987278480992</v>
      </c>
      <c r="R1491" s="45">
        <f t="shared" si="166"/>
        <v>1227.0127215190078</v>
      </c>
      <c r="S1491" s="373" t="s">
        <v>280</v>
      </c>
      <c r="T1491" s="391"/>
      <c r="U1491" s="20"/>
      <c r="V1491" s="20"/>
      <c r="W1491" s="26"/>
      <c r="X1491" s="91"/>
      <c r="Y1491" s="20"/>
      <c r="Z1491" s="239"/>
      <c r="AA1491" s="94"/>
      <c r="AB1491" s="26"/>
      <c r="AC1491" s="20"/>
      <c r="AD1491" s="20"/>
      <c r="AE1491" s="20"/>
      <c r="AF1491" s="20"/>
      <c r="AG1491" s="20"/>
      <c r="AH1491" s="20"/>
      <c r="AI1491" s="20"/>
    </row>
    <row r="1492" spans="1:35" ht="12.75" customHeight="1">
      <c r="A1492" s="333"/>
      <c r="B1492" s="333"/>
      <c r="C1492" s="333"/>
      <c r="D1492" s="408"/>
      <c r="E1492" s="412"/>
      <c r="F1492" s="50"/>
      <c r="G1492" s="409"/>
      <c r="H1492" s="989"/>
      <c r="I1492" s="26"/>
      <c r="K1492" s="273"/>
      <c r="L1492" s="116" t="s">
        <v>732</v>
      </c>
      <c r="M1492" s="45">
        <v>585</v>
      </c>
      <c r="N1492" s="735">
        <f t="shared" si="165"/>
        <v>3373.0700940000197</v>
      </c>
      <c r="O1492" s="253"/>
      <c r="P1492" s="64">
        <f>SUM(P1475:P1491)</f>
        <v>-26772.987278480992</v>
      </c>
      <c r="Q1492" s="287"/>
      <c r="R1492" s="317"/>
      <c r="S1492" s="611"/>
      <c r="T1492" s="372"/>
      <c r="U1492" s="20"/>
      <c r="V1492" s="20"/>
      <c r="W1492" s="26"/>
      <c r="X1492" s="91"/>
      <c r="Y1492" s="20"/>
      <c r="Z1492" s="239"/>
      <c r="AA1492" s="94"/>
      <c r="AB1492" s="26"/>
      <c r="AC1492" s="20"/>
      <c r="AD1492" s="20"/>
      <c r="AE1492" s="20"/>
      <c r="AF1492" s="20"/>
      <c r="AG1492" s="20"/>
      <c r="AH1492" s="20"/>
      <c r="AI1492" s="20"/>
    </row>
    <row r="1493" spans="1:35" ht="12.75" customHeight="1">
      <c r="A1493" s="333"/>
      <c r="B1493" s="333"/>
      <c r="C1493" s="333"/>
      <c r="D1493" s="408"/>
      <c r="E1493" s="412"/>
      <c r="F1493" s="50"/>
      <c r="G1493" s="409"/>
      <c r="H1493" s="989"/>
      <c r="I1493" s="26"/>
      <c r="K1493" s="258" t="s">
        <v>260</v>
      </c>
      <c r="L1493" s="266" t="s">
        <v>195</v>
      </c>
      <c r="M1493" s="45">
        <v>-2065.2199999999998</v>
      </c>
      <c r="N1493" s="735">
        <f t="shared" si="165"/>
        <v>1307.8500940000199</v>
      </c>
      <c r="O1493" s="253"/>
      <c r="P1493" s="68"/>
      <c r="Q1493" s="287"/>
      <c r="R1493" s="317"/>
      <c r="S1493" s="611"/>
      <c r="T1493" s="372"/>
      <c r="U1493" s="20"/>
      <c r="V1493" s="20"/>
      <c r="W1493" s="26"/>
      <c r="X1493" s="91"/>
      <c r="Y1493" s="20"/>
      <c r="Z1493" s="239"/>
      <c r="AA1493" s="94"/>
      <c r="AB1493" s="26"/>
      <c r="AC1493" s="20"/>
      <c r="AD1493" s="20"/>
      <c r="AE1493" s="20"/>
      <c r="AF1493" s="20"/>
      <c r="AG1493" s="20"/>
      <c r="AH1493" s="20"/>
      <c r="AI1493" s="20"/>
    </row>
    <row r="1494" spans="1:35" ht="12.75" customHeight="1">
      <c r="A1494" s="333"/>
      <c r="B1494" s="333"/>
      <c r="C1494" s="333"/>
      <c r="D1494" s="408"/>
      <c r="E1494" s="412"/>
      <c r="F1494" s="50"/>
      <c r="G1494" s="409"/>
      <c r="H1494" s="989"/>
      <c r="I1494" s="26"/>
      <c r="K1494" s="258"/>
      <c r="L1494" s="266" t="s">
        <v>820</v>
      </c>
      <c r="M1494" s="45">
        <v>100</v>
      </c>
      <c r="N1494" s="735">
        <f t="shared" si="165"/>
        <v>1407.8500940000199</v>
      </c>
      <c r="O1494" s="253"/>
      <c r="P1494" s="68"/>
      <c r="Q1494" s="287"/>
      <c r="R1494" s="317"/>
      <c r="S1494" s="611"/>
      <c r="T1494" s="372"/>
      <c r="U1494" s="20"/>
      <c r="V1494" s="20"/>
      <c r="W1494" s="26"/>
      <c r="X1494" s="91"/>
      <c r="Y1494" s="20"/>
      <c r="Z1494" s="239"/>
      <c r="AA1494" s="94"/>
      <c r="AB1494" s="26"/>
      <c r="AC1494" s="20"/>
      <c r="AD1494" s="20"/>
      <c r="AE1494" s="20"/>
      <c r="AF1494" s="20"/>
      <c r="AG1494" s="20"/>
      <c r="AH1494" s="20"/>
      <c r="AI1494" s="20"/>
    </row>
    <row r="1495" spans="1:35" ht="12.75" customHeight="1">
      <c r="A1495" s="333"/>
      <c r="B1495" s="333"/>
      <c r="C1495" s="333"/>
      <c r="D1495" s="408"/>
      <c r="E1495" s="412"/>
      <c r="F1495" s="50"/>
      <c r="G1495" s="409"/>
      <c r="H1495" s="989"/>
      <c r="I1495" s="26"/>
      <c r="K1495" s="258"/>
      <c r="L1495" s="266" t="s">
        <v>795</v>
      </c>
      <c r="M1495" s="45">
        <v>-100</v>
      </c>
      <c r="N1495" s="735">
        <f t="shared" si="165"/>
        <v>1307.8500940000199</v>
      </c>
      <c r="O1495" s="253"/>
      <c r="P1495" s="68"/>
      <c r="Q1495" s="287"/>
      <c r="R1495" s="317"/>
      <c r="S1495" s="611"/>
      <c r="T1495" s="372"/>
      <c r="U1495" s="20"/>
      <c r="V1495" s="20"/>
      <c r="W1495" s="26"/>
      <c r="X1495" s="91"/>
      <c r="Y1495" s="20"/>
      <c r="Z1495" s="239"/>
      <c r="AA1495" s="94"/>
      <c r="AB1495" s="26"/>
      <c r="AC1495" s="20"/>
      <c r="AD1495" s="20"/>
      <c r="AE1495" s="20"/>
      <c r="AF1495" s="20"/>
      <c r="AG1495" s="20"/>
      <c r="AH1495" s="20"/>
      <c r="AI1495" s="20"/>
    </row>
    <row r="1496" spans="1:35" ht="12.75" customHeight="1">
      <c r="A1496" s="333"/>
      <c r="B1496" s="333"/>
      <c r="C1496" s="333"/>
      <c r="D1496" s="408"/>
      <c r="E1496" s="412"/>
      <c r="F1496" s="50"/>
      <c r="G1496" s="409"/>
      <c r="H1496" s="989"/>
      <c r="I1496" s="26"/>
      <c r="K1496" s="258"/>
      <c r="L1496" s="266" t="s">
        <v>136</v>
      </c>
      <c r="M1496" s="45">
        <v>300</v>
      </c>
      <c r="N1496" s="735">
        <f t="shared" si="165"/>
        <v>1607.8500940000199</v>
      </c>
      <c r="O1496" s="253"/>
      <c r="P1496" s="68"/>
      <c r="Q1496" s="287"/>
      <c r="R1496" s="317"/>
      <c r="S1496" s="611"/>
      <c r="T1496" s="372"/>
      <c r="U1496" s="20"/>
      <c r="V1496" s="20"/>
      <c r="W1496" s="26"/>
      <c r="X1496" s="91"/>
      <c r="Y1496" s="20"/>
      <c r="Z1496" s="239"/>
      <c r="AA1496" s="94"/>
      <c r="AB1496" s="26"/>
      <c r="AC1496" s="20"/>
      <c r="AD1496" s="20"/>
      <c r="AE1496" s="20"/>
      <c r="AF1496" s="20"/>
      <c r="AG1496" s="20"/>
      <c r="AH1496" s="20"/>
      <c r="AI1496" s="20"/>
    </row>
    <row r="1497" spans="1:35" ht="12.75" customHeight="1">
      <c r="A1497" s="333"/>
      <c r="B1497" s="333"/>
      <c r="C1497" s="333"/>
      <c r="D1497" s="408"/>
      <c r="E1497" s="412"/>
      <c r="F1497" s="50"/>
      <c r="G1497" s="409"/>
      <c r="H1497" s="989"/>
      <c r="I1497" s="26"/>
      <c r="K1497" s="258"/>
      <c r="L1497" s="266" t="s">
        <v>342</v>
      </c>
      <c r="M1497" s="45">
        <v>-284.97000000000003</v>
      </c>
      <c r="N1497" s="735">
        <f t="shared" si="165"/>
        <v>1322.8800940000199</v>
      </c>
      <c r="O1497" s="253"/>
      <c r="P1497" s="68"/>
      <c r="Q1497" s="287"/>
      <c r="R1497" s="317"/>
      <c r="S1497" s="611"/>
      <c r="T1497" s="372"/>
      <c r="U1497" s="20"/>
      <c r="V1497" s="20"/>
      <c r="W1497" s="26"/>
      <c r="X1497" s="91"/>
      <c r="Y1497" s="20"/>
      <c r="Z1497" s="239"/>
      <c r="AA1497" s="94"/>
      <c r="AB1497" s="26"/>
      <c r="AC1497" s="20"/>
      <c r="AD1497" s="20"/>
      <c r="AE1497" s="20"/>
      <c r="AF1497" s="20"/>
      <c r="AG1497" s="20"/>
      <c r="AH1497" s="20"/>
      <c r="AI1497" s="20"/>
    </row>
    <row r="1498" spans="1:35" ht="12.75" customHeight="1">
      <c r="A1498" s="333"/>
      <c r="B1498" s="333"/>
      <c r="C1498" s="333"/>
      <c r="D1498" s="408"/>
      <c r="E1498" s="412"/>
      <c r="F1498" s="50"/>
      <c r="G1498" s="409"/>
      <c r="H1498" s="989"/>
      <c r="I1498" s="26"/>
      <c r="K1498" s="258"/>
      <c r="L1498" s="266" t="s">
        <v>135</v>
      </c>
      <c r="M1498" s="45">
        <v>-388.99</v>
      </c>
      <c r="N1498" s="735">
        <f t="shared" si="165"/>
        <v>933.89009400001987</v>
      </c>
      <c r="O1498" s="253"/>
      <c r="P1498" s="68"/>
      <c r="Q1498" s="287"/>
      <c r="R1498" s="317"/>
      <c r="S1498" s="611"/>
      <c r="T1498" s="372"/>
      <c r="U1498" s="20"/>
      <c r="V1498" s="20"/>
      <c r="W1498" s="26"/>
      <c r="X1498" s="91"/>
      <c r="Y1498" s="20"/>
      <c r="Z1498" s="239"/>
      <c r="AA1498" s="94"/>
      <c r="AB1498" s="26"/>
      <c r="AC1498" s="20"/>
      <c r="AD1498" s="20"/>
      <c r="AE1498" s="20"/>
      <c r="AF1498" s="20"/>
      <c r="AG1498" s="20"/>
      <c r="AH1498" s="20"/>
      <c r="AI1498" s="20"/>
    </row>
    <row r="1499" spans="1:35" ht="12.75" customHeight="1">
      <c r="A1499" s="333"/>
      <c r="B1499" s="333"/>
      <c r="C1499" s="333"/>
      <c r="D1499" s="408"/>
      <c r="E1499" s="412"/>
      <c r="F1499" s="50"/>
      <c r="G1499" s="409"/>
      <c r="H1499" s="989"/>
      <c r="I1499" s="26"/>
      <c r="K1499" s="258"/>
      <c r="L1499" s="266" t="s">
        <v>313</v>
      </c>
      <c r="M1499" s="45">
        <v>-114.95</v>
      </c>
      <c r="N1499" s="538">
        <f t="shared" si="165"/>
        <v>818.94009400001983</v>
      </c>
      <c r="O1499" s="253"/>
      <c r="P1499" s="68"/>
      <c r="Q1499" s="287"/>
      <c r="R1499" s="317"/>
      <c r="S1499" s="611"/>
      <c r="T1499" s="372"/>
      <c r="U1499" s="20"/>
      <c r="V1499" s="20"/>
      <c r="W1499" s="26"/>
      <c r="X1499" s="91"/>
      <c r="Y1499" s="20"/>
      <c r="Z1499" s="239"/>
      <c r="AA1499" s="94"/>
      <c r="AB1499" s="26"/>
      <c r="AC1499" s="20"/>
      <c r="AD1499" s="20"/>
      <c r="AE1499" s="20"/>
      <c r="AF1499" s="20"/>
      <c r="AG1499" s="20"/>
      <c r="AH1499" s="20"/>
      <c r="AI1499" s="20"/>
    </row>
    <row r="1500" spans="1:35" ht="12.75" customHeight="1">
      <c r="A1500" s="333"/>
      <c r="B1500" s="333"/>
      <c r="C1500" s="333"/>
      <c r="D1500" s="408"/>
      <c r="E1500" s="412"/>
      <c r="F1500" s="50"/>
      <c r="G1500" s="409"/>
      <c r="H1500" s="989"/>
      <c r="I1500" s="26"/>
      <c r="K1500" s="258"/>
      <c r="L1500" s="266" t="s">
        <v>324</v>
      </c>
      <c r="M1500" s="45">
        <v>-224.9</v>
      </c>
      <c r="N1500" s="735">
        <f t="shared" si="165"/>
        <v>594.04009400001985</v>
      </c>
      <c r="O1500" s="253"/>
      <c r="P1500" s="68"/>
      <c r="Q1500" s="287"/>
      <c r="R1500" s="317"/>
      <c r="S1500" s="611"/>
      <c r="T1500" s="372"/>
      <c r="U1500" s="20"/>
      <c r="V1500" s="20"/>
      <c r="W1500" s="26"/>
      <c r="X1500" s="91"/>
      <c r="Y1500" s="20"/>
      <c r="Z1500" s="239"/>
      <c r="AA1500" s="94"/>
      <c r="AB1500" s="26"/>
      <c r="AC1500" s="20"/>
      <c r="AD1500" s="20"/>
      <c r="AE1500" s="20"/>
      <c r="AF1500" s="20"/>
      <c r="AG1500" s="20"/>
      <c r="AH1500" s="20"/>
      <c r="AI1500" s="20"/>
    </row>
    <row r="1501" spans="1:35" ht="12.75" customHeight="1">
      <c r="A1501" s="333"/>
      <c r="B1501" s="333"/>
      <c r="C1501" s="333"/>
      <c r="D1501" s="408"/>
      <c r="E1501" s="412"/>
      <c r="F1501" s="50"/>
      <c r="G1501" s="409"/>
      <c r="H1501" s="989"/>
      <c r="I1501" s="26"/>
      <c r="K1501" s="258"/>
      <c r="L1501" s="266" t="s">
        <v>343</v>
      </c>
      <c r="M1501" s="45">
        <v>-457.77</v>
      </c>
      <c r="N1501" s="735">
        <f t="shared" si="165"/>
        <v>136.27009400001987</v>
      </c>
      <c r="O1501" s="253"/>
      <c r="P1501" s="68"/>
      <c r="Q1501" s="287"/>
      <c r="R1501" s="317"/>
      <c r="S1501" s="611"/>
      <c r="T1501" s="372"/>
      <c r="U1501" s="20"/>
      <c r="V1501" s="20"/>
      <c r="W1501" s="26"/>
      <c r="X1501" s="91"/>
      <c r="Y1501" s="20"/>
      <c r="Z1501" s="239"/>
      <c r="AA1501" s="94"/>
      <c r="AB1501" s="26"/>
      <c r="AC1501" s="20"/>
      <c r="AD1501" s="20"/>
      <c r="AE1501" s="20"/>
      <c r="AF1501" s="20"/>
      <c r="AG1501" s="20"/>
      <c r="AH1501" s="20"/>
      <c r="AI1501" s="20"/>
    </row>
    <row r="1502" spans="1:35" ht="12.75" customHeight="1">
      <c r="A1502" s="333"/>
      <c r="B1502" s="333"/>
      <c r="C1502" s="333"/>
      <c r="D1502" s="408"/>
      <c r="E1502" s="412"/>
      <c r="F1502" s="50"/>
      <c r="G1502" s="409"/>
      <c r="H1502" s="989"/>
      <c r="I1502" s="26"/>
      <c r="K1502" s="258"/>
      <c r="L1502" s="266" t="s">
        <v>871</v>
      </c>
      <c r="M1502" s="45">
        <v>-100</v>
      </c>
      <c r="N1502" s="735">
        <f t="shared" si="165"/>
        <v>36.270094000019867</v>
      </c>
      <c r="O1502" s="253"/>
      <c r="P1502" s="68"/>
      <c r="Q1502" s="287"/>
      <c r="R1502" s="317"/>
      <c r="S1502" s="611"/>
      <c r="T1502" s="372"/>
      <c r="U1502" s="20"/>
      <c r="V1502" s="20"/>
      <c r="W1502" s="26"/>
      <c r="X1502" s="91"/>
      <c r="Y1502" s="20"/>
      <c r="Z1502" s="239"/>
      <c r="AA1502" s="94"/>
      <c r="AB1502" s="26"/>
      <c r="AC1502" s="20"/>
      <c r="AD1502" s="20"/>
      <c r="AE1502" s="20"/>
      <c r="AF1502" s="20"/>
      <c r="AG1502" s="20"/>
      <c r="AH1502" s="20"/>
      <c r="AI1502" s="20"/>
    </row>
    <row r="1503" spans="1:35" ht="12.75" customHeight="1">
      <c r="A1503" s="333"/>
      <c r="B1503" s="333"/>
      <c r="C1503" s="333"/>
      <c r="D1503" s="408"/>
      <c r="E1503" s="412"/>
      <c r="F1503" s="50"/>
      <c r="G1503" s="409"/>
      <c r="H1503" s="993"/>
      <c r="I1503" s="26"/>
      <c r="K1503" s="258"/>
      <c r="L1503" s="266" t="s">
        <v>838</v>
      </c>
      <c r="M1503" s="45">
        <v>-688.8</v>
      </c>
      <c r="N1503" s="735">
        <f t="shared" si="165"/>
        <v>-652.52990599998009</v>
      </c>
      <c r="O1503" s="253"/>
      <c r="P1503" s="68"/>
      <c r="Q1503" s="287"/>
      <c r="R1503" s="317"/>
      <c r="S1503" s="611"/>
      <c r="T1503" s="372"/>
      <c r="U1503" s="20"/>
      <c r="V1503" s="20"/>
      <c r="W1503" s="26"/>
      <c r="X1503" s="91"/>
      <c r="Y1503" s="20"/>
      <c r="Z1503" s="239"/>
      <c r="AA1503" s="94"/>
      <c r="AB1503" s="26"/>
      <c r="AC1503" s="20"/>
      <c r="AD1503" s="20"/>
      <c r="AE1503" s="20"/>
      <c r="AF1503" s="20"/>
      <c r="AG1503" s="20"/>
      <c r="AH1503" s="20"/>
      <c r="AI1503" s="20"/>
    </row>
    <row r="1504" spans="1:35" ht="12.75" customHeight="1">
      <c r="A1504" s="333"/>
      <c r="B1504" s="333"/>
      <c r="C1504" s="333"/>
      <c r="D1504" s="133"/>
      <c r="E1504" s="133"/>
      <c r="F1504" s="50"/>
      <c r="G1504" s="409"/>
      <c r="H1504" s="401"/>
      <c r="I1504" s="26"/>
      <c r="K1504" s="258" t="s">
        <v>248</v>
      </c>
      <c r="L1504" s="266" t="s">
        <v>51</v>
      </c>
      <c r="M1504" s="146">
        <f>E1480</f>
        <v>8483.35</v>
      </c>
      <c r="N1504" s="735">
        <f t="shared" si="165"/>
        <v>7830.8200940000206</v>
      </c>
      <c r="O1504" s="253"/>
      <c r="P1504" s="68"/>
      <c r="Q1504" s="287"/>
      <c r="R1504" s="317"/>
      <c r="S1504" s="611"/>
      <c r="T1504" s="372"/>
      <c r="U1504" s="20"/>
      <c r="V1504" s="26"/>
      <c r="W1504" s="26"/>
      <c r="X1504" s="91"/>
      <c r="Y1504" s="20"/>
      <c r="Z1504" s="239"/>
      <c r="AA1504" s="94"/>
      <c r="AB1504" s="26"/>
      <c r="AC1504" s="20"/>
      <c r="AD1504" s="20"/>
      <c r="AE1504" s="20"/>
      <c r="AF1504" s="20"/>
      <c r="AG1504" s="20"/>
      <c r="AH1504" s="20"/>
      <c r="AI1504" s="20"/>
    </row>
    <row r="1505" spans="1:35" ht="12.75" customHeight="1">
      <c r="A1505" s="333"/>
      <c r="B1505" s="333"/>
      <c r="C1505" s="333"/>
      <c r="D1505" s="133"/>
      <c r="E1505" s="133"/>
      <c r="F1505" s="50"/>
      <c r="G1505" s="409"/>
      <c r="H1505" s="401"/>
      <c r="I1505" s="26"/>
      <c r="K1505" s="258" t="s">
        <v>248</v>
      </c>
      <c r="L1505" s="266" t="s">
        <v>417</v>
      </c>
      <c r="M1505" s="146">
        <v>-3135</v>
      </c>
      <c r="N1505" s="735">
        <f t="shared" si="165"/>
        <v>4695.8200940000206</v>
      </c>
      <c r="O1505" s="253"/>
      <c r="P1505" s="68"/>
      <c r="Q1505" s="287"/>
      <c r="R1505" s="317"/>
      <c r="S1505" s="611"/>
      <c r="T1505" s="372"/>
      <c r="U1505" s="20"/>
      <c r="V1505" s="26"/>
      <c r="W1505" s="26"/>
      <c r="X1505" s="91"/>
      <c r="Y1505" s="20"/>
      <c r="Z1505" s="239"/>
      <c r="AA1505" s="94"/>
      <c r="AB1505" s="26"/>
      <c r="AC1505" s="20"/>
      <c r="AD1505" s="20"/>
      <c r="AE1505" s="20"/>
      <c r="AF1505" s="20"/>
      <c r="AG1505" s="20"/>
      <c r="AH1505" s="20"/>
      <c r="AI1505" s="20"/>
    </row>
    <row r="1506" spans="1:35" ht="12.75" customHeight="1">
      <c r="A1506" s="333"/>
      <c r="B1506" s="333"/>
      <c r="C1506" s="333"/>
      <c r="D1506" s="133"/>
      <c r="E1506" s="133"/>
      <c r="F1506" s="50"/>
      <c r="G1506" s="409"/>
      <c r="H1506" s="401"/>
      <c r="I1506" s="26"/>
      <c r="J1506" s="974" t="s">
        <v>861</v>
      </c>
      <c r="K1506" s="258" t="s">
        <v>248</v>
      </c>
      <c r="L1506" s="266" t="s">
        <v>552</v>
      </c>
      <c r="M1506" s="45">
        <v>-300</v>
      </c>
      <c r="N1506" s="735">
        <f t="shared" si="165"/>
        <v>4395.8200940000206</v>
      </c>
      <c r="O1506" s="253"/>
      <c r="P1506" s="68"/>
      <c r="Q1506" s="287"/>
      <c r="R1506" s="317"/>
      <c r="S1506" s="611"/>
      <c r="T1506" s="372"/>
      <c r="U1506" s="20"/>
      <c r="V1506" s="26"/>
      <c r="W1506" s="26"/>
      <c r="X1506" s="91"/>
      <c r="Y1506" s="20"/>
      <c r="Z1506" s="239"/>
      <c r="AA1506" s="94"/>
      <c r="AB1506" s="26"/>
      <c r="AC1506" s="20"/>
      <c r="AD1506" s="20"/>
      <c r="AE1506" s="20"/>
      <c r="AF1506" s="20"/>
      <c r="AG1506" s="20"/>
      <c r="AH1506" s="20"/>
      <c r="AI1506" s="20"/>
    </row>
    <row r="1507" spans="1:35" ht="12.75" customHeight="1">
      <c r="A1507" s="333"/>
      <c r="B1507" s="333"/>
      <c r="C1507" s="333"/>
      <c r="D1507" s="133"/>
      <c r="E1507" s="133"/>
      <c r="F1507" s="50"/>
      <c r="G1507" s="409"/>
      <c r="H1507" s="401"/>
      <c r="I1507" s="26"/>
      <c r="J1507" s="974" t="s">
        <v>862</v>
      </c>
      <c r="K1507" s="258" t="s">
        <v>248</v>
      </c>
      <c r="L1507" s="266" t="s">
        <v>333</v>
      </c>
      <c r="M1507" s="45">
        <v>-150</v>
      </c>
      <c r="N1507" s="735">
        <f t="shared" si="165"/>
        <v>4245.8200940000206</v>
      </c>
      <c r="O1507" s="253"/>
      <c r="P1507" s="68"/>
      <c r="Q1507" s="287"/>
      <c r="R1507" s="317"/>
      <c r="S1507" s="611"/>
      <c r="T1507" s="372"/>
      <c r="U1507" s="20"/>
      <c r="V1507" s="26"/>
      <c r="W1507" s="26"/>
      <c r="X1507" s="91"/>
      <c r="Y1507" s="20"/>
      <c r="Z1507" s="239"/>
      <c r="AA1507" s="94"/>
      <c r="AB1507" s="26"/>
      <c r="AC1507" s="20"/>
      <c r="AD1507" s="20"/>
      <c r="AE1507" s="20"/>
      <c r="AF1507" s="20"/>
      <c r="AG1507" s="20"/>
      <c r="AH1507" s="20"/>
      <c r="AI1507" s="20"/>
    </row>
    <row r="1508" spans="1:35" ht="12.75" customHeight="1">
      <c r="A1508" s="333"/>
      <c r="B1508" s="333"/>
      <c r="C1508" s="333"/>
      <c r="D1508" s="133"/>
      <c r="E1508" s="133"/>
      <c r="F1508" s="50"/>
      <c r="G1508" s="409"/>
      <c r="H1508" s="401"/>
      <c r="I1508" s="26"/>
      <c r="K1508" s="258" t="s">
        <v>248</v>
      </c>
      <c r="L1508" s="266" t="s">
        <v>195</v>
      </c>
      <c r="M1508" s="45">
        <v>0</v>
      </c>
      <c r="N1508" s="735">
        <f t="shared" si="165"/>
        <v>4245.8200940000206</v>
      </c>
      <c r="O1508" s="253"/>
      <c r="P1508" s="994"/>
      <c r="Q1508" s="287"/>
      <c r="R1508" s="317"/>
      <c r="S1508" s="611"/>
      <c r="T1508" s="372"/>
      <c r="U1508" s="20"/>
      <c r="V1508" s="26"/>
      <c r="W1508" s="26"/>
      <c r="X1508" s="91"/>
      <c r="Y1508" s="20"/>
      <c r="Z1508" s="239"/>
      <c r="AA1508" s="94"/>
      <c r="AB1508" s="26"/>
      <c r="AC1508" s="20"/>
      <c r="AD1508" s="20"/>
      <c r="AE1508" s="20"/>
      <c r="AF1508" s="20"/>
      <c r="AG1508" s="20"/>
      <c r="AH1508" s="20"/>
      <c r="AI1508" s="20"/>
    </row>
    <row r="1509" spans="1:35" ht="12.75" customHeight="1">
      <c r="A1509" s="333"/>
      <c r="B1509" s="333"/>
      <c r="C1509" s="333"/>
      <c r="D1509" s="133"/>
      <c r="E1509" s="133"/>
      <c r="F1509" s="50"/>
      <c r="G1509" s="409"/>
      <c r="H1509" s="401"/>
      <c r="I1509" s="874"/>
      <c r="K1509" s="85" t="s">
        <v>248</v>
      </c>
      <c r="L1509" s="266" t="s">
        <v>180</v>
      </c>
      <c r="M1509" s="45">
        <v>-59</v>
      </c>
      <c r="N1509" s="735">
        <f t="shared" si="165"/>
        <v>4186.8200940000206</v>
      </c>
      <c r="O1509" s="253"/>
      <c r="P1509" s="68"/>
      <c r="Q1509" s="287"/>
      <c r="R1509" s="317"/>
      <c r="S1509" s="611"/>
      <c r="T1509" s="372"/>
      <c r="U1509" s="20"/>
      <c r="V1509" s="26"/>
      <c r="W1509" s="26"/>
      <c r="X1509" s="91"/>
      <c r="Y1509" s="20"/>
      <c r="Z1509" s="239"/>
      <c r="AA1509" s="94"/>
      <c r="AB1509" s="26"/>
      <c r="AC1509" s="20"/>
      <c r="AD1509" s="20"/>
      <c r="AE1509" s="20"/>
      <c r="AF1509" s="20"/>
      <c r="AG1509" s="20"/>
      <c r="AH1509" s="20"/>
      <c r="AI1509" s="20"/>
    </row>
    <row r="1510" spans="1:35" ht="12.75" customHeight="1">
      <c r="A1510" s="333"/>
      <c r="B1510" s="333"/>
      <c r="C1510" s="333"/>
      <c r="D1510" s="133"/>
      <c r="E1510" s="133"/>
      <c r="F1510" s="50"/>
      <c r="G1510" s="409"/>
      <c r="H1510" s="401"/>
      <c r="I1510" s="315"/>
      <c r="J1510" s="511"/>
      <c r="K1510" s="258" t="s">
        <v>248</v>
      </c>
      <c r="L1510" s="266" t="s">
        <v>61</v>
      </c>
      <c r="M1510" s="45">
        <v>-588.51</v>
      </c>
      <c r="N1510" s="538">
        <f t="shared" si="165"/>
        <v>3598.3100940000204</v>
      </c>
      <c r="O1510" s="253"/>
      <c r="P1510" s="68"/>
      <c r="Q1510" s="287"/>
      <c r="R1510" s="317"/>
      <c r="S1510" s="611"/>
      <c r="T1510" s="372"/>
      <c r="U1510" s="20"/>
      <c r="V1510" s="26"/>
      <c r="W1510" s="26"/>
      <c r="X1510" s="91"/>
      <c r="Y1510" s="20"/>
      <c r="Z1510" s="239"/>
      <c r="AA1510" s="94"/>
      <c r="AB1510" s="26"/>
      <c r="AC1510" s="20"/>
      <c r="AD1510" s="20"/>
      <c r="AE1510" s="20"/>
      <c r="AF1510" s="20"/>
      <c r="AG1510" s="20"/>
      <c r="AH1510" s="20"/>
      <c r="AI1510" s="20"/>
    </row>
    <row r="1511" spans="1:35" ht="12.75" customHeight="1">
      <c r="A1511" s="333"/>
      <c r="B1511" s="333"/>
      <c r="C1511" s="333"/>
      <c r="D1511" s="133"/>
      <c r="E1511" s="133"/>
      <c r="F1511" s="50"/>
      <c r="G1511" s="409"/>
      <c r="H1511" s="401"/>
      <c r="I1511" s="493"/>
      <c r="J1511" s="517"/>
      <c r="K1511" s="85" t="s">
        <v>189</v>
      </c>
      <c r="L1511" s="267" t="s">
        <v>16</v>
      </c>
      <c r="M1511" s="175">
        <v>-243.99</v>
      </c>
      <c r="N1511" s="538">
        <f t="shared" si="165"/>
        <v>3354.3200940000206</v>
      </c>
      <c r="O1511" s="253"/>
      <c r="P1511" s="68"/>
      <c r="Q1511" s="287"/>
      <c r="R1511" s="317"/>
      <c r="S1511" s="611"/>
      <c r="T1511" s="372"/>
      <c r="U1511" s="20"/>
      <c r="V1511" s="26"/>
      <c r="W1511" s="26"/>
      <c r="X1511" s="91"/>
      <c r="Y1511" s="20"/>
      <c r="Z1511" s="239"/>
      <c r="AA1511" s="94"/>
      <c r="AB1511" s="26"/>
      <c r="AC1511" s="20"/>
      <c r="AD1511" s="20"/>
      <c r="AE1511" s="20"/>
      <c r="AF1511" s="20"/>
      <c r="AG1511" s="20"/>
      <c r="AH1511" s="20"/>
      <c r="AI1511" s="20"/>
    </row>
    <row r="1512" spans="1:35" ht="12.75" customHeight="1">
      <c r="A1512" s="333"/>
      <c r="B1512" s="333"/>
      <c r="C1512" s="333"/>
      <c r="D1512" s="133"/>
      <c r="E1512" s="133"/>
      <c r="F1512" s="50"/>
      <c r="G1512" s="409"/>
      <c r="H1512" s="401"/>
      <c r="I1512" s="493"/>
      <c r="J1512" s="709"/>
      <c r="K1512" s="258" t="s">
        <v>189</v>
      </c>
      <c r="L1512" s="268" t="s">
        <v>56</v>
      </c>
      <c r="M1512" s="175">
        <v>-615</v>
      </c>
      <c r="N1512" s="538">
        <f t="shared" si="165"/>
        <v>2739.3200940000206</v>
      </c>
      <c r="O1512" s="253"/>
      <c r="P1512" s="68"/>
      <c r="Q1512" s="287"/>
      <c r="R1512" s="317"/>
      <c r="S1512" s="611"/>
      <c r="T1512" s="372"/>
      <c r="U1512" s="20"/>
      <c r="V1512" s="253"/>
      <c r="W1512" s="26"/>
      <c r="X1512" s="91"/>
      <c r="Y1512" s="20"/>
      <c r="Z1512" s="239"/>
      <c r="AA1512" s="94"/>
      <c r="AB1512" s="26"/>
      <c r="AC1512" s="20"/>
      <c r="AD1512" s="20"/>
      <c r="AE1512" s="20"/>
      <c r="AF1512" s="20"/>
      <c r="AG1512" s="20"/>
      <c r="AH1512" s="20"/>
      <c r="AI1512" s="20"/>
    </row>
    <row r="1513" spans="1:35" ht="12.75" customHeight="1">
      <c r="A1513" s="333"/>
      <c r="B1513" s="333"/>
      <c r="C1513" s="333"/>
      <c r="D1513" s="133"/>
      <c r="E1513" s="133"/>
      <c r="F1513" s="50"/>
      <c r="G1513" s="409"/>
      <c r="H1513" s="401"/>
      <c r="I1513" s="495"/>
      <c r="K1513" s="258" t="s">
        <v>189</v>
      </c>
      <c r="L1513" s="268" t="s">
        <v>23</v>
      </c>
      <c r="M1513" s="133">
        <v>-328.19</v>
      </c>
      <c r="N1513" s="538">
        <f t="shared" si="165"/>
        <v>2411.1300940000206</v>
      </c>
      <c r="O1513" s="253"/>
      <c r="P1513" s="68"/>
      <c r="Q1513" s="287"/>
      <c r="R1513" s="317"/>
      <c r="S1513" s="611"/>
      <c r="T1513" s="372"/>
      <c r="U1513" s="20"/>
      <c r="V1513" s="253"/>
      <c r="W1513" s="26"/>
      <c r="X1513" s="91"/>
      <c r="Y1513" s="20"/>
      <c r="Z1513" s="239"/>
      <c r="AA1513" s="94"/>
      <c r="AB1513" s="26"/>
      <c r="AC1513" s="20"/>
      <c r="AD1513" s="20"/>
      <c r="AE1513" s="20"/>
      <c r="AF1513" s="20"/>
      <c r="AG1513" s="20"/>
      <c r="AH1513" s="20"/>
      <c r="AI1513" s="20"/>
    </row>
    <row r="1514" spans="1:35" ht="12.75" customHeight="1">
      <c r="A1514" s="333"/>
      <c r="B1514" s="333"/>
      <c r="C1514" s="333"/>
      <c r="D1514" s="413"/>
      <c r="E1514" s="34"/>
      <c r="F1514" s="50"/>
      <c r="G1514" s="409"/>
      <c r="H1514" s="509"/>
      <c r="I1514" s="961"/>
      <c r="J1514" s="961"/>
      <c r="K1514" s="258" t="s">
        <v>189</v>
      </c>
      <c r="L1514" s="116" t="s">
        <v>714</v>
      </c>
      <c r="M1514" s="45">
        <v>-530.74</v>
      </c>
      <c r="N1514" s="538">
        <f t="shared" si="165"/>
        <v>1880.3900940000206</v>
      </c>
      <c r="O1514" s="253"/>
      <c r="P1514" s="68"/>
      <c r="Q1514" s="287"/>
      <c r="R1514" s="317"/>
      <c r="S1514" s="611"/>
      <c r="T1514" s="372"/>
      <c r="U1514" s="20"/>
      <c r="V1514" s="253"/>
      <c r="W1514" s="26"/>
      <c r="X1514" s="91"/>
      <c r="Y1514" s="20"/>
      <c r="Z1514" s="239"/>
      <c r="AA1514" s="94"/>
      <c r="AB1514" s="26"/>
      <c r="AC1514" s="20"/>
      <c r="AD1514" s="20"/>
      <c r="AE1514" s="20"/>
      <c r="AF1514" s="20"/>
      <c r="AG1514" s="20"/>
      <c r="AH1514" s="20"/>
      <c r="AI1514" s="20"/>
    </row>
    <row r="1515" spans="1:35" ht="12.75" customHeight="1">
      <c r="A1515" s="333"/>
      <c r="B1515" s="333"/>
      <c r="C1515" s="333"/>
      <c r="D1515" s="413"/>
      <c r="E1515" s="34"/>
      <c r="F1515" s="50"/>
      <c r="G1515" s="414"/>
      <c r="H1515" s="509"/>
      <c r="I1515" s="961"/>
      <c r="J1515" s="961"/>
      <c r="K1515" s="258" t="s">
        <v>189</v>
      </c>
      <c r="L1515" s="116" t="s">
        <v>585</v>
      </c>
      <c r="M1515" s="175">
        <v>-66.989999999999995</v>
      </c>
      <c r="N1515" s="538">
        <f t="shared" si="165"/>
        <v>1813.4000940000205</v>
      </c>
      <c r="O1515" s="497"/>
      <c r="P1515" s="68"/>
      <c r="Q1515" s="287"/>
      <c r="R1515" s="317"/>
      <c r="S1515" s="611"/>
      <c r="T1515" s="372"/>
      <c r="U1515" s="20"/>
      <c r="V1515" s="253"/>
      <c r="W1515" s="26"/>
      <c r="X1515" s="91"/>
      <c r="Y1515" s="20"/>
      <c r="Z1515" s="239"/>
      <c r="AA1515" s="94"/>
      <c r="AB1515" s="26"/>
      <c r="AC1515" s="20"/>
      <c r="AD1515" s="20"/>
      <c r="AE1515" s="20"/>
      <c r="AF1515" s="20"/>
      <c r="AG1515" s="20"/>
      <c r="AH1515" s="20"/>
      <c r="AI1515" s="20"/>
    </row>
    <row r="1516" spans="1:35" ht="12.75" customHeight="1">
      <c r="A1516" s="333"/>
      <c r="B1516" s="333"/>
      <c r="C1516" s="333"/>
      <c r="D1516" s="48"/>
      <c r="E1516" s="133"/>
      <c r="F1516" s="50"/>
      <c r="G1516" s="414"/>
      <c r="H1516" s="509"/>
      <c r="I1516" s="510"/>
      <c r="J1516" s="521"/>
      <c r="K1516" s="321" t="s">
        <v>190</v>
      </c>
      <c r="L1516" s="269" t="s">
        <v>375</v>
      </c>
      <c r="M1516" s="366">
        <v>-47.52</v>
      </c>
      <c r="N1516" s="566">
        <f>N1515+M1516</f>
        <v>1765.8800940000206</v>
      </c>
      <c r="O1516" s="497"/>
      <c r="P1516" s="68"/>
      <c r="Q1516" s="287"/>
      <c r="R1516" s="317"/>
      <c r="S1516" s="611"/>
      <c r="T1516" s="372"/>
      <c r="U1516" s="20"/>
      <c r="V1516" s="253"/>
      <c r="W1516" s="26"/>
      <c r="X1516" s="91"/>
      <c r="Y1516" s="20"/>
      <c r="Z1516" s="239"/>
      <c r="AA1516" s="94"/>
      <c r="AB1516" s="26"/>
      <c r="AC1516" s="20"/>
      <c r="AD1516" s="20"/>
      <c r="AE1516" s="20"/>
      <c r="AF1516" s="20"/>
      <c r="AG1516" s="20"/>
      <c r="AH1516" s="20"/>
      <c r="AI1516" s="20"/>
    </row>
    <row r="1517" spans="1:35" ht="12.75" customHeight="1">
      <c r="A1517" s="328"/>
      <c r="B1517" s="328"/>
      <c r="C1517" s="328"/>
      <c r="D1517" s="547"/>
      <c r="E1517" s="133"/>
      <c r="F1517" s="50"/>
      <c r="G1517" s="414"/>
      <c r="H1517" s="989"/>
      <c r="L1517" s="23"/>
      <c r="M1517" s="168">
        <f>SUM(M1475:M1516)</f>
        <v>1765.8800940000206</v>
      </c>
      <c r="N1517" s="806"/>
      <c r="P1517" s="68"/>
      <c r="Q1517" s="287"/>
      <c r="R1517" s="317"/>
      <c r="S1517" s="611"/>
      <c r="T1517" s="372"/>
      <c r="U1517" s="20"/>
      <c r="V1517" s="26"/>
      <c r="W1517" s="26"/>
      <c r="X1517" s="91"/>
      <c r="Y1517" s="20"/>
      <c r="Z1517" s="239"/>
      <c r="AA1517" s="94"/>
      <c r="AB1517" s="26"/>
      <c r="AC1517" s="20"/>
      <c r="AD1517" s="20"/>
      <c r="AE1517" s="20"/>
      <c r="AF1517" s="20"/>
      <c r="AG1517" s="20"/>
      <c r="AH1517" s="20"/>
      <c r="AI1517" s="20"/>
    </row>
    <row r="1518" spans="1:35" s="78" customFormat="1">
      <c r="E1518" s="15"/>
      <c r="G1518" s="129"/>
      <c r="K1518" s="257"/>
      <c r="M1518" s="15"/>
      <c r="P1518" s="15"/>
      <c r="Q1518" s="15"/>
      <c r="R1518" s="15"/>
      <c r="S1518" s="385"/>
      <c r="Z1518" s="15"/>
      <c r="AA1518" s="130"/>
      <c r="AB1518" s="15"/>
    </row>
    <row r="1519" spans="1:35">
      <c r="AA1519" s="238"/>
    </row>
    <row r="1520" spans="1:35" ht="12.75" customHeight="1">
      <c r="B1520" s="1030" t="s">
        <v>867</v>
      </c>
      <c r="C1520" s="1030"/>
      <c r="D1520" s="1030"/>
      <c r="E1520" s="1030"/>
      <c r="G1520" s="261"/>
      <c r="H1520" s="658"/>
      <c r="I1520" s="26"/>
      <c r="K1520" s="258"/>
      <c r="L1520" s="100"/>
      <c r="M1520" s="1031" t="s">
        <v>54</v>
      </c>
      <c r="N1520" s="998"/>
      <c r="O1520" s="1003"/>
      <c r="P1520" s="1033" t="s">
        <v>48</v>
      </c>
      <c r="Q1520" s="1035" t="s">
        <v>749</v>
      </c>
      <c r="R1520" s="1035"/>
      <c r="S1520" s="377"/>
      <c r="X1520" s="35"/>
      <c r="Y1520" s="35"/>
      <c r="Z1520" s="26"/>
      <c r="AA1520" s="1002"/>
      <c r="AB1520" s="26"/>
      <c r="AC1520" s="20"/>
      <c r="AD1520" s="20"/>
      <c r="AE1520" s="20"/>
      <c r="AF1520" s="20"/>
      <c r="AG1520" s="20"/>
      <c r="AH1520" s="20"/>
      <c r="AI1520" s="20"/>
    </row>
    <row r="1521" spans="1:35" ht="12.75" customHeight="1">
      <c r="C1521" s="17" t="s">
        <v>357</v>
      </c>
      <c r="D1521" s="14"/>
      <c r="E1521" s="877">
        <v>8796.1200000000008</v>
      </c>
      <c r="G1521" s="1036"/>
      <c r="H1521" s="1036"/>
      <c r="I1521" s="26"/>
      <c r="K1521" s="260" t="s">
        <v>221</v>
      </c>
      <c r="L1521" s="156"/>
      <c r="M1521" s="1032"/>
      <c r="N1521" s="998" t="s">
        <v>43</v>
      </c>
      <c r="O1521" s="1003"/>
      <c r="P1521" s="1034"/>
      <c r="Q1521" s="999" t="s">
        <v>43</v>
      </c>
      <c r="R1521" s="1000" t="s">
        <v>53</v>
      </c>
      <c r="S1521" s="377"/>
      <c r="X1521" s="118"/>
      <c r="Y1521" s="111"/>
      <c r="Z1521" s="117"/>
      <c r="AA1521" s="89"/>
      <c r="AB1521" s="90"/>
      <c r="AC1521" s="20"/>
      <c r="AD1521" s="41"/>
      <c r="AE1521" s="20"/>
      <c r="AF1521" s="20"/>
      <c r="AG1521" s="20"/>
      <c r="AH1521" s="20"/>
      <c r="AI1521" s="20"/>
    </row>
    <row r="1522" spans="1:35" ht="12.75" customHeight="1">
      <c r="C1522" s="17"/>
      <c r="D1522" s="14" t="s">
        <v>24</v>
      </c>
      <c r="E1522" s="52">
        <f>'[1]JAN ''15'!$C$17</f>
        <v>1958.4900000000002</v>
      </c>
      <c r="G1522" s="30"/>
      <c r="H1522" s="624"/>
      <c r="I1522" s="26"/>
      <c r="K1522" s="273"/>
      <c r="L1522" s="235" t="s">
        <v>226</v>
      </c>
      <c r="M1522" s="196">
        <f>$M$1517</f>
        <v>1765.8800940000206</v>
      </c>
      <c r="N1522" s="71">
        <f>M1522</f>
        <v>1765.8800940000206</v>
      </c>
      <c r="O1522" s="26"/>
      <c r="P1522" s="45">
        <f>Q1491</f>
        <v>-26772.987278480992</v>
      </c>
      <c r="Q1522" s="71">
        <f>P1522</f>
        <v>-26772.987278480992</v>
      </c>
      <c r="R1522" s="45">
        <f>28000+Q1522</f>
        <v>1227.0127215190078</v>
      </c>
      <c r="S1522" s="378" t="s">
        <v>298</v>
      </c>
      <c r="T1522" s="367" t="s">
        <v>299</v>
      </c>
      <c r="W1522" s="392"/>
      <c r="X1522" s="111"/>
      <c r="Y1522" s="111"/>
      <c r="Z1522" s="45"/>
      <c r="AA1522" s="488"/>
      <c r="AB1522" s="26"/>
      <c r="AC1522" s="20"/>
      <c r="AD1522" s="92"/>
      <c r="AE1522" s="93"/>
      <c r="AF1522" s="20"/>
      <c r="AG1522" s="20"/>
      <c r="AH1522" s="20"/>
      <c r="AI1522" s="20"/>
    </row>
    <row r="1523" spans="1:35" ht="12.75" customHeight="1">
      <c r="C1523" s="18" t="s">
        <v>5</v>
      </c>
      <c r="D1523" s="14"/>
      <c r="E1523" s="14">
        <f>SUM(E1521:E1522)</f>
        <v>10754.61</v>
      </c>
      <c r="G1523" s="242"/>
      <c r="H1523" s="492"/>
      <c r="I1523" s="26"/>
      <c r="K1523" s="297"/>
      <c r="L1523" s="184" t="s">
        <v>705</v>
      </c>
      <c r="M1523" s="45">
        <v>-99</v>
      </c>
      <c r="N1523" s="538">
        <f>N1522+M1523</f>
        <v>1666.8800940000206</v>
      </c>
      <c r="O1523" s="39"/>
      <c r="P1523" s="133">
        <v>-338.81</v>
      </c>
      <c r="Q1523" s="72">
        <f>Q1522+P1523</f>
        <v>-27111.797278480994</v>
      </c>
      <c r="R1523" s="45">
        <f>28000+Q1523</f>
        <v>888.20272151900645</v>
      </c>
      <c r="S1523" s="373" t="s">
        <v>253</v>
      </c>
      <c r="T1523" s="391"/>
      <c r="W1523" s="111"/>
      <c r="X1523" s="111"/>
      <c r="Y1523" s="112"/>
      <c r="Z1523" s="55"/>
      <c r="AA1523" s="489"/>
      <c r="AB1523" s="26"/>
      <c r="AC1523" s="20"/>
      <c r="AD1523" s="92"/>
      <c r="AE1523" s="93"/>
      <c r="AF1523" s="20"/>
      <c r="AG1523" s="20"/>
      <c r="AH1523" s="20"/>
      <c r="AI1523" s="20"/>
    </row>
    <row r="1524" spans="1:35" ht="12.75" customHeight="1">
      <c r="G1524" s="20"/>
      <c r="H1524" s="490"/>
      <c r="I1524" s="26"/>
      <c r="K1524" s="297" t="s">
        <v>223</v>
      </c>
      <c r="L1524" s="184" t="s">
        <v>227</v>
      </c>
      <c r="M1524" s="45">
        <f>-449-11.4-449</f>
        <v>-909.4</v>
      </c>
      <c r="N1524" s="538">
        <f>N1523+M1524</f>
        <v>757.48009400002059</v>
      </c>
      <c r="O1524" s="253"/>
      <c r="P1524" s="133">
        <v>-170.9</v>
      </c>
      <c r="Q1524" s="72">
        <f t="shared" ref="Q1524:Q1543" si="167">Q1523+P1524</f>
        <v>-27282.697278480995</v>
      </c>
      <c r="R1524" s="45">
        <f>28000+Q1524</f>
        <v>717.30272151900499</v>
      </c>
      <c r="S1524" s="373" t="s">
        <v>537</v>
      </c>
      <c r="T1524" s="391"/>
      <c r="W1524" s="112"/>
      <c r="X1524" s="112"/>
      <c r="Y1524" s="112"/>
      <c r="Z1524" s="55"/>
      <c r="AA1524" s="489"/>
      <c r="AB1524" s="26"/>
      <c r="AC1524" s="20"/>
      <c r="AD1524" s="92"/>
      <c r="AE1524" s="93"/>
      <c r="AF1524" s="20"/>
      <c r="AG1524" s="20"/>
      <c r="AH1524" s="20"/>
      <c r="AI1524" s="20"/>
    </row>
    <row r="1525" spans="1:35" ht="12.75" customHeight="1">
      <c r="A1525" s="319"/>
      <c r="C1525" s="81" t="s">
        <v>17</v>
      </c>
      <c r="E1525" s="42"/>
      <c r="G1525"/>
      <c r="H1525" s="1004"/>
      <c r="I1525" s="26"/>
      <c r="K1525" s="297" t="s">
        <v>223</v>
      </c>
      <c r="L1525" s="116" t="s">
        <v>524</v>
      </c>
      <c r="M1525" s="45">
        <v>-11</v>
      </c>
      <c r="N1525" s="735">
        <f>N1524+M1525</f>
        <v>746.48009400002059</v>
      </c>
      <c r="O1525" s="253"/>
      <c r="P1525" s="133">
        <v>-86.7</v>
      </c>
      <c r="Q1525" s="72">
        <f t="shared" si="167"/>
        <v>-27369.397278480996</v>
      </c>
      <c r="R1525" s="45">
        <f t="shared" ref="R1525:R1543" si="168">28000+Q1525</f>
        <v>630.60272151900426</v>
      </c>
      <c r="S1525" s="373" t="s">
        <v>872</v>
      </c>
      <c r="T1525" s="391" t="s">
        <v>549</v>
      </c>
      <c r="W1525" s="103"/>
      <c r="X1525" s="111"/>
      <c r="Y1525" s="112"/>
      <c r="Z1525" s="55"/>
      <c r="AA1525" s="489"/>
      <c r="AB1525" s="95"/>
      <c r="AC1525" s="20"/>
      <c r="AD1525" s="96"/>
      <c r="AE1525" s="93"/>
      <c r="AF1525" s="20"/>
      <c r="AG1525" s="20"/>
      <c r="AH1525" s="20"/>
      <c r="AI1525" s="20"/>
    </row>
    <row r="1526" spans="1:35" ht="12.75" customHeight="1">
      <c r="A1526" s="319"/>
      <c r="D1526" s="20" t="s">
        <v>14</v>
      </c>
      <c r="E1526" s="42">
        <f>E1521</f>
        <v>8796.1200000000008</v>
      </c>
      <c r="F1526" s="20"/>
      <c r="G1526" s="20"/>
      <c r="H1526" s="490"/>
      <c r="I1526" s="26"/>
      <c r="K1526" s="297"/>
      <c r="L1526" s="184" t="s">
        <v>745</v>
      </c>
      <c r="M1526" s="45">
        <v>-431.27</v>
      </c>
      <c r="N1526" s="735">
        <f t="shared" ref="N1526:N1543" si="169">N1525+M1526</f>
        <v>315.2100940000206</v>
      </c>
      <c r="O1526" s="253"/>
      <c r="P1526" s="133">
        <v>-62.3</v>
      </c>
      <c r="Q1526" s="72">
        <f t="shared" si="167"/>
        <v>-27431.697278480995</v>
      </c>
      <c r="R1526" s="45">
        <f t="shared" si="168"/>
        <v>568.30272151900499</v>
      </c>
      <c r="S1526" s="373" t="s">
        <v>797</v>
      </c>
      <c r="T1526" s="391" t="s">
        <v>549</v>
      </c>
      <c r="U1526" s="74"/>
      <c r="V1526" s="26"/>
      <c r="W1526" s="111"/>
      <c r="X1526" s="111"/>
      <c r="Y1526" s="112"/>
      <c r="Z1526" s="55"/>
      <c r="AA1526" s="489"/>
      <c r="AB1526" s="26"/>
      <c r="AC1526" s="20"/>
      <c r="AD1526" s="41"/>
      <c r="AE1526" s="93"/>
      <c r="AF1526" s="20"/>
      <c r="AG1526" s="20"/>
      <c r="AH1526" s="20"/>
      <c r="AI1526" s="20"/>
    </row>
    <row r="1527" spans="1:35" ht="12.75" customHeight="1">
      <c r="A1527" s="319"/>
      <c r="D1527" s="78" t="s">
        <v>13</v>
      </c>
      <c r="E1527" s="483">
        <f>SUM(E1522:E1522)</f>
        <v>1958.4900000000002</v>
      </c>
      <c r="F1527" s="482" t="s">
        <v>364</v>
      </c>
      <c r="G1527" s="1037"/>
      <c r="H1527" s="1037"/>
      <c r="I1527" s="26"/>
      <c r="K1527" s="297"/>
      <c r="L1527" s="116" t="s">
        <v>873</v>
      </c>
      <c r="M1527" s="45">
        <v>-70</v>
      </c>
      <c r="N1527" s="735">
        <f t="shared" si="169"/>
        <v>245.2100940000206</v>
      </c>
      <c r="O1527" s="253"/>
      <c r="P1527" s="133">
        <v>-174.95</v>
      </c>
      <c r="Q1527" s="72">
        <f t="shared" si="167"/>
        <v>-27606.647278480996</v>
      </c>
      <c r="R1527" s="45">
        <f t="shared" si="168"/>
        <v>393.35272151900426</v>
      </c>
      <c r="S1527" s="373" t="s">
        <v>462</v>
      </c>
      <c r="T1527" s="391"/>
      <c r="U1527" s="74"/>
      <c r="V1527" s="26"/>
      <c r="W1527" s="20"/>
      <c r="X1527" s="20"/>
      <c r="Y1527" s="112"/>
      <c r="Z1527" s="239"/>
      <c r="AA1527" s="94"/>
      <c r="AB1527" s="26"/>
      <c r="AC1527" s="20"/>
      <c r="AD1527" s="92"/>
      <c r="AE1527" s="93"/>
      <c r="AF1527" s="20"/>
      <c r="AG1527" s="20"/>
      <c r="AH1527" s="20"/>
      <c r="AI1527" s="20"/>
    </row>
    <row r="1528" spans="1:35" ht="12.75" customHeight="1">
      <c r="A1528" s="319"/>
      <c r="D1528" s="20"/>
      <c r="E1528" s="26"/>
      <c r="F1528" s="122"/>
      <c r="G1528" s="1039"/>
      <c r="H1528" s="1039"/>
      <c r="I1528" s="26"/>
      <c r="K1528" s="297"/>
      <c r="L1528" s="116" t="s">
        <v>313</v>
      </c>
      <c r="M1528" s="45">
        <v>-23.33</v>
      </c>
      <c r="N1528" s="735">
        <f t="shared" si="169"/>
        <v>221.88009400002062</v>
      </c>
      <c r="O1528" s="253"/>
      <c r="P1528" s="133">
        <v>-108.08</v>
      </c>
      <c r="Q1528" s="72">
        <f t="shared" si="167"/>
        <v>-27714.727278480997</v>
      </c>
      <c r="R1528" s="45">
        <f t="shared" si="168"/>
        <v>285.27272151900252</v>
      </c>
      <c r="S1528" s="373" t="s">
        <v>282</v>
      </c>
      <c r="T1528" s="391"/>
      <c r="U1528" s="74"/>
      <c r="V1528" s="26"/>
      <c r="W1528" s="26"/>
      <c r="X1528" s="20"/>
      <c r="Y1528" s="112"/>
      <c r="Z1528" s="239"/>
      <c r="AA1528" s="94"/>
      <c r="AB1528" s="95"/>
      <c r="AC1528" s="20"/>
      <c r="AD1528" s="92"/>
      <c r="AE1528" s="93"/>
      <c r="AF1528" s="20"/>
      <c r="AG1528" s="20"/>
      <c r="AH1528" s="20"/>
      <c r="AI1528" s="20"/>
    </row>
    <row r="1529" spans="1:35" ht="12.75" customHeight="1">
      <c r="A1529" s="333"/>
      <c r="B1529" s="333"/>
      <c r="C1529" s="333"/>
      <c r="D1529" s="408"/>
      <c r="E1529" s="412"/>
      <c r="F1529" s="50"/>
      <c r="G1529" s="409"/>
      <c r="H1529" s="1001"/>
      <c r="I1529" s="26"/>
      <c r="K1529" s="273"/>
      <c r="L1529" s="116" t="s">
        <v>795</v>
      </c>
      <c r="M1529" s="45">
        <v>-100</v>
      </c>
      <c r="N1529" s="735">
        <f t="shared" si="169"/>
        <v>121.88009400002062</v>
      </c>
      <c r="O1529" s="253"/>
      <c r="P1529" s="133">
        <v>-429.64</v>
      </c>
      <c r="Q1529" s="72">
        <f t="shared" si="167"/>
        <v>-28144.367278480997</v>
      </c>
      <c r="R1529" s="45">
        <f t="shared" si="168"/>
        <v>-144.3672784809969</v>
      </c>
      <c r="S1529" s="373" t="s">
        <v>270</v>
      </c>
      <c r="T1529" s="391"/>
      <c r="U1529" s="20"/>
      <c r="V1529" s="20"/>
      <c r="W1529" s="26"/>
      <c r="X1529" s="91"/>
      <c r="Y1529" s="20"/>
      <c r="Z1529" s="239"/>
      <c r="AA1529" s="94"/>
      <c r="AB1529" s="26"/>
      <c r="AC1529" s="20"/>
      <c r="AD1529" s="20"/>
      <c r="AE1529" s="20"/>
      <c r="AF1529" s="20"/>
      <c r="AG1529" s="20"/>
      <c r="AH1529" s="20"/>
      <c r="AI1529" s="20"/>
    </row>
    <row r="1530" spans="1:35" ht="12.75" customHeight="1">
      <c r="A1530" s="333"/>
      <c r="B1530" s="333"/>
      <c r="C1530" s="333"/>
      <c r="D1530" s="408"/>
      <c r="E1530" s="412"/>
      <c r="F1530" s="50"/>
      <c r="G1530" s="409"/>
      <c r="H1530" s="1001"/>
      <c r="I1530" s="26"/>
      <c r="K1530" s="273"/>
      <c r="L1530" s="116" t="s">
        <v>795</v>
      </c>
      <c r="M1530" s="45">
        <v>-100</v>
      </c>
      <c r="N1530" s="735">
        <f t="shared" si="169"/>
        <v>21.88009400002062</v>
      </c>
      <c r="O1530" s="253"/>
      <c r="P1530" s="133">
        <v>-1</v>
      </c>
      <c r="Q1530" s="72">
        <f t="shared" si="167"/>
        <v>-28145.367278480997</v>
      </c>
      <c r="R1530" s="45">
        <f t="shared" si="168"/>
        <v>-145.3672784809969</v>
      </c>
      <c r="S1530" s="373" t="s">
        <v>666</v>
      </c>
      <c r="T1530" s="391" t="s">
        <v>549</v>
      </c>
      <c r="U1530" s="20"/>
      <c r="V1530" s="20"/>
      <c r="W1530" s="26"/>
      <c r="X1530" s="91"/>
      <c r="Y1530" s="20"/>
      <c r="Z1530" s="239"/>
      <c r="AA1530" s="94"/>
      <c r="AB1530" s="26"/>
      <c r="AC1530" s="20"/>
      <c r="AD1530" s="20"/>
      <c r="AE1530" s="20"/>
      <c r="AF1530" s="20"/>
      <c r="AG1530" s="20"/>
      <c r="AH1530" s="20"/>
      <c r="AI1530" s="20"/>
    </row>
    <row r="1531" spans="1:35" ht="12.75" customHeight="1">
      <c r="A1531" s="333"/>
      <c r="B1531" s="333"/>
      <c r="C1531" s="333"/>
      <c r="D1531" s="133"/>
      <c r="E1531" s="133"/>
      <c r="F1531" s="50"/>
      <c r="G1531" s="409"/>
      <c r="H1531" s="401"/>
      <c r="I1531" s="26"/>
      <c r="K1531" s="273"/>
      <c r="L1531" s="116" t="s">
        <v>51</v>
      </c>
      <c r="M1531" s="45">
        <v>5000</v>
      </c>
      <c r="N1531" s="735">
        <f t="shared" si="169"/>
        <v>5021.880094000021</v>
      </c>
      <c r="O1531" s="253"/>
      <c r="P1531" s="133">
        <v>1000</v>
      </c>
      <c r="Q1531" s="72">
        <f t="shared" si="167"/>
        <v>-27145.367278480997</v>
      </c>
      <c r="R1531" s="45">
        <f t="shared" si="168"/>
        <v>854.6327215190031</v>
      </c>
      <c r="S1531" s="373" t="s">
        <v>280</v>
      </c>
      <c r="T1531" s="391"/>
      <c r="U1531" s="234"/>
      <c r="V1531" s="20"/>
      <c r="W1531" s="26"/>
      <c r="X1531" s="91"/>
      <c r="Y1531" s="20"/>
      <c r="Z1531" s="239"/>
      <c r="AA1531" s="94"/>
      <c r="AB1531" s="26"/>
      <c r="AC1531" s="20"/>
      <c r="AD1531" s="20"/>
      <c r="AE1531" s="20"/>
      <c r="AF1531" s="20"/>
      <c r="AG1531" s="20"/>
      <c r="AH1531" s="20"/>
      <c r="AI1531" s="20"/>
    </row>
    <row r="1532" spans="1:35" ht="12.75" customHeight="1">
      <c r="A1532" s="333"/>
      <c r="B1532" s="333"/>
      <c r="C1532" s="333"/>
      <c r="D1532" s="133"/>
      <c r="E1532" s="133"/>
      <c r="F1532" s="50"/>
      <c r="G1532" s="409"/>
      <c r="H1532" s="401"/>
      <c r="I1532" s="26"/>
      <c r="K1532" s="258" t="s">
        <v>248</v>
      </c>
      <c r="L1532" s="266" t="s">
        <v>51</v>
      </c>
      <c r="M1532" s="146">
        <f>E1526-M1531</f>
        <v>3796.1200000000008</v>
      </c>
      <c r="N1532" s="735">
        <f t="shared" si="169"/>
        <v>8818.0000940000209</v>
      </c>
      <c r="O1532" s="253"/>
      <c r="P1532" s="133">
        <v>-83.91</v>
      </c>
      <c r="Q1532" s="72">
        <f t="shared" si="167"/>
        <v>-27229.277278480997</v>
      </c>
      <c r="R1532" s="45">
        <f t="shared" si="168"/>
        <v>770.72272151900324</v>
      </c>
      <c r="S1532" s="373" t="s">
        <v>282</v>
      </c>
      <c r="T1532" s="391"/>
      <c r="U1532" s="20"/>
      <c r="V1532" s="26"/>
      <c r="W1532" s="26"/>
      <c r="X1532" s="91"/>
      <c r="Y1532" s="20"/>
      <c r="Z1532" s="239"/>
      <c r="AA1532" s="94"/>
      <c r="AB1532" s="26"/>
      <c r="AC1532" s="20"/>
      <c r="AD1532" s="20"/>
      <c r="AE1532" s="20"/>
      <c r="AF1532" s="20"/>
      <c r="AG1532" s="20"/>
      <c r="AH1532" s="20"/>
      <c r="AI1532" s="20"/>
    </row>
    <row r="1533" spans="1:35" ht="12.75" customHeight="1">
      <c r="A1533" s="333"/>
      <c r="B1533" s="333"/>
      <c r="C1533" s="333"/>
      <c r="D1533" s="133"/>
      <c r="E1533" s="133"/>
      <c r="F1533" s="50"/>
      <c r="G1533" s="409"/>
      <c r="H1533" s="401"/>
      <c r="I1533" s="26"/>
      <c r="K1533" s="258" t="s">
        <v>248</v>
      </c>
      <c r="L1533" s="266" t="s">
        <v>451</v>
      </c>
      <c r="M1533" s="146">
        <v>-3135</v>
      </c>
      <c r="N1533" s="735">
        <f t="shared" si="169"/>
        <v>5683.0000940000209</v>
      </c>
      <c r="O1533" s="253"/>
      <c r="P1533" s="133">
        <v>-372.05</v>
      </c>
      <c r="Q1533" s="72">
        <f t="shared" si="167"/>
        <v>-27601.327278480996</v>
      </c>
      <c r="R1533" s="45">
        <f t="shared" si="168"/>
        <v>398.67272151900397</v>
      </c>
      <c r="S1533" s="373" t="s">
        <v>270</v>
      </c>
      <c r="T1533" s="391" t="s">
        <v>549</v>
      </c>
      <c r="U1533" s="20"/>
      <c r="V1533" s="26"/>
      <c r="W1533" s="26"/>
      <c r="X1533" s="91"/>
      <c r="Y1533" s="20"/>
      <c r="Z1533" s="239"/>
      <c r="AA1533" s="94"/>
      <c r="AB1533" s="26"/>
      <c r="AC1533" s="20"/>
      <c r="AD1533" s="20"/>
      <c r="AE1533" s="20"/>
      <c r="AF1533" s="20"/>
      <c r="AG1533" s="20"/>
      <c r="AH1533" s="20"/>
      <c r="AI1533" s="20"/>
    </row>
    <row r="1534" spans="1:35" ht="12.75" customHeight="1">
      <c r="A1534" s="333"/>
      <c r="B1534" s="333"/>
      <c r="C1534" s="333"/>
      <c r="D1534" s="133"/>
      <c r="E1534" s="133"/>
      <c r="F1534" s="50"/>
      <c r="G1534" s="409"/>
      <c r="H1534" s="401"/>
      <c r="I1534" s="26"/>
      <c r="J1534" s="974" t="s">
        <v>877</v>
      </c>
      <c r="K1534" s="258" t="s">
        <v>248</v>
      </c>
      <c r="L1534" s="266" t="s">
        <v>552</v>
      </c>
      <c r="M1534" s="45">
        <v>-250</v>
      </c>
      <c r="N1534" s="735">
        <f t="shared" si="169"/>
        <v>5433.0000940000209</v>
      </c>
      <c r="O1534" s="253"/>
      <c r="P1534" s="133">
        <f>-350-15</f>
        <v>-365</v>
      </c>
      <c r="Q1534" s="72">
        <f t="shared" si="167"/>
        <v>-27966.327278480996</v>
      </c>
      <c r="R1534" s="45">
        <f t="shared" si="168"/>
        <v>33.672721519003971</v>
      </c>
      <c r="S1534" s="373" t="s">
        <v>441</v>
      </c>
      <c r="T1534" s="391"/>
      <c r="U1534" s="20"/>
      <c r="V1534" s="26"/>
      <c r="W1534" s="26"/>
      <c r="X1534" s="91"/>
      <c r="Y1534" s="20"/>
      <c r="Z1534" s="239"/>
      <c r="AA1534" s="94"/>
      <c r="AB1534" s="26"/>
      <c r="AC1534" s="20"/>
      <c r="AD1534" s="20"/>
      <c r="AE1534" s="20"/>
      <c r="AF1534" s="20"/>
      <c r="AG1534" s="20"/>
      <c r="AH1534" s="20"/>
      <c r="AI1534" s="20"/>
    </row>
    <row r="1535" spans="1:35" ht="12.75" customHeight="1">
      <c r="A1535" s="333"/>
      <c r="B1535" s="333"/>
      <c r="C1535" s="333"/>
      <c r="D1535" s="133"/>
      <c r="E1535" s="133"/>
      <c r="F1535" s="50"/>
      <c r="G1535" s="409"/>
      <c r="H1535" s="1005">
        <f>SUM(M1536:M1544)</f>
        <v>-4786.079999999999</v>
      </c>
      <c r="I1535" s="26"/>
      <c r="J1535" s="974" t="s">
        <v>862</v>
      </c>
      <c r="K1535" s="258" t="s">
        <v>248</v>
      </c>
      <c r="L1535" s="266" t="s">
        <v>333</v>
      </c>
      <c r="M1535" s="45">
        <v>-119.82</v>
      </c>
      <c r="N1535" s="735">
        <f t="shared" si="169"/>
        <v>5313.1800940000212</v>
      </c>
      <c r="O1535" s="253"/>
      <c r="P1535" s="133">
        <v>1000</v>
      </c>
      <c r="Q1535" s="72">
        <f t="shared" si="167"/>
        <v>-26966.327278480996</v>
      </c>
      <c r="R1535" s="45">
        <f t="shared" si="168"/>
        <v>1033.672721519004</v>
      </c>
      <c r="S1535" s="373" t="s">
        <v>280</v>
      </c>
      <c r="T1535" s="391"/>
      <c r="U1535" s="20"/>
      <c r="V1535" s="26"/>
      <c r="W1535" s="26"/>
      <c r="X1535" s="91"/>
      <c r="Y1535" s="20"/>
      <c r="Z1535" s="239"/>
      <c r="AA1535" s="94"/>
      <c r="AB1535" s="26"/>
      <c r="AC1535" s="20"/>
      <c r="AD1535" s="20"/>
      <c r="AE1535" s="20"/>
      <c r="AF1535" s="20"/>
      <c r="AG1535" s="20"/>
      <c r="AH1535" s="20"/>
      <c r="AI1535" s="20"/>
    </row>
    <row r="1536" spans="1:35" ht="12.75" customHeight="1">
      <c r="A1536" s="333"/>
      <c r="B1536" s="333"/>
      <c r="C1536" s="333"/>
      <c r="D1536" s="133"/>
      <c r="E1536" s="133"/>
      <c r="F1536" s="50"/>
      <c r="G1536" s="409"/>
      <c r="H1536" s="401"/>
      <c r="I1536" s="26"/>
      <c r="K1536" s="258" t="s">
        <v>248</v>
      </c>
      <c r="L1536" s="266" t="s">
        <v>195</v>
      </c>
      <c r="M1536" s="45">
        <v>-2065.2199999999998</v>
      </c>
      <c r="N1536" s="538">
        <f t="shared" si="169"/>
        <v>3247.9600940000214</v>
      </c>
      <c r="O1536" s="253"/>
      <c r="P1536" s="133">
        <v>-1015</v>
      </c>
      <c r="Q1536" s="72">
        <f t="shared" si="167"/>
        <v>-27981.327278480996</v>
      </c>
      <c r="R1536" s="45">
        <f t="shared" si="168"/>
        <v>18.672721519003971</v>
      </c>
      <c r="S1536" s="373" t="s">
        <v>441</v>
      </c>
      <c r="T1536" s="391" t="s">
        <v>549</v>
      </c>
      <c r="U1536" s="20"/>
      <c r="V1536" s="26"/>
      <c r="W1536" s="26"/>
      <c r="X1536" s="91"/>
      <c r="Y1536" s="20"/>
      <c r="Z1536" s="239"/>
      <c r="AA1536" s="94"/>
      <c r="AB1536" s="26"/>
      <c r="AC1536" s="20"/>
      <c r="AD1536" s="20"/>
      <c r="AE1536" s="20"/>
      <c r="AF1536" s="20"/>
      <c r="AG1536" s="20"/>
      <c r="AH1536" s="20"/>
      <c r="AI1536" s="20"/>
    </row>
    <row r="1537" spans="1:35" ht="12.75" customHeight="1">
      <c r="A1537" s="333"/>
      <c r="B1537" s="333"/>
      <c r="C1537" s="333"/>
      <c r="D1537" s="133"/>
      <c r="E1537" s="133"/>
      <c r="F1537" s="50"/>
      <c r="G1537" s="409"/>
      <c r="H1537" s="401"/>
      <c r="I1537" s="874"/>
      <c r="K1537" s="85" t="s">
        <v>248</v>
      </c>
      <c r="L1537" s="266" t="s">
        <v>180</v>
      </c>
      <c r="M1537" s="45">
        <v>-59</v>
      </c>
      <c r="N1537" s="735">
        <f t="shared" si="169"/>
        <v>3188.9600940000214</v>
      </c>
      <c r="O1537" s="253"/>
      <c r="P1537" s="133">
        <v>-397.1</v>
      </c>
      <c r="Q1537" s="72">
        <f t="shared" si="167"/>
        <v>-28378.427278480995</v>
      </c>
      <c r="R1537" s="45">
        <f t="shared" si="168"/>
        <v>-378.42727848099457</v>
      </c>
      <c r="S1537" s="373" t="s">
        <v>258</v>
      </c>
      <c r="T1537" s="391"/>
      <c r="U1537" s="20"/>
      <c r="V1537" s="26"/>
      <c r="W1537" s="26"/>
      <c r="X1537" s="91"/>
      <c r="Y1537" s="20"/>
      <c r="Z1537" s="239"/>
      <c r="AA1537" s="94"/>
      <c r="AB1537" s="26"/>
      <c r="AC1537" s="20"/>
      <c r="AD1537" s="20"/>
      <c r="AE1537" s="20"/>
      <c r="AF1537" s="20"/>
      <c r="AG1537" s="20"/>
      <c r="AH1537" s="20"/>
      <c r="AI1537" s="20"/>
    </row>
    <row r="1538" spans="1:35" ht="12.75" customHeight="1">
      <c r="A1538" s="333"/>
      <c r="B1538" s="333"/>
      <c r="C1538" s="333"/>
      <c r="D1538" s="133"/>
      <c r="E1538" s="133"/>
      <c r="F1538" s="50"/>
      <c r="G1538" s="409"/>
      <c r="H1538" s="401"/>
      <c r="I1538" s="315"/>
      <c r="J1538" s="511"/>
      <c r="K1538" s="258" t="s">
        <v>248</v>
      </c>
      <c r="L1538" s="266" t="s">
        <v>61</v>
      </c>
      <c r="M1538" s="45">
        <v>-588.51</v>
      </c>
      <c r="N1538" s="735">
        <f t="shared" si="169"/>
        <v>2600.4500940000216</v>
      </c>
      <c r="O1538" s="253"/>
      <c r="P1538" s="133">
        <v>-86</v>
      </c>
      <c r="Q1538" s="72">
        <f t="shared" si="167"/>
        <v>-28464.427278480995</v>
      </c>
      <c r="R1538" s="45">
        <f t="shared" si="168"/>
        <v>-464.42727848099457</v>
      </c>
      <c r="S1538" s="373" t="s">
        <v>879</v>
      </c>
      <c r="T1538" s="391"/>
      <c r="U1538" s="20"/>
      <c r="V1538" s="26"/>
      <c r="W1538" s="26"/>
      <c r="X1538" s="91"/>
      <c r="Y1538" s="20"/>
      <c r="Z1538" s="239"/>
      <c r="AA1538" s="94"/>
      <c r="AB1538" s="26"/>
      <c r="AC1538" s="20"/>
      <c r="AD1538" s="20"/>
      <c r="AE1538" s="20"/>
      <c r="AF1538" s="20"/>
      <c r="AG1538" s="20"/>
      <c r="AH1538" s="20"/>
      <c r="AI1538" s="20"/>
    </row>
    <row r="1539" spans="1:35" ht="12.75" customHeight="1">
      <c r="A1539" s="333"/>
      <c r="B1539" s="333"/>
      <c r="C1539" s="333"/>
      <c r="D1539" s="133"/>
      <c r="E1539" s="133"/>
      <c r="F1539" s="50"/>
      <c r="G1539" s="409"/>
      <c r="H1539" s="401"/>
      <c r="I1539" s="493"/>
      <c r="J1539" s="517"/>
      <c r="K1539" s="85" t="s">
        <v>189</v>
      </c>
      <c r="L1539" s="267" t="s">
        <v>16</v>
      </c>
      <c r="M1539" s="175">
        <v>-326.16000000000003</v>
      </c>
      <c r="N1539" s="735">
        <f t="shared" si="169"/>
        <v>2274.2900940000218</v>
      </c>
      <c r="O1539" s="253"/>
      <c r="P1539" s="133">
        <v>-29</v>
      </c>
      <c r="Q1539" s="72">
        <f t="shared" si="167"/>
        <v>-28493.427278480995</v>
      </c>
      <c r="R1539" s="45">
        <f t="shared" si="168"/>
        <v>-493.42727848099457</v>
      </c>
      <c r="S1539" s="373" t="s">
        <v>880</v>
      </c>
      <c r="T1539" s="391"/>
      <c r="U1539" s="20"/>
      <c r="V1539" s="26"/>
      <c r="W1539" s="26"/>
      <c r="X1539" s="91"/>
      <c r="Y1539" s="20"/>
      <c r="Z1539" s="239"/>
      <c r="AA1539" s="94"/>
      <c r="AB1539" s="26"/>
      <c r="AC1539" s="20"/>
      <c r="AD1539" s="20"/>
      <c r="AE1539" s="20"/>
      <c r="AF1539" s="20"/>
      <c r="AG1539" s="20"/>
      <c r="AH1539" s="20"/>
      <c r="AI1539" s="20"/>
    </row>
    <row r="1540" spans="1:35" ht="12.75" customHeight="1">
      <c r="A1540" s="333"/>
      <c r="B1540" s="333"/>
      <c r="C1540" s="333"/>
      <c r="D1540" s="133"/>
      <c r="E1540" s="133"/>
      <c r="F1540" s="50"/>
      <c r="G1540" s="409"/>
      <c r="H1540" s="401"/>
      <c r="I1540" s="493"/>
      <c r="J1540" s="709"/>
      <c r="K1540" s="258" t="s">
        <v>189</v>
      </c>
      <c r="L1540" s="268" t="s">
        <v>56</v>
      </c>
      <c r="M1540" s="175">
        <v>-720</v>
      </c>
      <c r="N1540" s="538">
        <f t="shared" si="169"/>
        <v>1554.2900940000218</v>
      </c>
      <c r="O1540" s="253"/>
      <c r="P1540" s="133">
        <v>1000</v>
      </c>
      <c r="Q1540" s="72">
        <f t="shared" si="167"/>
        <v>-27493.427278480995</v>
      </c>
      <c r="R1540" s="45">
        <f t="shared" si="168"/>
        <v>506.57272151900543</v>
      </c>
      <c r="S1540" s="373" t="s">
        <v>280</v>
      </c>
      <c r="T1540" s="391"/>
      <c r="U1540" s="20"/>
      <c r="V1540" s="253"/>
      <c r="W1540" s="26"/>
      <c r="X1540" s="91"/>
      <c r="Y1540" s="20"/>
      <c r="Z1540" s="239"/>
      <c r="AA1540" s="94"/>
      <c r="AB1540" s="26"/>
      <c r="AC1540" s="20"/>
      <c r="AD1540" s="20"/>
      <c r="AE1540" s="20"/>
      <c r="AF1540" s="20"/>
      <c r="AG1540" s="20"/>
      <c r="AH1540" s="20"/>
      <c r="AI1540" s="20"/>
    </row>
    <row r="1541" spans="1:35" ht="12.75" customHeight="1">
      <c r="A1541" s="333"/>
      <c r="B1541" s="333"/>
      <c r="C1541" s="333"/>
      <c r="D1541" s="413"/>
      <c r="E1541" s="34"/>
      <c r="F1541" s="50"/>
      <c r="G1541" s="409"/>
      <c r="H1541" s="509"/>
      <c r="I1541" s="495"/>
      <c r="K1541" s="258" t="s">
        <v>189</v>
      </c>
      <c r="L1541" s="268" t="s">
        <v>23</v>
      </c>
      <c r="M1541" s="133">
        <v>-381.94</v>
      </c>
      <c r="N1541" s="538">
        <f t="shared" si="169"/>
        <v>1172.3500940000217</v>
      </c>
      <c r="O1541" s="253"/>
      <c r="P1541" s="133">
        <v>-102.8</v>
      </c>
      <c r="Q1541" s="72">
        <f t="shared" si="167"/>
        <v>-27596.227278480994</v>
      </c>
      <c r="R1541" s="45">
        <f t="shared" si="168"/>
        <v>403.77272151900615</v>
      </c>
      <c r="S1541" s="373" t="s">
        <v>872</v>
      </c>
      <c r="T1541" s="391"/>
      <c r="U1541" s="20"/>
      <c r="V1541" s="253"/>
      <c r="W1541" s="26"/>
      <c r="X1541" s="91"/>
      <c r="Y1541" s="20"/>
      <c r="Z1541" s="239"/>
      <c r="AA1541" s="94"/>
      <c r="AB1541" s="26"/>
      <c r="AC1541" s="20"/>
      <c r="AD1541" s="20"/>
      <c r="AE1541" s="20"/>
      <c r="AF1541" s="20"/>
      <c r="AG1541" s="20"/>
      <c r="AH1541" s="20"/>
      <c r="AI1541" s="20"/>
    </row>
    <row r="1542" spans="1:35" ht="12.75" customHeight="1">
      <c r="A1542" s="333"/>
      <c r="B1542" s="333"/>
      <c r="C1542" s="333"/>
      <c r="D1542" s="413"/>
      <c r="E1542" s="34"/>
      <c r="F1542" s="50"/>
      <c r="G1542" s="414"/>
      <c r="H1542" s="509"/>
      <c r="I1542" s="961"/>
      <c r="J1542" s="961"/>
      <c r="K1542" s="258" t="s">
        <v>189</v>
      </c>
      <c r="L1542" s="116" t="s">
        <v>714</v>
      </c>
      <c r="M1542" s="45">
        <v>-530.74</v>
      </c>
      <c r="N1542" s="538">
        <f t="shared" si="169"/>
        <v>641.61009400002172</v>
      </c>
      <c r="O1542" s="253"/>
      <c r="P1542" s="133">
        <v>-126.29</v>
      </c>
      <c r="Q1542" s="72">
        <f t="shared" si="167"/>
        <v>-27722.517278480995</v>
      </c>
      <c r="R1542" s="45">
        <f t="shared" si="168"/>
        <v>277.48272151900528</v>
      </c>
      <c r="S1542" s="373" t="s">
        <v>270</v>
      </c>
      <c r="T1542" s="391"/>
      <c r="U1542" s="20"/>
      <c r="V1542" s="253"/>
      <c r="W1542" s="26"/>
      <c r="X1542" s="91"/>
      <c r="Y1542" s="20"/>
      <c r="Z1542" s="239"/>
      <c r="AA1542" s="94"/>
      <c r="AB1542" s="26"/>
      <c r="AC1542" s="20"/>
      <c r="AD1542" s="20"/>
      <c r="AE1542" s="20"/>
      <c r="AF1542" s="20"/>
      <c r="AG1542" s="20"/>
      <c r="AH1542" s="20"/>
      <c r="AI1542" s="20"/>
    </row>
    <row r="1543" spans="1:35" ht="12.75" customHeight="1">
      <c r="A1543" s="333"/>
      <c r="B1543" s="333"/>
      <c r="C1543" s="333"/>
      <c r="D1543" s="48"/>
      <c r="E1543" s="133"/>
      <c r="F1543" s="50"/>
      <c r="G1543" s="414"/>
      <c r="H1543" s="509"/>
      <c r="I1543" s="961"/>
      <c r="J1543" s="961"/>
      <c r="K1543" s="258" t="s">
        <v>189</v>
      </c>
      <c r="L1543" s="116" t="s">
        <v>585</v>
      </c>
      <c r="M1543" s="175">
        <v>-66.989999999999995</v>
      </c>
      <c r="N1543" s="538">
        <f t="shared" si="169"/>
        <v>574.62009400002171</v>
      </c>
      <c r="O1543" s="497"/>
      <c r="P1543" s="133">
        <v>-47</v>
      </c>
      <c r="Q1543" s="72">
        <f t="shared" si="167"/>
        <v>-27769.517278480995</v>
      </c>
      <c r="R1543" s="45">
        <f t="shared" si="168"/>
        <v>230.48272151900528</v>
      </c>
      <c r="S1543" s="373" t="s">
        <v>800</v>
      </c>
      <c r="T1543" s="391" t="s">
        <v>549</v>
      </c>
      <c r="U1543" s="20"/>
      <c r="V1543" s="253"/>
      <c r="W1543" s="26"/>
      <c r="X1543" s="91"/>
      <c r="Y1543" s="20"/>
      <c r="Z1543" s="239"/>
      <c r="AA1543" s="94"/>
      <c r="AB1543" s="26"/>
      <c r="AC1543" s="20"/>
      <c r="AD1543" s="20"/>
      <c r="AE1543" s="20"/>
      <c r="AF1543" s="20"/>
      <c r="AG1543" s="20"/>
      <c r="AH1543" s="20"/>
      <c r="AI1543" s="20"/>
    </row>
    <row r="1544" spans="1:35" ht="12.75" customHeight="1">
      <c r="A1544" s="328"/>
      <c r="B1544" s="328"/>
      <c r="C1544" s="328"/>
      <c r="D1544" s="547"/>
      <c r="E1544" s="133"/>
      <c r="F1544" s="50"/>
      <c r="G1544" s="414"/>
      <c r="H1544" s="1001"/>
      <c r="I1544" s="510"/>
      <c r="J1544" s="521"/>
      <c r="K1544" s="321" t="s">
        <v>190</v>
      </c>
      <c r="L1544" s="269" t="s">
        <v>375</v>
      </c>
      <c r="M1544" s="366">
        <v>-47.52</v>
      </c>
      <c r="N1544" s="566">
        <f>N1543+M1544</f>
        <v>527.10009400002173</v>
      </c>
      <c r="O1544" s="497"/>
      <c r="P1544" s="133">
        <v>-128.21</v>
      </c>
      <c r="Q1544" s="72">
        <f t="shared" ref="Q1544" si="170">Q1543+P1544</f>
        <v>-27897.727278480994</v>
      </c>
      <c r="R1544" s="45">
        <f t="shared" ref="R1544" si="171">28000+Q1544</f>
        <v>102.27272151900615</v>
      </c>
      <c r="S1544" s="373" t="s">
        <v>282</v>
      </c>
      <c r="T1544" s="391" t="s">
        <v>549</v>
      </c>
      <c r="U1544" s="20"/>
      <c r="V1544" s="253"/>
      <c r="W1544" s="26"/>
      <c r="X1544" s="91"/>
      <c r="Y1544" s="20"/>
      <c r="Z1544" s="239"/>
      <c r="AA1544" s="94"/>
      <c r="AB1544" s="26"/>
      <c r="AC1544" s="20"/>
      <c r="AD1544" s="20"/>
      <c r="AE1544" s="20"/>
      <c r="AF1544" s="20"/>
      <c r="AG1544" s="20"/>
      <c r="AH1544" s="20"/>
      <c r="AI1544" s="20"/>
    </row>
    <row r="1545" spans="1:35" ht="12.75" customHeight="1">
      <c r="A1545" s="328"/>
      <c r="B1545" s="328"/>
      <c r="C1545" s="328"/>
      <c r="D1545" s="547"/>
      <c r="E1545" s="133"/>
      <c r="F1545" s="50"/>
      <c r="G1545" s="414"/>
      <c r="H1545" s="498"/>
      <c r="L1545" s="23"/>
      <c r="M1545" s="168">
        <f>SUM(M1522:M1544)</f>
        <v>527.10009400002173</v>
      </c>
      <c r="N1545" s="865"/>
      <c r="P1545" s="133">
        <v>-168.25</v>
      </c>
      <c r="Q1545" s="72">
        <f t="shared" ref="Q1545:Q1547" si="172">Q1544+P1545</f>
        <v>-28065.977278480994</v>
      </c>
      <c r="R1545" s="45">
        <f t="shared" ref="R1545:R1547" si="173">28000+Q1545</f>
        <v>-65.977278480993846</v>
      </c>
      <c r="S1545" s="373" t="s">
        <v>473</v>
      </c>
      <c r="T1545" s="391"/>
      <c r="U1545" s="20"/>
      <c r="V1545" s="26"/>
      <c r="W1545" s="26"/>
      <c r="X1545" s="91"/>
      <c r="Y1545" s="20"/>
      <c r="Z1545" s="239"/>
      <c r="AA1545" s="94"/>
      <c r="AB1545" s="26"/>
      <c r="AC1545" s="20"/>
      <c r="AD1545" s="20"/>
      <c r="AE1545" s="20"/>
      <c r="AF1545" s="20"/>
      <c r="AG1545" s="20"/>
      <c r="AH1545" s="20"/>
      <c r="AI1545" s="20"/>
    </row>
    <row r="1546" spans="1:35" ht="12.75" customHeight="1">
      <c r="A1546" s="328"/>
      <c r="B1546" s="328"/>
      <c r="C1546" s="328"/>
      <c r="D1546" s="547"/>
      <c r="E1546" s="133"/>
      <c r="F1546" s="50"/>
      <c r="G1546" s="414"/>
      <c r="H1546" s="498"/>
      <c r="L1546" s="23"/>
      <c r="M1546" s="26"/>
      <c r="N1546" s="806"/>
      <c r="P1546" s="133">
        <v>-37.9</v>
      </c>
      <c r="Q1546" s="72">
        <f t="shared" si="172"/>
        <v>-28103.877278480995</v>
      </c>
      <c r="R1546" s="45">
        <f t="shared" si="173"/>
        <v>-103.8772784809953</v>
      </c>
      <c r="S1546" s="373" t="s">
        <v>699</v>
      </c>
      <c r="T1546" s="391" t="s">
        <v>549</v>
      </c>
      <c r="U1546" s="20"/>
      <c r="V1546" s="26"/>
      <c r="W1546" s="26"/>
      <c r="X1546" s="91"/>
      <c r="Y1546" s="20"/>
      <c r="Z1546" s="239"/>
      <c r="AA1546" s="94"/>
      <c r="AB1546" s="26"/>
      <c r="AC1546" s="20"/>
      <c r="AD1546" s="20"/>
      <c r="AE1546" s="20"/>
      <c r="AF1546" s="20"/>
      <c r="AG1546" s="20"/>
      <c r="AH1546" s="20"/>
      <c r="AI1546" s="20"/>
    </row>
    <row r="1547" spans="1:35" ht="12.75" customHeight="1">
      <c r="G1547"/>
      <c r="H1547" s="33"/>
      <c r="I1547" s="875"/>
      <c r="J1547" s="899"/>
      <c r="K1547" s="299"/>
      <c r="L1547" s="184"/>
      <c r="M1547" s="226"/>
      <c r="N1547" s="49"/>
      <c r="O1547" s="20"/>
      <c r="P1547" s="133">
        <f>E1522</f>
        <v>1958.4900000000002</v>
      </c>
      <c r="Q1547" s="73">
        <f t="shared" si="172"/>
        <v>-26145.387278480994</v>
      </c>
      <c r="R1547" s="45">
        <f t="shared" si="173"/>
        <v>1854.6127215190063</v>
      </c>
      <c r="S1547" s="373" t="s">
        <v>280</v>
      </c>
      <c r="T1547" s="391"/>
      <c r="U1547" s="20"/>
      <c r="V1547" s="26"/>
      <c r="AA1547" s="238"/>
    </row>
    <row r="1548" spans="1:35" ht="12.75" customHeight="1">
      <c r="I1548" s="235"/>
      <c r="J1548" s="534"/>
      <c r="K1548" s="751"/>
      <c r="L1548" s="235"/>
      <c r="M1548" s="226"/>
      <c r="N1548" s="49"/>
      <c r="O1548" s="20"/>
      <c r="P1548" s="64">
        <f>SUM(P1522:P1547)</f>
        <v>-26145.387278480994</v>
      </c>
      <c r="Q1548" s="287"/>
      <c r="R1548" s="317"/>
      <c r="S1548" s="611"/>
      <c r="T1548" s="372"/>
      <c r="U1548" s="20"/>
      <c r="V1548" s="26"/>
      <c r="AA1548" s="238"/>
    </row>
    <row r="1549" spans="1:35" s="78" customFormat="1">
      <c r="E1549" s="15"/>
      <c r="G1549" s="129"/>
      <c r="K1549" s="257"/>
      <c r="M1549" s="15"/>
      <c r="P1549" s="15"/>
      <c r="Q1549" s="15"/>
      <c r="R1549" s="15"/>
      <c r="S1549" s="385"/>
      <c r="Z1549" s="15"/>
      <c r="AA1549" s="130"/>
      <c r="AB1549" s="15"/>
    </row>
    <row r="1551" spans="1:35" ht="12.75" customHeight="1">
      <c r="B1551" s="1030" t="s">
        <v>886</v>
      </c>
      <c r="C1551" s="1030"/>
      <c r="D1551" s="1030"/>
      <c r="E1551" s="1030"/>
      <c r="G1551" s="261"/>
      <c r="H1551" s="658"/>
      <c r="I1551" s="26"/>
      <c r="K1551" s="258"/>
      <c r="L1551" s="100"/>
      <c r="M1551" s="1031" t="s">
        <v>54</v>
      </c>
      <c r="N1551" s="1007"/>
      <c r="O1551" s="1013"/>
      <c r="P1551" s="1033" t="s">
        <v>48</v>
      </c>
      <c r="Q1551" s="1035" t="s">
        <v>749</v>
      </c>
      <c r="R1551" s="1035"/>
      <c r="S1551" s="377"/>
      <c r="X1551" s="35"/>
      <c r="Y1551" s="35"/>
      <c r="Z1551" s="26"/>
      <c r="AA1551" s="1014"/>
      <c r="AB1551" s="26"/>
      <c r="AC1551" s="20"/>
      <c r="AD1551" s="20"/>
      <c r="AE1551" s="20"/>
      <c r="AF1551" s="20"/>
      <c r="AG1551" s="20"/>
      <c r="AH1551" s="20"/>
      <c r="AI1551" s="20"/>
    </row>
    <row r="1552" spans="1:35" ht="12.75" customHeight="1">
      <c r="C1552" s="17" t="s">
        <v>357</v>
      </c>
      <c r="D1552" s="14"/>
      <c r="E1552" s="877">
        <v>8796.1200000000008</v>
      </c>
      <c r="G1552" s="1036"/>
      <c r="H1552" s="1036"/>
      <c r="I1552" s="26"/>
      <c r="K1552" s="260" t="s">
        <v>221</v>
      </c>
      <c r="L1552" s="156"/>
      <c r="M1552" s="1032"/>
      <c r="N1552" s="1007" t="s">
        <v>43</v>
      </c>
      <c r="O1552" s="1013"/>
      <c r="P1552" s="1034"/>
      <c r="Q1552" s="1008" t="s">
        <v>43</v>
      </c>
      <c r="R1552" s="1009" t="s">
        <v>53</v>
      </c>
      <c r="S1552" s="377"/>
      <c r="X1552" s="118"/>
      <c r="Y1552" s="111"/>
      <c r="Z1552" s="117"/>
      <c r="AA1552" s="89"/>
      <c r="AB1552" s="90"/>
      <c r="AC1552" s="20"/>
      <c r="AD1552" s="41"/>
      <c r="AE1552" s="20"/>
      <c r="AF1552" s="20"/>
      <c r="AG1552" s="20"/>
      <c r="AH1552" s="20"/>
      <c r="AI1552" s="20"/>
    </row>
    <row r="1553" spans="1:35" ht="12.75" customHeight="1">
      <c r="C1553" s="17"/>
      <c r="D1553" s="14" t="s">
        <v>24</v>
      </c>
      <c r="E1553" s="45">
        <f>'[1]FEB ''15'!$C$17</f>
        <v>973.13999999999987</v>
      </c>
      <c r="G1553" s="30"/>
      <c r="H1553" s="624"/>
      <c r="I1553" s="26"/>
      <c r="K1553" s="273"/>
      <c r="L1553" s="235" t="s">
        <v>226</v>
      </c>
      <c r="M1553" s="196">
        <f>$M$1545</f>
        <v>527.10009400002173</v>
      </c>
      <c r="N1553" s="71">
        <f>M1553</f>
        <v>527.10009400002173</v>
      </c>
      <c r="O1553" s="26"/>
      <c r="P1553" s="45">
        <f>Q1547</f>
        <v>-26145.387278480994</v>
      </c>
      <c r="Q1553" s="71">
        <f>P1553</f>
        <v>-26145.387278480994</v>
      </c>
      <c r="R1553" s="45">
        <f>28000+Q1553</f>
        <v>1854.6127215190063</v>
      </c>
      <c r="S1553" s="378" t="s">
        <v>298</v>
      </c>
      <c r="T1553" s="367" t="s">
        <v>299</v>
      </c>
      <c r="W1553" s="392"/>
      <c r="X1553" s="111"/>
      <c r="Y1553" s="111"/>
      <c r="Z1553" s="45"/>
      <c r="AA1553" s="488"/>
      <c r="AB1553" s="26"/>
      <c r="AC1553" s="20"/>
      <c r="AD1553" s="92"/>
      <c r="AE1553" s="93"/>
      <c r="AF1553" s="20"/>
      <c r="AG1553" s="20"/>
      <c r="AH1553" s="20"/>
      <c r="AI1553" s="20"/>
    </row>
    <row r="1554" spans="1:35" ht="12.75" customHeight="1">
      <c r="C1554" s="18" t="s">
        <v>5</v>
      </c>
      <c r="D1554" s="14"/>
      <c r="E1554" s="14">
        <f>SUM(E1552:E1553)</f>
        <v>9769.26</v>
      </c>
      <c r="G1554" s="30"/>
      <c r="H1554" s="624"/>
      <c r="I1554" s="26"/>
      <c r="K1554" s="297" t="s">
        <v>708</v>
      </c>
      <c r="L1554" s="184" t="s">
        <v>705</v>
      </c>
      <c r="M1554" s="45">
        <v>-99</v>
      </c>
      <c r="N1554" s="538">
        <f>N1553+M1554</f>
        <v>428.10009400002173</v>
      </c>
      <c r="O1554" s="39"/>
      <c r="P1554" s="133">
        <v>-345.18</v>
      </c>
      <c r="Q1554" s="72">
        <f>Q1553+P1554</f>
        <v>-26490.567278480994</v>
      </c>
      <c r="R1554" s="45">
        <f>28000+Q1554</f>
        <v>1509.432721519006</v>
      </c>
      <c r="S1554" s="373" t="s">
        <v>270</v>
      </c>
      <c r="T1554" s="391" t="s">
        <v>280</v>
      </c>
      <c r="W1554" s="111"/>
      <c r="X1554" s="111"/>
      <c r="Y1554" s="112"/>
      <c r="Z1554" s="55"/>
      <c r="AA1554" s="489"/>
      <c r="AB1554" s="26"/>
      <c r="AC1554" s="20"/>
      <c r="AD1554" s="92"/>
      <c r="AE1554" s="93"/>
      <c r="AF1554" s="20"/>
      <c r="AG1554" s="20"/>
      <c r="AH1554" s="20"/>
      <c r="AI1554" s="20"/>
    </row>
    <row r="1555" spans="1:35" ht="12.75" customHeight="1">
      <c r="G1555" s="242"/>
      <c r="H1555" s="492"/>
      <c r="I1555" s="26"/>
      <c r="K1555" s="297" t="s">
        <v>708</v>
      </c>
      <c r="L1555" s="116" t="s">
        <v>24</v>
      </c>
      <c r="M1555" s="45">
        <v>434.9</v>
      </c>
      <c r="N1555" s="538">
        <f>N1554+M1555</f>
        <v>863.0000940000217</v>
      </c>
      <c r="O1555" s="253"/>
      <c r="P1555" s="133">
        <v>-888.99</v>
      </c>
      <c r="Q1555" s="72">
        <f t="shared" ref="Q1555" si="174">Q1554+P1555</f>
        <v>-27379.557278480996</v>
      </c>
      <c r="R1555" s="45">
        <f>28000+Q1555</f>
        <v>620.44272151900441</v>
      </c>
      <c r="S1555" s="373" t="s">
        <v>270</v>
      </c>
      <c r="T1555" s="391" t="s">
        <v>280</v>
      </c>
      <c r="W1555" s="112"/>
      <c r="X1555" s="112"/>
      <c r="Y1555" s="112"/>
      <c r="Z1555" s="55"/>
      <c r="AA1555" s="489"/>
      <c r="AB1555" s="26"/>
      <c r="AC1555" s="20"/>
      <c r="AD1555" s="92"/>
      <c r="AE1555" s="93"/>
      <c r="AF1555" s="20"/>
      <c r="AG1555" s="20"/>
      <c r="AH1555" s="20"/>
      <c r="AI1555" s="20"/>
    </row>
    <row r="1556" spans="1:35" ht="12.75" customHeight="1">
      <c r="A1556" s="319"/>
      <c r="C1556" s="81" t="s">
        <v>17</v>
      </c>
      <c r="E1556" s="42"/>
      <c r="G1556" s="20"/>
      <c r="H1556" s="490"/>
      <c r="I1556" s="26"/>
      <c r="K1556" s="297" t="s">
        <v>223</v>
      </c>
      <c r="L1556" s="184" t="s">
        <v>227</v>
      </c>
      <c r="M1556" s="45">
        <v>-449</v>
      </c>
      <c r="N1556" s="538">
        <f>N1555+M1556</f>
        <v>414.0000940000217</v>
      </c>
      <c r="O1556" s="253"/>
      <c r="P1556" s="133">
        <v>-345.7</v>
      </c>
      <c r="Q1556" s="72">
        <f t="shared" ref="Q1556:Q1564" si="175">Q1555+P1556</f>
        <v>-27725.257278480996</v>
      </c>
      <c r="R1556" s="45">
        <f t="shared" ref="R1556:R1564" si="176">28000+Q1556</f>
        <v>274.74272151900368</v>
      </c>
      <c r="S1556" s="373" t="s">
        <v>253</v>
      </c>
      <c r="T1556" s="391"/>
      <c r="W1556" s="103"/>
      <c r="X1556" s="111"/>
      <c r="Y1556" s="112"/>
      <c r="Z1556" s="55"/>
      <c r="AA1556" s="489"/>
      <c r="AB1556" s="95"/>
      <c r="AC1556" s="20"/>
      <c r="AD1556" s="96"/>
      <c r="AE1556" s="93"/>
      <c r="AF1556" s="20"/>
      <c r="AG1556" s="20"/>
      <c r="AH1556" s="20"/>
      <c r="AI1556" s="20"/>
    </row>
    <row r="1557" spans="1:35" ht="12.75" customHeight="1">
      <c r="A1557" s="319"/>
      <c r="D1557" s="20" t="s">
        <v>14</v>
      </c>
      <c r="E1557" s="42">
        <f>E1552</f>
        <v>8796.1200000000008</v>
      </c>
      <c r="F1557" s="20"/>
      <c r="G1557"/>
      <c r="H1557" s="1012"/>
      <c r="I1557" s="26"/>
      <c r="K1557" s="297" t="s">
        <v>223</v>
      </c>
      <c r="L1557" s="116" t="s">
        <v>524</v>
      </c>
      <c r="M1557" s="45">
        <v>-11</v>
      </c>
      <c r="N1557" s="538">
        <f t="shared" ref="N1557:N1581" si="177">N1556+M1557</f>
        <v>403.0000940000217</v>
      </c>
      <c r="O1557" s="253"/>
      <c r="P1557" s="133">
        <v>-47</v>
      </c>
      <c r="Q1557" s="72">
        <f t="shared" si="175"/>
        <v>-27772.257278480996</v>
      </c>
      <c r="R1557" s="45">
        <f t="shared" si="176"/>
        <v>227.74272151900368</v>
      </c>
      <c r="S1557" s="373" t="s">
        <v>572</v>
      </c>
      <c r="T1557" s="391"/>
      <c r="U1557" s="74"/>
      <c r="V1557" s="26"/>
      <c r="W1557" s="111"/>
      <c r="X1557" s="111"/>
      <c r="Y1557" s="112"/>
      <c r="Z1557" s="55"/>
      <c r="AA1557" s="489"/>
      <c r="AB1557" s="26"/>
      <c r="AC1557" s="20"/>
      <c r="AD1557" s="41"/>
      <c r="AE1557" s="93"/>
      <c r="AF1557" s="20"/>
      <c r="AG1557" s="20"/>
      <c r="AH1557" s="20"/>
      <c r="AI1557" s="20"/>
    </row>
    <row r="1558" spans="1:35" ht="12.75" customHeight="1">
      <c r="A1558" s="319"/>
      <c r="D1558" s="78" t="s">
        <v>13</v>
      </c>
      <c r="E1558" s="483">
        <f>SUM(E1553:E1553)</f>
        <v>973.13999999999987</v>
      </c>
      <c r="F1558" s="482"/>
      <c r="G1558" s="20"/>
      <c r="H1558" s="490"/>
      <c r="I1558" s="26"/>
      <c r="K1558" s="297"/>
      <c r="L1558" s="116" t="s">
        <v>887</v>
      </c>
      <c r="M1558" s="45">
        <v>-400</v>
      </c>
      <c r="N1558" s="538">
        <f t="shared" si="177"/>
        <v>3.0000940000217042</v>
      </c>
      <c r="O1558" s="253"/>
      <c r="P1558" s="133">
        <v>-47</v>
      </c>
      <c r="Q1558" s="72">
        <f t="shared" si="175"/>
        <v>-27819.257278480996</v>
      </c>
      <c r="R1558" s="45">
        <f t="shared" si="176"/>
        <v>180.74272151900368</v>
      </c>
      <c r="S1558" s="373" t="s">
        <v>711</v>
      </c>
      <c r="T1558" s="391"/>
      <c r="U1558" s="74"/>
      <c r="V1558" s="26"/>
      <c r="W1558" s="20"/>
      <c r="X1558" s="20"/>
      <c r="Y1558" s="112"/>
      <c r="Z1558" s="239"/>
      <c r="AA1558" s="94"/>
      <c r="AB1558" s="26"/>
      <c r="AC1558" s="20"/>
      <c r="AD1558" s="92"/>
      <c r="AE1558" s="93"/>
      <c r="AF1558" s="20"/>
      <c r="AG1558" s="20"/>
      <c r="AH1558" s="20"/>
      <c r="AI1558" s="20"/>
    </row>
    <row r="1559" spans="1:35" ht="12.75" customHeight="1">
      <c r="A1559" s="319"/>
      <c r="D1559" s="20"/>
      <c r="E1559" s="26"/>
      <c r="F1559" s="122"/>
      <c r="G1559" s="1037"/>
      <c r="H1559" s="1037"/>
      <c r="I1559" s="26"/>
      <c r="K1559" s="297"/>
      <c r="L1559" s="116" t="s">
        <v>24</v>
      </c>
      <c r="M1559" s="45">
        <v>1000</v>
      </c>
      <c r="N1559" s="538">
        <f t="shared" si="177"/>
        <v>1003.0000940000217</v>
      </c>
      <c r="O1559" s="253"/>
      <c r="P1559" s="133">
        <v>-280.58</v>
      </c>
      <c r="Q1559" s="72">
        <f t="shared" si="175"/>
        <v>-28099.837278480998</v>
      </c>
      <c r="R1559" s="45">
        <f t="shared" si="176"/>
        <v>-99.837278480998066</v>
      </c>
      <c r="S1559" s="373" t="s">
        <v>270</v>
      </c>
      <c r="T1559" s="391"/>
      <c r="U1559" s="74"/>
      <c r="V1559" s="26"/>
      <c r="W1559" s="26"/>
      <c r="X1559" s="20"/>
      <c r="Y1559" s="112"/>
      <c r="Z1559" s="239"/>
      <c r="AA1559" s="94"/>
      <c r="AB1559" s="95"/>
      <c r="AC1559" s="20"/>
      <c r="AD1559" s="92"/>
      <c r="AE1559" s="93"/>
      <c r="AF1559" s="20"/>
      <c r="AG1559" s="20"/>
      <c r="AH1559" s="20"/>
      <c r="AI1559" s="20"/>
    </row>
    <row r="1560" spans="1:35" ht="12.75" customHeight="1">
      <c r="A1560" s="319"/>
      <c r="D1560" s="20"/>
      <c r="E1560" s="26"/>
      <c r="F1560" s="122"/>
      <c r="G1560" s="1010"/>
      <c r="H1560" s="1010"/>
      <c r="I1560" s="26"/>
      <c r="K1560" s="297"/>
      <c r="L1560" s="116" t="s">
        <v>343</v>
      </c>
      <c r="M1560" s="45">
        <v>-431.16</v>
      </c>
      <c r="N1560" s="538">
        <f t="shared" si="177"/>
        <v>571.84009400002174</v>
      </c>
      <c r="O1560" s="253"/>
      <c r="P1560" s="543">
        <v>-249</v>
      </c>
      <c r="Q1560" s="72">
        <f t="shared" si="175"/>
        <v>-28348.837278480998</v>
      </c>
      <c r="R1560" s="45">
        <f t="shared" si="176"/>
        <v>-348.83727848099807</v>
      </c>
      <c r="S1560" s="373" t="s">
        <v>892</v>
      </c>
      <c r="T1560" s="391"/>
      <c r="U1560" s="74"/>
      <c r="V1560" s="26"/>
      <c r="W1560" s="26"/>
      <c r="X1560" s="20"/>
      <c r="Y1560" s="112"/>
      <c r="Z1560" s="239"/>
      <c r="AA1560" s="94"/>
      <c r="AB1560" s="95"/>
      <c r="AC1560" s="20"/>
      <c r="AD1560" s="92"/>
      <c r="AE1560" s="93"/>
      <c r="AF1560" s="20"/>
      <c r="AG1560" s="20"/>
      <c r="AH1560" s="20"/>
      <c r="AI1560" s="20"/>
    </row>
    <row r="1561" spans="1:35" ht="12.75" customHeight="1">
      <c r="A1561" s="319"/>
      <c r="D1561" s="20"/>
      <c r="E1561" s="26"/>
      <c r="F1561" s="122"/>
      <c r="G1561" s="1010"/>
      <c r="H1561" s="1010"/>
      <c r="I1561" s="26"/>
      <c r="K1561" s="297"/>
      <c r="L1561" s="116" t="s">
        <v>142</v>
      </c>
      <c r="M1561" s="45">
        <v>-499.27</v>
      </c>
      <c r="N1561" s="538">
        <f t="shared" si="177"/>
        <v>72.570094000021754</v>
      </c>
      <c r="O1561" s="253"/>
      <c r="P1561" s="133">
        <v>1000</v>
      </c>
      <c r="Q1561" s="72">
        <f t="shared" si="175"/>
        <v>-27348.837278480998</v>
      </c>
      <c r="R1561" s="45">
        <f t="shared" si="176"/>
        <v>651.16272151900193</v>
      </c>
      <c r="S1561" s="373" t="s">
        <v>280</v>
      </c>
      <c r="T1561" s="391"/>
      <c r="U1561" s="74"/>
      <c r="V1561" s="26"/>
      <c r="W1561" s="26"/>
      <c r="X1561" s="20"/>
      <c r="Y1561" s="112"/>
      <c r="Z1561" s="239"/>
      <c r="AA1561" s="94"/>
      <c r="AB1561" s="95"/>
      <c r="AC1561" s="20"/>
      <c r="AD1561" s="92"/>
      <c r="AE1561" s="93"/>
      <c r="AF1561" s="20"/>
      <c r="AG1561" s="20"/>
      <c r="AH1561" s="20"/>
      <c r="AI1561" s="20"/>
    </row>
    <row r="1562" spans="1:35" ht="12.75" customHeight="1">
      <c r="A1562" s="319"/>
      <c r="D1562" s="20"/>
      <c r="E1562" s="26"/>
      <c r="F1562" s="122"/>
      <c r="G1562" s="1010"/>
      <c r="H1562" s="1010"/>
      <c r="I1562" s="26"/>
      <c r="K1562" s="297"/>
      <c r="L1562" s="116" t="s">
        <v>24</v>
      </c>
      <c r="M1562" s="45">
        <v>1000</v>
      </c>
      <c r="N1562" s="538">
        <f t="shared" si="177"/>
        <v>1072.5700940000218</v>
      </c>
      <c r="O1562" s="253"/>
      <c r="P1562" s="133">
        <v>-499.7</v>
      </c>
      <c r="Q1562" s="72">
        <f t="shared" si="175"/>
        <v>-27848.537278480999</v>
      </c>
      <c r="R1562" s="45">
        <f t="shared" si="176"/>
        <v>151.46272151900121</v>
      </c>
      <c r="S1562" s="373" t="s">
        <v>839</v>
      </c>
      <c r="T1562" s="391" t="s">
        <v>890</v>
      </c>
      <c r="U1562" s="74"/>
      <c r="V1562" s="26"/>
      <c r="W1562" s="26"/>
      <c r="X1562" s="20"/>
      <c r="Y1562" s="112"/>
      <c r="Z1562" s="239"/>
      <c r="AA1562" s="94"/>
      <c r="AB1562" s="95"/>
      <c r="AC1562" s="20"/>
      <c r="AD1562" s="92"/>
      <c r="AE1562" s="93"/>
      <c r="AF1562" s="20"/>
      <c r="AG1562" s="20"/>
      <c r="AH1562" s="20"/>
      <c r="AI1562" s="20"/>
    </row>
    <row r="1563" spans="1:35" ht="12.75" customHeight="1">
      <c r="A1563" s="319"/>
      <c r="D1563" s="20"/>
      <c r="E1563" s="26"/>
      <c r="F1563" s="122"/>
      <c r="G1563" s="1010"/>
      <c r="H1563" s="1010"/>
      <c r="I1563" s="26"/>
      <c r="K1563" s="297"/>
      <c r="L1563" s="116" t="s">
        <v>313</v>
      </c>
      <c r="M1563" s="45">
        <v>-521.38</v>
      </c>
      <c r="N1563" s="538">
        <f t="shared" si="177"/>
        <v>551.19009400002176</v>
      </c>
      <c r="O1563" s="253"/>
      <c r="P1563" s="543">
        <v>-349</v>
      </c>
      <c r="Q1563" s="72">
        <f t="shared" si="175"/>
        <v>-28197.537278480999</v>
      </c>
      <c r="R1563" s="45">
        <f t="shared" si="176"/>
        <v>-197.53727848099879</v>
      </c>
      <c r="S1563" s="373" t="s">
        <v>891</v>
      </c>
      <c r="T1563" s="391"/>
      <c r="U1563" s="74"/>
      <c r="V1563" s="26"/>
      <c r="W1563" s="26"/>
      <c r="X1563" s="20"/>
      <c r="Y1563" s="112"/>
      <c r="Z1563" s="239"/>
      <c r="AA1563" s="94"/>
      <c r="AB1563" s="95"/>
      <c r="AC1563" s="20"/>
      <c r="AD1563" s="92"/>
      <c r="AE1563" s="93"/>
      <c r="AF1563" s="20"/>
      <c r="AG1563" s="20"/>
      <c r="AH1563" s="20"/>
      <c r="AI1563" s="20"/>
    </row>
    <row r="1564" spans="1:35" ht="12.75" customHeight="1">
      <c r="A1564" s="319"/>
      <c r="D1564" s="20"/>
      <c r="E1564" s="26"/>
      <c r="F1564" s="122"/>
      <c r="G1564" s="1010"/>
      <c r="H1564" s="1010"/>
      <c r="I1564" s="26"/>
      <c r="K1564" s="297"/>
      <c r="L1564" s="116" t="s">
        <v>136</v>
      </c>
      <c r="M1564" s="45">
        <v>350</v>
      </c>
      <c r="N1564" s="538">
        <f t="shared" si="177"/>
        <v>901.19009400002176</v>
      </c>
      <c r="O1564" s="253"/>
      <c r="P1564" s="77">
        <f>E1553</f>
        <v>973.13999999999987</v>
      </c>
      <c r="Q1564" s="73">
        <f t="shared" si="175"/>
        <v>-27224.397278480999</v>
      </c>
      <c r="R1564" s="45">
        <f t="shared" si="176"/>
        <v>775.60272151900062</v>
      </c>
      <c r="S1564" s="373" t="s">
        <v>280</v>
      </c>
      <c r="T1564" s="833"/>
      <c r="U1564" s="74"/>
      <c r="V1564" s="26"/>
      <c r="W1564" s="26"/>
      <c r="X1564" s="20"/>
      <c r="Y1564" s="112"/>
      <c r="Z1564" s="239"/>
      <c r="AA1564" s="94"/>
      <c r="AB1564" s="95"/>
      <c r="AC1564" s="20"/>
      <c r="AD1564" s="92"/>
      <c r="AE1564" s="93"/>
      <c r="AF1564" s="20"/>
      <c r="AG1564" s="20"/>
      <c r="AH1564" s="20"/>
      <c r="AI1564" s="20"/>
    </row>
    <row r="1565" spans="1:35" ht="12.75" customHeight="1">
      <c r="A1565" s="319"/>
      <c r="D1565" s="20"/>
      <c r="E1565" s="26"/>
      <c r="F1565" s="122"/>
      <c r="G1565" s="1010"/>
      <c r="H1565" s="1010"/>
      <c r="I1565" s="26"/>
      <c r="K1565" s="297"/>
      <c r="L1565" s="116" t="s">
        <v>142</v>
      </c>
      <c r="M1565" s="45">
        <v>-215.7</v>
      </c>
      <c r="N1565" s="538">
        <f t="shared" si="177"/>
        <v>685.49009400002183</v>
      </c>
      <c r="O1565" s="253"/>
      <c r="P1565" s="64">
        <f>SUM(P1553:P1564)</f>
        <v>-27224.397278480999</v>
      </c>
      <c r="Q1565" s="287" t="s">
        <v>243</v>
      </c>
      <c r="R1565" s="317">
        <f>R1564-P1563-P1560</f>
        <v>1373.6027215190006</v>
      </c>
      <c r="S1565" s="611"/>
      <c r="T1565" s="372"/>
      <c r="U1565" s="74"/>
      <c r="V1565" s="26"/>
      <c r="W1565" s="26"/>
      <c r="X1565" s="20"/>
      <c r="Y1565" s="112"/>
      <c r="Z1565" s="239"/>
      <c r="AA1565" s="94"/>
      <c r="AB1565" s="95"/>
      <c r="AC1565" s="20"/>
      <c r="AD1565" s="92"/>
      <c r="AE1565" s="93"/>
      <c r="AF1565" s="20"/>
      <c r="AG1565" s="20"/>
      <c r="AH1565" s="20"/>
      <c r="AI1565" s="20"/>
    </row>
    <row r="1566" spans="1:35" ht="12.75" customHeight="1">
      <c r="A1566" s="333"/>
      <c r="B1566" s="333"/>
      <c r="C1566" s="333"/>
      <c r="D1566" s="133"/>
      <c r="E1566" s="133"/>
      <c r="F1566" s="50"/>
      <c r="G1566" s="409"/>
      <c r="H1566" s="1011"/>
      <c r="I1566" s="26"/>
      <c r="K1566" s="273"/>
      <c r="L1566" s="116" t="s">
        <v>343</v>
      </c>
      <c r="M1566" s="45">
        <v>-380.13</v>
      </c>
      <c r="N1566" s="538">
        <f t="shared" si="177"/>
        <v>305.36009400002183</v>
      </c>
      <c r="O1566" s="253"/>
      <c r="U1566" s="234"/>
      <c r="V1566" s="20"/>
      <c r="W1566" s="26"/>
      <c r="X1566" s="91"/>
      <c r="Y1566" s="20"/>
      <c r="Z1566" s="239"/>
      <c r="AA1566" s="94"/>
      <c r="AB1566" s="26"/>
      <c r="AC1566" s="20"/>
      <c r="AD1566" s="20"/>
      <c r="AE1566" s="20"/>
      <c r="AF1566" s="20"/>
      <c r="AG1566" s="20"/>
      <c r="AH1566" s="20"/>
      <c r="AI1566" s="20"/>
    </row>
    <row r="1567" spans="1:35" ht="12.75" customHeight="1">
      <c r="A1567" s="333"/>
      <c r="B1567" s="333"/>
      <c r="C1567" s="333"/>
      <c r="D1567" s="133"/>
      <c r="E1567" s="133"/>
      <c r="F1567" s="50"/>
      <c r="G1567" s="409"/>
      <c r="H1567" s="1016"/>
      <c r="I1567" s="26"/>
      <c r="K1567" s="255" t="s">
        <v>792</v>
      </c>
      <c r="L1567" s="266" t="s">
        <v>51</v>
      </c>
      <c r="M1567" s="45">
        <v>2000</v>
      </c>
      <c r="N1567" s="538">
        <f t="shared" si="177"/>
        <v>2305.3600940000219</v>
      </c>
      <c r="O1567" s="253"/>
      <c r="U1567" s="234"/>
      <c r="V1567" s="20"/>
      <c r="W1567" s="26"/>
      <c r="X1567" s="91"/>
      <c r="Y1567" s="20"/>
      <c r="Z1567" s="239"/>
      <c r="AA1567" s="94"/>
      <c r="AB1567" s="26"/>
      <c r="AC1567" s="20"/>
      <c r="AD1567" s="20"/>
      <c r="AE1567" s="20"/>
      <c r="AF1567" s="20"/>
      <c r="AG1567" s="20"/>
      <c r="AH1567" s="20"/>
      <c r="AI1567" s="20"/>
    </row>
    <row r="1568" spans="1:35" ht="12.75" customHeight="1">
      <c r="A1568" s="333"/>
      <c r="B1568" s="333"/>
      <c r="C1568" s="333"/>
      <c r="D1568" s="133"/>
      <c r="E1568" s="133"/>
      <c r="F1568" s="50"/>
      <c r="G1568" s="409"/>
      <c r="H1568" s="1016"/>
      <c r="I1568" s="26"/>
      <c r="K1568" s="258" t="s">
        <v>248</v>
      </c>
      <c r="L1568" s="266" t="s">
        <v>195</v>
      </c>
      <c r="M1568" s="45">
        <v>-2065.2199999999998</v>
      </c>
      <c r="N1568" s="538">
        <f t="shared" si="177"/>
        <v>240.14009400002215</v>
      </c>
      <c r="O1568" s="253"/>
      <c r="U1568" s="234"/>
      <c r="V1568" s="20"/>
      <c r="W1568" s="26"/>
      <c r="X1568" s="91"/>
      <c r="Y1568" s="20"/>
      <c r="Z1568" s="239"/>
      <c r="AA1568" s="94"/>
      <c r="AB1568" s="26"/>
      <c r="AC1568" s="20"/>
      <c r="AD1568" s="20"/>
      <c r="AE1568" s="20"/>
      <c r="AF1568" s="20"/>
      <c r="AG1568" s="20"/>
      <c r="AH1568" s="20"/>
      <c r="AI1568" s="20"/>
    </row>
    <row r="1569" spans="1:35" ht="12.75" customHeight="1">
      <c r="A1569" s="333"/>
      <c r="B1569" s="333"/>
      <c r="C1569" s="333"/>
      <c r="D1569" s="133"/>
      <c r="E1569" s="133"/>
      <c r="F1569" s="50"/>
      <c r="G1569" s="409"/>
      <c r="H1569" s="1016"/>
      <c r="I1569" s="26"/>
      <c r="K1569" s="258" t="s">
        <v>189</v>
      </c>
      <c r="L1569" s="267" t="s">
        <v>16</v>
      </c>
      <c r="M1569" s="175">
        <v>-313.99</v>
      </c>
      <c r="N1569" s="538">
        <f t="shared" si="177"/>
        <v>-73.849905999977864</v>
      </c>
      <c r="O1569" s="253"/>
      <c r="U1569" s="234"/>
      <c r="V1569" s="20"/>
      <c r="W1569" s="26"/>
      <c r="X1569" s="91"/>
      <c r="Y1569" s="20"/>
      <c r="Z1569" s="239"/>
      <c r="AA1569" s="94"/>
      <c r="AB1569" s="26"/>
      <c r="AC1569" s="20"/>
      <c r="AD1569" s="20"/>
      <c r="AE1569" s="20"/>
      <c r="AF1569" s="20"/>
      <c r="AG1569" s="20"/>
      <c r="AH1569" s="20"/>
      <c r="AI1569" s="20"/>
    </row>
    <row r="1570" spans="1:35" ht="12.75" customHeight="1">
      <c r="A1570" s="333"/>
      <c r="B1570" s="333"/>
      <c r="C1570" s="333"/>
      <c r="D1570" s="133"/>
      <c r="E1570" s="133"/>
      <c r="F1570" s="50"/>
      <c r="G1570" s="409"/>
      <c r="H1570" s="1016"/>
      <c r="I1570" s="26"/>
      <c r="K1570" s="258" t="s">
        <v>189</v>
      </c>
      <c r="L1570" s="268" t="s">
        <v>23</v>
      </c>
      <c r="M1570" s="300">
        <v>-441.32</v>
      </c>
      <c r="N1570" s="538">
        <f t="shared" si="177"/>
        <v>-515.1699059999778</v>
      </c>
      <c r="O1570" s="253"/>
      <c r="U1570" s="234"/>
      <c r="V1570" s="20"/>
      <c r="W1570" s="26"/>
      <c r="X1570" s="91"/>
      <c r="Y1570" s="20"/>
      <c r="Z1570" s="239"/>
      <c r="AA1570" s="94"/>
      <c r="AB1570" s="26"/>
      <c r="AC1570" s="20"/>
      <c r="AD1570" s="20"/>
      <c r="AE1570" s="20"/>
      <c r="AF1570" s="20"/>
      <c r="AG1570" s="20"/>
      <c r="AH1570" s="20"/>
      <c r="AI1570" s="20"/>
    </row>
    <row r="1571" spans="1:35" ht="12.75" customHeight="1">
      <c r="A1571" s="333"/>
      <c r="B1571" s="333"/>
      <c r="C1571" s="333"/>
      <c r="D1571" s="133"/>
      <c r="E1571" s="133"/>
      <c r="F1571" s="50"/>
      <c r="G1571" s="409"/>
      <c r="H1571" s="1017"/>
      <c r="I1571" s="26"/>
      <c r="K1571" s="258"/>
      <c r="L1571" s="268" t="s">
        <v>894</v>
      </c>
      <c r="M1571" s="133">
        <v>-115</v>
      </c>
      <c r="N1571" s="538">
        <f t="shared" si="177"/>
        <v>-630.1699059999778</v>
      </c>
      <c r="O1571" s="253"/>
      <c r="U1571" s="234"/>
      <c r="V1571" s="20"/>
      <c r="W1571" s="26"/>
      <c r="X1571" s="91"/>
      <c r="Y1571" s="20"/>
      <c r="Z1571" s="239"/>
      <c r="AA1571" s="94"/>
      <c r="AB1571" s="26"/>
      <c r="AC1571" s="20"/>
      <c r="AD1571" s="20"/>
      <c r="AE1571" s="20"/>
      <c r="AF1571" s="20"/>
      <c r="AG1571" s="20"/>
      <c r="AH1571" s="20"/>
      <c r="AI1571" s="20"/>
    </row>
    <row r="1572" spans="1:35" ht="12.75" customHeight="1">
      <c r="A1572" s="333"/>
      <c r="B1572" s="333"/>
      <c r="C1572" s="333"/>
      <c r="D1572" s="133"/>
      <c r="E1572" s="133"/>
      <c r="F1572" s="50"/>
      <c r="G1572" s="409"/>
      <c r="H1572" s="1017"/>
      <c r="I1572" s="26"/>
      <c r="K1572" s="258"/>
      <c r="L1572" s="268" t="s">
        <v>894</v>
      </c>
      <c r="M1572" s="133">
        <v>-115</v>
      </c>
      <c r="N1572" s="538">
        <f t="shared" si="177"/>
        <v>-745.1699059999778</v>
      </c>
      <c r="O1572" s="253"/>
      <c r="U1572" s="234"/>
      <c r="V1572" s="20"/>
      <c r="W1572" s="26"/>
      <c r="X1572" s="91"/>
      <c r="Y1572" s="20"/>
      <c r="Z1572" s="239"/>
      <c r="AA1572" s="94"/>
      <c r="AB1572" s="26"/>
      <c r="AC1572" s="20"/>
      <c r="AD1572" s="20"/>
      <c r="AE1572" s="20"/>
      <c r="AF1572" s="20"/>
      <c r="AG1572" s="20"/>
      <c r="AH1572" s="20"/>
      <c r="AI1572" s="20"/>
    </row>
    <row r="1573" spans="1:35" ht="12.75" customHeight="1">
      <c r="A1573" s="333"/>
      <c r="B1573" s="333"/>
      <c r="C1573" s="333"/>
      <c r="D1573" s="133"/>
      <c r="E1573" s="133"/>
      <c r="F1573" s="50"/>
      <c r="G1573" s="409"/>
      <c r="H1573" s="401"/>
      <c r="I1573" s="26"/>
      <c r="K1573" s="258" t="s">
        <v>248</v>
      </c>
      <c r="L1573" s="266" t="s">
        <v>51</v>
      </c>
      <c r="M1573" s="146">
        <f>E1557-M1567</f>
        <v>6796.1200000000008</v>
      </c>
      <c r="N1573" s="538">
        <f t="shared" si="177"/>
        <v>6050.9500940000235</v>
      </c>
      <c r="O1573" s="253"/>
      <c r="U1573" s="20"/>
      <c r="V1573" s="26"/>
      <c r="W1573" s="26"/>
      <c r="X1573" s="91"/>
      <c r="Y1573" s="20"/>
      <c r="Z1573" s="239"/>
      <c r="AA1573" s="94"/>
      <c r="AB1573" s="26"/>
      <c r="AC1573" s="20"/>
      <c r="AD1573" s="20"/>
      <c r="AE1573" s="20"/>
      <c r="AF1573" s="20"/>
      <c r="AG1573" s="20"/>
      <c r="AH1573" s="20"/>
      <c r="AI1573" s="20"/>
    </row>
    <row r="1574" spans="1:35" ht="12.75" customHeight="1">
      <c r="A1574" s="333"/>
      <c r="B1574" s="333"/>
      <c r="C1574" s="333"/>
      <c r="D1574" s="133"/>
      <c r="E1574" s="133"/>
      <c r="F1574" s="50"/>
      <c r="G1574" s="409"/>
      <c r="H1574" s="401"/>
      <c r="I1574" s="26"/>
      <c r="K1574" s="258" t="s">
        <v>248</v>
      </c>
      <c r="L1574" s="266" t="s">
        <v>480</v>
      </c>
      <c r="M1574" s="146">
        <v>-3135</v>
      </c>
      <c r="N1574" s="538">
        <f t="shared" si="177"/>
        <v>2915.9500940000235</v>
      </c>
      <c r="O1574" s="253"/>
      <c r="U1574" s="20"/>
      <c r="V1574" s="26"/>
      <c r="W1574" s="26"/>
      <c r="X1574" s="91"/>
      <c r="Y1574" s="20"/>
      <c r="Z1574" s="239"/>
      <c r="AA1574" s="94"/>
      <c r="AB1574" s="26"/>
      <c r="AC1574" s="20"/>
      <c r="AD1574" s="20"/>
      <c r="AE1574" s="20"/>
      <c r="AF1574" s="20"/>
      <c r="AG1574" s="20"/>
      <c r="AH1574" s="20"/>
      <c r="AI1574" s="20"/>
    </row>
    <row r="1575" spans="1:35" ht="12.75" customHeight="1">
      <c r="A1575" s="333"/>
      <c r="B1575" s="333"/>
      <c r="C1575" s="333"/>
      <c r="D1575" s="133"/>
      <c r="E1575" s="133"/>
      <c r="F1575" s="50"/>
      <c r="G1575" s="409"/>
      <c r="H1575" s="401"/>
      <c r="I1575" s="26"/>
      <c r="J1575" s="974"/>
      <c r="K1575" s="258" t="s">
        <v>248</v>
      </c>
      <c r="L1575" s="266" t="s">
        <v>552</v>
      </c>
      <c r="M1575" s="45">
        <v>-300</v>
      </c>
      <c r="N1575" s="538">
        <f t="shared" si="177"/>
        <v>2615.9500940000235</v>
      </c>
      <c r="O1575" s="253"/>
      <c r="U1575" s="20"/>
      <c r="V1575" s="26"/>
      <c r="W1575" s="26"/>
      <c r="X1575" s="91"/>
      <c r="Y1575" s="20"/>
      <c r="Z1575" s="239"/>
      <c r="AA1575" s="94"/>
      <c r="AB1575" s="26"/>
      <c r="AC1575" s="20"/>
      <c r="AD1575" s="20"/>
      <c r="AE1575" s="20"/>
      <c r="AF1575" s="20"/>
      <c r="AG1575" s="20"/>
      <c r="AH1575" s="20"/>
      <c r="AI1575" s="20"/>
    </row>
    <row r="1576" spans="1:35" ht="12.75" customHeight="1">
      <c r="A1576" s="333"/>
      <c r="B1576" s="333"/>
      <c r="C1576" s="333"/>
      <c r="D1576" s="133"/>
      <c r="E1576" s="133"/>
      <c r="F1576" s="50"/>
      <c r="G1576" s="409"/>
      <c r="H1576" s="401"/>
      <c r="I1576" s="874"/>
      <c r="K1576" s="258" t="s">
        <v>248</v>
      </c>
      <c r="L1576" s="266" t="s">
        <v>180</v>
      </c>
      <c r="M1576" s="45">
        <v>-59</v>
      </c>
      <c r="N1576" s="538">
        <f t="shared" si="177"/>
        <v>2556.9500940000235</v>
      </c>
      <c r="O1576" s="253"/>
      <c r="U1576" s="20"/>
      <c r="V1576" s="26"/>
      <c r="W1576" s="26"/>
      <c r="X1576" s="91"/>
      <c r="Y1576" s="20"/>
      <c r="Z1576" s="239"/>
      <c r="AA1576" s="94"/>
      <c r="AB1576" s="26"/>
      <c r="AC1576" s="20"/>
      <c r="AD1576" s="20"/>
      <c r="AE1576" s="20"/>
      <c r="AF1576" s="20"/>
      <c r="AG1576" s="20"/>
      <c r="AH1576" s="20"/>
      <c r="AI1576" s="20"/>
    </row>
    <row r="1577" spans="1:35" ht="12.75" customHeight="1">
      <c r="A1577" s="333"/>
      <c r="B1577" s="333"/>
      <c r="C1577" s="333"/>
      <c r="D1577" s="133"/>
      <c r="E1577" s="133"/>
      <c r="F1577" s="50"/>
      <c r="G1577" s="409"/>
      <c r="H1577" s="401"/>
      <c r="I1577" s="315"/>
      <c r="J1577" s="511"/>
      <c r="K1577" s="258" t="s">
        <v>248</v>
      </c>
      <c r="L1577" s="266" t="s">
        <v>61</v>
      </c>
      <c r="M1577" s="226">
        <v>-588.51</v>
      </c>
      <c r="N1577" s="538">
        <f t="shared" si="177"/>
        <v>1968.4400940000235</v>
      </c>
      <c r="O1577" s="253"/>
      <c r="U1577" s="20"/>
      <c r="V1577" s="26"/>
      <c r="W1577" s="26"/>
      <c r="X1577" s="91"/>
      <c r="Y1577" s="20"/>
      <c r="Z1577" s="239"/>
      <c r="AA1577" s="94"/>
      <c r="AB1577" s="26"/>
      <c r="AC1577" s="20"/>
      <c r="AD1577" s="20"/>
      <c r="AE1577" s="20"/>
      <c r="AF1577" s="20"/>
      <c r="AG1577" s="20"/>
      <c r="AH1577" s="20"/>
      <c r="AI1577" s="20"/>
    </row>
    <row r="1578" spans="1:35" ht="12.75" customHeight="1">
      <c r="A1578" s="333"/>
      <c r="B1578" s="333"/>
      <c r="C1578" s="333"/>
      <c r="D1578" s="133"/>
      <c r="E1578" s="133"/>
      <c r="F1578" s="50"/>
      <c r="G1578" s="409"/>
      <c r="H1578" s="401"/>
      <c r="I1578" s="493"/>
      <c r="J1578" s="709"/>
      <c r="K1578" s="258" t="s">
        <v>189</v>
      </c>
      <c r="L1578" s="268" t="s">
        <v>56</v>
      </c>
      <c r="M1578" s="175">
        <v>-720</v>
      </c>
      <c r="N1578" s="538">
        <f t="shared" si="177"/>
        <v>1248.4400940000235</v>
      </c>
      <c r="O1578" s="253"/>
      <c r="U1578" s="20"/>
      <c r="V1578" s="253"/>
      <c r="W1578" s="26"/>
      <c r="X1578" s="91"/>
      <c r="Y1578" s="20"/>
      <c r="Z1578" s="239"/>
      <c r="AA1578" s="94"/>
      <c r="AB1578" s="26"/>
      <c r="AC1578" s="20"/>
      <c r="AD1578" s="20"/>
      <c r="AE1578" s="20"/>
      <c r="AF1578" s="20"/>
      <c r="AG1578" s="20"/>
      <c r="AH1578" s="20"/>
      <c r="AI1578" s="20"/>
    </row>
    <row r="1579" spans="1:35" ht="12.75" customHeight="1">
      <c r="A1579" s="333"/>
      <c r="B1579" s="333"/>
      <c r="C1579" s="333"/>
      <c r="D1579" s="413"/>
      <c r="E1579" s="34"/>
      <c r="F1579" s="50"/>
      <c r="G1579" s="409"/>
      <c r="H1579" s="509"/>
      <c r="I1579" s="961"/>
      <c r="J1579" s="961"/>
      <c r="K1579" s="258" t="s">
        <v>189</v>
      </c>
      <c r="L1579" s="116" t="s">
        <v>714</v>
      </c>
      <c r="M1579" s="45">
        <v>-530.74</v>
      </c>
      <c r="N1579" s="538">
        <f t="shared" si="177"/>
        <v>717.70009400002346</v>
      </c>
      <c r="O1579" s="253"/>
      <c r="U1579" s="20"/>
      <c r="V1579" s="253"/>
      <c r="W1579" s="26"/>
      <c r="X1579" s="91"/>
      <c r="Y1579" s="20"/>
      <c r="Z1579" s="239"/>
      <c r="AA1579" s="94"/>
      <c r="AB1579" s="26"/>
      <c r="AC1579" s="20"/>
      <c r="AD1579" s="20"/>
      <c r="AE1579" s="20"/>
      <c r="AF1579" s="20"/>
      <c r="AG1579" s="20"/>
      <c r="AH1579" s="20"/>
      <c r="AI1579" s="20"/>
    </row>
    <row r="1580" spans="1:35" ht="12.75" customHeight="1">
      <c r="A1580" s="333"/>
      <c r="B1580" s="333"/>
      <c r="C1580" s="333"/>
      <c r="D1580" s="48"/>
      <c r="E1580" s="133"/>
      <c r="F1580" s="50"/>
      <c r="G1580" s="414"/>
      <c r="H1580" s="509"/>
      <c r="I1580" s="961"/>
      <c r="J1580" s="961"/>
      <c r="K1580" s="258" t="s">
        <v>189</v>
      </c>
      <c r="L1580" s="116" t="s">
        <v>585</v>
      </c>
      <c r="M1580" s="752">
        <v>-66.989999999999995</v>
      </c>
      <c r="N1580" s="538">
        <f t="shared" si="177"/>
        <v>650.71009400002345</v>
      </c>
      <c r="O1580" s="497"/>
      <c r="U1580" s="20"/>
      <c r="V1580" s="253"/>
      <c r="W1580" s="26"/>
      <c r="X1580" s="91"/>
      <c r="Y1580" s="20"/>
      <c r="Z1580" s="239"/>
      <c r="AA1580" s="94"/>
      <c r="AB1580" s="26"/>
      <c r="AC1580" s="20"/>
      <c r="AD1580" s="20"/>
      <c r="AE1580" s="20"/>
      <c r="AF1580" s="20"/>
      <c r="AG1580" s="20"/>
      <c r="AH1580" s="20"/>
      <c r="AI1580" s="20"/>
    </row>
    <row r="1581" spans="1:35" ht="12.75" customHeight="1">
      <c r="A1581" s="333"/>
      <c r="B1581" s="333"/>
      <c r="C1581" s="333"/>
      <c r="D1581" s="48"/>
      <c r="E1581" s="133"/>
      <c r="F1581" s="50"/>
      <c r="G1581" s="414"/>
      <c r="H1581" s="509"/>
      <c r="I1581" s="510"/>
      <c r="J1581" s="521"/>
      <c r="K1581" s="321" t="s">
        <v>190</v>
      </c>
      <c r="L1581" s="269" t="s">
        <v>375</v>
      </c>
      <c r="M1581" s="366">
        <v>-47.52</v>
      </c>
      <c r="N1581" s="566">
        <f t="shared" si="177"/>
        <v>603.19009400002346</v>
      </c>
      <c r="O1581" s="497"/>
      <c r="U1581" s="20"/>
      <c r="V1581" s="253"/>
      <c r="W1581" s="26"/>
      <c r="X1581" s="91"/>
      <c r="Y1581" s="20"/>
      <c r="Z1581" s="239"/>
      <c r="AA1581" s="94"/>
      <c r="AB1581" s="26"/>
      <c r="AC1581" s="20"/>
      <c r="AD1581" s="20"/>
      <c r="AE1581" s="20"/>
      <c r="AF1581" s="20"/>
      <c r="AG1581" s="20"/>
      <c r="AH1581" s="20"/>
      <c r="AI1581" s="20"/>
    </row>
    <row r="1582" spans="1:35" ht="12.75" customHeight="1">
      <c r="A1582" s="328"/>
      <c r="B1582" s="328"/>
      <c r="C1582" s="328"/>
      <c r="D1582" s="547"/>
      <c r="E1582" s="133"/>
      <c r="F1582" s="50"/>
      <c r="G1582" s="414"/>
      <c r="H1582" s="1011"/>
      <c r="L1582" s="23"/>
      <c r="M1582" s="168">
        <f>SUM(M1553:M1581)</f>
        <v>603.19009400002346</v>
      </c>
      <c r="N1582" s="806">
        <f>N1581-M1580-M1577-M1570</f>
        <v>1700.0100940000234</v>
      </c>
      <c r="U1582" s="20"/>
      <c r="V1582" s="26"/>
      <c r="W1582" s="26"/>
      <c r="X1582" s="91"/>
      <c r="Y1582" s="20"/>
      <c r="Z1582" s="239"/>
      <c r="AA1582" s="94"/>
      <c r="AB1582" s="26"/>
      <c r="AC1582" s="20"/>
      <c r="AD1582" s="20"/>
      <c r="AE1582" s="20"/>
      <c r="AF1582" s="20"/>
      <c r="AG1582" s="20"/>
      <c r="AH1582" s="20"/>
      <c r="AI1582" s="20"/>
    </row>
    <row r="1583" spans="1:35" s="78" customFormat="1">
      <c r="E1583" s="15"/>
      <c r="G1583" s="129"/>
      <c r="K1583" s="257"/>
      <c r="M1583" s="15"/>
      <c r="P1583" s="15"/>
      <c r="Q1583" s="15"/>
      <c r="R1583" s="15"/>
      <c r="S1583" s="385"/>
      <c r="Z1583" s="15"/>
      <c r="AA1583" s="130"/>
      <c r="AB1583" s="15"/>
    </row>
  </sheetData>
  <mergeCells count="315">
    <mergeCell ref="G1481:H1481"/>
    <mergeCell ref="G1482:H1482"/>
    <mergeCell ref="Q1380:R1380"/>
    <mergeCell ref="G1381:H1381"/>
    <mergeCell ref="G1387:H1387"/>
    <mergeCell ref="G1388:H1388"/>
    <mergeCell ref="B1473:E1473"/>
    <mergeCell ref="M1473:M1474"/>
    <mergeCell ref="P1473:P1474"/>
    <mergeCell ref="Q1473:R1473"/>
    <mergeCell ref="G1474:H1474"/>
    <mergeCell ref="B1094:E1094"/>
    <mergeCell ref="M1094:M1095"/>
    <mergeCell ref="P1094:P1095"/>
    <mergeCell ref="Q1094:R1094"/>
    <mergeCell ref="J1188:J1189"/>
    <mergeCell ref="B1153:E1153"/>
    <mergeCell ref="M1153:M1154"/>
    <mergeCell ref="P1153:P1154"/>
    <mergeCell ref="Q1153:R1153"/>
    <mergeCell ref="B1121:E1121"/>
    <mergeCell ref="M1121:M1122"/>
    <mergeCell ref="P1121:P1122"/>
    <mergeCell ref="Q1121:R1121"/>
    <mergeCell ref="G1026:H1026"/>
    <mergeCell ref="G1027:H1027"/>
    <mergeCell ref="G1327:H1327"/>
    <mergeCell ref="G1235:H1235"/>
    <mergeCell ref="G1236:H1236"/>
    <mergeCell ref="G1319:H1319"/>
    <mergeCell ref="G1326:H1326"/>
    <mergeCell ref="G1095:H1095"/>
    <mergeCell ref="G1102:H1102"/>
    <mergeCell ref="G1103:H1103"/>
    <mergeCell ref="G1154:H1154"/>
    <mergeCell ref="G1161:H1161"/>
    <mergeCell ref="G1162:H1162"/>
    <mergeCell ref="G1122:H1122"/>
    <mergeCell ref="G1299:H1299"/>
    <mergeCell ref="G1300:H1300"/>
    <mergeCell ref="G1069:H1069"/>
    <mergeCell ref="G1070:H1070"/>
    <mergeCell ref="P892:P893"/>
    <mergeCell ref="Q892:R892"/>
    <mergeCell ref="G893:H893"/>
    <mergeCell ref="G900:H900"/>
    <mergeCell ref="G901:H901"/>
    <mergeCell ref="G995:H995"/>
    <mergeCell ref="G996:H996"/>
    <mergeCell ref="G957:H957"/>
    <mergeCell ref="M1018:M1019"/>
    <mergeCell ref="P1018:P1019"/>
    <mergeCell ref="Q1018:R1018"/>
    <mergeCell ref="G1019:H1019"/>
    <mergeCell ref="G964:H964"/>
    <mergeCell ref="G965:H965"/>
    <mergeCell ref="B923:E923"/>
    <mergeCell ref="M923:M924"/>
    <mergeCell ref="P923:P924"/>
    <mergeCell ref="Q923:R923"/>
    <mergeCell ref="G924:H924"/>
    <mergeCell ref="G931:H931"/>
    <mergeCell ref="G932:H932"/>
    <mergeCell ref="B956:E956"/>
    <mergeCell ref="M956:M957"/>
    <mergeCell ref="P956:P957"/>
    <mergeCell ref="Q956:R956"/>
    <mergeCell ref="B892:E892"/>
    <mergeCell ref="M892:M893"/>
    <mergeCell ref="G798:H798"/>
    <mergeCell ref="G799:H799"/>
    <mergeCell ref="G869:H869"/>
    <mergeCell ref="B860:E860"/>
    <mergeCell ref="M860:M861"/>
    <mergeCell ref="B384:E384"/>
    <mergeCell ref="M384:M385"/>
    <mergeCell ref="B473:E473"/>
    <mergeCell ref="M473:M474"/>
    <mergeCell ref="B410:E410"/>
    <mergeCell ref="M410:M411"/>
    <mergeCell ref="G625:H625"/>
    <mergeCell ref="G626:H626"/>
    <mergeCell ref="B665:E665"/>
    <mergeCell ref="B718:E718"/>
    <mergeCell ref="G840:H840"/>
    <mergeCell ref="M831:M832"/>
    <mergeCell ref="B583:E583"/>
    <mergeCell ref="B615:E615"/>
    <mergeCell ref="B640:E640"/>
    <mergeCell ref="G703:H703"/>
    <mergeCell ref="M693:M694"/>
    <mergeCell ref="P831:P832"/>
    <mergeCell ref="Q831:R831"/>
    <mergeCell ref="G832:H832"/>
    <mergeCell ref="G489:H489"/>
    <mergeCell ref="G488:H488"/>
    <mergeCell ref="G490:H490"/>
    <mergeCell ref="M364:M365"/>
    <mergeCell ref="G1:H1"/>
    <mergeCell ref="B45:E45"/>
    <mergeCell ref="M4:M5"/>
    <mergeCell ref="M45:M46"/>
    <mergeCell ref="M83:M84"/>
    <mergeCell ref="G12:H12"/>
    <mergeCell ref="B83:E83"/>
    <mergeCell ref="M160:M161"/>
    <mergeCell ref="B160:E160"/>
    <mergeCell ref="M253:M254"/>
    <mergeCell ref="B274:E274"/>
    <mergeCell ref="M274:M275"/>
    <mergeCell ref="M296:M297"/>
    <mergeCell ref="M334:M335"/>
    <mergeCell ref="P296:P297"/>
    <mergeCell ref="P274:P275"/>
    <mergeCell ref="P45:P46"/>
    <mergeCell ref="B188:E188"/>
    <mergeCell ref="P253:P254"/>
    <mergeCell ref="B253:E253"/>
    <mergeCell ref="P334:P335"/>
    <mergeCell ref="G584:H584"/>
    <mergeCell ref="H509:H510"/>
    <mergeCell ref="G515:H515"/>
    <mergeCell ref="G516:H516"/>
    <mergeCell ref="G508:H508"/>
    <mergeCell ref="B539:E539"/>
    <mergeCell ref="C329:D329"/>
    <mergeCell ref="B296:E296"/>
    <mergeCell ref="C361:D361"/>
    <mergeCell ref="B507:E507"/>
    <mergeCell ref="M507:M508"/>
    <mergeCell ref="C326:D326"/>
    <mergeCell ref="C328:D328"/>
    <mergeCell ref="B334:E334"/>
    <mergeCell ref="P384:P385"/>
    <mergeCell ref="P364:P365"/>
    <mergeCell ref="P410:P411"/>
    <mergeCell ref="B437:E437"/>
    <mergeCell ref="M437:M438"/>
    <mergeCell ref="B364:E364"/>
    <mergeCell ref="Q384:R384"/>
    <mergeCell ref="Q364:R364"/>
    <mergeCell ref="H585:H586"/>
    <mergeCell ref="G591:H591"/>
    <mergeCell ref="G592:H592"/>
    <mergeCell ref="Q4:R4"/>
    <mergeCell ref="B4:E4"/>
    <mergeCell ref="G5:H5"/>
    <mergeCell ref="P83:P84"/>
    <mergeCell ref="P4:P5"/>
    <mergeCell ref="B231:E231"/>
    <mergeCell ref="M231:M232"/>
    <mergeCell ref="P210:P211"/>
    <mergeCell ref="P106:P107"/>
    <mergeCell ref="P188:P189"/>
    <mergeCell ref="P132:P133"/>
    <mergeCell ref="M132:M133"/>
    <mergeCell ref="B106:E106"/>
    <mergeCell ref="B132:E132"/>
    <mergeCell ref="M106:M107"/>
    <mergeCell ref="B210:E210"/>
    <mergeCell ref="P231:P232"/>
    <mergeCell ref="P160:P161"/>
    <mergeCell ref="M210:M211"/>
    <mergeCell ref="Q410:R410"/>
    <mergeCell ref="P473:P474"/>
    <mergeCell ref="Q507:R507"/>
    <mergeCell ref="P507:P508"/>
    <mergeCell ref="Q473:R473"/>
    <mergeCell ref="B693:E693"/>
    <mergeCell ref="Q693:R693"/>
    <mergeCell ref="Q583:R583"/>
    <mergeCell ref="M188:M189"/>
    <mergeCell ref="Q615:R615"/>
    <mergeCell ref="P615:P616"/>
    <mergeCell ref="G675:H675"/>
    <mergeCell ref="G676:H676"/>
    <mergeCell ref="M539:M540"/>
    <mergeCell ref="G540:H540"/>
    <mergeCell ref="G517:H517"/>
    <mergeCell ref="G551:H551"/>
    <mergeCell ref="H541:H542"/>
    <mergeCell ref="G547:H547"/>
    <mergeCell ref="G548:H548"/>
    <mergeCell ref="G549:H549"/>
    <mergeCell ref="G550:H550"/>
    <mergeCell ref="M583:M584"/>
    <mergeCell ref="G593:H593"/>
    <mergeCell ref="P693:P694"/>
    <mergeCell ref="G666:H666"/>
    <mergeCell ref="G673:H673"/>
    <mergeCell ref="M665:M666"/>
    <mergeCell ref="G674:H674"/>
    <mergeCell ref="Q437:R437"/>
    <mergeCell ref="P437:P438"/>
    <mergeCell ref="G594:H594"/>
    <mergeCell ref="M615:M616"/>
    <mergeCell ref="G616:H616"/>
    <mergeCell ref="H617:H618"/>
    <mergeCell ref="G623:H623"/>
    <mergeCell ref="G624:H624"/>
    <mergeCell ref="M640:M641"/>
    <mergeCell ref="P640:P641"/>
    <mergeCell ref="Q640:R640"/>
    <mergeCell ref="G641:H641"/>
    <mergeCell ref="G648:H648"/>
    <mergeCell ref="G649:H649"/>
    <mergeCell ref="G650:H650"/>
    <mergeCell ref="G651:H651"/>
    <mergeCell ref="H642:H643"/>
    <mergeCell ref="G704:H704"/>
    <mergeCell ref="Q790:R790"/>
    <mergeCell ref="G791:H791"/>
    <mergeCell ref="G754:H754"/>
    <mergeCell ref="G755:H755"/>
    <mergeCell ref="P718:P719"/>
    <mergeCell ref="Q539:R539"/>
    <mergeCell ref="P539:P540"/>
    <mergeCell ref="Q746:R746"/>
    <mergeCell ref="G747:H747"/>
    <mergeCell ref="G726:H726"/>
    <mergeCell ref="G727:H727"/>
    <mergeCell ref="G728:H728"/>
    <mergeCell ref="G729:H729"/>
    <mergeCell ref="Q718:R718"/>
    <mergeCell ref="G719:H719"/>
    <mergeCell ref="M718:M719"/>
    <mergeCell ref="P746:P747"/>
    <mergeCell ref="P665:P666"/>
    <mergeCell ref="P583:P584"/>
    <mergeCell ref="G702:H702"/>
    <mergeCell ref="G694:H694"/>
    <mergeCell ref="G701:H701"/>
    <mergeCell ref="Q665:R665"/>
    <mergeCell ref="B987:E987"/>
    <mergeCell ref="M987:M988"/>
    <mergeCell ref="P987:P988"/>
    <mergeCell ref="Q987:R987"/>
    <mergeCell ref="G988:H988"/>
    <mergeCell ref="B746:E746"/>
    <mergeCell ref="M746:M747"/>
    <mergeCell ref="G1129:H1129"/>
    <mergeCell ref="G1130:H1130"/>
    <mergeCell ref="B790:E790"/>
    <mergeCell ref="B1061:E1061"/>
    <mergeCell ref="M1061:M1062"/>
    <mergeCell ref="P1061:P1062"/>
    <mergeCell ref="Q1061:R1061"/>
    <mergeCell ref="G1062:H1062"/>
    <mergeCell ref="B831:E831"/>
    <mergeCell ref="B1018:E1018"/>
    <mergeCell ref="M790:M791"/>
    <mergeCell ref="P790:P791"/>
    <mergeCell ref="P860:P861"/>
    <mergeCell ref="Q860:R860"/>
    <mergeCell ref="G861:H861"/>
    <mergeCell ref="G868:H868"/>
    <mergeCell ref="G839:H839"/>
    <mergeCell ref="M1227:M1228"/>
    <mergeCell ref="P1227:P1228"/>
    <mergeCell ref="Q1227:R1227"/>
    <mergeCell ref="G1228:H1228"/>
    <mergeCell ref="B1196:E1196"/>
    <mergeCell ref="M1196:M1197"/>
    <mergeCell ref="P1196:P1197"/>
    <mergeCell ref="Q1196:R1196"/>
    <mergeCell ref="G1197:H1197"/>
    <mergeCell ref="G1204:H1204"/>
    <mergeCell ref="G1205:H1205"/>
    <mergeCell ref="B1227:E1227"/>
    <mergeCell ref="M1256:M1257"/>
    <mergeCell ref="P1256:P1257"/>
    <mergeCell ref="Q1256:R1256"/>
    <mergeCell ref="G1257:H1257"/>
    <mergeCell ref="G1264:H1264"/>
    <mergeCell ref="G1265:H1265"/>
    <mergeCell ref="B1291:E1291"/>
    <mergeCell ref="M1291:M1292"/>
    <mergeCell ref="P1291:P1292"/>
    <mergeCell ref="Q1291:R1291"/>
    <mergeCell ref="G1292:H1292"/>
    <mergeCell ref="B1256:E1256"/>
    <mergeCell ref="M1318:M1319"/>
    <mergeCell ref="P1318:P1319"/>
    <mergeCell ref="Q1318:R1318"/>
    <mergeCell ref="B1351:E1351"/>
    <mergeCell ref="M1351:M1352"/>
    <mergeCell ref="P1351:P1352"/>
    <mergeCell ref="Q1351:R1351"/>
    <mergeCell ref="G1352:H1352"/>
    <mergeCell ref="G1359:H1359"/>
    <mergeCell ref="B1318:E1318"/>
    <mergeCell ref="B1551:E1551"/>
    <mergeCell ref="M1551:M1552"/>
    <mergeCell ref="P1551:P1552"/>
    <mergeCell ref="Q1551:R1551"/>
    <mergeCell ref="G1552:H1552"/>
    <mergeCell ref="G1559:H1559"/>
    <mergeCell ref="G1360:H1360"/>
    <mergeCell ref="B1429:E1429"/>
    <mergeCell ref="M1429:M1430"/>
    <mergeCell ref="P1429:P1430"/>
    <mergeCell ref="Q1429:R1429"/>
    <mergeCell ref="G1430:H1430"/>
    <mergeCell ref="G1436:H1436"/>
    <mergeCell ref="B1520:E1520"/>
    <mergeCell ref="M1520:M1521"/>
    <mergeCell ref="P1520:P1521"/>
    <mergeCell ref="Q1520:R1520"/>
    <mergeCell ref="G1521:H1521"/>
    <mergeCell ref="G1527:H1527"/>
    <mergeCell ref="G1528:H1528"/>
    <mergeCell ref="G1437:H1437"/>
    <mergeCell ref="B1380:E1380"/>
    <mergeCell ref="M1380:M1381"/>
    <mergeCell ref="P1380:P1381"/>
  </mergeCells>
  <phoneticPr fontId="0" type="noConversion"/>
  <pageMargins left="0.74803149606299213" right="0.74803149606299213" top="0.78740157480314965" bottom="0.78740157480314965" header="0.51181102362204722" footer="0.51181102362204722"/>
  <pageSetup paperSize="1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topLeftCell="A69" workbookViewId="0">
      <selection activeCell="L88" sqref="L88"/>
    </sheetView>
  </sheetViews>
  <sheetFormatPr defaultColWidth="8.85546875" defaultRowHeight="12.75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>
      <c r="A1" s="1022" t="s">
        <v>707</v>
      </c>
      <c r="B1" s="1022"/>
      <c r="C1" s="1022"/>
      <c r="D1" s="1022"/>
      <c r="E1" s="1022"/>
      <c r="F1" s="1022"/>
      <c r="G1" s="1022"/>
      <c r="H1" s="1022"/>
      <c r="I1" s="487"/>
      <c r="J1" s="487"/>
      <c r="K1" s="487"/>
      <c r="L1" s="487"/>
      <c r="M1" s="487"/>
    </row>
    <row r="2" spans="1:13" s="437" customFormat="1" ht="6.75" customHeight="1">
      <c r="B2" s="438"/>
      <c r="C2" s="439"/>
      <c r="D2" s="439"/>
      <c r="E2" s="440"/>
      <c r="F2" s="440"/>
      <c r="G2" s="440"/>
      <c r="H2" s="440"/>
      <c r="I2" s="440"/>
      <c r="J2" s="440"/>
      <c r="K2" s="440"/>
      <c r="L2" s="440"/>
      <c r="M2" s="440"/>
    </row>
    <row r="3" spans="1:13" ht="19.5" customHeight="1">
      <c r="A3" s="660"/>
      <c r="B3" s="432" t="s">
        <v>348</v>
      </c>
      <c r="C3" s="717" t="s">
        <v>347</v>
      </c>
      <c r="D3" s="457"/>
      <c r="E3" s="32"/>
      <c r="F3" s="32"/>
      <c r="G3" s="32"/>
      <c r="H3" s="32"/>
      <c r="I3" s="32"/>
      <c r="J3" s="32"/>
      <c r="K3" s="32"/>
      <c r="L3" s="32"/>
      <c r="M3" s="5"/>
    </row>
    <row r="4" spans="1:13" ht="19.5" customHeight="1">
      <c r="B4" s="432" t="s">
        <v>350</v>
      </c>
      <c r="C4" s="1018">
        <v>41731</v>
      </c>
      <c r="D4" s="1020"/>
      <c r="E4" s="32"/>
      <c r="F4" s="32"/>
      <c r="G4" s="32"/>
      <c r="H4" s="32"/>
      <c r="I4" s="32"/>
      <c r="J4" s="32"/>
      <c r="K4" s="32"/>
      <c r="L4" s="32"/>
      <c r="M4" s="5"/>
    </row>
    <row r="5" spans="1:13" ht="4.5" customHeight="1">
      <c r="B5" s="2"/>
      <c r="C5" s="76"/>
      <c r="D5" s="76"/>
      <c r="E5" s="1019"/>
      <c r="F5" s="1021"/>
      <c r="G5" s="3"/>
      <c r="H5" s="4"/>
      <c r="I5" s="4"/>
      <c r="J5" s="4"/>
      <c r="K5" s="4"/>
      <c r="L5" s="13"/>
      <c r="M5" s="4"/>
    </row>
    <row r="6" spans="1:13" s="6" customFormat="1" ht="13.5" thickBot="1">
      <c r="B6" s="433" t="s">
        <v>349</v>
      </c>
      <c r="C6" s="435" t="s">
        <v>1</v>
      </c>
      <c r="D6" s="435"/>
      <c r="E6" s="436" t="s">
        <v>2</v>
      </c>
      <c r="G6" s="433"/>
      <c r="H6" s="433"/>
      <c r="I6" s="318"/>
      <c r="J6" s="318"/>
    </row>
    <row r="7" spans="1:13">
      <c r="B7" s="125" t="s">
        <v>391</v>
      </c>
      <c r="C7" s="75" t="s">
        <v>44</v>
      </c>
      <c r="D7" s="470"/>
      <c r="E7" s="446">
        <v>1376.67</v>
      </c>
      <c r="G7" s="661"/>
      <c r="H7" s="662"/>
      <c r="I7" s="4"/>
      <c r="J7" s="4"/>
      <c r="M7" s="5"/>
    </row>
    <row r="8" spans="1:13">
      <c r="B8" s="563" t="s">
        <v>477</v>
      </c>
      <c r="C8" s="434" t="s">
        <v>351</v>
      </c>
      <c r="D8" s="470"/>
      <c r="E8" s="446">
        <v>752.24</v>
      </c>
      <c r="G8" s="661"/>
      <c r="H8" s="662"/>
      <c r="I8" s="4"/>
      <c r="J8" s="4"/>
      <c r="M8" s="5"/>
    </row>
    <row r="9" spans="1:13">
      <c r="B9" s="563" t="s">
        <v>3</v>
      </c>
      <c r="C9" s="434" t="s">
        <v>42</v>
      </c>
      <c r="D9" s="470"/>
      <c r="E9" s="446">
        <v>837.04</v>
      </c>
      <c r="G9" s="661"/>
      <c r="H9" s="662"/>
      <c r="I9" s="4"/>
      <c r="J9" s="4"/>
      <c r="M9" s="5"/>
    </row>
    <row r="10" spans="1:13">
      <c r="B10" s="47" t="s">
        <v>4</v>
      </c>
      <c r="C10" s="75" t="s">
        <v>40</v>
      </c>
      <c r="D10" s="471"/>
      <c r="E10" s="447">
        <v>777.53</v>
      </c>
      <c r="G10" s="661"/>
      <c r="H10" s="662"/>
      <c r="I10" s="4"/>
      <c r="J10" s="4"/>
      <c r="M10" s="5"/>
    </row>
    <row r="11" spans="1:13">
      <c r="B11" s="47" t="s">
        <v>393</v>
      </c>
      <c r="C11" s="75" t="s">
        <v>392</v>
      </c>
      <c r="D11" s="471"/>
      <c r="E11" s="447">
        <v>792</v>
      </c>
      <c r="G11" s="661"/>
      <c r="H11" s="662"/>
      <c r="I11" s="4"/>
      <c r="J11" s="4"/>
      <c r="M11" s="5"/>
    </row>
    <row r="12" spans="1:13">
      <c r="B12" s="47" t="s">
        <v>365</v>
      </c>
      <c r="C12" s="75" t="s">
        <v>366</v>
      </c>
      <c r="D12" s="876"/>
      <c r="E12" s="447">
        <v>1216.74</v>
      </c>
      <c r="F12" s="301"/>
      <c r="G12" s="661"/>
      <c r="H12" s="662"/>
      <c r="I12" s="4"/>
      <c r="J12" s="4"/>
      <c r="M12" s="5"/>
    </row>
    <row r="13" spans="1:13">
      <c r="B13" s="47" t="s">
        <v>29</v>
      </c>
      <c r="C13" s="541" t="s">
        <v>41</v>
      </c>
      <c r="D13" s="669"/>
      <c r="E13" s="447">
        <v>1191.6300000000001</v>
      </c>
      <c r="F13" s="301"/>
      <c r="G13" s="661"/>
      <c r="H13" s="662"/>
      <c r="I13" s="4"/>
      <c r="J13" s="4"/>
      <c r="M13" s="5"/>
    </row>
    <row r="14" spans="1:13" ht="13.5" thickBot="1">
      <c r="B14" s="443" t="s">
        <v>166</v>
      </c>
      <c r="C14" s="542" t="s">
        <v>173</v>
      </c>
      <c r="D14" s="473"/>
      <c r="E14" s="448">
        <v>1519.93</v>
      </c>
      <c r="F14" s="301"/>
      <c r="G14" s="4"/>
      <c r="H14" s="662"/>
      <c r="I14" s="4"/>
      <c r="J14" s="4"/>
      <c r="M14" s="5"/>
    </row>
    <row r="15" spans="1:13" s="4" customFormat="1" ht="13.5" thickBot="1">
      <c r="B15" s="302"/>
      <c r="C15" s="441"/>
      <c r="D15" s="441"/>
      <c r="E15" s="449">
        <f>SUM(E7:E14)</f>
        <v>8463.7799999999988</v>
      </c>
      <c r="F15" s="442"/>
      <c r="H15" s="662"/>
    </row>
    <row r="16" spans="1:13">
      <c r="B16" s="567" t="s">
        <v>477</v>
      </c>
      <c r="C16" s="195" t="s">
        <v>285</v>
      </c>
      <c r="D16" s="195"/>
      <c r="E16" s="450">
        <v>500</v>
      </c>
      <c r="G16" s="4"/>
      <c r="H16" s="662"/>
      <c r="I16" s="4"/>
      <c r="J16" s="4"/>
      <c r="M16" s="5"/>
    </row>
    <row r="17" spans="1:13">
      <c r="B17" s="82" t="s">
        <v>11</v>
      </c>
      <c r="C17" s="138" t="s">
        <v>25</v>
      </c>
      <c r="D17" s="138"/>
      <c r="E17" s="454">
        <v>950</v>
      </c>
      <c r="G17" s="4"/>
      <c r="H17" s="662"/>
      <c r="I17" s="4"/>
      <c r="J17" s="4"/>
      <c r="M17" s="5"/>
    </row>
    <row r="18" spans="1:13" ht="13.5" thickBot="1">
      <c r="B18" s="126" t="s">
        <v>58</v>
      </c>
      <c r="C18" s="444" t="s">
        <v>59</v>
      </c>
      <c r="D18" s="444"/>
      <c r="E18" s="452">
        <v>952.5</v>
      </c>
      <c r="G18" s="4"/>
      <c r="H18" s="662"/>
      <c r="I18" s="4"/>
      <c r="J18" s="4"/>
      <c r="M18" s="5"/>
    </row>
    <row r="19" spans="1:13" ht="13.5" thickBot="1">
      <c r="B19" s="11"/>
      <c r="C19" s="445" t="s">
        <v>0</v>
      </c>
      <c r="D19" s="445"/>
      <c r="E19" s="453">
        <f>SUM(E15:E18)</f>
        <v>10866.279999999999</v>
      </c>
      <c r="G19" s="663"/>
      <c r="H19" s="662"/>
      <c r="I19" s="4"/>
      <c r="J19" s="4"/>
      <c r="M19" s="5"/>
    </row>
    <row r="20" spans="1:13" ht="12.75" customHeight="1">
      <c r="B20" s="11"/>
      <c r="C20" s="28"/>
      <c r="D20" s="28"/>
      <c r="E20" s="32"/>
      <c r="F20" s="32"/>
      <c r="G20" s="32"/>
      <c r="H20" s="32"/>
      <c r="I20" s="32"/>
      <c r="J20" s="32"/>
      <c r="K20" s="32"/>
      <c r="L20" s="32"/>
      <c r="M20" s="32"/>
    </row>
    <row r="21" spans="1:13" s="437" customFormat="1" ht="6.75" customHeight="1">
      <c r="B21" s="438"/>
      <c r="C21" s="439"/>
      <c r="D21" s="439"/>
      <c r="E21" s="440"/>
      <c r="F21" s="440"/>
      <c r="G21" s="440"/>
      <c r="H21" s="440"/>
      <c r="I21" s="440"/>
      <c r="J21" s="440"/>
      <c r="K21" s="440"/>
      <c r="L21" s="440"/>
      <c r="M21" s="440"/>
    </row>
    <row r="22" spans="1:13" ht="19.5" customHeight="1">
      <c r="A22" s="660"/>
      <c r="B22" s="432" t="s">
        <v>348</v>
      </c>
      <c r="C22" s="717" t="s">
        <v>708</v>
      </c>
      <c r="D22" s="717"/>
      <c r="E22" s="32"/>
      <c r="F22" s="32"/>
      <c r="G22" s="32"/>
      <c r="H22" s="32"/>
      <c r="I22" s="32"/>
      <c r="J22" s="32"/>
      <c r="K22" s="32"/>
      <c r="L22" s="32"/>
      <c r="M22" s="5"/>
    </row>
    <row r="23" spans="1:13" ht="19.5" customHeight="1">
      <c r="B23" s="432" t="s">
        <v>350</v>
      </c>
      <c r="C23" s="1018">
        <v>41738</v>
      </c>
      <c r="D23" s="1020"/>
      <c r="E23" s="32"/>
      <c r="F23" s="32"/>
      <c r="G23" s="32"/>
      <c r="H23" s="32"/>
      <c r="I23" s="32"/>
      <c r="J23" s="32"/>
      <c r="K23" s="32"/>
      <c r="L23" s="32"/>
      <c r="M23" s="5"/>
    </row>
    <row r="24" spans="1:13" ht="4.5" customHeight="1">
      <c r="B24" s="2"/>
      <c r="C24" s="76"/>
      <c r="D24" s="76"/>
      <c r="E24" s="1019"/>
      <c r="F24" s="1021"/>
      <c r="G24" s="3"/>
      <c r="H24" s="4"/>
      <c r="I24" s="4"/>
      <c r="J24" s="4"/>
      <c r="K24" s="4"/>
      <c r="L24" s="13"/>
      <c r="M24" s="4"/>
    </row>
    <row r="25" spans="1:13" s="6" customFormat="1" ht="13.5" thickBot="1">
      <c r="B25" s="433" t="s">
        <v>349</v>
      </c>
      <c r="C25" s="435" t="s">
        <v>1</v>
      </c>
      <c r="D25" s="435"/>
      <c r="E25" s="436" t="s">
        <v>2</v>
      </c>
      <c r="G25" s="318"/>
      <c r="H25" s="318"/>
      <c r="I25" s="318"/>
      <c r="J25" s="318"/>
    </row>
    <row r="26" spans="1:13">
      <c r="B26" s="125" t="s">
        <v>391</v>
      </c>
      <c r="C26" s="195" t="s">
        <v>44</v>
      </c>
      <c r="D26" s="891"/>
      <c r="E26" s="889">
        <v>1363.89</v>
      </c>
      <c r="M26" s="5"/>
    </row>
    <row r="27" spans="1:13">
      <c r="B27" s="563" t="s">
        <v>477</v>
      </c>
      <c r="C27" s="434" t="s">
        <v>351</v>
      </c>
      <c r="D27" s="892"/>
      <c r="E27" s="889">
        <v>752.24</v>
      </c>
      <c r="M27" s="5"/>
    </row>
    <row r="28" spans="1:13">
      <c r="B28" s="563" t="s">
        <v>3</v>
      </c>
      <c r="C28" s="434" t="s">
        <v>42</v>
      </c>
      <c r="D28" s="892"/>
      <c r="E28" s="889">
        <v>837.04</v>
      </c>
      <c r="M28" s="5"/>
    </row>
    <row r="29" spans="1:13">
      <c r="B29" s="47" t="s">
        <v>4</v>
      </c>
      <c r="C29" s="75" t="s">
        <v>40</v>
      </c>
      <c r="D29" s="893"/>
      <c r="E29" s="890">
        <v>777.53</v>
      </c>
      <c r="M29" s="5"/>
    </row>
    <row r="30" spans="1:13">
      <c r="B30" s="47" t="s">
        <v>393</v>
      </c>
      <c r="C30" s="75" t="s">
        <v>392</v>
      </c>
      <c r="D30" s="893"/>
      <c r="E30" s="890">
        <v>792</v>
      </c>
      <c r="M30" s="5"/>
    </row>
    <row r="31" spans="1:13">
      <c r="B31" s="47" t="s">
        <v>365</v>
      </c>
      <c r="C31" s="75" t="s">
        <v>366</v>
      </c>
      <c r="D31" s="893"/>
      <c r="E31" s="890">
        <v>1247.75</v>
      </c>
      <c r="F31" s="301"/>
      <c r="M31" s="5"/>
    </row>
    <row r="32" spans="1:13" ht="13.5" thickBot="1">
      <c r="B32" s="443" t="s">
        <v>29</v>
      </c>
      <c r="C32" s="542" t="s">
        <v>41</v>
      </c>
      <c r="D32" s="894"/>
      <c r="E32" s="452">
        <v>1191.6400000000001</v>
      </c>
      <c r="F32" s="301"/>
      <c r="M32" s="5"/>
    </row>
    <row r="33" spans="1:13" s="4" customFormat="1" ht="13.5" thickBot="1">
      <c r="B33" s="302"/>
      <c r="C33" s="441"/>
      <c r="D33" s="441"/>
      <c r="E33" s="449">
        <f>SUM(E26:E32)</f>
        <v>6962.09</v>
      </c>
      <c r="F33" s="442"/>
    </row>
    <row r="34" spans="1:13">
      <c r="B34" s="567" t="s">
        <v>477</v>
      </c>
      <c r="C34" s="195" t="s">
        <v>285</v>
      </c>
      <c r="D34" s="195"/>
      <c r="E34" s="450">
        <v>500</v>
      </c>
      <c r="M34" s="5"/>
    </row>
    <row r="35" spans="1:13">
      <c r="B35" s="82" t="s">
        <v>11</v>
      </c>
      <c r="C35" s="138" t="s">
        <v>25</v>
      </c>
      <c r="D35" s="138"/>
      <c r="E35" s="454">
        <v>950</v>
      </c>
      <c r="M35" s="5"/>
    </row>
    <row r="36" spans="1:13" ht="13.5" thickBot="1">
      <c r="B36" s="126" t="s">
        <v>58</v>
      </c>
      <c r="C36" s="444" t="s">
        <v>59</v>
      </c>
      <c r="D36" s="444"/>
      <c r="E36" s="452">
        <v>952.5</v>
      </c>
      <c r="M36" s="5"/>
    </row>
    <row r="37" spans="1:13" ht="13.5" thickBot="1">
      <c r="B37" s="11"/>
      <c r="C37" s="445" t="s">
        <v>0</v>
      </c>
      <c r="D37" s="445"/>
      <c r="E37" s="453">
        <f>SUM(E33:E36)</f>
        <v>9364.59</v>
      </c>
      <c r="M37" s="5"/>
    </row>
    <row r="38" spans="1:13">
      <c r="B38" s="11"/>
      <c r="C38" s="445"/>
      <c r="D38" s="445"/>
      <c r="E38" s="623"/>
      <c r="M38" s="5"/>
    </row>
    <row r="39" spans="1:13" s="437" customFormat="1" ht="6.75" customHeight="1">
      <c r="B39" s="438"/>
      <c r="C39" s="439"/>
      <c r="D39" s="439"/>
      <c r="E39" s="440"/>
      <c r="F39" s="440"/>
      <c r="G39" s="440"/>
      <c r="H39" s="440"/>
      <c r="I39" s="440"/>
      <c r="J39" s="440"/>
      <c r="K39" s="440"/>
      <c r="L39" s="440"/>
      <c r="M39" s="440"/>
    </row>
    <row r="40" spans="1:13" ht="19.5" customHeight="1">
      <c r="A40" s="660"/>
      <c r="B40" s="432" t="s">
        <v>348</v>
      </c>
      <c r="C40" s="717" t="s">
        <v>223</v>
      </c>
      <c r="D40" s="457"/>
      <c r="E40" s="32"/>
      <c r="F40" s="32"/>
      <c r="G40" s="32"/>
      <c r="H40" s="32"/>
      <c r="I40" s="32"/>
      <c r="J40" s="32"/>
      <c r="K40" s="32"/>
      <c r="L40" s="32"/>
      <c r="M40" s="5"/>
    </row>
    <row r="41" spans="1:13" ht="19.5" customHeight="1">
      <c r="B41" s="432" t="s">
        <v>350</v>
      </c>
      <c r="C41" s="1018">
        <v>41745</v>
      </c>
      <c r="D41" s="1018"/>
      <c r="E41" s="32"/>
      <c r="F41" s="32"/>
      <c r="G41" s="32"/>
      <c r="H41" s="32"/>
      <c r="I41" s="32"/>
      <c r="J41" s="32"/>
      <c r="K41" s="32"/>
      <c r="L41" s="32"/>
      <c r="M41" s="5"/>
    </row>
    <row r="42" spans="1:13" ht="4.5" customHeight="1">
      <c r="B42" s="2"/>
      <c r="C42" s="76"/>
      <c r="D42" s="76"/>
      <c r="E42" s="1019"/>
      <c r="F42" s="1019"/>
      <c r="G42" s="3"/>
      <c r="H42" s="4"/>
      <c r="I42" s="4"/>
      <c r="J42" s="4"/>
      <c r="K42" s="4"/>
      <c r="L42" s="13"/>
      <c r="M42" s="4"/>
    </row>
    <row r="43" spans="1:13" s="6" customFormat="1" ht="13.5" thickBot="1">
      <c r="B43" s="433" t="s">
        <v>349</v>
      </c>
      <c r="C43" s="435" t="s">
        <v>1</v>
      </c>
      <c r="D43" s="435"/>
      <c r="E43" s="436" t="s">
        <v>2</v>
      </c>
    </row>
    <row r="44" spans="1:13">
      <c r="B44" s="125" t="s">
        <v>391</v>
      </c>
      <c r="C44" s="195" t="s">
        <v>44</v>
      </c>
      <c r="D44" s="891"/>
      <c r="E44" s="889">
        <v>2330.96</v>
      </c>
      <c r="M44" s="5"/>
    </row>
    <row r="45" spans="1:13">
      <c r="B45" s="563" t="s">
        <v>477</v>
      </c>
      <c r="C45" s="434" t="s">
        <v>351</v>
      </c>
      <c r="D45" s="892"/>
      <c r="E45" s="889">
        <v>752.24</v>
      </c>
      <c r="M45" s="5"/>
    </row>
    <row r="46" spans="1:13">
      <c r="B46" s="563" t="s">
        <v>3</v>
      </c>
      <c r="C46" s="434" t="s">
        <v>42</v>
      </c>
      <c r="D46" s="892"/>
      <c r="E46" s="889">
        <v>837.04</v>
      </c>
      <c r="M46" s="5"/>
    </row>
    <row r="47" spans="1:13">
      <c r="B47" s="47" t="s">
        <v>4</v>
      </c>
      <c r="C47" s="75" t="s">
        <v>40</v>
      </c>
      <c r="D47" s="893"/>
      <c r="E47" s="890">
        <v>877.53</v>
      </c>
      <c r="F47" s="900" t="s">
        <v>721</v>
      </c>
      <c r="M47" s="5"/>
    </row>
    <row r="48" spans="1:13">
      <c r="B48" s="47" t="s">
        <v>393</v>
      </c>
      <c r="C48" s="75" t="s">
        <v>392</v>
      </c>
      <c r="D48" s="893"/>
      <c r="E48" s="890">
        <v>792</v>
      </c>
      <c r="M48" s="5"/>
    </row>
    <row r="49" spans="1:13">
      <c r="B49" s="47" t="s">
        <v>365</v>
      </c>
      <c r="C49" s="75" t="s">
        <v>366</v>
      </c>
      <c r="D49" s="893"/>
      <c r="E49" s="890">
        <v>1210.27</v>
      </c>
      <c r="F49" s="301"/>
      <c r="M49" s="5"/>
    </row>
    <row r="50" spans="1:13" ht="13.5" thickBot="1">
      <c r="B50" s="443" t="s">
        <v>29</v>
      </c>
      <c r="C50" s="542" t="s">
        <v>41</v>
      </c>
      <c r="D50" s="894"/>
      <c r="E50" s="452">
        <v>1654.13</v>
      </c>
      <c r="F50" s="301"/>
      <c r="M50" s="5"/>
    </row>
    <row r="51" spans="1:13" s="4" customFormat="1" ht="13.5" thickBot="1">
      <c r="B51" s="302"/>
      <c r="C51" s="441"/>
      <c r="D51" s="441"/>
      <c r="E51" s="449">
        <f>SUM(E44:E50)</f>
        <v>8454.1699999999983</v>
      </c>
      <c r="F51" s="442"/>
    </row>
    <row r="52" spans="1:13">
      <c r="B52" s="567" t="s">
        <v>477</v>
      </c>
      <c r="C52" s="195" t="s">
        <v>285</v>
      </c>
      <c r="D52" s="195"/>
      <c r="E52" s="450">
        <v>500</v>
      </c>
      <c r="M52" s="5"/>
    </row>
    <row r="53" spans="1:13">
      <c r="B53" s="82" t="s">
        <v>11</v>
      </c>
      <c r="C53" s="138" t="s">
        <v>25</v>
      </c>
      <c r="D53" s="138"/>
      <c r="E53" s="454">
        <v>950</v>
      </c>
      <c r="M53" s="5"/>
    </row>
    <row r="54" spans="1:13" ht="13.5" thickBot="1">
      <c r="B54" s="126" t="s">
        <v>58</v>
      </c>
      <c r="C54" s="444" t="s">
        <v>59</v>
      </c>
      <c r="D54" s="444"/>
      <c r="E54" s="452">
        <v>952.5</v>
      </c>
      <c r="M54" s="5"/>
    </row>
    <row r="55" spans="1:13" ht="13.5" thickBot="1">
      <c r="B55" s="11"/>
      <c r="C55" s="445" t="s">
        <v>0</v>
      </c>
      <c r="D55" s="445"/>
      <c r="E55" s="453">
        <f>SUM(E51:E54)</f>
        <v>10856.669999999998</v>
      </c>
      <c r="M55" s="5"/>
    </row>
    <row r="56" spans="1:13" ht="12.75" customHeight="1">
      <c r="B56" s="11"/>
      <c r="C56" s="28"/>
      <c r="D56" s="28"/>
      <c r="E56" s="32"/>
      <c r="F56" s="32"/>
      <c r="G56" s="32"/>
      <c r="H56" s="32"/>
      <c r="I56" s="32"/>
      <c r="J56" s="32"/>
      <c r="K56" s="32"/>
      <c r="L56" s="32"/>
      <c r="M56" s="32"/>
    </row>
    <row r="57" spans="1:13" s="437" customFormat="1" ht="6.75" customHeight="1">
      <c r="B57" s="438"/>
      <c r="C57" s="439"/>
      <c r="D57" s="439"/>
      <c r="E57" s="440"/>
      <c r="F57" s="440"/>
      <c r="G57" s="440"/>
      <c r="H57" s="440"/>
      <c r="I57" s="440"/>
      <c r="J57" s="440"/>
      <c r="K57" s="440"/>
      <c r="L57" s="440"/>
      <c r="M57" s="440"/>
    </row>
    <row r="58" spans="1:13" ht="19.5" customHeight="1">
      <c r="A58" s="660"/>
      <c r="B58" s="432" t="s">
        <v>348</v>
      </c>
      <c r="C58" s="717" t="s">
        <v>709</v>
      </c>
      <c r="D58" s="457"/>
      <c r="E58" s="32"/>
      <c r="F58" s="32"/>
      <c r="G58" s="32"/>
      <c r="H58" s="32"/>
      <c r="I58" s="32"/>
      <c r="J58" s="32"/>
      <c r="K58" s="32"/>
      <c r="L58" s="32"/>
      <c r="M58" s="5"/>
    </row>
    <row r="59" spans="1:13" ht="19.5" customHeight="1">
      <c r="B59" s="432" t="s">
        <v>350</v>
      </c>
      <c r="C59" s="1018">
        <v>41752</v>
      </c>
      <c r="D59" s="1018"/>
      <c r="E59" s="32"/>
      <c r="F59" s="32"/>
      <c r="G59" s="32"/>
      <c r="H59" s="32"/>
      <c r="I59" s="32"/>
      <c r="J59" s="32"/>
      <c r="K59" s="32"/>
      <c r="L59" s="32"/>
      <c r="M59" s="5"/>
    </row>
    <row r="60" spans="1:13" ht="4.5" customHeight="1">
      <c r="B60" s="2"/>
      <c r="C60" s="76"/>
      <c r="D60" s="76"/>
      <c r="E60" s="1019"/>
      <c r="F60" s="1019"/>
      <c r="G60" s="3"/>
      <c r="H60" s="4"/>
      <c r="I60" s="4"/>
      <c r="J60" s="4"/>
      <c r="K60" s="4"/>
      <c r="L60" s="13"/>
      <c r="M60" s="4"/>
    </row>
    <row r="61" spans="1:13" s="6" customFormat="1" ht="13.5" thickBot="1">
      <c r="B61" s="433" t="s">
        <v>349</v>
      </c>
      <c r="C61" s="435" t="s">
        <v>1</v>
      </c>
      <c r="D61" s="435"/>
      <c r="E61" s="436" t="s">
        <v>2</v>
      </c>
    </row>
    <row r="62" spans="1:13">
      <c r="B62" s="125" t="s">
        <v>391</v>
      </c>
      <c r="C62" s="195" t="s">
        <v>44</v>
      </c>
      <c r="D62" s="891"/>
      <c r="E62" s="889">
        <v>1353.82</v>
      </c>
      <c r="M62" s="5"/>
    </row>
    <row r="63" spans="1:13">
      <c r="B63" s="563" t="s">
        <v>477</v>
      </c>
      <c r="C63" s="434" t="s">
        <v>351</v>
      </c>
      <c r="D63" s="892"/>
      <c r="E63" s="889">
        <v>673.41</v>
      </c>
      <c r="M63" s="5"/>
    </row>
    <row r="64" spans="1:13">
      <c r="B64" s="563" t="s">
        <v>3</v>
      </c>
      <c r="C64" s="434" t="s">
        <v>42</v>
      </c>
      <c r="D64" s="892"/>
      <c r="E64" s="889">
        <v>837.04</v>
      </c>
      <c r="M64" s="5"/>
    </row>
    <row r="65" spans="1:13">
      <c r="B65" s="47" t="s">
        <v>4</v>
      </c>
      <c r="C65" s="75" t="s">
        <v>40</v>
      </c>
      <c r="D65" s="893"/>
      <c r="E65" s="890">
        <v>777.53</v>
      </c>
      <c r="M65" s="5"/>
    </row>
    <row r="66" spans="1:13">
      <c r="B66" s="47" t="s">
        <v>393</v>
      </c>
      <c r="C66" s="75" t="s">
        <v>392</v>
      </c>
      <c r="D66" s="893"/>
      <c r="E66" s="890">
        <v>792</v>
      </c>
      <c r="M66" s="5"/>
    </row>
    <row r="67" spans="1:13">
      <c r="B67" s="47" t="s">
        <v>365</v>
      </c>
      <c r="C67" s="75" t="s">
        <v>366</v>
      </c>
      <c r="D67" s="893"/>
      <c r="E67" s="890">
        <v>1188</v>
      </c>
      <c r="F67" s="301"/>
      <c r="M67" s="5"/>
    </row>
    <row r="68" spans="1:13" ht="13.5" thickBot="1">
      <c r="B68" s="443" t="s">
        <v>29</v>
      </c>
      <c r="C68" s="542" t="s">
        <v>41</v>
      </c>
      <c r="D68" s="894"/>
      <c r="E68" s="452">
        <v>1191.6199999999999</v>
      </c>
      <c r="F68" s="301"/>
      <c r="M68" s="5"/>
    </row>
    <row r="69" spans="1:13" s="4" customFormat="1" ht="13.5" thickBot="1">
      <c r="B69" s="302"/>
      <c r="C69" s="441"/>
      <c r="D69" s="441"/>
      <c r="E69" s="449">
        <f>SUM(E62:E68)</f>
        <v>6813.42</v>
      </c>
      <c r="F69" s="442"/>
    </row>
    <row r="70" spans="1:13">
      <c r="B70" s="567" t="s">
        <v>477</v>
      </c>
      <c r="C70" s="195" t="s">
        <v>285</v>
      </c>
      <c r="D70" s="195"/>
      <c r="E70" s="450">
        <f>500+(500/40*0.25)</f>
        <v>503.125</v>
      </c>
      <c r="M70" s="5"/>
    </row>
    <row r="71" spans="1:13">
      <c r="B71" s="82" t="s">
        <v>11</v>
      </c>
      <c r="C71" s="138" t="s">
        <v>25</v>
      </c>
      <c r="D71" s="138"/>
      <c r="E71" s="454">
        <v>950</v>
      </c>
      <c r="M71" s="5"/>
    </row>
    <row r="72" spans="1:13" ht="13.5" thickBot="1">
      <c r="B72" s="126" t="s">
        <v>58</v>
      </c>
      <c r="C72" s="444" t="s">
        <v>59</v>
      </c>
      <c r="D72" s="444"/>
      <c r="E72" s="452">
        <v>952.5</v>
      </c>
      <c r="M72" s="5"/>
    </row>
    <row r="73" spans="1:13" ht="13.5" thickBot="1">
      <c r="B73" s="11"/>
      <c r="C73" s="445" t="s">
        <v>0</v>
      </c>
      <c r="D73" s="445"/>
      <c r="E73" s="453">
        <f>SUM(E69:E72)</f>
        <v>9219.0450000000001</v>
      </c>
      <c r="M73" s="5"/>
    </row>
    <row r="74" spans="1:13" ht="12.75" customHeight="1">
      <c r="B74" s="11"/>
      <c r="C74" s="28"/>
      <c r="D74" s="28"/>
      <c r="E74" s="32"/>
      <c r="F74" s="32"/>
      <c r="G74" s="32"/>
      <c r="H74" s="32"/>
      <c r="I74" s="32"/>
      <c r="J74" s="32"/>
      <c r="K74" s="32"/>
      <c r="L74" s="32"/>
      <c r="M74" s="32"/>
    </row>
    <row r="75" spans="1:13" s="437" customFormat="1" ht="6.75" customHeight="1">
      <c r="B75" s="438"/>
      <c r="C75" s="439"/>
      <c r="D75" s="439"/>
      <c r="E75" s="440"/>
      <c r="F75" s="440"/>
      <c r="G75" s="440"/>
      <c r="H75" s="440"/>
      <c r="I75" s="440"/>
      <c r="J75" s="440"/>
      <c r="K75" s="440"/>
      <c r="L75" s="440"/>
      <c r="M75" s="440"/>
    </row>
    <row r="76" spans="1:13" ht="19.5" customHeight="1">
      <c r="A76" s="660"/>
      <c r="B76" s="432" t="s">
        <v>348</v>
      </c>
      <c r="C76" s="717" t="s">
        <v>257</v>
      </c>
      <c r="D76" s="457"/>
      <c r="E76" s="32"/>
      <c r="F76" s="32"/>
      <c r="G76" s="32"/>
      <c r="H76" s="32"/>
      <c r="I76" s="32"/>
      <c r="J76" s="32"/>
      <c r="K76" s="32"/>
      <c r="L76" s="32"/>
      <c r="M76" s="5"/>
    </row>
    <row r="77" spans="1:13" ht="19.5" customHeight="1">
      <c r="B77" s="432" t="s">
        <v>350</v>
      </c>
      <c r="C77" s="1018">
        <v>41759</v>
      </c>
      <c r="D77" s="1020"/>
      <c r="E77" s="32"/>
      <c r="F77" s="32"/>
      <c r="G77" s="32"/>
      <c r="H77" s="32"/>
      <c r="I77" s="32"/>
      <c r="J77" s="32"/>
      <c r="K77" s="32"/>
      <c r="L77" s="32"/>
      <c r="M77" s="5"/>
    </row>
    <row r="78" spans="1:13" ht="4.5" customHeight="1">
      <c r="B78" s="2"/>
      <c r="C78" s="76"/>
      <c r="D78" s="76"/>
      <c r="E78" s="1019"/>
      <c r="F78" s="1021"/>
      <c r="G78" s="3"/>
      <c r="H78" s="4"/>
      <c r="I78" s="4"/>
      <c r="J78" s="4"/>
      <c r="K78" s="4"/>
      <c r="L78" s="13"/>
      <c r="M78" s="4"/>
    </row>
    <row r="79" spans="1:13" s="6" customFormat="1" ht="13.5" thickBot="1">
      <c r="B79" s="433" t="s">
        <v>349</v>
      </c>
      <c r="C79" s="435" t="s">
        <v>1</v>
      </c>
      <c r="D79" s="435"/>
      <c r="E79" s="436" t="s">
        <v>2</v>
      </c>
    </row>
    <row r="80" spans="1:13">
      <c r="B80" s="125" t="s">
        <v>391</v>
      </c>
      <c r="C80" s="195" t="s">
        <v>44</v>
      </c>
      <c r="D80" s="891"/>
      <c r="E80" s="889">
        <v>1353.83</v>
      </c>
      <c r="F80" s="512"/>
      <c r="G80" s="512"/>
      <c r="M80" s="5"/>
    </row>
    <row r="81" spans="1:13">
      <c r="B81" s="563" t="s">
        <v>477</v>
      </c>
      <c r="C81" s="434" t="s">
        <v>351</v>
      </c>
      <c r="D81" s="892"/>
      <c r="E81" s="889">
        <v>652.24</v>
      </c>
      <c r="F81" s="512"/>
      <c r="G81" s="512"/>
      <c r="M81" s="5"/>
    </row>
    <row r="82" spans="1:13">
      <c r="B82" s="563" t="s">
        <v>3</v>
      </c>
      <c r="C82" s="434" t="s">
        <v>42</v>
      </c>
      <c r="D82" s="892"/>
      <c r="E82" s="889">
        <v>837.04</v>
      </c>
      <c r="M82" s="5"/>
    </row>
    <row r="83" spans="1:13">
      <c r="B83" s="47" t="s">
        <v>4</v>
      </c>
      <c r="C83" s="75" t="s">
        <v>40</v>
      </c>
      <c r="D83" s="893"/>
      <c r="E83" s="890">
        <v>777.53</v>
      </c>
      <c r="M83" s="5"/>
    </row>
    <row r="84" spans="1:13">
      <c r="B84" s="47" t="s">
        <v>393</v>
      </c>
      <c r="C84" s="75" t="s">
        <v>392</v>
      </c>
      <c r="D84" s="893"/>
      <c r="E84" s="890">
        <v>792</v>
      </c>
      <c r="M84" s="5"/>
    </row>
    <row r="85" spans="1:13">
      <c r="B85" s="47" t="s">
        <v>365</v>
      </c>
      <c r="C85" s="75" t="s">
        <v>366</v>
      </c>
      <c r="D85" s="893"/>
      <c r="E85" s="898">
        <v>1188</v>
      </c>
      <c r="F85" s="301"/>
      <c r="M85" s="5"/>
    </row>
    <row r="86" spans="1:13" ht="13.5" thickBot="1">
      <c r="B86" s="443" t="s">
        <v>29</v>
      </c>
      <c r="C86" s="542" t="s">
        <v>41</v>
      </c>
      <c r="D86" s="894"/>
      <c r="E86" s="452">
        <v>1191.6500000000001</v>
      </c>
      <c r="F86" s="301"/>
      <c r="G86" s="512"/>
      <c r="M86" s="5"/>
    </row>
    <row r="87" spans="1:13" s="4" customFormat="1" ht="14.25" thickTop="1" thickBot="1">
      <c r="B87" s="302"/>
      <c r="C87" s="441"/>
      <c r="D87" s="441"/>
      <c r="E87" s="910">
        <f>SUM(E80:E86)</f>
        <v>6792.2899999999991</v>
      </c>
      <c r="F87" s="442"/>
    </row>
    <row r="88" spans="1:13" ht="13.5" thickBot="1">
      <c r="B88" s="895" t="s">
        <v>477</v>
      </c>
      <c r="C88" s="896" t="s">
        <v>285</v>
      </c>
      <c r="D88" s="897"/>
      <c r="E88" s="909">
        <v>500</v>
      </c>
      <c r="M88" s="5"/>
    </row>
    <row r="89" spans="1:13" ht="13.5" thickBot="1">
      <c r="B89" s="11"/>
      <c r="C89" s="445" t="s">
        <v>0</v>
      </c>
      <c r="D89" s="445"/>
      <c r="E89" s="453">
        <f>SUM(E87:E88)</f>
        <v>7292.2899999999991</v>
      </c>
      <c r="M89" s="5"/>
    </row>
    <row r="90" spans="1:13" ht="12.75" customHeight="1">
      <c r="B90" s="11"/>
      <c r="C90" s="28"/>
      <c r="D90" s="28"/>
      <c r="E90" s="32"/>
      <c r="F90" s="32"/>
      <c r="G90" s="32"/>
      <c r="H90" s="32"/>
      <c r="I90" s="32"/>
      <c r="J90" s="32"/>
      <c r="K90" s="32"/>
      <c r="L90" s="32"/>
      <c r="M90" s="32"/>
    </row>
    <row r="91" spans="1:13" s="7" customFormat="1" ht="13.15" customHeight="1">
      <c r="A91" s="56" t="s">
        <v>30</v>
      </c>
      <c r="B91" s="57" t="s">
        <v>31</v>
      </c>
      <c r="C91" s="57"/>
      <c r="D91" s="455">
        <f>Nikki!E1197</f>
        <v>8483.35</v>
      </c>
      <c r="E91" s="455"/>
      <c r="F91" s="56" t="s">
        <v>38</v>
      </c>
      <c r="G91" s="57" t="s">
        <v>39</v>
      </c>
      <c r="H91" s="455">
        <v>1200</v>
      </c>
      <c r="I91" s="455"/>
      <c r="J91" s="458"/>
      <c r="K91" s="458"/>
      <c r="L91" s="458"/>
      <c r="M91" s="458"/>
    </row>
    <row r="92" spans="1:13" s="7" customFormat="1" ht="13.15" customHeight="1">
      <c r="A92" s="56" t="s">
        <v>32</v>
      </c>
      <c r="B92" s="57" t="s">
        <v>131</v>
      </c>
      <c r="C92" s="57"/>
      <c r="D92" s="455">
        <f>Nikki!E1198</f>
        <v>934.47999999999956</v>
      </c>
      <c r="E92" s="455"/>
      <c r="F92" s="56" t="s">
        <v>38</v>
      </c>
      <c r="G92" s="57" t="s">
        <v>107</v>
      </c>
      <c r="H92" s="455">
        <f>120000*15%/12</f>
        <v>1500</v>
      </c>
      <c r="I92" s="458"/>
      <c r="J92" s="458"/>
      <c r="K92" s="458"/>
      <c r="L92" s="458"/>
      <c r="M92" s="458"/>
    </row>
    <row r="93" spans="1:13" s="7" customFormat="1" ht="13.15" customHeight="1">
      <c r="A93" s="56" t="s">
        <v>33</v>
      </c>
      <c r="B93" s="57" t="s">
        <v>34</v>
      </c>
      <c r="C93" s="57"/>
      <c r="D93" s="455">
        <v>311.83999999999997</v>
      </c>
      <c r="E93" s="455"/>
      <c r="F93" s="56" t="s">
        <v>45</v>
      </c>
      <c r="G93" s="57" t="s">
        <v>39</v>
      </c>
      <c r="H93" s="455">
        <v>1800</v>
      </c>
      <c r="I93" s="458"/>
      <c r="J93" s="458"/>
      <c r="K93" s="458"/>
      <c r="L93" s="458"/>
      <c r="M93" s="458"/>
    </row>
    <row r="94" spans="1:13" s="7" customFormat="1" ht="13.15" customHeight="1">
      <c r="A94" s="56" t="s">
        <v>36</v>
      </c>
      <c r="B94" s="57" t="s">
        <v>37</v>
      </c>
      <c r="C94" s="455"/>
      <c r="D94" s="455">
        <v>8000</v>
      </c>
      <c r="E94" s="908" t="s">
        <v>721</v>
      </c>
      <c r="F94" s="56" t="s">
        <v>32</v>
      </c>
      <c r="G94" s="57" t="s">
        <v>108</v>
      </c>
      <c r="H94" s="455">
        <v>1014</v>
      </c>
      <c r="I94" s="659"/>
      <c r="J94" s="459"/>
    </row>
    <row r="95" spans="1:13" s="7" customFormat="1" ht="13.15" customHeight="1">
      <c r="A95" s="56" t="s">
        <v>35</v>
      </c>
      <c r="B95" s="57" t="s">
        <v>186</v>
      </c>
      <c r="C95" s="455"/>
      <c r="D95" s="455">
        <v>1000</v>
      </c>
      <c r="E95" s="455"/>
      <c r="F95" s="56" t="s">
        <v>230</v>
      </c>
      <c r="G95" s="57" t="s">
        <v>232</v>
      </c>
      <c r="H95" s="455">
        <v>500</v>
      </c>
      <c r="I95" s="659"/>
      <c r="J95" s="459"/>
    </row>
    <row r="96" spans="1:13" s="7" customFormat="1" ht="13.15" customHeight="1" thickBot="1">
      <c r="A96" s="56" t="s">
        <v>33</v>
      </c>
      <c r="B96" s="57" t="s">
        <v>46</v>
      </c>
      <c r="C96" s="455"/>
      <c r="D96" s="455">
        <v>11000</v>
      </c>
      <c r="E96" s="455"/>
      <c r="F96" s="56" t="s">
        <v>231</v>
      </c>
      <c r="G96" s="57" t="s">
        <v>233</v>
      </c>
      <c r="H96" s="456">
        <v>500</v>
      </c>
      <c r="I96" s="659"/>
      <c r="J96" s="459"/>
    </row>
    <row r="97" spans="1:13" s="7" customFormat="1" ht="13.15" customHeight="1" thickTop="1" thickBot="1">
      <c r="A97" s="139" t="s">
        <v>65</v>
      </c>
      <c r="B97" s="57" t="s">
        <v>47</v>
      </c>
      <c r="C97" s="455"/>
      <c r="D97" s="455">
        <v>11000</v>
      </c>
      <c r="E97" s="455"/>
      <c r="F97" s="61"/>
      <c r="G97" s="57"/>
      <c r="H97" s="659">
        <f>SUM(H91:H96)+SUM(D91:D98)</f>
        <v>49743.67</v>
      </c>
      <c r="I97" s="132"/>
      <c r="J97" s="459"/>
    </row>
    <row r="98" spans="1:13" s="7" customFormat="1" ht="13.15" customHeight="1" thickBot="1">
      <c r="A98" s="56"/>
      <c r="B98" s="57" t="s">
        <v>106</v>
      </c>
      <c r="C98" s="455"/>
      <c r="D98" s="455">
        <v>2500</v>
      </c>
      <c r="E98" s="455"/>
      <c r="F98" s="61"/>
      <c r="G98" s="474" t="s">
        <v>5</v>
      </c>
      <c r="H98" s="475">
        <f>H97+E89</f>
        <v>57035.96</v>
      </c>
      <c r="I98" s="659"/>
      <c r="J98" s="459"/>
    </row>
    <row r="99" spans="1:13" s="7" customFormat="1" ht="13.15" customHeight="1">
      <c r="B99" s="56"/>
      <c r="C99" s="57"/>
      <c r="D99" s="57"/>
      <c r="E99" s="455"/>
      <c r="F99" s="58"/>
      <c r="G99" s="57"/>
      <c r="H99" s="659"/>
      <c r="I99" s="659"/>
      <c r="J99" s="459"/>
    </row>
    <row r="100" spans="1:13" s="7" customFormat="1" ht="13.15" customHeight="1">
      <c r="B100" s="56"/>
      <c r="C100" s="57"/>
      <c r="D100" s="57"/>
      <c r="E100" s="455"/>
      <c r="F100" s="61"/>
      <c r="G100" s="57"/>
      <c r="H100" s="659"/>
      <c r="I100" s="659"/>
      <c r="J100" s="459"/>
    </row>
    <row r="101" spans="1:13" s="7" customFormat="1" ht="13.15" customHeight="1">
      <c r="B101" s="56"/>
      <c r="C101" s="57"/>
      <c r="D101" s="9"/>
      <c r="E101" s="455"/>
      <c r="F101" s="61"/>
      <c r="G101" s="474"/>
      <c r="H101" s="513"/>
      <c r="I101" s="659"/>
      <c r="J101" s="459"/>
    </row>
    <row r="102" spans="1:13" s="7" customFormat="1" ht="13.15" customHeight="1">
      <c r="B102" s="56"/>
      <c r="C102" s="57"/>
      <c r="D102" s="8"/>
      <c r="E102" s="455"/>
      <c r="F102" s="58"/>
      <c r="G102" s="57"/>
      <c r="H102" s="659"/>
      <c r="I102" s="659"/>
      <c r="J102" s="459"/>
    </row>
    <row r="103" spans="1:13" s="7" customFormat="1" ht="13.15" customHeight="1">
      <c r="B103" s="56"/>
      <c r="C103" s="57"/>
      <c r="D103" s="8"/>
      <c r="E103" s="9"/>
      <c r="F103" s="9"/>
      <c r="G103" s="9"/>
      <c r="H103" s="9"/>
      <c r="I103" s="659"/>
      <c r="J103" s="459"/>
    </row>
    <row r="104" spans="1:13" s="7" customFormat="1" ht="13.15" customHeight="1">
      <c r="A104" s="9"/>
      <c r="B104" s="10"/>
      <c r="C104" s="9"/>
      <c r="D104" s="8"/>
      <c r="E104" s="9"/>
      <c r="F104" s="9"/>
      <c r="G104" s="9"/>
      <c r="H104" s="9"/>
      <c r="I104" s="659"/>
      <c r="J104" s="459"/>
    </row>
    <row r="105" spans="1:13" s="7" customFormat="1" ht="13.15" customHeight="1">
      <c r="A105" s="9"/>
      <c r="B105" s="10"/>
      <c r="C105" s="8"/>
      <c r="D105" s="8"/>
      <c r="E105" s="9"/>
      <c r="F105" s="9"/>
      <c r="G105" s="9"/>
      <c r="H105" s="9"/>
      <c r="I105" s="659"/>
      <c r="J105" s="459"/>
    </row>
    <row r="106" spans="1:13" s="7" customFormat="1" ht="13.15" customHeight="1">
      <c r="A106" s="9"/>
      <c r="B106" s="10"/>
      <c r="C106" s="8"/>
      <c r="D106" s="8"/>
      <c r="E106" s="9"/>
      <c r="F106" s="9"/>
      <c r="G106" s="9"/>
      <c r="H106" s="9"/>
      <c r="I106" s="659"/>
      <c r="J106" s="459"/>
    </row>
    <row r="107" spans="1:13" s="7" customFormat="1" ht="13.15" customHeight="1">
      <c r="A107" s="9"/>
      <c r="B107" s="10"/>
      <c r="C107" s="8"/>
      <c r="D107" s="8"/>
      <c r="E107" s="9"/>
      <c r="F107" s="9"/>
      <c r="G107" s="9"/>
      <c r="H107" s="9"/>
      <c r="I107" s="659"/>
      <c r="J107" s="459"/>
    </row>
    <row r="108" spans="1:13" s="9" customFormat="1" ht="12">
      <c r="B108" s="10"/>
      <c r="C108" s="8"/>
      <c r="M108" s="10"/>
    </row>
    <row r="109" spans="1:13" s="9" customFormat="1" ht="12">
      <c r="B109" s="10"/>
      <c r="C109" s="8"/>
      <c r="M109" s="10"/>
    </row>
    <row r="110" spans="1:13" s="9" customFormat="1" ht="12">
      <c r="B110" s="10"/>
      <c r="C110" s="8"/>
      <c r="M110" s="10"/>
    </row>
    <row r="111" spans="1:13" s="9" customFormat="1" ht="12">
      <c r="B111" s="10"/>
      <c r="M111" s="10"/>
    </row>
    <row r="112" spans="1:13" s="9" customFormat="1" ht="12">
      <c r="B112" s="10"/>
      <c r="M112" s="10"/>
    </row>
    <row r="113" spans="1:13" s="9" customFormat="1" ht="12">
      <c r="B113" s="10"/>
      <c r="M113" s="10"/>
    </row>
    <row r="114" spans="1:13" s="9" customFormat="1">
      <c r="B114" s="10"/>
      <c r="D114" s="5"/>
      <c r="M114" s="10"/>
    </row>
    <row r="115" spans="1:13" s="9" customFormat="1">
      <c r="B115" s="10"/>
      <c r="D115" s="5"/>
      <c r="M115" s="10"/>
    </row>
    <row r="116" spans="1:13" s="9" customFormat="1">
      <c r="B116" s="10"/>
      <c r="D116" s="5"/>
      <c r="E116" s="5"/>
      <c r="F116" s="5"/>
      <c r="G116" s="5"/>
      <c r="H116" s="5"/>
      <c r="M116" s="10"/>
    </row>
    <row r="117" spans="1:13" s="9" customFormat="1">
      <c r="B117" s="12"/>
      <c r="C117" s="5"/>
      <c r="D117" s="5"/>
      <c r="E117" s="5"/>
      <c r="F117" s="5"/>
      <c r="G117" s="5"/>
      <c r="H117" s="5"/>
      <c r="M117" s="10"/>
    </row>
    <row r="118" spans="1:13" s="9" customFormat="1">
      <c r="B118" s="12"/>
      <c r="C118" s="5"/>
      <c r="D118" s="5"/>
      <c r="E118" s="5"/>
      <c r="F118" s="5"/>
      <c r="G118" s="5"/>
      <c r="H118" s="5"/>
      <c r="M118" s="10"/>
    </row>
    <row r="119" spans="1:13" s="9" customFormat="1">
      <c r="B119" s="12"/>
      <c r="C119" s="5"/>
      <c r="D119" s="5"/>
      <c r="E119" s="5"/>
      <c r="F119" s="5"/>
      <c r="G119" s="5"/>
      <c r="H119" s="5"/>
      <c r="M119" s="10"/>
    </row>
    <row r="120" spans="1:13" s="9" customFormat="1">
      <c r="B120" s="12"/>
      <c r="C120" s="5"/>
      <c r="D120" s="5"/>
      <c r="E120" s="5"/>
      <c r="F120" s="5"/>
      <c r="G120" s="5"/>
      <c r="H120" s="5"/>
      <c r="M120" s="10"/>
    </row>
    <row r="121" spans="1:13" s="9" customFormat="1">
      <c r="A121" s="5"/>
      <c r="B121" s="12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10"/>
    </row>
    <row r="122" spans="1:13" s="9" customFormat="1">
      <c r="A122" s="5"/>
      <c r="B122" s="12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10"/>
    </row>
    <row r="123" spans="1:13" s="9" customFormat="1">
      <c r="A123" s="5"/>
      <c r="B123" s="12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10"/>
    </row>
    <row r="124" spans="1:13" s="9" customFormat="1">
      <c r="A124" s="5"/>
      <c r="B124" s="12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10"/>
    </row>
  </sheetData>
  <mergeCells count="11">
    <mergeCell ref="C41:D41"/>
    <mergeCell ref="A1:H1"/>
    <mergeCell ref="C4:D4"/>
    <mergeCell ref="E5:F5"/>
    <mergeCell ref="C23:D23"/>
    <mergeCell ref="E24:F24"/>
    <mergeCell ref="E42:F42"/>
    <mergeCell ref="C77:D77"/>
    <mergeCell ref="E78:F78"/>
    <mergeCell ref="C59:D59"/>
    <mergeCell ref="E60:F60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topLeftCell="A55" workbookViewId="0">
      <selection activeCell="D83" sqref="D83"/>
    </sheetView>
  </sheetViews>
  <sheetFormatPr defaultColWidth="8.85546875" defaultRowHeight="12.75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>
      <c r="A1" s="1022" t="s">
        <v>725</v>
      </c>
      <c r="B1" s="1022"/>
      <c r="C1" s="1022"/>
      <c r="D1" s="1022"/>
      <c r="E1" s="1022"/>
      <c r="F1" s="1022"/>
      <c r="G1" s="1022"/>
      <c r="H1" s="1022"/>
      <c r="I1" s="487"/>
      <c r="J1" s="487"/>
      <c r="K1" s="487"/>
      <c r="L1" s="487"/>
      <c r="M1" s="487"/>
    </row>
    <row r="2" spans="1:13" s="437" customFormat="1" ht="6.75" customHeight="1">
      <c r="B2" s="438"/>
      <c r="C2" s="439"/>
      <c r="D2" s="439"/>
      <c r="E2" s="440"/>
      <c r="F2" s="440"/>
      <c r="G2" s="440"/>
      <c r="H2" s="440"/>
      <c r="I2" s="440"/>
      <c r="J2" s="440"/>
      <c r="K2" s="440"/>
      <c r="L2" s="440"/>
      <c r="M2" s="440"/>
    </row>
    <row r="3" spans="1:13" ht="19.5" customHeight="1">
      <c r="A3" s="660"/>
      <c r="B3" s="432" t="s">
        <v>348</v>
      </c>
      <c r="C3" s="717" t="s">
        <v>726</v>
      </c>
      <c r="D3" s="457"/>
      <c r="E3" s="32"/>
      <c r="F3" s="32"/>
      <c r="G3" s="32"/>
      <c r="H3" s="32"/>
      <c r="I3" s="32"/>
      <c r="J3" s="32"/>
      <c r="K3" s="32"/>
      <c r="L3" s="32"/>
      <c r="M3" s="5"/>
    </row>
    <row r="4" spans="1:13" ht="19.5" customHeight="1">
      <c r="B4" s="432" t="s">
        <v>350</v>
      </c>
      <c r="C4" s="1018">
        <v>41766</v>
      </c>
      <c r="D4" s="1020"/>
      <c r="E4" s="32"/>
      <c r="F4" s="32"/>
      <c r="G4" s="32"/>
      <c r="H4" s="32"/>
      <c r="I4" s="32"/>
      <c r="J4" s="32"/>
      <c r="K4" s="32"/>
      <c r="L4" s="32"/>
      <c r="M4" s="5"/>
    </row>
    <row r="5" spans="1:13" ht="4.5" customHeight="1">
      <c r="B5" s="2"/>
      <c r="C5" s="76"/>
      <c r="D5" s="76"/>
      <c r="E5" s="1019"/>
      <c r="F5" s="1021"/>
      <c r="G5" s="3"/>
      <c r="H5" s="4"/>
      <c r="I5" s="4"/>
      <c r="J5" s="4"/>
      <c r="K5" s="4"/>
      <c r="L5" s="13"/>
      <c r="M5" s="4"/>
    </row>
    <row r="6" spans="1:13" s="6" customFormat="1" ht="13.5" thickBot="1">
      <c r="B6" s="433" t="s">
        <v>349</v>
      </c>
      <c r="C6" s="435" t="s">
        <v>1</v>
      </c>
      <c r="D6" s="435"/>
      <c r="E6" s="436" t="s">
        <v>2</v>
      </c>
      <c r="G6" s="433"/>
      <c r="H6" s="433"/>
      <c r="I6" s="318"/>
      <c r="J6" s="318"/>
    </row>
    <row r="7" spans="1:13">
      <c r="B7" s="125" t="s">
        <v>391</v>
      </c>
      <c r="C7" s="75" t="s">
        <v>44</v>
      </c>
      <c r="D7" s="470"/>
      <c r="E7" s="446">
        <v>1353.85</v>
      </c>
      <c r="G7" s="661"/>
      <c r="H7" s="662"/>
      <c r="I7" s="4"/>
      <c r="J7" s="4"/>
      <c r="M7" s="5"/>
    </row>
    <row r="8" spans="1:13">
      <c r="B8" s="563" t="s">
        <v>477</v>
      </c>
      <c r="C8" s="434" t="s">
        <v>351</v>
      </c>
      <c r="D8" s="470"/>
      <c r="E8" s="446">
        <v>752.24</v>
      </c>
      <c r="G8" s="661"/>
      <c r="H8" s="662"/>
      <c r="I8" s="4"/>
      <c r="J8" s="4"/>
      <c r="M8" s="5"/>
    </row>
    <row r="9" spans="1:13">
      <c r="B9" s="563" t="s">
        <v>3</v>
      </c>
      <c r="C9" s="434" t="s">
        <v>42</v>
      </c>
      <c r="D9" s="470"/>
      <c r="E9" s="446">
        <v>837.04</v>
      </c>
      <c r="G9" s="661"/>
      <c r="H9" s="662"/>
      <c r="I9" s="4"/>
      <c r="J9" s="4"/>
      <c r="M9" s="5"/>
    </row>
    <row r="10" spans="1:13">
      <c r="B10" s="47" t="s">
        <v>4</v>
      </c>
      <c r="C10" s="75" t="s">
        <v>40</v>
      </c>
      <c r="D10" s="471"/>
      <c r="E10" s="447">
        <v>777.53</v>
      </c>
      <c r="G10" s="661"/>
      <c r="H10" s="662"/>
      <c r="I10" s="4"/>
      <c r="J10" s="4"/>
      <c r="M10" s="5"/>
    </row>
    <row r="11" spans="1:13">
      <c r="B11" s="47" t="s">
        <v>393</v>
      </c>
      <c r="C11" s="75" t="s">
        <v>392</v>
      </c>
      <c r="D11" s="471"/>
      <c r="E11" s="447">
        <v>792</v>
      </c>
      <c r="G11" s="661"/>
      <c r="H11" s="662"/>
      <c r="I11" s="4"/>
      <c r="J11" s="4"/>
      <c r="M11" s="5"/>
    </row>
    <row r="12" spans="1:13">
      <c r="B12" s="47" t="s">
        <v>365</v>
      </c>
      <c r="C12" s="75" t="s">
        <v>366</v>
      </c>
      <c r="D12" s="876"/>
      <c r="E12" s="447">
        <v>1188</v>
      </c>
      <c r="F12" s="301"/>
      <c r="G12" s="661"/>
      <c r="H12" s="662"/>
      <c r="I12" s="4"/>
      <c r="J12" s="4"/>
      <c r="M12" s="5"/>
    </row>
    <row r="13" spans="1:13" ht="13.5" thickBot="1">
      <c r="B13" s="443" t="s">
        <v>29</v>
      </c>
      <c r="C13" s="542" t="s">
        <v>41</v>
      </c>
      <c r="D13" s="473"/>
      <c r="E13" s="448">
        <v>1191.6300000000001</v>
      </c>
      <c r="F13" s="301"/>
      <c r="G13" s="661"/>
      <c r="H13" s="662"/>
      <c r="I13" s="4"/>
      <c r="J13" s="4"/>
      <c r="M13" s="5"/>
    </row>
    <row r="14" spans="1:13" s="4" customFormat="1" ht="13.5" thickBot="1">
      <c r="B14" s="302"/>
      <c r="C14" s="441"/>
      <c r="D14" s="441"/>
      <c r="E14" s="449">
        <f>SUM(E7:E13)</f>
        <v>6892.29</v>
      </c>
      <c r="F14" s="442"/>
      <c r="H14" s="662"/>
    </row>
    <row r="15" spans="1:13">
      <c r="B15" s="567" t="s">
        <v>477</v>
      </c>
      <c r="C15" s="195" t="s">
        <v>285</v>
      </c>
      <c r="D15" s="195"/>
      <c r="E15" s="450">
        <v>500</v>
      </c>
      <c r="G15" s="4"/>
      <c r="H15" s="662"/>
      <c r="I15" s="4"/>
      <c r="J15" s="4"/>
      <c r="M15" s="5"/>
    </row>
    <row r="16" spans="1:13">
      <c r="B16" s="82" t="s">
        <v>11</v>
      </c>
      <c r="C16" s="138" t="s">
        <v>25</v>
      </c>
      <c r="D16" s="138"/>
      <c r="E16" s="454">
        <v>950</v>
      </c>
      <c r="G16" s="4"/>
      <c r="H16" s="662"/>
      <c r="I16" s="4"/>
      <c r="J16" s="4"/>
      <c r="M16" s="5"/>
    </row>
    <row r="17" spans="1:13" ht="13.5" thickBot="1">
      <c r="B17" s="126" t="s">
        <v>58</v>
      </c>
      <c r="C17" s="444" t="s">
        <v>59</v>
      </c>
      <c r="D17" s="444"/>
      <c r="E17" s="452">
        <v>952.5</v>
      </c>
      <c r="G17" s="4"/>
      <c r="H17" s="662"/>
      <c r="I17" s="4"/>
      <c r="J17" s="4"/>
      <c r="M17" s="5"/>
    </row>
    <row r="18" spans="1:13" ht="13.5" thickBot="1">
      <c r="B18" s="11"/>
      <c r="C18" s="445" t="s">
        <v>0</v>
      </c>
      <c r="D18" s="445"/>
      <c r="E18" s="453">
        <f>SUM(E14:E17)</f>
        <v>9294.7900000000009</v>
      </c>
      <c r="G18" s="663"/>
      <c r="H18" s="662"/>
      <c r="I18" s="4"/>
      <c r="J18" s="4"/>
      <c r="M18" s="5"/>
    </row>
    <row r="19" spans="1:13" ht="12.75" customHeight="1">
      <c r="B19" s="11"/>
      <c r="C19" s="28"/>
      <c r="D19" s="28"/>
      <c r="E19" s="32"/>
      <c r="F19" s="32"/>
      <c r="G19" s="32"/>
      <c r="H19" s="32"/>
      <c r="I19" s="32"/>
      <c r="J19" s="32"/>
      <c r="K19" s="32"/>
      <c r="L19" s="32"/>
      <c r="M19" s="32"/>
    </row>
    <row r="20" spans="1:13" s="437" customFormat="1" ht="6.75" customHeight="1">
      <c r="B20" s="438"/>
      <c r="C20" s="439"/>
      <c r="D20" s="439"/>
      <c r="E20" s="440"/>
      <c r="F20" s="440"/>
      <c r="G20" s="440"/>
      <c r="H20" s="440"/>
      <c r="I20" s="440"/>
      <c r="J20" s="440"/>
      <c r="K20" s="440"/>
      <c r="L20" s="440"/>
      <c r="M20" s="440"/>
    </row>
    <row r="21" spans="1:13" ht="19.5" customHeight="1">
      <c r="A21" s="660"/>
      <c r="B21" s="432" t="s">
        <v>348</v>
      </c>
      <c r="C21" s="717" t="s">
        <v>284</v>
      </c>
      <c r="D21" s="717"/>
      <c r="E21" s="32"/>
      <c r="F21" s="32"/>
      <c r="G21" s="32"/>
      <c r="H21" s="32"/>
      <c r="I21" s="32"/>
      <c r="J21" s="32"/>
      <c r="K21" s="32"/>
      <c r="L21" s="32"/>
      <c r="M21" s="5"/>
    </row>
    <row r="22" spans="1:13" ht="19.5" customHeight="1">
      <c r="B22" s="432" t="s">
        <v>350</v>
      </c>
      <c r="C22" s="1018">
        <v>41773</v>
      </c>
      <c r="D22" s="1020"/>
      <c r="E22" s="32"/>
      <c r="F22" s="32"/>
      <c r="G22" s="32"/>
      <c r="H22" s="32"/>
      <c r="I22" s="32"/>
      <c r="J22" s="32"/>
      <c r="K22" s="32"/>
      <c r="L22" s="32"/>
      <c r="M22" s="5"/>
    </row>
    <row r="23" spans="1:13" ht="4.5" customHeight="1">
      <c r="B23" s="2"/>
      <c r="C23" s="76"/>
      <c r="D23" s="76"/>
      <c r="E23" s="1019"/>
      <c r="F23" s="1021"/>
      <c r="G23" s="3"/>
      <c r="H23" s="4"/>
      <c r="I23" s="4"/>
      <c r="J23" s="4"/>
      <c r="K23" s="4"/>
      <c r="L23" s="13"/>
      <c r="M23" s="4"/>
    </row>
    <row r="24" spans="1:13" s="6" customFormat="1" ht="13.5" thickBot="1">
      <c r="B24" s="433" t="s">
        <v>349</v>
      </c>
      <c r="C24" s="435" t="s">
        <v>1</v>
      </c>
      <c r="D24" s="435"/>
      <c r="E24" s="436" t="s">
        <v>2</v>
      </c>
      <c r="G24" s="318"/>
      <c r="H24" s="318"/>
      <c r="I24" s="318"/>
      <c r="J24" s="318"/>
    </row>
    <row r="25" spans="1:13">
      <c r="B25" s="125" t="s">
        <v>391</v>
      </c>
      <c r="C25" s="195" t="s">
        <v>44</v>
      </c>
      <c r="D25" s="891"/>
      <c r="E25" s="889">
        <v>1353.8</v>
      </c>
      <c r="M25" s="5"/>
    </row>
    <row r="26" spans="1:13">
      <c r="B26" s="563" t="s">
        <v>477</v>
      </c>
      <c r="C26" s="434" t="s">
        <v>351</v>
      </c>
      <c r="D26" s="892"/>
      <c r="E26" s="889">
        <v>752.24</v>
      </c>
      <c r="M26" s="5"/>
    </row>
    <row r="27" spans="1:13">
      <c r="B27" s="563" t="s">
        <v>3</v>
      </c>
      <c r="C27" s="434" t="s">
        <v>42</v>
      </c>
      <c r="D27" s="892"/>
      <c r="E27" s="889">
        <v>837.04</v>
      </c>
      <c r="M27" s="5"/>
    </row>
    <row r="28" spans="1:13">
      <c r="B28" s="47" t="s">
        <v>4</v>
      </c>
      <c r="C28" s="75" t="s">
        <v>40</v>
      </c>
      <c r="D28" s="893"/>
      <c r="E28" s="890">
        <v>777.53</v>
      </c>
      <c r="M28" s="5"/>
    </row>
    <row r="29" spans="1:13">
      <c r="B29" s="47" t="s">
        <v>393</v>
      </c>
      <c r="C29" s="75" t="s">
        <v>392</v>
      </c>
      <c r="D29" s="893"/>
      <c r="E29" s="890">
        <v>792</v>
      </c>
      <c r="M29" s="5"/>
    </row>
    <row r="30" spans="1:13">
      <c r="B30" s="47" t="s">
        <v>365</v>
      </c>
      <c r="C30" s="75" t="s">
        <v>366</v>
      </c>
      <c r="D30" s="893"/>
      <c r="E30" s="890">
        <v>1188</v>
      </c>
      <c r="F30" s="301"/>
      <c r="M30" s="5"/>
    </row>
    <row r="31" spans="1:13" ht="13.5" thickBot="1">
      <c r="B31" s="443" t="s">
        <v>29</v>
      </c>
      <c r="C31" s="542" t="s">
        <v>41</v>
      </c>
      <c r="D31" s="894"/>
      <c r="E31" s="452">
        <v>1191.6199999999999</v>
      </c>
      <c r="F31" s="301"/>
      <c r="M31" s="5"/>
    </row>
    <row r="32" spans="1:13" s="4" customFormat="1" ht="13.5" thickBot="1">
      <c r="B32" s="302"/>
      <c r="C32" s="441"/>
      <c r="D32" s="441"/>
      <c r="E32" s="449">
        <f>SUM(E25:E31)</f>
        <v>6892.23</v>
      </c>
      <c r="F32" s="442"/>
    </row>
    <row r="33" spans="1:13">
      <c r="B33" s="567" t="s">
        <v>477</v>
      </c>
      <c r="C33" s="195" t="s">
        <v>285</v>
      </c>
      <c r="D33" s="195"/>
      <c r="E33" s="450">
        <v>500</v>
      </c>
      <c r="M33" s="5"/>
    </row>
    <row r="34" spans="1:13">
      <c r="B34" s="82" t="s">
        <v>11</v>
      </c>
      <c r="C34" s="138" t="s">
        <v>25</v>
      </c>
      <c r="D34" s="138"/>
      <c r="E34" s="454">
        <v>950</v>
      </c>
      <c r="M34" s="5"/>
    </row>
    <row r="35" spans="1:13" ht="13.5" thickBot="1">
      <c r="B35" s="126" t="s">
        <v>58</v>
      </c>
      <c r="C35" s="444" t="s">
        <v>59</v>
      </c>
      <c r="D35" s="444"/>
      <c r="E35" s="452">
        <v>952.5</v>
      </c>
      <c r="M35" s="5"/>
    </row>
    <row r="36" spans="1:13" ht="13.5" thickBot="1">
      <c r="B36" s="11"/>
      <c r="C36" s="445" t="s">
        <v>0</v>
      </c>
      <c r="D36" s="445"/>
      <c r="E36" s="453">
        <f>SUM(E32:E35)</f>
        <v>9294.73</v>
      </c>
      <c r="M36" s="5"/>
    </row>
    <row r="37" spans="1:13">
      <c r="B37" s="11"/>
      <c r="C37" s="445"/>
      <c r="D37" s="445"/>
      <c r="E37" s="623"/>
      <c r="M37" s="5"/>
    </row>
    <row r="38" spans="1:13" s="437" customFormat="1" ht="6.75" customHeight="1">
      <c r="B38" s="438"/>
      <c r="C38" s="439"/>
      <c r="D38" s="439"/>
      <c r="E38" s="440"/>
      <c r="F38" s="440"/>
      <c r="G38" s="440"/>
      <c r="H38" s="440"/>
      <c r="I38" s="440"/>
      <c r="J38" s="440"/>
      <c r="K38" s="440"/>
      <c r="L38" s="440"/>
      <c r="M38" s="440"/>
    </row>
    <row r="39" spans="1:13" ht="19.5" customHeight="1">
      <c r="A39" s="660"/>
      <c r="B39" s="432" t="s">
        <v>348</v>
      </c>
      <c r="C39" s="717" t="s">
        <v>260</v>
      </c>
      <c r="D39" s="457"/>
      <c r="E39" s="32"/>
      <c r="F39" s="32"/>
      <c r="G39" s="32"/>
      <c r="H39" s="32"/>
      <c r="I39" s="32"/>
      <c r="J39" s="32"/>
      <c r="K39" s="32"/>
      <c r="L39" s="32"/>
      <c r="M39" s="5"/>
    </row>
    <row r="40" spans="1:13" ht="19.5" customHeight="1">
      <c r="B40" s="432" t="s">
        <v>350</v>
      </c>
      <c r="C40" s="1018">
        <v>41780</v>
      </c>
      <c r="D40" s="1018"/>
      <c r="E40" s="32"/>
      <c r="F40" s="32"/>
      <c r="G40" s="32"/>
      <c r="H40" s="32"/>
      <c r="I40" s="32"/>
      <c r="J40" s="32"/>
      <c r="K40" s="32"/>
      <c r="L40" s="32"/>
      <c r="M40" s="5"/>
    </row>
    <row r="41" spans="1:13" ht="4.5" customHeight="1">
      <c r="B41" s="2"/>
      <c r="C41" s="76"/>
      <c r="D41" s="76"/>
      <c r="E41" s="1019"/>
      <c r="F41" s="1019"/>
      <c r="G41" s="3"/>
      <c r="H41" s="4"/>
      <c r="I41" s="4"/>
      <c r="J41" s="4"/>
      <c r="K41" s="4"/>
      <c r="L41" s="13"/>
      <c r="M41" s="4"/>
    </row>
    <row r="42" spans="1:13" s="6" customFormat="1" ht="13.5" thickBot="1">
      <c r="B42" s="433" t="s">
        <v>349</v>
      </c>
      <c r="C42" s="435" t="s">
        <v>1</v>
      </c>
      <c r="D42" s="435"/>
      <c r="E42" s="436" t="s">
        <v>2</v>
      </c>
    </row>
    <row r="43" spans="1:13">
      <c r="B43" s="125" t="s">
        <v>391</v>
      </c>
      <c r="C43" s="195" t="s">
        <v>44</v>
      </c>
      <c r="D43" s="891"/>
      <c r="E43" s="889">
        <v>1353.83</v>
      </c>
      <c r="M43" s="5"/>
    </row>
    <row r="44" spans="1:13">
      <c r="B44" s="563" t="s">
        <v>477</v>
      </c>
      <c r="C44" s="434" t="s">
        <v>351</v>
      </c>
      <c r="D44" s="892"/>
      <c r="E44" s="889">
        <v>752.24</v>
      </c>
      <c r="M44" s="5"/>
    </row>
    <row r="45" spans="1:13">
      <c r="B45" s="563" t="s">
        <v>3</v>
      </c>
      <c r="C45" s="434" t="s">
        <v>42</v>
      </c>
      <c r="D45" s="892"/>
      <c r="E45" s="889">
        <v>837.04</v>
      </c>
      <c r="M45" s="5"/>
    </row>
    <row r="46" spans="1:13">
      <c r="B46" s="47" t="s">
        <v>4</v>
      </c>
      <c r="C46" s="75" t="s">
        <v>40</v>
      </c>
      <c r="D46" s="893"/>
      <c r="E46" s="890">
        <v>1025.03</v>
      </c>
      <c r="F46" s="900"/>
      <c r="M46" s="5"/>
    </row>
    <row r="47" spans="1:13">
      <c r="B47" s="47" t="s">
        <v>393</v>
      </c>
      <c r="C47" s="75" t="s">
        <v>392</v>
      </c>
      <c r="D47" s="893"/>
      <c r="E47" s="890">
        <v>792</v>
      </c>
      <c r="M47" s="5"/>
    </row>
    <row r="48" spans="1:13">
      <c r="B48" s="47" t="s">
        <v>365</v>
      </c>
      <c r="C48" s="75" t="s">
        <v>366</v>
      </c>
      <c r="D48" s="893"/>
      <c r="E48" s="890">
        <v>1188</v>
      </c>
      <c r="F48" s="301"/>
      <c r="M48" s="5"/>
    </row>
    <row r="49" spans="1:13" ht="13.5" thickBot="1">
      <c r="B49" s="443" t="s">
        <v>29</v>
      </c>
      <c r="C49" s="542" t="s">
        <v>41</v>
      </c>
      <c r="D49" s="894"/>
      <c r="E49" s="452">
        <v>1191.6199999999999</v>
      </c>
      <c r="F49" s="301"/>
      <c r="M49" s="5"/>
    </row>
    <row r="50" spans="1:13" s="4" customFormat="1" ht="13.5" thickBot="1">
      <c r="B50" s="302"/>
      <c r="C50" s="441"/>
      <c r="D50" s="441"/>
      <c r="E50" s="449">
        <f>SUM(E43:E49)</f>
        <v>7139.7599999999993</v>
      </c>
      <c r="F50" s="442"/>
    </row>
    <row r="51" spans="1:13">
      <c r="B51" s="567" t="s">
        <v>477</v>
      </c>
      <c r="C51" s="195" t="s">
        <v>285</v>
      </c>
      <c r="D51" s="195"/>
      <c r="E51" s="450">
        <v>500</v>
      </c>
      <c r="M51" s="5"/>
    </row>
    <row r="52" spans="1:13">
      <c r="B52" s="82" t="s">
        <v>11</v>
      </c>
      <c r="C52" s="138" t="s">
        <v>25</v>
      </c>
      <c r="D52" s="138"/>
      <c r="E52" s="454">
        <v>950</v>
      </c>
      <c r="M52" s="5"/>
    </row>
    <row r="53" spans="1:13" ht="13.5" thickBot="1">
      <c r="B53" s="126" t="s">
        <v>58</v>
      </c>
      <c r="C53" s="444" t="s">
        <v>59</v>
      </c>
      <c r="D53" s="444"/>
      <c r="E53" s="452">
        <v>952.5</v>
      </c>
      <c r="M53" s="5"/>
    </row>
    <row r="54" spans="1:13" ht="13.5" thickBot="1">
      <c r="B54" s="11"/>
      <c r="C54" s="445" t="s">
        <v>0</v>
      </c>
      <c r="D54" s="445"/>
      <c r="E54" s="453">
        <f>SUM(E50:E53)</f>
        <v>9542.2599999999984</v>
      </c>
      <c r="M54" s="5"/>
    </row>
    <row r="55" spans="1:13" ht="12.75" customHeight="1">
      <c r="B55" s="11"/>
      <c r="C55" s="28"/>
      <c r="D55" s="28"/>
      <c r="E55" s="32"/>
      <c r="F55" s="32"/>
      <c r="G55" s="32"/>
      <c r="H55" s="32"/>
      <c r="I55" s="32"/>
      <c r="J55" s="32"/>
      <c r="K55" s="32"/>
      <c r="L55" s="32"/>
      <c r="M55" s="32"/>
    </row>
    <row r="56" spans="1:13" s="437" customFormat="1" ht="6.75" customHeight="1">
      <c r="B56" s="438"/>
      <c r="C56" s="439"/>
      <c r="D56" s="439"/>
      <c r="E56" s="440"/>
      <c r="F56" s="440"/>
      <c r="G56" s="440"/>
      <c r="H56" s="440"/>
      <c r="I56" s="440"/>
      <c r="J56" s="440"/>
      <c r="K56" s="440"/>
      <c r="L56" s="440"/>
      <c r="M56" s="440"/>
    </row>
    <row r="57" spans="1:13" ht="19.5" customHeight="1">
      <c r="A57" s="660"/>
      <c r="B57" s="432" t="s">
        <v>348</v>
      </c>
      <c r="C57" s="717" t="s">
        <v>263</v>
      </c>
      <c r="D57" s="457"/>
      <c r="E57" s="32"/>
      <c r="F57" s="32"/>
      <c r="G57" s="32"/>
      <c r="H57" s="32"/>
      <c r="I57" s="32"/>
      <c r="J57" s="32"/>
      <c r="K57" s="32"/>
      <c r="L57" s="32"/>
      <c r="M57" s="5"/>
    </row>
    <row r="58" spans="1:13" ht="19.5" customHeight="1">
      <c r="B58" s="432" t="s">
        <v>350</v>
      </c>
      <c r="C58" s="1018">
        <v>41787</v>
      </c>
      <c r="D58" s="1018"/>
      <c r="E58" s="32"/>
      <c r="F58" s="32"/>
      <c r="G58" s="32"/>
      <c r="H58" s="32"/>
      <c r="I58" s="32"/>
      <c r="J58" s="32"/>
      <c r="K58" s="32"/>
      <c r="L58" s="32"/>
      <c r="M58" s="5"/>
    </row>
    <row r="59" spans="1:13" ht="4.5" customHeight="1">
      <c r="B59" s="2"/>
      <c r="C59" s="76"/>
      <c r="D59" s="76"/>
      <c r="E59" s="1019"/>
      <c r="F59" s="1019"/>
      <c r="G59" s="3"/>
      <c r="H59" s="4"/>
      <c r="I59" s="4"/>
      <c r="J59" s="4"/>
      <c r="K59" s="4"/>
      <c r="L59" s="13"/>
      <c r="M59" s="4"/>
    </row>
    <row r="60" spans="1:13" s="6" customFormat="1" ht="13.5" thickBot="1">
      <c r="B60" s="433" t="s">
        <v>349</v>
      </c>
      <c r="C60" s="435" t="s">
        <v>1</v>
      </c>
      <c r="D60" s="435"/>
      <c r="E60" s="436" t="s">
        <v>2</v>
      </c>
    </row>
    <row r="61" spans="1:13">
      <c r="B61" s="125" t="s">
        <v>391</v>
      </c>
      <c r="C61" s="195" t="s">
        <v>44</v>
      </c>
      <c r="D61" s="891"/>
      <c r="E61" s="889">
        <v>1353.83</v>
      </c>
      <c r="M61" s="5"/>
    </row>
    <row r="62" spans="1:13">
      <c r="B62" s="563" t="s">
        <v>477</v>
      </c>
      <c r="C62" s="434" t="s">
        <v>351</v>
      </c>
      <c r="D62" s="892"/>
      <c r="E62" s="889">
        <v>752.24</v>
      </c>
      <c r="M62" s="5"/>
    </row>
    <row r="63" spans="1:13">
      <c r="B63" s="563" t="s">
        <v>3</v>
      </c>
      <c r="C63" s="434" t="s">
        <v>42</v>
      </c>
      <c r="D63" s="892"/>
      <c r="E63" s="889">
        <v>837.04</v>
      </c>
      <c r="M63" s="5"/>
    </row>
    <row r="64" spans="1:13">
      <c r="B64" s="47" t="s">
        <v>4</v>
      </c>
      <c r="C64" s="75" t="s">
        <v>40</v>
      </c>
      <c r="D64" s="893"/>
      <c r="E64" s="890">
        <v>927.03</v>
      </c>
      <c r="M64" s="5"/>
    </row>
    <row r="65" spans="1:13">
      <c r="B65" s="47" t="s">
        <v>393</v>
      </c>
      <c r="C65" s="75" t="s">
        <v>392</v>
      </c>
      <c r="D65" s="893"/>
      <c r="E65" s="890">
        <v>792</v>
      </c>
      <c r="M65" s="5"/>
    </row>
    <row r="66" spans="1:13">
      <c r="B66" s="47" t="s">
        <v>365</v>
      </c>
      <c r="C66" s="75" t="s">
        <v>366</v>
      </c>
      <c r="D66" s="893"/>
      <c r="E66" s="890">
        <v>1188</v>
      </c>
      <c r="F66" s="301"/>
      <c r="M66" s="5"/>
    </row>
    <row r="67" spans="1:13" ht="13.5" thickBot="1">
      <c r="B67" s="443" t="s">
        <v>29</v>
      </c>
      <c r="C67" s="542" t="s">
        <v>41</v>
      </c>
      <c r="D67" s="894"/>
      <c r="E67" s="452">
        <v>1191.6600000000001</v>
      </c>
      <c r="F67" s="301"/>
      <c r="M67" s="5"/>
    </row>
    <row r="68" spans="1:13" s="4" customFormat="1" ht="13.5" thickBot="1">
      <c r="B68" s="302"/>
      <c r="C68" s="441"/>
      <c r="D68" s="441"/>
      <c r="E68" s="449">
        <f>SUM(E61:E67)</f>
        <v>7041.7999999999993</v>
      </c>
      <c r="F68" s="442"/>
    </row>
    <row r="69" spans="1:13">
      <c r="B69" s="567" t="s">
        <v>477</v>
      </c>
      <c r="C69" s="195" t="s">
        <v>285</v>
      </c>
      <c r="D69" s="195"/>
      <c r="E69" s="450">
        <v>500</v>
      </c>
      <c r="M69" s="5"/>
    </row>
    <row r="70" spans="1:13">
      <c r="B70" s="82" t="s">
        <v>11</v>
      </c>
      <c r="C70" s="138" t="s">
        <v>25</v>
      </c>
      <c r="D70" s="138"/>
      <c r="E70" s="454">
        <v>950</v>
      </c>
      <c r="M70" s="5"/>
    </row>
    <row r="71" spans="1:13" ht="13.5" thickBot="1">
      <c r="B71" s="126" t="s">
        <v>58</v>
      </c>
      <c r="C71" s="444" t="s">
        <v>59</v>
      </c>
      <c r="D71" s="444"/>
      <c r="E71" s="452">
        <v>952.5</v>
      </c>
      <c r="M71" s="5"/>
    </row>
    <row r="72" spans="1:13" ht="13.5" thickBot="1">
      <c r="B72" s="11"/>
      <c r="C72" s="445" t="s">
        <v>0</v>
      </c>
      <c r="D72" s="445"/>
      <c r="E72" s="453">
        <f>SUM(E68:E71)</f>
        <v>9444.2999999999993</v>
      </c>
      <c r="M72" s="5"/>
    </row>
    <row r="73" spans="1:13" ht="12.75" customHeight="1">
      <c r="B73" s="11"/>
      <c r="C73" s="28"/>
      <c r="D73" s="28"/>
      <c r="E73" s="32"/>
      <c r="F73" s="32"/>
      <c r="G73" s="32"/>
      <c r="H73" s="32"/>
      <c r="I73" s="32"/>
      <c r="J73" s="32"/>
      <c r="K73" s="32"/>
      <c r="L73" s="32"/>
      <c r="M73" s="32"/>
    </row>
    <row r="74" spans="1:13" s="7" customFormat="1" ht="13.15" customHeight="1">
      <c r="A74" s="56" t="s">
        <v>30</v>
      </c>
      <c r="B74" s="57" t="s">
        <v>31</v>
      </c>
      <c r="C74" s="57"/>
      <c r="D74" s="455">
        <f>Nikki!E1234</f>
        <v>8483.35</v>
      </c>
      <c r="E74" s="455"/>
      <c r="F74" s="56" t="s">
        <v>38</v>
      </c>
      <c r="G74" s="57" t="s">
        <v>39</v>
      </c>
      <c r="H74" s="455">
        <v>1200</v>
      </c>
      <c r="I74" s="455"/>
      <c r="J74" s="458"/>
      <c r="K74" s="458"/>
      <c r="L74" s="458"/>
      <c r="M74" s="458"/>
    </row>
    <row r="75" spans="1:13" s="7" customFormat="1" ht="13.15" customHeight="1">
      <c r="A75" s="56" t="s">
        <v>32</v>
      </c>
      <c r="B75" s="57" t="s">
        <v>131</v>
      </c>
      <c r="C75" s="57"/>
      <c r="D75" s="455">
        <f>Nikki!E1235</f>
        <v>2029.48</v>
      </c>
      <c r="E75" s="455"/>
      <c r="F75" s="56" t="s">
        <v>38</v>
      </c>
      <c r="G75" s="57" t="s">
        <v>107</v>
      </c>
      <c r="H75" s="455">
        <f>120000*15%/12</f>
        <v>1500</v>
      </c>
      <c r="I75" s="458"/>
      <c r="J75" s="458"/>
      <c r="K75" s="458"/>
      <c r="L75" s="458"/>
      <c r="M75" s="458"/>
    </row>
    <row r="76" spans="1:13" s="7" customFormat="1" ht="13.15" customHeight="1">
      <c r="A76" s="56" t="s">
        <v>33</v>
      </c>
      <c r="B76" s="57" t="s">
        <v>34</v>
      </c>
      <c r="C76" s="57"/>
      <c r="D76" s="455">
        <v>311.83999999999997</v>
      </c>
      <c r="E76" s="455"/>
      <c r="F76" s="56" t="s">
        <v>45</v>
      </c>
      <c r="G76" s="57" t="s">
        <v>39</v>
      </c>
      <c r="H76" s="455">
        <v>1800</v>
      </c>
      <c r="I76" s="458"/>
      <c r="J76" s="458"/>
      <c r="K76" s="458"/>
      <c r="L76" s="458"/>
      <c r="M76" s="458"/>
    </row>
    <row r="77" spans="1:13" s="7" customFormat="1" ht="13.15" customHeight="1">
      <c r="A77" s="56" t="s">
        <v>736</v>
      </c>
      <c r="B77" s="57" t="s">
        <v>737</v>
      </c>
      <c r="C77" s="57"/>
      <c r="D77" s="455">
        <v>764.27</v>
      </c>
      <c r="E77" s="455"/>
      <c r="F77" s="56" t="s">
        <v>32</v>
      </c>
      <c r="G77" s="57" t="s">
        <v>108</v>
      </c>
      <c r="H77" s="455">
        <v>1014</v>
      </c>
      <c r="I77" s="458"/>
      <c r="J77" s="458"/>
      <c r="K77" s="458"/>
      <c r="L77" s="458"/>
      <c r="M77" s="458"/>
    </row>
    <row r="78" spans="1:13" s="7" customFormat="1" ht="13.15" customHeight="1">
      <c r="A78" s="56" t="s">
        <v>736</v>
      </c>
      <c r="B78" s="57" t="s">
        <v>738</v>
      </c>
      <c r="C78" s="57"/>
      <c r="D78" s="455">
        <v>472.63</v>
      </c>
      <c r="E78" s="455"/>
      <c r="F78" s="56" t="s">
        <v>230</v>
      </c>
      <c r="G78" s="57" t="s">
        <v>232</v>
      </c>
      <c r="H78" s="455">
        <v>500</v>
      </c>
      <c r="I78" s="458"/>
      <c r="J78" s="458"/>
      <c r="K78" s="458"/>
      <c r="L78" s="458"/>
      <c r="M78" s="458"/>
    </row>
    <row r="79" spans="1:13" s="7" customFormat="1" ht="13.15" customHeight="1">
      <c r="A79" s="56" t="s">
        <v>736</v>
      </c>
      <c r="B79" s="57" t="s">
        <v>739</v>
      </c>
      <c r="C79" s="57"/>
      <c r="D79" s="455">
        <v>86.94</v>
      </c>
      <c r="E79" s="455"/>
      <c r="F79" s="56" t="s">
        <v>231</v>
      </c>
      <c r="G79" s="57" t="s">
        <v>233</v>
      </c>
      <c r="H79" s="455">
        <v>500</v>
      </c>
      <c r="I79" s="458"/>
      <c r="J79" s="458"/>
      <c r="K79" s="458"/>
      <c r="L79" s="458"/>
      <c r="M79" s="458"/>
    </row>
    <row r="80" spans="1:13" s="7" customFormat="1" ht="13.15" customHeight="1">
      <c r="A80" s="56" t="s">
        <v>36</v>
      </c>
      <c r="B80" s="57" t="s">
        <v>37</v>
      </c>
      <c r="C80" s="455"/>
      <c r="D80" s="455">
        <v>8000</v>
      </c>
      <c r="E80" s="908"/>
      <c r="F80" s="56" t="s">
        <v>33</v>
      </c>
      <c r="G80" s="57" t="s">
        <v>46</v>
      </c>
      <c r="H80" s="455">
        <v>11000</v>
      </c>
      <c r="I80" s="455"/>
      <c r="J80" s="459"/>
    </row>
    <row r="81" spans="1:13" s="7" customFormat="1" ht="13.15" customHeight="1">
      <c r="A81" s="56" t="s">
        <v>35</v>
      </c>
      <c r="B81" s="57" t="s">
        <v>186</v>
      </c>
      <c r="C81" s="455"/>
      <c r="D81" s="455">
        <v>1000</v>
      </c>
      <c r="E81" s="455"/>
      <c r="F81" s="139" t="s">
        <v>65</v>
      </c>
      <c r="G81" s="57" t="s">
        <v>47</v>
      </c>
      <c r="H81" s="455">
        <v>11000</v>
      </c>
      <c r="I81" s="455"/>
      <c r="J81" s="459"/>
    </row>
    <row r="82" spans="1:13" s="7" customFormat="1" ht="13.15" customHeight="1" thickBot="1">
      <c r="A82" s="56"/>
      <c r="B82" s="57" t="s">
        <v>106</v>
      </c>
      <c r="C82" s="455"/>
      <c r="D82" s="455">
        <v>5000</v>
      </c>
      <c r="E82" s="455"/>
      <c r="F82" s="56"/>
      <c r="G82" s="57"/>
      <c r="H82" s="456"/>
      <c r="I82" s="659"/>
      <c r="J82" s="459"/>
    </row>
    <row r="83" spans="1:13" s="7" customFormat="1" ht="13.15" customHeight="1" thickTop="1" thickBot="1">
      <c r="B83" s="56"/>
      <c r="C83" s="57"/>
      <c r="D83" s="57"/>
      <c r="E83" s="455"/>
      <c r="F83" s="61"/>
      <c r="G83" s="57"/>
      <c r="H83" s="659">
        <f>SUM(H74:H82)+SUM(D74:D82)</f>
        <v>54662.51</v>
      </c>
      <c r="I83" s="132"/>
      <c r="J83" s="459"/>
    </row>
    <row r="84" spans="1:13" s="7" customFormat="1" ht="13.15" customHeight="1" thickBot="1">
      <c r="B84" s="56"/>
      <c r="C84" s="57"/>
      <c r="D84" s="57"/>
      <c r="E84" s="455"/>
      <c r="F84" s="61"/>
      <c r="G84" s="474" t="s">
        <v>5</v>
      </c>
      <c r="H84" s="475">
        <f>H83+E72</f>
        <v>64106.81</v>
      </c>
      <c r="I84" s="659"/>
      <c r="J84" s="459"/>
    </row>
    <row r="85" spans="1:13" s="7" customFormat="1" ht="13.15" customHeight="1">
      <c r="B85" s="56"/>
      <c r="C85" s="57"/>
      <c r="D85" s="9"/>
      <c r="E85" s="455"/>
      <c r="F85" s="58"/>
      <c r="G85" s="57"/>
      <c r="H85" s="659"/>
      <c r="I85" s="659"/>
      <c r="J85" s="459"/>
    </row>
    <row r="86" spans="1:13" s="7" customFormat="1" ht="13.15" customHeight="1">
      <c r="B86" s="56"/>
      <c r="C86" s="57"/>
      <c r="D86" s="8"/>
      <c r="E86" s="455"/>
      <c r="F86" s="61"/>
      <c r="G86" s="57"/>
      <c r="H86" s="659"/>
      <c r="I86" s="659"/>
      <c r="J86" s="459"/>
    </row>
    <row r="87" spans="1:13" s="7" customFormat="1" ht="13.15" customHeight="1">
      <c r="B87" s="56"/>
      <c r="C87" s="57"/>
      <c r="D87" s="8"/>
      <c r="E87" s="455"/>
      <c r="F87" s="61"/>
      <c r="G87" s="474"/>
      <c r="H87" s="513"/>
      <c r="I87" s="659"/>
      <c r="J87" s="459"/>
    </row>
    <row r="88" spans="1:13" s="7" customFormat="1" ht="13.15" customHeight="1">
      <c r="A88" s="9"/>
      <c r="B88" s="10"/>
      <c r="C88" s="9"/>
      <c r="D88" s="8"/>
      <c r="E88" s="455"/>
      <c r="F88" s="58"/>
      <c r="G88" s="57"/>
      <c r="H88" s="659"/>
      <c r="I88" s="659"/>
      <c r="J88" s="459"/>
    </row>
    <row r="89" spans="1:13" s="7" customFormat="1" ht="13.15" customHeight="1">
      <c r="A89" s="9"/>
      <c r="B89" s="10"/>
      <c r="C89" s="8"/>
      <c r="D89" s="8"/>
      <c r="E89" s="9"/>
      <c r="F89" s="9"/>
      <c r="G89" s="9"/>
      <c r="H89" s="9"/>
      <c r="I89" s="659"/>
      <c r="J89" s="459"/>
    </row>
    <row r="90" spans="1:13" s="7" customFormat="1" ht="13.15" customHeight="1">
      <c r="A90" s="9"/>
      <c r="B90" s="10"/>
      <c r="C90" s="8"/>
      <c r="D90" s="8"/>
      <c r="E90" s="9"/>
      <c r="F90" s="9"/>
      <c r="G90" s="9"/>
      <c r="H90" s="9"/>
      <c r="I90" s="659"/>
      <c r="J90" s="459"/>
    </row>
    <row r="91" spans="1:13" s="7" customFormat="1" ht="13.15" customHeight="1">
      <c r="A91" s="9"/>
      <c r="B91" s="10"/>
      <c r="C91" s="8"/>
      <c r="D91" s="8"/>
      <c r="E91" s="9"/>
      <c r="F91" s="9"/>
      <c r="G91" s="9"/>
      <c r="H91" s="9"/>
      <c r="I91" s="659"/>
      <c r="J91" s="459"/>
    </row>
    <row r="92" spans="1:13" s="7" customFormat="1" ht="13.15" customHeight="1">
      <c r="A92" s="9"/>
      <c r="B92" s="10"/>
      <c r="C92" s="8"/>
      <c r="D92" s="9"/>
      <c r="E92" s="9"/>
      <c r="F92" s="9"/>
      <c r="G92" s="9"/>
      <c r="H92" s="9"/>
      <c r="I92" s="659"/>
      <c r="J92" s="459"/>
    </row>
    <row r="93" spans="1:13" s="7" customFormat="1" ht="13.15" customHeight="1">
      <c r="A93" s="9"/>
      <c r="B93" s="10"/>
      <c r="C93" s="8"/>
      <c r="D93" s="9"/>
      <c r="E93" s="9"/>
      <c r="F93" s="9"/>
      <c r="G93" s="9"/>
      <c r="H93" s="9"/>
      <c r="I93" s="659"/>
      <c r="J93" s="459"/>
    </row>
    <row r="94" spans="1:13" s="9" customFormat="1" ht="12">
      <c r="B94" s="10"/>
      <c r="C94" s="8"/>
      <c r="M94" s="10"/>
    </row>
    <row r="95" spans="1:13" s="9" customFormat="1" ht="12">
      <c r="B95" s="10"/>
      <c r="M95" s="10"/>
    </row>
    <row r="96" spans="1:13" s="9" customFormat="1" ht="12">
      <c r="B96" s="10"/>
      <c r="M96" s="10"/>
    </row>
    <row r="97" spans="1:13" s="9" customFormat="1" ht="12">
      <c r="B97" s="10"/>
      <c r="M97" s="10"/>
    </row>
    <row r="98" spans="1:13" s="9" customFormat="1">
      <c r="B98" s="10"/>
      <c r="D98" s="5"/>
      <c r="M98" s="10"/>
    </row>
    <row r="99" spans="1:13" s="9" customFormat="1">
      <c r="B99" s="10"/>
      <c r="D99" s="5"/>
      <c r="M99" s="10"/>
    </row>
    <row r="100" spans="1:13" s="9" customFormat="1">
      <c r="B100" s="10"/>
      <c r="D100" s="5"/>
      <c r="M100" s="10"/>
    </row>
    <row r="101" spans="1:13" s="9" customFormat="1">
      <c r="B101" s="12"/>
      <c r="C101" s="5"/>
      <c r="D101" s="5"/>
      <c r="M101" s="10"/>
    </row>
    <row r="102" spans="1:13" s="9" customFormat="1">
      <c r="B102" s="12"/>
      <c r="C102" s="5"/>
      <c r="D102" s="5"/>
      <c r="E102" s="5"/>
      <c r="F102" s="5"/>
      <c r="G102" s="5"/>
      <c r="H102" s="5"/>
      <c r="M102" s="10"/>
    </row>
    <row r="103" spans="1:13" s="9" customFormat="1">
      <c r="B103" s="12"/>
      <c r="C103" s="5"/>
      <c r="D103" s="5"/>
      <c r="E103" s="5"/>
      <c r="F103" s="5"/>
      <c r="G103" s="5"/>
      <c r="H103" s="5"/>
      <c r="M103" s="10"/>
    </row>
    <row r="104" spans="1:13" s="9" customFormat="1">
      <c r="B104" s="12"/>
      <c r="C104" s="5"/>
      <c r="D104" s="5"/>
      <c r="E104" s="5"/>
      <c r="F104" s="5"/>
      <c r="G104" s="5"/>
      <c r="H104" s="5"/>
      <c r="M104" s="10"/>
    </row>
    <row r="105" spans="1:13" s="9" customFormat="1">
      <c r="A105" s="5"/>
      <c r="B105" s="12"/>
      <c r="C105" s="5"/>
      <c r="D105" s="5"/>
      <c r="E105" s="5"/>
      <c r="F105" s="5"/>
      <c r="G105" s="5"/>
      <c r="H105" s="5"/>
      <c r="M105" s="10"/>
    </row>
    <row r="106" spans="1:13" s="9" customFormat="1">
      <c r="A106" s="5"/>
      <c r="B106" s="12"/>
      <c r="C106" s="5"/>
      <c r="D106" s="5"/>
      <c r="E106" s="5"/>
      <c r="F106" s="5"/>
      <c r="G106" s="5"/>
      <c r="H106" s="5"/>
      <c r="M106" s="10"/>
    </row>
    <row r="107" spans="1:13" s="9" customFormat="1">
      <c r="A107" s="5"/>
      <c r="B107" s="12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10"/>
    </row>
    <row r="108" spans="1:13" s="9" customFormat="1">
      <c r="A108" s="5"/>
      <c r="B108" s="12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10"/>
    </row>
    <row r="109" spans="1:13" s="9" customFormat="1">
      <c r="A109" s="5"/>
      <c r="B109" s="12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10"/>
    </row>
    <row r="110" spans="1:13" s="9" customFormat="1">
      <c r="A110" s="5"/>
      <c r="B110" s="12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10"/>
    </row>
  </sheetData>
  <mergeCells count="9">
    <mergeCell ref="E41:F41"/>
    <mergeCell ref="C58:D58"/>
    <mergeCell ref="E59:F59"/>
    <mergeCell ref="A1:H1"/>
    <mergeCell ref="C4:D4"/>
    <mergeCell ref="E5:F5"/>
    <mergeCell ref="C22:D22"/>
    <mergeCell ref="E23:F23"/>
    <mergeCell ref="C40:D40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topLeftCell="A61" workbookViewId="0">
      <selection activeCell="F67" sqref="F67"/>
    </sheetView>
  </sheetViews>
  <sheetFormatPr defaultColWidth="8.85546875" defaultRowHeight="12.75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>
      <c r="A1" s="1022" t="s">
        <v>735</v>
      </c>
      <c r="B1" s="1022"/>
      <c r="C1" s="1022"/>
      <c r="D1" s="1022"/>
      <c r="E1" s="1022"/>
      <c r="F1" s="1022"/>
      <c r="G1" s="1022"/>
      <c r="H1" s="1022"/>
      <c r="I1" s="487"/>
      <c r="J1" s="487"/>
      <c r="K1" s="487"/>
      <c r="L1" s="487"/>
      <c r="M1" s="487"/>
    </row>
    <row r="2" spans="1:13" s="437" customFormat="1" ht="6.75" customHeight="1">
      <c r="B2" s="438"/>
      <c r="C2" s="439"/>
      <c r="D2" s="439"/>
      <c r="E2" s="440"/>
      <c r="F2" s="440"/>
      <c r="G2" s="440"/>
      <c r="H2" s="440"/>
      <c r="I2" s="440"/>
      <c r="J2" s="440"/>
      <c r="K2" s="440"/>
      <c r="L2" s="440"/>
      <c r="M2" s="440"/>
    </row>
    <row r="3" spans="1:13" ht="19.5" customHeight="1">
      <c r="A3" s="660"/>
      <c r="B3" s="432" t="s">
        <v>348</v>
      </c>
      <c r="C3" s="717" t="s">
        <v>740</v>
      </c>
      <c r="D3" s="457"/>
      <c r="E3" s="32"/>
      <c r="F3" s="32"/>
      <c r="G3" s="32"/>
      <c r="H3" s="32"/>
      <c r="I3" s="32"/>
      <c r="J3" s="32"/>
      <c r="K3" s="32"/>
      <c r="L3" s="32"/>
      <c r="M3" s="5"/>
    </row>
    <row r="4" spans="1:13" ht="19.5" customHeight="1">
      <c r="B4" s="432" t="s">
        <v>350</v>
      </c>
      <c r="C4" s="1018">
        <v>41794</v>
      </c>
      <c r="D4" s="1020"/>
      <c r="E4" s="32"/>
      <c r="F4" s="32"/>
      <c r="G4" s="32"/>
      <c r="H4" s="32"/>
      <c r="I4" s="32"/>
      <c r="J4" s="32"/>
      <c r="K4" s="32"/>
      <c r="L4" s="32"/>
      <c r="M4" s="5"/>
    </row>
    <row r="5" spans="1:13" ht="4.5" customHeight="1">
      <c r="B5" s="2"/>
      <c r="C5" s="76"/>
      <c r="D5" s="76"/>
      <c r="E5" s="1019"/>
      <c r="F5" s="1021"/>
      <c r="G5" s="3"/>
      <c r="H5" s="4"/>
      <c r="I5" s="4"/>
      <c r="J5" s="4"/>
      <c r="K5" s="4"/>
      <c r="L5" s="13"/>
      <c r="M5" s="4"/>
    </row>
    <row r="6" spans="1:13" s="6" customFormat="1" ht="13.5" thickBot="1">
      <c r="B6" s="433" t="s">
        <v>349</v>
      </c>
      <c r="C6" s="435" t="s">
        <v>1</v>
      </c>
      <c r="D6" s="435"/>
      <c r="E6" s="436" t="s">
        <v>2</v>
      </c>
      <c r="G6" s="433"/>
      <c r="H6" s="433"/>
      <c r="I6" s="318"/>
      <c r="J6" s="318"/>
    </row>
    <row r="7" spans="1:13">
      <c r="B7" s="125" t="s">
        <v>391</v>
      </c>
      <c r="C7" s="75" t="s">
        <v>44</v>
      </c>
      <c r="D7" s="470"/>
      <c r="E7" s="446">
        <v>1353.85</v>
      </c>
      <c r="G7" s="661"/>
      <c r="H7" s="662"/>
      <c r="I7" s="4"/>
      <c r="J7" s="4"/>
      <c r="M7" s="5"/>
    </row>
    <row r="8" spans="1:13">
      <c r="B8" s="563" t="s">
        <v>477</v>
      </c>
      <c r="C8" s="434" t="s">
        <v>351</v>
      </c>
      <c r="D8" s="470"/>
      <c r="E8" s="446">
        <v>752.24</v>
      </c>
      <c r="G8" s="661"/>
      <c r="H8" s="662"/>
      <c r="I8" s="4"/>
      <c r="J8" s="4"/>
      <c r="M8" s="5"/>
    </row>
    <row r="9" spans="1:13">
      <c r="B9" s="563" t="s">
        <v>3</v>
      </c>
      <c r="C9" s="434" t="s">
        <v>42</v>
      </c>
      <c r="D9" s="470"/>
      <c r="E9" s="446">
        <v>837.04</v>
      </c>
      <c r="G9" s="661"/>
      <c r="H9" s="662"/>
      <c r="I9" s="4"/>
      <c r="J9" s="4"/>
      <c r="M9" s="5"/>
    </row>
    <row r="10" spans="1:13">
      <c r="B10" s="47" t="s">
        <v>4</v>
      </c>
      <c r="C10" s="75" t="s">
        <v>40</v>
      </c>
      <c r="D10" s="471"/>
      <c r="E10" s="447">
        <v>927.03</v>
      </c>
      <c r="G10" s="661"/>
      <c r="H10" s="662"/>
      <c r="I10" s="4"/>
      <c r="J10" s="4"/>
      <c r="M10" s="5"/>
    </row>
    <row r="11" spans="1:13">
      <c r="B11" s="47" t="s">
        <v>393</v>
      </c>
      <c r="C11" s="75" t="s">
        <v>392</v>
      </c>
      <c r="D11" s="471"/>
      <c r="E11" s="447">
        <v>792</v>
      </c>
      <c r="G11" s="661"/>
      <c r="H11" s="662"/>
      <c r="I11" s="4"/>
      <c r="J11" s="4"/>
      <c r="M11" s="5"/>
    </row>
    <row r="12" spans="1:13">
      <c r="B12" s="47" t="s">
        <v>365</v>
      </c>
      <c r="C12" s="75" t="s">
        <v>366</v>
      </c>
      <c r="D12" s="876"/>
      <c r="E12" s="447">
        <v>1299.3699999999999</v>
      </c>
      <c r="F12" s="301"/>
      <c r="G12" s="661"/>
      <c r="H12" s="662"/>
      <c r="I12" s="4"/>
      <c r="J12" s="4"/>
      <c r="M12" s="5"/>
    </row>
    <row r="13" spans="1:13" ht="13.5" thickBot="1">
      <c r="B13" s="443" t="s">
        <v>29</v>
      </c>
      <c r="C13" s="542" t="s">
        <v>41</v>
      </c>
      <c r="D13" s="473"/>
      <c r="E13" s="448">
        <v>1191.6400000000001</v>
      </c>
      <c r="F13" s="301"/>
      <c r="G13" s="661"/>
      <c r="H13" s="662"/>
      <c r="I13" s="4"/>
      <c r="J13" s="4"/>
      <c r="M13" s="5"/>
    </row>
    <row r="14" spans="1:13" s="4" customFormat="1" ht="13.5" thickBot="1">
      <c r="B14" s="302"/>
      <c r="C14" s="441"/>
      <c r="D14" s="441"/>
      <c r="E14" s="449">
        <f>SUM(E7:E13)</f>
        <v>7153.17</v>
      </c>
      <c r="F14" s="442"/>
      <c r="H14" s="662"/>
    </row>
    <row r="15" spans="1:13">
      <c r="B15" s="567" t="s">
        <v>477</v>
      </c>
      <c r="C15" s="195" t="s">
        <v>285</v>
      </c>
      <c r="D15" s="195"/>
      <c r="E15" s="450">
        <v>500</v>
      </c>
      <c r="G15" s="4"/>
      <c r="H15" s="662"/>
      <c r="I15" s="4"/>
      <c r="J15" s="4"/>
      <c r="M15" s="5"/>
    </row>
    <row r="16" spans="1:13">
      <c r="B16" s="82" t="s">
        <v>11</v>
      </c>
      <c r="C16" s="138" t="s">
        <v>25</v>
      </c>
      <c r="D16" s="138"/>
      <c r="E16" s="454">
        <v>950</v>
      </c>
      <c r="G16" s="4"/>
      <c r="H16" s="662"/>
      <c r="I16" s="4"/>
      <c r="J16" s="4"/>
      <c r="M16" s="5"/>
    </row>
    <row r="17" spans="1:13" ht="13.5" thickBot="1">
      <c r="B17" s="126" t="s">
        <v>58</v>
      </c>
      <c r="C17" s="444" t="s">
        <v>59</v>
      </c>
      <c r="D17" s="444"/>
      <c r="E17" s="452">
        <v>952.5</v>
      </c>
      <c r="G17" s="4"/>
      <c r="H17" s="662"/>
      <c r="I17" s="4"/>
      <c r="J17" s="4"/>
      <c r="M17" s="5"/>
    </row>
    <row r="18" spans="1:13" ht="13.5" thickBot="1">
      <c r="B18" s="11"/>
      <c r="C18" s="445" t="s">
        <v>0</v>
      </c>
      <c r="D18" s="445"/>
      <c r="E18" s="453">
        <f>SUM(E14:E17)</f>
        <v>9555.67</v>
      </c>
      <c r="G18" s="663"/>
      <c r="H18" s="662"/>
      <c r="I18" s="4"/>
      <c r="J18" s="4"/>
      <c r="M18" s="5"/>
    </row>
    <row r="19" spans="1:13">
      <c r="B19" s="11"/>
      <c r="C19" s="445"/>
      <c r="D19" s="445"/>
      <c r="E19" s="623"/>
      <c r="G19" s="663"/>
      <c r="H19" s="662"/>
      <c r="I19" s="4"/>
      <c r="J19" s="4"/>
      <c r="M19" s="5"/>
    </row>
    <row r="20" spans="1:13">
      <c r="B20" s="11" t="s">
        <v>477</v>
      </c>
      <c r="C20" s="919" t="s">
        <v>743</v>
      </c>
      <c r="D20" s="445"/>
      <c r="E20" s="623">
        <v>1500</v>
      </c>
      <c r="G20" s="663"/>
      <c r="H20" s="662"/>
      <c r="I20" s="4"/>
      <c r="J20" s="4"/>
      <c r="M20" s="5"/>
    </row>
    <row r="21" spans="1:13" ht="12.75" customHeight="1">
      <c r="B21" s="11"/>
      <c r="C21" s="28"/>
      <c r="D21" s="28"/>
      <c r="E21" s="32"/>
      <c r="F21" s="32"/>
      <c r="G21" s="32"/>
      <c r="H21" s="32"/>
      <c r="I21" s="32"/>
      <c r="J21" s="32"/>
      <c r="K21" s="32"/>
      <c r="L21" s="32"/>
      <c r="M21" s="32"/>
    </row>
    <row r="22" spans="1:13" s="437" customFormat="1" ht="6.75" customHeight="1">
      <c r="B22" s="438"/>
      <c r="C22" s="439"/>
      <c r="D22" s="439"/>
      <c r="E22" s="440"/>
      <c r="F22" s="440"/>
      <c r="G22" s="440"/>
      <c r="H22" s="440"/>
      <c r="I22" s="440"/>
      <c r="J22" s="440"/>
      <c r="K22" s="440"/>
      <c r="L22" s="440"/>
      <c r="M22" s="440"/>
    </row>
    <row r="23" spans="1:13" ht="19.5" customHeight="1">
      <c r="A23" s="660"/>
      <c r="B23" s="432" t="s">
        <v>348</v>
      </c>
      <c r="C23" s="717" t="s">
        <v>384</v>
      </c>
      <c r="D23" s="717"/>
      <c r="E23" s="32"/>
      <c r="F23" s="32"/>
      <c r="G23" s="32"/>
      <c r="H23" s="32"/>
      <c r="I23" s="32"/>
      <c r="J23" s="32"/>
      <c r="K23" s="32"/>
      <c r="L23" s="32"/>
      <c r="M23" s="5"/>
    </row>
    <row r="24" spans="1:13" ht="19.5" customHeight="1">
      <c r="B24" s="432" t="s">
        <v>350</v>
      </c>
      <c r="C24" s="1018">
        <v>41801</v>
      </c>
      <c r="D24" s="1020"/>
      <c r="E24" s="32"/>
      <c r="F24" s="32"/>
      <c r="G24" s="32"/>
      <c r="H24" s="32"/>
      <c r="I24" s="32"/>
      <c r="J24" s="32"/>
      <c r="K24" s="32"/>
      <c r="L24" s="32"/>
      <c r="M24" s="5"/>
    </row>
    <row r="25" spans="1:13" ht="4.5" customHeight="1">
      <c r="B25" s="2"/>
      <c r="C25" s="76"/>
      <c r="D25" s="76"/>
      <c r="E25" s="1019"/>
      <c r="F25" s="1021"/>
      <c r="G25" s="3"/>
      <c r="H25" s="4"/>
      <c r="I25" s="4"/>
      <c r="J25" s="4"/>
      <c r="K25" s="4"/>
      <c r="L25" s="13"/>
      <c r="M25" s="4"/>
    </row>
    <row r="26" spans="1:13" s="6" customFormat="1" ht="13.5" thickBot="1">
      <c r="B26" s="433" t="s">
        <v>349</v>
      </c>
      <c r="C26" s="435" t="s">
        <v>1</v>
      </c>
      <c r="D26" s="435"/>
      <c r="E26" s="436" t="s">
        <v>2</v>
      </c>
      <c r="G26" s="318"/>
      <c r="H26" s="318"/>
      <c r="I26" s="318"/>
      <c r="J26" s="318"/>
    </row>
    <row r="27" spans="1:13">
      <c r="B27" s="125" t="s">
        <v>391</v>
      </c>
      <c r="C27" s="195" t="s">
        <v>44</v>
      </c>
      <c r="D27" s="891"/>
      <c r="E27" s="889">
        <v>1438.68</v>
      </c>
      <c r="M27" s="5"/>
    </row>
    <row r="28" spans="1:13">
      <c r="B28" s="563" t="s">
        <v>748</v>
      </c>
      <c r="C28" s="434" t="s">
        <v>41</v>
      </c>
      <c r="D28" s="892"/>
      <c r="E28" s="889">
        <v>1244.46</v>
      </c>
      <c r="M28" s="5"/>
    </row>
    <row r="29" spans="1:13">
      <c r="B29" s="563" t="s">
        <v>477</v>
      </c>
      <c r="C29" s="434" t="s">
        <v>351</v>
      </c>
      <c r="D29" s="892"/>
      <c r="E29" s="889">
        <v>652.24</v>
      </c>
      <c r="M29" s="5"/>
    </row>
    <row r="30" spans="1:13">
      <c r="B30" s="563" t="s">
        <v>3</v>
      </c>
      <c r="C30" s="434" t="s">
        <v>42</v>
      </c>
      <c r="D30" s="892"/>
      <c r="E30" s="889">
        <v>837.04</v>
      </c>
      <c r="M30" s="5"/>
    </row>
    <row r="31" spans="1:13">
      <c r="B31" s="47" t="s">
        <v>4</v>
      </c>
      <c r="C31" s="75" t="s">
        <v>40</v>
      </c>
      <c r="D31" s="893"/>
      <c r="E31" s="890">
        <v>927.03</v>
      </c>
      <c r="M31" s="5"/>
    </row>
    <row r="32" spans="1:13">
      <c r="B32" s="47" t="s">
        <v>393</v>
      </c>
      <c r="C32" s="75" t="s">
        <v>392</v>
      </c>
      <c r="D32" s="893"/>
      <c r="E32" s="890">
        <v>692</v>
      </c>
      <c r="M32" s="5"/>
    </row>
    <row r="33" spans="1:13" ht="13.5" thickBot="1">
      <c r="B33" s="443" t="s">
        <v>365</v>
      </c>
      <c r="C33" s="920" t="s">
        <v>366</v>
      </c>
      <c r="D33" s="921"/>
      <c r="E33" s="452">
        <v>1455.3</v>
      </c>
      <c r="F33" s="301"/>
      <c r="M33" s="5"/>
    </row>
    <row r="34" spans="1:13" s="4" customFormat="1" ht="13.5" thickBot="1">
      <c r="B34" s="302"/>
      <c r="C34" s="441"/>
      <c r="D34" s="441"/>
      <c r="E34" s="449">
        <f>SUM(E27:E33)</f>
        <v>7246.75</v>
      </c>
      <c r="F34" s="442"/>
    </row>
    <row r="35" spans="1:13">
      <c r="B35" s="567" t="s">
        <v>477</v>
      </c>
      <c r="C35" s="195" t="s">
        <v>285</v>
      </c>
      <c r="D35" s="195"/>
      <c r="E35" s="450">
        <v>500</v>
      </c>
      <c r="M35" s="5"/>
    </row>
    <row r="36" spans="1:13">
      <c r="B36" s="82" t="s">
        <v>11</v>
      </c>
      <c r="C36" s="138" t="s">
        <v>25</v>
      </c>
      <c r="D36" s="138"/>
      <c r="E36" s="454">
        <v>950</v>
      </c>
      <c r="M36" s="5"/>
    </row>
    <row r="37" spans="1:13" ht="13.5" thickBot="1">
      <c r="B37" s="126" t="s">
        <v>58</v>
      </c>
      <c r="C37" s="444" t="s">
        <v>59</v>
      </c>
      <c r="D37" s="444"/>
      <c r="E37" s="452">
        <v>952.5</v>
      </c>
      <c r="M37" s="5"/>
    </row>
    <row r="38" spans="1:13" ht="13.5" thickBot="1">
      <c r="B38" s="11"/>
      <c r="C38" s="445" t="s">
        <v>0</v>
      </c>
      <c r="D38" s="445"/>
      <c r="E38" s="453">
        <f>SUM(E34:E37)</f>
        <v>9649.25</v>
      </c>
      <c r="M38" s="5"/>
    </row>
    <row r="39" spans="1:13">
      <c r="B39" s="11"/>
      <c r="C39" s="445"/>
      <c r="D39" s="445"/>
      <c r="E39" s="623"/>
      <c r="M39" s="5"/>
    </row>
    <row r="40" spans="1:13">
      <c r="B40" s="11" t="s">
        <v>746</v>
      </c>
      <c r="C40" s="441" t="s">
        <v>747</v>
      </c>
      <c r="D40" s="445"/>
      <c r="E40" s="623">
        <v>450</v>
      </c>
      <c r="M40" s="5"/>
    </row>
    <row r="41" spans="1:13">
      <c r="B41" s="11"/>
      <c r="C41" s="445"/>
      <c r="D41" s="445"/>
      <c r="E41" s="623"/>
      <c r="M41" s="5"/>
    </row>
    <row r="42" spans="1:13" s="437" customFormat="1" ht="6.75" customHeight="1">
      <c r="B42" s="438"/>
      <c r="C42" s="439"/>
      <c r="D42" s="439"/>
      <c r="E42" s="440"/>
      <c r="F42" s="440"/>
      <c r="G42" s="440"/>
      <c r="H42" s="440"/>
      <c r="I42" s="440"/>
      <c r="J42" s="440"/>
      <c r="K42" s="440"/>
      <c r="L42" s="440"/>
      <c r="M42" s="440"/>
    </row>
    <row r="43" spans="1:13" ht="19.5" customHeight="1">
      <c r="A43" s="660"/>
      <c r="B43" s="432" t="s">
        <v>348</v>
      </c>
      <c r="C43" s="717" t="s">
        <v>277</v>
      </c>
      <c r="D43" s="457"/>
      <c r="E43" s="32"/>
      <c r="F43" s="32"/>
      <c r="G43" s="32"/>
      <c r="H43" s="32"/>
      <c r="I43" s="32"/>
      <c r="J43" s="32"/>
      <c r="K43" s="32"/>
      <c r="L43" s="32"/>
      <c r="M43" s="5"/>
    </row>
    <row r="44" spans="1:13" ht="19.5" customHeight="1">
      <c r="B44" s="432" t="s">
        <v>350</v>
      </c>
      <c r="C44" s="1018">
        <v>41808</v>
      </c>
      <c r="D44" s="1018"/>
      <c r="E44" s="32"/>
      <c r="F44" s="32"/>
      <c r="G44" s="32"/>
      <c r="H44" s="32"/>
      <c r="I44" s="32"/>
      <c r="J44" s="32"/>
      <c r="K44" s="32"/>
      <c r="L44" s="32"/>
      <c r="M44" s="5"/>
    </row>
    <row r="45" spans="1:13" ht="4.5" customHeight="1">
      <c r="B45" s="2"/>
      <c r="C45" s="76"/>
      <c r="D45" s="76"/>
      <c r="E45" s="1019"/>
      <c r="F45" s="1019"/>
      <c r="G45" s="3"/>
      <c r="H45" s="4"/>
      <c r="I45" s="4"/>
      <c r="J45" s="4"/>
      <c r="K45" s="4"/>
      <c r="L45" s="13"/>
      <c r="M45" s="4"/>
    </row>
    <row r="46" spans="1:13" s="6" customFormat="1" ht="13.5" thickBot="1">
      <c r="B46" s="433" t="s">
        <v>349</v>
      </c>
      <c r="C46" s="435" t="s">
        <v>1</v>
      </c>
      <c r="D46" s="435"/>
      <c r="E46" s="436" t="s">
        <v>2</v>
      </c>
    </row>
    <row r="47" spans="1:13">
      <c r="B47" s="125" t="s">
        <v>391</v>
      </c>
      <c r="C47" s="195" t="s">
        <v>44</v>
      </c>
      <c r="D47" s="891"/>
      <c r="E47" s="889">
        <v>1353.84</v>
      </c>
      <c r="M47" s="5"/>
    </row>
    <row r="48" spans="1:13">
      <c r="B48" s="563" t="s">
        <v>748</v>
      </c>
      <c r="C48" s="434" t="s">
        <v>41</v>
      </c>
      <c r="D48" s="892"/>
      <c r="E48" s="889">
        <v>1297.3599999999999</v>
      </c>
      <c r="M48" s="5"/>
    </row>
    <row r="49" spans="1:13">
      <c r="B49" s="563" t="s">
        <v>477</v>
      </c>
      <c r="C49" s="434" t="s">
        <v>351</v>
      </c>
      <c r="D49" s="892"/>
      <c r="E49" s="889">
        <v>652.24</v>
      </c>
      <c r="M49" s="5"/>
    </row>
    <row r="50" spans="1:13">
      <c r="B50" s="563" t="s">
        <v>3</v>
      </c>
      <c r="C50" s="434" t="s">
        <v>42</v>
      </c>
      <c r="D50" s="892"/>
      <c r="E50" s="889">
        <v>837.04</v>
      </c>
      <c r="F50" s="900"/>
      <c r="M50" s="5"/>
    </row>
    <row r="51" spans="1:13">
      <c r="B51" s="47" t="s">
        <v>4</v>
      </c>
      <c r="C51" s="75" t="s">
        <v>40</v>
      </c>
      <c r="D51" s="893"/>
      <c r="E51" s="890">
        <v>927.03</v>
      </c>
      <c r="M51" s="5"/>
    </row>
    <row r="52" spans="1:13">
      <c r="B52" s="47" t="s">
        <v>393</v>
      </c>
      <c r="C52" s="75" t="s">
        <v>392</v>
      </c>
      <c r="D52" s="893"/>
      <c r="E52" s="890">
        <v>692</v>
      </c>
      <c r="F52" s="301"/>
      <c r="M52" s="5"/>
    </row>
    <row r="53" spans="1:13" ht="13.5" thickBot="1">
      <c r="B53" s="443" t="s">
        <v>365</v>
      </c>
      <c r="C53" s="920" t="s">
        <v>366</v>
      </c>
      <c r="D53" s="921"/>
      <c r="E53" s="452">
        <v>1188</v>
      </c>
      <c r="F53" s="301"/>
      <c r="M53" s="5"/>
    </row>
    <row r="54" spans="1:13" s="4" customFormat="1" ht="13.5" thickBot="1">
      <c r="B54" s="302"/>
      <c r="C54" s="441"/>
      <c r="D54" s="441"/>
      <c r="E54" s="449">
        <f>SUM(E47:E53)</f>
        <v>6947.5099999999993</v>
      </c>
      <c r="F54" s="442"/>
    </row>
    <row r="55" spans="1:13">
      <c r="B55" s="567" t="s">
        <v>477</v>
      </c>
      <c r="C55" s="195" t="s">
        <v>285</v>
      </c>
      <c r="D55" s="195"/>
      <c r="E55" s="450">
        <v>500</v>
      </c>
      <c r="M55" s="5"/>
    </row>
    <row r="56" spans="1:13">
      <c r="B56" s="82" t="s">
        <v>11</v>
      </c>
      <c r="C56" s="138" t="s">
        <v>25</v>
      </c>
      <c r="D56" s="138"/>
      <c r="E56" s="454">
        <v>950</v>
      </c>
      <c r="M56" s="5"/>
    </row>
    <row r="57" spans="1:13" ht="13.5" thickBot="1">
      <c r="B57" s="126" t="s">
        <v>58</v>
      </c>
      <c r="C57" s="444" t="s">
        <v>59</v>
      </c>
      <c r="D57" s="444"/>
      <c r="E57" s="452">
        <v>952.5</v>
      </c>
      <c r="M57" s="5"/>
    </row>
    <row r="58" spans="1:13" ht="13.5" thickBot="1">
      <c r="B58" s="11"/>
      <c r="C58" s="445" t="s">
        <v>0</v>
      </c>
      <c r="D58" s="445"/>
      <c r="E58" s="453">
        <f>SUM(E54:E57)</f>
        <v>9350.0099999999984</v>
      </c>
      <c r="M58" s="5"/>
    </row>
    <row r="59" spans="1:13" ht="12.75" customHeight="1">
      <c r="B59" s="11"/>
      <c r="C59" s="28"/>
      <c r="D59" s="28"/>
      <c r="E59" s="32"/>
      <c r="F59" s="32"/>
      <c r="G59" s="32"/>
      <c r="H59" s="32"/>
      <c r="I59" s="32"/>
      <c r="J59" s="32"/>
      <c r="K59" s="32"/>
      <c r="L59" s="32"/>
      <c r="M59" s="32"/>
    </row>
    <row r="60" spans="1:13" s="437" customFormat="1" ht="6.75" customHeight="1">
      <c r="B60" s="438"/>
      <c r="C60" s="439"/>
      <c r="D60" s="439"/>
      <c r="E60" s="440"/>
      <c r="F60" s="440"/>
      <c r="G60" s="440"/>
      <c r="H60" s="440"/>
      <c r="I60" s="440"/>
      <c r="J60" s="440"/>
      <c r="K60" s="440"/>
      <c r="L60" s="440"/>
      <c r="M60" s="440"/>
    </row>
    <row r="61" spans="1:13" ht="19.5" customHeight="1">
      <c r="A61" s="660"/>
      <c r="B61" s="432" t="s">
        <v>348</v>
      </c>
      <c r="C61" s="717" t="s">
        <v>741</v>
      </c>
      <c r="D61" s="457"/>
      <c r="E61" s="32"/>
      <c r="F61" s="32"/>
      <c r="G61" s="32"/>
      <c r="H61" s="32"/>
      <c r="I61" s="32"/>
      <c r="J61" s="32"/>
      <c r="K61" s="32"/>
      <c r="L61" s="32"/>
      <c r="M61" s="5"/>
    </row>
    <row r="62" spans="1:13" ht="19.5" customHeight="1">
      <c r="B62" s="432" t="s">
        <v>350</v>
      </c>
      <c r="C62" s="1018">
        <v>41815</v>
      </c>
      <c r="D62" s="1018"/>
      <c r="E62" s="32"/>
      <c r="F62" s="32"/>
      <c r="G62" s="32"/>
      <c r="H62" s="32"/>
      <c r="I62" s="32"/>
      <c r="J62" s="32"/>
      <c r="K62" s="32"/>
      <c r="L62" s="32"/>
      <c r="M62" s="5"/>
    </row>
    <row r="63" spans="1:13" ht="4.5" customHeight="1">
      <c r="B63" s="2"/>
      <c r="C63" s="76"/>
      <c r="D63" s="76"/>
      <c r="E63" s="1019"/>
      <c r="F63" s="1019"/>
      <c r="G63" s="3"/>
      <c r="H63" s="4"/>
      <c r="I63" s="4"/>
      <c r="J63" s="4"/>
      <c r="K63" s="4"/>
      <c r="L63" s="13"/>
      <c r="M63" s="4"/>
    </row>
    <row r="64" spans="1:13" s="6" customFormat="1" ht="13.5" thickBot="1">
      <c r="B64" s="433" t="s">
        <v>349</v>
      </c>
      <c r="C64" s="435" t="s">
        <v>1</v>
      </c>
      <c r="D64" s="435"/>
      <c r="E64" s="436" t="s">
        <v>2</v>
      </c>
    </row>
    <row r="65" spans="1:13">
      <c r="B65" s="125" t="s">
        <v>391</v>
      </c>
      <c r="C65" s="195" t="s">
        <v>44</v>
      </c>
      <c r="D65" s="891"/>
      <c r="E65" s="889">
        <v>2202.48</v>
      </c>
      <c r="M65" s="5"/>
    </row>
    <row r="66" spans="1:13">
      <c r="B66" s="563" t="s">
        <v>748</v>
      </c>
      <c r="C66" s="434" t="s">
        <v>41</v>
      </c>
      <c r="D66" s="892"/>
      <c r="E66" s="889">
        <v>1191.5999999999999</v>
      </c>
      <c r="M66" s="5"/>
    </row>
    <row r="67" spans="1:13">
      <c r="B67" s="563" t="s">
        <v>477</v>
      </c>
      <c r="C67" s="434" t="s">
        <v>351</v>
      </c>
      <c r="D67" s="892"/>
      <c r="E67" s="889">
        <v>652.24</v>
      </c>
      <c r="M67" s="5"/>
    </row>
    <row r="68" spans="1:13">
      <c r="B68" s="563" t="s">
        <v>3</v>
      </c>
      <c r="C68" s="434" t="s">
        <v>42</v>
      </c>
      <c r="D68" s="892"/>
      <c r="E68" s="889">
        <v>837.04</v>
      </c>
      <c r="M68" s="5"/>
    </row>
    <row r="69" spans="1:13">
      <c r="B69" s="47" t="s">
        <v>4</v>
      </c>
      <c r="C69" s="75" t="s">
        <v>40</v>
      </c>
      <c r="D69" s="893"/>
      <c r="E69" s="890">
        <v>927.03</v>
      </c>
      <c r="M69" s="5"/>
    </row>
    <row r="70" spans="1:13">
      <c r="B70" s="47" t="s">
        <v>393</v>
      </c>
      <c r="C70" s="75" t="s">
        <v>392</v>
      </c>
      <c r="D70" s="893"/>
      <c r="E70" s="890">
        <v>751.4</v>
      </c>
      <c r="F70" s="301"/>
      <c r="M70" s="5"/>
    </row>
    <row r="71" spans="1:13" ht="13.5" thickBot="1">
      <c r="B71" s="443" t="s">
        <v>365</v>
      </c>
      <c r="C71" s="920" t="s">
        <v>366</v>
      </c>
      <c r="D71" s="921"/>
      <c r="E71" s="452">
        <v>1188</v>
      </c>
      <c r="F71" s="301"/>
      <c r="M71" s="5"/>
    </row>
    <row r="72" spans="1:13" s="4" customFormat="1" ht="13.5" thickBot="1">
      <c r="B72" s="302"/>
      <c r="C72" s="441"/>
      <c r="D72" s="441"/>
      <c r="E72" s="449">
        <f>SUM(E65:E71)</f>
        <v>7749.7899999999991</v>
      </c>
      <c r="F72" s="442"/>
    </row>
    <row r="73" spans="1:13">
      <c r="B73" s="567" t="s">
        <v>477</v>
      </c>
      <c r="C73" s="195" t="s">
        <v>285</v>
      </c>
      <c r="D73" s="195"/>
      <c r="E73" s="450">
        <v>500</v>
      </c>
      <c r="M73" s="5"/>
    </row>
    <row r="74" spans="1:13">
      <c r="B74" s="82" t="s">
        <v>11</v>
      </c>
      <c r="C74" s="138" t="s">
        <v>25</v>
      </c>
      <c r="D74" s="138"/>
      <c r="E74" s="454">
        <v>950</v>
      </c>
      <c r="M74" s="5"/>
    </row>
    <row r="75" spans="1:13" ht="13.5" thickBot="1">
      <c r="B75" s="126" t="s">
        <v>58</v>
      </c>
      <c r="C75" s="444" t="s">
        <v>59</v>
      </c>
      <c r="D75" s="444"/>
      <c r="E75" s="452">
        <v>952.5</v>
      </c>
      <c r="M75" s="5"/>
    </row>
    <row r="76" spans="1:13" ht="13.5" thickBot="1">
      <c r="B76" s="11"/>
      <c r="C76" s="445" t="s">
        <v>0</v>
      </c>
      <c r="D76" s="445"/>
      <c r="E76" s="453">
        <f>SUM(E72:E75)</f>
        <v>10152.289999999999</v>
      </c>
      <c r="M76" s="5"/>
    </row>
    <row r="77" spans="1:13" ht="12.75" customHeight="1">
      <c r="B77" s="11"/>
      <c r="C77" s="28"/>
      <c r="D77" s="28"/>
      <c r="E77" s="32"/>
      <c r="F77" s="32"/>
      <c r="G77" s="32"/>
      <c r="H77" s="32"/>
      <c r="I77" s="32"/>
      <c r="J77" s="32"/>
      <c r="K77" s="32"/>
      <c r="L77" s="32"/>
      <c r="M77" s="32"/>
    </row>
    <row r="78" spans="1:13" s="7" customFormat="1" ht="13.15" customHeight="1">
      <c r="A78" s="56" t="s">
        <v>30</v>
      </c>
      <c r="B78" s="57" t="s">
        <v>31</v>
      </c>
      <c r="C78" s="57"/>
      <c r="D78" s="455">
        <f>Nikki!E1257</f>
        <v>8483.35</v>
      </c>
      <c r="E78" s="455"/>
      <c r="F78" s="56" t="s">
        <v>38</v>
      </c>
      <c r="G78" s="57" t="s">
        <v>39</v>
      </c>
      <c r="H78" s="455">
        <v>1200</v>
      </c>
      <c r="I78" s="455"/>
      <c r="J78" s="458"/>
      <c r="K78" s="458"/>
      <c r="L78" s="458"/>
      <c r="M78" s="458"/>
    </row>
    <row r="79" spans="1:13" s="7" customFormat="1" ht="13.15" customHeight="1">
      <c r="A79" s="56" t="s">
        <v>32</v>
      </c>
      <c r="B79" s="57" t="s">
        <v>131</v>
      </c>
      <c r="C79" s="57"/>
      <c r="D79" s="455">
        <f>Nikki!E1258</f>
        <v>2176.4999999999991</v>
      </c>
      <c r="E79" s="455"/>
      <c r="F79" s="56" t="s">
        <v>38</v>
      </c>
      <c r="G79" s="57" t="s">
        <v>107</v>
      </c>
      <c r="H79" s="455">
        <f>120000*15%/12</f>
        <v>1500</v>
      </c>
      <c r="I79" s="458"/>
      <c r="J79" s="458"/>
      <c r="K79" s="458"/>
      <c r="L79" s="458"/>
      <c r="M79" s="458"/>
    </row>
    <row r="80" spans="1:13" s="7" customFormat="1" ht="13.15" customHeight="1">
      <c r="A80" s="56" t="s">
        <v>33</v>
      </c>
      <c r="B80" s="57" t="s">
        <v>34</v>
      </c>
      <c r="C80" s="57"/>
      <c r="D80" s="455">
        <v>311.83999999999997</v>
      </c>
      <c r="E80" s="455"/>
      <c r="F80" s="56" t="s">
        <v>45</v>
      </c>
      <c r="G80" s="57" t="s">
        <v>39</v>
      </c>
      <c r="H80" s="455">
        <v>1800</v>
      </c>
      <c r="I80" s="458"/>
      <c r="J80" s="458"/>
      <c r="K80" s="458"/>
      <c r="L80" s="458"/>
      <c r="M80" s="458"/>
    </row>
    <row r="81" spans="1:13" s="7" customFormat="1" ht="13.15" customHeight="1">
      <c r="A81" s="56" t="s">
        <v>736</v>
      </c>
      <c r="B81" s="57" t="s">
        <v>737</v>
      </c>
      <c r="C81" s="57"/>
      <c r="D81" s="455">
        <v>764.27</v>
      </c>
      <c r="E81" s="455"/>
      <c r="F81" s="56" t="s">
        <v>32</v>
      </c>
      <c r="G81" s="57" t="s">
        <v>108</v>
      </c>
      <c r="H81" s="455">
        <v>1014</v>
      </c>
      <c r="I81" s="458"/>
      <c r="J81" s="458"/>
      <c r="K81" s="458"/>
      <c r="L81" s="458"/>
      <c r="M81" s="458"/>
    </row>
    <row r="82" spans="1:13" s="7" customFormat="1" ht="13.15" customHeight="1">
      <c r="A82" s="56" t="s">
        <v>736</v>
      </c>
      <c r="B82" s="57" t="s">
        <v>738</v>
      </c>
      <c r="C82" s="57"/>
      <c r="D82" s="455">
        <v>472.63</v>
      </c>
      <c r="E82" s="455"/>
      <c r="F82" s="56" t="s">
        <v>230</v>
      </c>
      <c r="G82" s="57" t="s">
        <v>232</v>
      </c>
      <c r="H82" s="455">
        <v>500</v>
      </c>
      <c r="I82" s="458"/>
      <c r="J82" s="458"/>
      <c r="K82" s="458"/>
      <c r="L82" s="458"/>
      <c r="M82" s="458"/>
    </row>
    <row r="83" spans="1:13" s="7" customFormat="1" ht="13.15" customHeight="1">
      <c r="A83" s="56" t="s">
        <v>736</v>
      </c>
      <c r="B83" s="57" t="s">
        <v>739</v>
      </c>
      <c r="C83" s="57"/>
      <c r="D83" s="455">
        <v>86.94</v>
      </c>
      <c r="E83" s="455"/>
      <c r="F83" s="56" t="s">
        <v>231</v>
      </c>
      <c r="G83" s="57" t="s">
        <v>233</v>
      </c>
      <c r="H83" s="455">
        <v>500</v>
      </c>
      <c r="I83" s="458"/>
      <c r="J83" s="458"/>
      <c r="K83" s="458"/>
      <c r="L83" s="458"/>
      <c r="M83" s="458"/>
    </row>
    <row r="84" spans="1:13" s="7" customFormat="1" ht="13.15" customHeight="1">
      <c r="A84" s="56" t="s">
        <v>36</v>
      </c>
      <c r="B84" s="57" t="s">
        <v>37</v>
      </c>
      <c r="C84" s="455"/>
      <c r="D84" s="455">
        <v>8000</v>
      </c>
      <c r="E84" s="908"/>
      <c r="F84" s="56" t="s">
        <v>33</v>
      </c>
      <c r="G84" s="57" t="s">
        <v>46</v>
      </c>
      <c r="H84" s="455">
        <v>11000</v>
      </c>
      <c r="I84" s="455"/>
      <c r="J84" s="459"/>
    </row>
    <row r="85" spans="1:13" s="7" customFormat="1" ht="13.15" customHeight="1">
      <c r="A85" s="56" t="s">
        <v>35</v>
      </c>
      <c r="B85" s="57" t="s">
        <v>186</v>
      </c>
      <c r="C85" s="455"/>
      <c r="D85" s="455">
        <v>1000</v>
      </c>
      <c r="E85" s="455"/>
      <c r="F85" s="139" t="s">
        <v>65</v>
      </c>
      <c r="G85" s="57" t="s">
        <v>47</v>
      </c>
      <c r="H85" s="455">
        <v>11000</v>
      </c>
      <c r="I85" s="455"/>
      <c r="J85" s="459"/>
    </row>
    <row r="86" spans="1:13" s="7" customFormat="1" ht="13.15" customHeight="1" thickBot="1">
      <c r="A86" s="56"/>
      <c r="B86" s="57" t="s">
        <v>106</v>
      </c>
      <c r="C86" s="455"/>
      <c r="D86" s="455">
        <v>5000</v>
      </c>
      <c r="E86" s="455"/>
      <c r="F86" s="56"/>
      <c r="G86" s="57"/>
      <c r="H86" s="456"/>
      <c r="I86" s="659"/>
      <c r="J86" s="459"/>
    </row>
    <row r="87" spans="1:13" s="7" customFormat="1" ht="13.15" customHeight="1" thickTop="1" thickBot="1">
      <c r="B87" s="56"/>
      <c r="C87" s="57"/>
      <c r="D87" s="57"/>
      <c r="E87" s="455"/>
      <c r="F87" s="61"/>
      <c r="G87" s="57"/>
      <c r="H87" s="659">
        <f>SUM(H78:H86)+SUM(D78:D86)</f>
        <v>54809.53</v>
      </c>
      <c r="I87" s="132"/>
      <c r="J87" s="459"/>
    </row>
    <row r="88" spans="1:13" s="7" customFormat="1" ht="13.15" customHeight="1" thickBot="1">
      <c r="B88" s="56"/>
      <c r="C88" s="57"/>
      <c r="D88" s="57"/>
      <c r="E88" s="455"/>
      <c r="F88" s="61"/>
      <c r="G88" s="474" t="s">
        <v>5</v>
      </c>
      <c r="H88" s="475">
        <f>H87+E76</f>
        <v>64961.82</v>
      </c>
      <c r="I88" s="659"/>
      <c r="J88" s="459"/>
    </row>
    <row r="89" spans="1:13" s="7" customFormat="1" ht="13.15" customHeight="1">
      <c r="B89" s="56"/>
      <c r="C89" s="57"/>
      <c r="D89" s="9"/>
      <c r="E89" s="455"/>
      <c r="F89" s="58"/>
      <c r="G89" s="57"/>
      <c r="H89" s="659"/>
      <c r="I89" s="659"/>
      <c r="J89" s="459"/>
    </row>
    <row r="90" spans="1:13" s="7" customFormat="1" ht="13.15" customHeight="1">
      <c r="B90" s="56"/>
      <c r="C90" s="57"/>
      <c r="D90" s="8"/>
      <c r="E90" s="455"/>
      <c r="F90" s="61"/>
      <c r="G90" s="57"/>
      <c r="H90" s="659"/>
      <c r="I90" s="659"/>
      <c r="J90" s="459"/>
    </row>
    <row r="91" spans="1:13" s="7" customFormat="1" ht="13.15" customHeight="1">
      <c r="B91" s="56"/>
      <c r="C91" s="57"/>
      <c r="D91" s="8"/>
      <c r="E91" s="455"/>
      <c r="F91" s="61"/>
      <c r="G91" s="474"/>
      <c r="H91" s="513"/>
      <c r="I91" s="659"/>
      <c r="J91" s="459"/>
    </row>
    <row r="92" spans="1:13" s="7" customFormat="1" ht="13.15" customHeight="1">
      <c r="A92" s="9"/>
      <c r="B92" s="10"/>
      <c r="C92" s="9"/>
      <c r="D92" s="8"/>
      <c r="E92" s="455"/>
      <c r="F92" s="58"/>
      <c r="G92" s="57"/>
      <c r="H92" s="659"/>
      <c r="I92" s="659"/>
      <c r="J92" s="459"/>
    </row>
    <row r="93" spans="1:13" s="7" customFormat="1" ht="13.15" customHeight="1">
      <c r="A93" s="9"/>
      <c r="B93" s="10"/>
      <c r="C93" s="8"/>
      <c r="D93" s="8"/>
      <c r="E93" s="9"/>
      <c r="F93" s="9"/>
      <c r="G93" s="9"/>
      <c r="H93" s="9"/>
      <c r="I93" s="659"/>
      <c r="J93" s="459"/>
    </row>
    <row r="94" spans="1:13" s="7" customFormat="1" ht="13.15" customHeight="1">
      <c r="A94" s="9"/>
      <c r="B94" s="10"/>
      <c r="C94" s="8"/>
      <c r="D94" s="8"/>
      <c r="E94" s="9"/>
      <c r="F94" s="9"/>
      <c r="G94" s="9"/>
      <c r="H94" s="9"/>
      <c r="I94" s="659"/>
      <c r="J94" s="459"/>
    </row>
    <row r="95" spans="1:13" s="7" customFormat="1" ht="13.15" customHeight="1">
      <c r="A95" s="9"/>
      <c r="B95" s="10"/>
      <c r="C95" s="8"/>
      <c r="D95" s="8"/>
      <c r="E95" s="9"/>
      <c r="F95" s="9"/>
      <c r="G95" s="9"/>
      <c r="H95" s="9"/>
      <c r="I95" s="659"/>
      <c r="J95" s="459"/>
    </row>
    <row r="96" spans="1:13" s="7" customFormat="1" ht="13.15" customHeight="1">
      <c r="A96" s="9"/>
      <c r="B96" s="10"/>
      <c r="C96" s="8"/>
      <c r="D96" s="9"/>
      <c r="E96" s="9"/>
      <c r="F96" s="9"/>
      <c r="G96" s="9"/>
      <c r="H96" s="9"/>
      <c r="I96" s="659"/>
      <c r="J96" s="459"/>
    </row>
    <row r="97" spans="1:13" s="7" customFormat="1" ht="13.15" customHeight="1">
      <c r="A97" s="9"/>
      <c r="B97" s="10"/>
      <c r="C97" s="8"/>
      <c r="D97" s="9"/>
      <c r="E97" s="9"/>
      <c r="F97" s="9"/>
      <c r="G97" s="9"/>
      <c r="H97" s="9"/>
      <c r="I97" s="659"/>
      <c r="J97" s="459"/>
    </row>
    <row r="98" spans="1:13" s="9" customFormat="1" ht="12">
      <c r="B98" s="10"/>
      <c r="C98" s="8"/>
      <c r="M98" s="10"/>
    </row>
    <row r="99" spans="1:13" s="9" customFormat="1" ht="12">
      <c r="B99" s="10"/>
      <c r="M99" s="10"/>
    </row>
    <row r="100" spans="1:13" s="9" customFormat="1" ht="12">
      <c r="B100" s="10"/>
      <c r="M100" s="10"/>
    </row>
    <row r="101" spans="1:13" s="9" customFormat="1" ht="12">
      <c r="B101" s="10"/>
      <c r="M101" s="10"/>
    </row>
    <row r="102" spans="1:13" s="9" customFormat="1">
      <c r="B102" s="10"/>
      <c r="D102" s="5"/>
      <c r="M102" s="10"/>
    </row>
    <row r="103" spans="1:13" s="9" customFormat="1">
      <c r="B103" s="10"/>
      <c r="D103" s="5"/>
      <c r="M103" s="10"/>
    </row>
    <row r="104" spans="1:13" s="9" customFormat="1">
      <c r="B104" s="10"/>
      <c r="D104" s="5"/>
      <c r="M104" s="10"/>
    </row>
    <row r="105" spans="1:13" s="9" customFormat="1">
      <c r="B105" s="12"/>
      <c r="C105" s="5"/>
      <c r="D105" s="5"/>
      <c r="M105" s="10"/>
    </row>
    <row r="106" spans="1:13" s="9" customFormat="1">
      <c r="B106" s="12"/>
      <c r="C106" s="5"/>
      <c r="D106" s="5"/>
      <c r="E106" s="5"/>
      <c r="F106" s="5"/>
      <c r="G106" s="5"/>
      <c r="H106" s="5"/>
      <c r="M106" s="10"/>
    </row>
    <row r="107" spans="1:13" s="9" customFormat="1">
      <c r="B107" s="12"/>
      <c r="C107" s="5"/>
      <c r="D107" s="5"/>
      <c r="E107" s="5"/>
      <c r="F107" s="5"/>
      <c r="G107" s="5"/>
      <c r="H107" s="5"/>
      <c r="M107" s="10"/>
    </row>
    <row r="108" spans="1:13" s="9" customFormat="1">
      <c r="B108" s="12"/>
      <c r="C108" s="5"/>
      <c r="D108" s="5"/>
      <c r="E108" s="5"/>
      <c r="F108" s="5"/>
      <c r="G108" s="5"/>
      <c r="H108" s="5"/>
      <c r="M108" s="10"/>
    </row>
    <row r="109" spans="1:13" s="9" customFormat="1">
      <c r="A109" s="5"/>
      <c r="B109" s="12"/>
      <c r="C109" s="5"/>
      <c r="D109" s="5"/>
      <c r="E109" s="5"/>
      <c r="F109" s="5"/>
      <c r="G109" s="5"/>
      <c r="H109" s="5"/>
      <c r="M109" s="10"/>
    </row>
    <row r="110" spans="1:13" s="9" customFormat="1">
      <c r="A110" s="5"/>
      <c r="B110" s="12"/>
      <c r="C110" s="5"/>
      <c r="D110" s="5"/>
      <c r="E110" s="5"/>
      <c r="F110" s="5"/>
      <c r="G110" s="5"/>
      <c r="H110" s="5"/>
      <c r="M110" s="10"/>
    </row>
    <row r="111" spans="1:13" s="9" customFormat="1">
      <c r="A111" s="5"/>
      <c r="B111" s="12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10"/>
    </row>
    <row r="112" spans="1:13" s="9" customFormat="1">
      <c r="A112" s="5"/>
      <c r="B112" s="12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10"/>
    </row>
    <row r="113" spans="1:13" s="9" customFormat="1">
      <c r="A113" s="5"/>
      <c r="B113" s="12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10"/>
    </row>
    <row r="114" spans="1:13" s="9" customFormat="1">
      <c r="A114" s="5"/>
      <c r="B114" s="12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10"/>
    </row>
  </sheetData>
  <mergeCells count="9">
    <mergeCell ref="E45:F45"/>
    <mergeCell ref="C62:D62"/>
    <mergeCell ref="E63:F63"/>
    <mergeCell ref="A1:H1"/>
    <mergeCell ref="C4:D4"/>
    <mergeCell ref="E5:F5"/>
    <mergeCell ref="C24:D24"/>
    <mergeCell ref="E25:F25"/>
    <mergeCell ref="C44:D44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6"/>
  <sheetViews>
    <sheetView topLeftCell="A70" workbookViewId="0">
      <selection activeCell="E86" sqref="E86"/>
    </sheetView>
  </sheetViews>
  <sheetFormatPr defaultColWidth="8.85546875" defaultRowHeight="12.75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2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>
      <c r="A1" s="1022" t="s">
        <v>756</v>
      </c>
      <c r="B1" s="1022"/>
      <c r="C1" s="1022"/>
      <c r="D1" s="1022"/>
      <c r="E1" s="1022"/>
      <c r="F1" s="1022"/>
      <c r="G1" s="1022"/>
      <c r="H1" s="1022"/>
      <c r="I1" s="487"/>
      <c r="J1" s="487"/>
      <c r="K1" s="487"/>
      <c r="L1" s="487"/>
      <c r="M1" s="487"/>
    </row>
    <row r="2" spans="1:13" s="437" customFormat="1" ht="6.75" customHeight="1">
      <c r="B2" s="438"/>
      <c r="C2" s="439"/>
      <c r="D2" s="439"/>
      <c r="E2" s="440"/>
      <c r="F2" s="440"/>
      <c r="G2" s="440"/>
      <c r="H2" s="440"/>
      <c r="I2" s="440"/>
      <c r="J2" s="440"/>
      <c r="K2" s="440"/>
      <c r="L2" s="440"/>
      <c r="M2" s="440"/>
    </row>
    <row r="3" spans="1:13" ht="19.5" customHeight="1">
      <c r="A3" s="660"/>
      <c r="B3" s="432" t="s">
        <v>348</v>
      </c>
      <c r="C3" s="717" t="s">
        <v>757</v>
      </c>
      <c r="D3" s="457"/>
      <c r="E3" s="32"/>
      <c r="F3" s="32"/>
      <c r="G3" s="32"/>
      <c r="H3" s="32"/>
      <c r="I3" s="32"/>
      <c r="J3" s="32"/>
      <c r="K3" s="32"/>
      <c r="L3" s="32"/>
      <c r="M3" s="5"/>
    </row>
    <row r="4" spans="1:13" ht="19.5" customHeight="1">
      <c r="B4" s="432" t="s">
        <v>350</v>
      </c>
      <c r="C4" s="1018">
        <v>41822</v>
      </c>
      <c r="D4" s="1020"/>
      <c r="E4" s="32"/>
      <c r="F4" s="32"/>
      <c r="G4" s="32"/>
      <c r="H4" s="32"/>
      <c r="I4" s="32"/>
      <c r="J4" s="32"/>
      <c r="K4" s="32"/>
      <c r="L4" s="32"/>
      <c r="M4" s="5"/>
    </row>
    <row r="5" spans="1:13" ht="4.5" customHeight="1">
      <c r="B5" s="2"/>
      <c r="C5" s="76"/>
      <c r="D5" s="76"/>
      <c r="E5" s="1019"/>
      <c r="F5" s="1021"/>
      <c r="G5" s="3"/>
      <c r="H5" s="4"/>
      <c r="I5" s="4"/>
      <c r="J5" s="4"/>
      <c r="K5" s="4"/>
      <c r="L5" s="13"/>
      <c r="M5" s="4"/>
    </row>
    <row r="6" spans="1:13" s="6" customFormat="1" ht="13.5" thickBot="1">
      <c r="B6" s="433" t="s">
        <v>349</v>
      </c>
      <c r="C6" s="435" t="s">
        <v>1</v>
      </c>
      <c r="D6" s="435"/>
      <c r="E6" s="436" t="s">
        <v>2</v>
      </c>
      <c r="G6" s="433"/>
      <c r="H6" s="433"/>
      <c r="I6" s="318"/>
      <c r="J6" s="318"/>
    </row>
    <row r="7" spans="1:13">
      <c r="B7" s="125" t="s">
        <v>391</v>
      </c>
      <c r="C7" s="195" t="s">
        <v>44</v>
      </c>
      <c r="D7" s="891"/>
      <c r="E7" s="889">
        <v>2032.83</v>
      </c>
      <c r="G7" s="661"/>
      <c r="H7" s="662"/>
      <c r="I7" s="4"/>
      <c r="J7" s="4"/>
      <c r="M7" s="5"/>
    </row>
    <row r="8" spans="1:13">
      <c r="B8" s="563" t="s">
        <v>748</v>
      </c>
      <c r="C8" s="434" t="s">
        <v>41</v>
      </c>
      <c r="D8" s="892"/>
      <c r="E8" s="889">
        <v>1614.46</v>
      </c>
      <c r="G8" s="661"/>
      <c r="H8" s="662"/>
      <c r="I8" s="4"/>
      <c r="J8" s="4"/>
      <c r="M8" s="5"/>
    </row>
    <row r="9" spans="1:13">
      <c r="B9" s="563" t="s">
        <v>477</v>
      </c>
      <c r="C9" s="434" t="s">
        <v>351</v>
      </c>
      <c r="D9" s="892"/>
      <c r="E9" s="889">
        <v>652.24</v>
      </c>
      <c r="G9" s="661"/>
      <c r="H9" s="662"/>
      <c r="I9" s="4"/>
      <c r="J9" s="4"/>
      <c r="M9" s="5"/>
    </row>
    <row r="10" spans="1:13">
      <c r="B10" s="563" t="s">
        <v>3</v>
      </c>
      <c r="C10" s="434" t="s">
        <v>42</v>
      </c>
      <c r="D10" s="892"/>
      <c r="E10" s="889">
        <v>837.04</v>
      </c>
      <c r="G10" s="661"/>
      <c r="H10" s="662"/>
      <c r="I10" s="4"/>
      <c r="J10" s="4"/>
      <c r="M10" s="5"/>
    </row>
    <row r="11" spans="1:13">
      <c r="B11" s="47" t="s">
        <v>4</v>
      </c>
      <c r="C11" s="75" t="s">
        <v>40</v>
      </c>
      <c r="D11" s="893"/>
      <c r="E11" s="890">
        <v>927.03</v>
      </c>
      <c r="G11" s="661"/>
      <c r="H11" s="662"/>
      <c r="I11" s="4"/>
      <c r="J11" s="4"/>
      <c r="M11" s="5"/>
    </row>
    <row r="12" spans="1:13">
      <c r="B12" s="47" t="s">
        <v>393</v>
      </c>
      <c r="C12" s="75" t="s">
        <v>392</v>
      </c>
      <c r="D12" s="893"/>
      <c r="E12" s="890">
        <v>781.1</v>
      </c>
      <c r="F12" s="301"/>
      <c r="G12" s="661"/>
      <c r="H12" s="662"/>
      <c r="I12" s="4"/>
      <c r="J12" s="4"/>
      <c r="M12" s="5"/>
    </row>
    <row r="13" spans="1:13" ht="13.5" thickBot="1">
      <c r="B13" s="443" t="s">
        <v>365</v>
      </c>
      <c r="C13" s="920" t="s">
        <v>366</v>
      </c>
      <c r="D13" s="921"/>
      <c r="E13" s="452">
        <v>1544.4</v>
      </c>
      <c r="F13" s="301"/>
      <c r="G13" s="661"/>
      <c r="H13" s="662"/>
      <c r="I13" s="4"/>
      <c r="J13" s="4"/>
      <c r="M13" s="5"/>
    </row>
    <row r="14" spans="1:13" s="4" customFormat="1" ht="13.5" thickBot="1">
      <c r="B14" s="302"/>
      <c r="C14" s="441"/>
      <c r="D14" s="441"/>
      <c r="E14" s="449">
        <f>SUM(E7:E13)</f>
        <v>8389.1</v>
      </c>
      <c r="F14" s="442"/>
      <c r="H14" s="662"/>
    </row>
    <row r="15" spans="1:13">
      <c r="B15" s="567" t="s">
        <v>477</v>
      </c>
      <c r="C15" s="195" t="s">
        <v>285</v>
      </c>
      <c r="D15" s="195"/>
      <c r="E15" s="450">
        <v>500</v>
      </c>
      <c r="G15" s="4"/>
      <c r="H15" s="662"/>
      <c r="I15" s="4"/>
      <c r="J15" s="4"/>
      <c r="M15" s="5"/>
    </row>
    <row r="16" spans="1:13">
      <c r="B16" s="82" t="s">
        <v>11</v>
      </c>
      <c r="C16" s="138" t="s">
        <v>25</v>
      </c>
      <c r="D16" s="138"/>
      <c r="E16" s="454">
        <v>950</v>
      </c>
      <c r="G16" s="4"/>
      <c r="H16" s="662"/>
      <c r="I16" s="4"/>
      <c r="J16" s="4"/>
      <c r="M16" s="5"/>
    </row>
    <row r="17" spans="1:13" ht="13.5" thickBot="1">
      <c r="B17" s="126" t="s">
        <v>58</v>
      </c>
      <c r="C17" s="444" t="s">
        <v>59</v>
      </c>
      <c r="D17" s="444"/>
      <c r="E17" s="452">
        <v>952.5</v>
      </c>
      <c r="G17" s="4"/>
      <c r="H17" s="662"/>
      <c r="I17" s="4"/>
      <c r="J17" s="4"/>
      <c r="M17" s="5"/>
    </row>
    <row r="18" spans="1:13" ht="13.5" thickBot="1">
      <c r="B18" s="11"/>
      <c r="C18" s="445" t="s">
        <v>0</v>
      </c>
      <c r="D18" s="445"/>
      <c r="E18" s="453">
        <f>SUM(E14:E17)</f>
        <v>10791.6</v>
      </c>
      <c r="G18" s="663"/>
      <c r="H18" s="662"/>
      <c r="I18" s="4"/>
      <c r="J18" s="4"/>
      <c r="M18" s="5"/>
    </row>
    <row r="19" spans="1:13">
      <c r="B19" s="11"/>
      <c r="C19" s="445"/>
      <c r="D19" s="445"/>
      <c r="E19" s="623"/>
      <c r="G19" s="663"/>
      <c r="H19" s="662"/>
      <c r="I19" s="4"/>
      <c r="J19" s="4"/>
      <c r="M19" s="5"/>
    </row>
    <row r="20" spans="1:13" s="437" customFormat="1" ht="6.75" customHeight="1">
      <c r="B20" s="438"/>
      <c r="C20" s="439"/>
      <c r="D20" s="439"/>
      <c r="E20" s="440"/>
      <c r="F20" s="440"/>
      <c r="G20" s="440"/>
      <c r="H20" s="440"/>
      <c r="I20" s="440"/>
      <c r="J20" s="440"/>
      <c r="K20" s="440"/>
      <c r="L20" s="440"/>
      <c r="M20" s="440"/>
    </row>
    <row r="21" spans="1:13" ht="19.5" customHeight="1">
      <c r="A21" s="660"/>
      <c r="B21" s="432" t="s">
        <v>348</v>
      </c>
      <c r="C21" s="717" t="s">
        <v>758</v>
      </c>
      <c r="D21" s="717"/>
      <c r="E21" s="32"/>
      <c r="F21" s="32"/>
      <c r="G21" s="32"/>
      <c r="H21" s="32"/>
      <c r="I21" s="32"/>
      <c r="J21" s="32"/>
      <c r="K21" s="32"/>
      <c r="L21" s="32"/>
      <c r="M21" s="5"/>
    </row>
    <row r="22" spans="1:13" ht="19.5" customHeight="1">
      <c r="B22" s="432" t="s">
        <v>350</v>
      </c>
      <c r="C22" s="1018">
        <v>41829</v>
      </c>
      <c r="D22" s="1020"/>
      <c r="E22" s="32"/>
      <c r="F22" s="32"/>
      <c r="G22" s="32"/>
      <c r="H22" s="32"/>
      <c r="I22" s="32"/>
      <c r="J22" s="32"/>
      <c r="K22" s="32"/>
      <c r="L22" s="32"/>
      <c r="M22" s="5"/>
    </row>
    <row r="23" spans="1:13" ht="4.5" customHeight="1">
      <c r="B23" s="2"/>
      <c r="C23" s="76"/>
      <c r="D23" s="76"/>
      <c r="E23" s="1019"/>
      <c r="F23" s="1021"/>
      <c r="G23" s="3"/>
      <c r="H23" s="4"/>
      <c r="I23" s="4"/>
      <c r="J23" s="4"/>
      <c r="K23" s="4"/>
      <c r="L23" s="13"/>
      <c r="M23" s="4"/>
    </row>
    <row r="24" spans="1:13" s="6" customFormat="1" ht="13.5" thickBot="1">
      <c r="B24" s="433" t="s">
        <v>349</v>
      </c>
      <c r="C24" s="435" t="s">
        <v>1</v>
      </c>
      <c r="D24" s="435"/>
      <c r="E24" s="436" t="s">
        <v>2</v>
      </c>
      <c r="G24" s="318"/>
      <c r="H24" s="318"/>
      <c r="I24" s="318"/>
      <c r="J24" s="318"/>
    </row>
    <row r="25" spans="1:13">
      <c r="B25" s="125" t="s">
        <v>391</v>
      </c>
      <c r="C25" s="195" t="s">
        <v>44</v>
      </c>
      <c r="D25" s="891"/>
      <c r="E25" s="889">
        <v>2032.8</v>
      </c>
      <c r="M25" s="5"/>
    </row>
    <row r="26" spans="1:13">
      <c r="B26" s="563" t="s">
        <v>748</v>
      </c>
      <c r="C26" s="434" t="s">
        <v>41</v>
      </c>
      <c r="D26" s="892"/>
      <c r="E26" s="889">
        <v>1191.6300000000001</v>
      </c>
      <c r="M26" s="5"/>
    </row>
    <row r="27" spans="1:13">
      <c r="B27" s="563" t="s">
        <v>477</v>
      </c>
      <c r="C27" s="434" t="s">
        <v>351</v>
      </c>
      <c r="D27" s="892"/>
      <c r="E27" s="889">
        <v>652.24</v>
      </c>
      <c r="M27" s="5"/>
    </row>
    <row r="28" spans="1:13">
      <c r="B28" s="563" t="s">
        <v>3</v>
      </c>
      <c r="C28" s="434" t="s">
        <v>42</v>
      </c>
      <c r="D28" s="892"/>
      <c r="E28" s="889">
        <v>837.04</v>
      </c>
      <c r="M28" s="5"/>
    </row>
    <row r="29" spans="1:13">
      <c r="B29" s="47" t="s">
        <v>4</v>
      </c>
      <c r="C29" s="75" t="s">
        <v>40</v>
      </c>
      <c r="D29" s="893"/>
      <c r="E29" s="890">
        <v>927.03</v>
      </c>
      <c r="M29" s="5"/>
    </row>
    <row r="30" spans="1:13">
      <c r="B30" s="47" t="s">
        <v>393</v>
      </c>
      <c r="C30" s="75" t="s">
        <v>392</v>
      </c>
      <c r="D30" s="893"/>
      <c r="E30" s="890">
        <v>692</v>
      </c>
      <c r="M30" s="5"/>
    </row>
    <row r="31" spans="1:13" ht="13.5" thickBot="1">
      <c r="B31" s="443" t="s">
        <v>365</v>
      </c>
      <c r="C31" s="920" t="s">
        <v>366</v>
      </c>
      <c r="D31" s="921"/>
      <c r="E31" s="452">
        <v>1566.67</v>
      </c>
      <c r="F31" s="301"/>
      <c r="M31" s="5"/>
    </row>
    <row r="32" spans="1:13" s="4" customFormat="1" ht="13.5" thickBot="1">
      <c r="B32" s="302"/>
      <c r="C32" s="441"/>
      <c r="D32" s="441"/>
      <c r="E32" s="449">
        <f>SUM(E25:E31)</f>
        <v>7899.41</v>
      </c>
      <c r="F32" s="442"/>
    </row>
    <row r="33" spans="1:13">
      <c r="B33" s="567" t="s">
        <v>477</v>
      </c>
      <c r="C33" s="195" t="s">
        <v>285</v>
      </c>
      <c r="D33" s="195"/>
      <c r="E33" s="450">
        <v>400</v>
      </c>
      <c r="M33" s="5"/>
    </row>
    <row r="34" spans="1:13">
      <c r="B34" s="82" t="s">
        <v>11</v>
      </c>
      <c r="C34" s="138" t="s">
        <v>25</v>
      </c>
      <c r="D34" s="138"/>
      <c r="E34" s="454">
        <v>950</v>
      </c>
      <c r="M34" s="5"/>
    </row>
    <row r="35" spans="1:13" ht="13.5" thickBot="1">
      <c r="B35" s="126" t="s">
        <v>58</v>
      </c>
      <c r="C35" s="444" t="s">
        <v>59</v>
      </c>
      <c r="D35" s="444"/>
      <c r="E35" s="452">
        <v>952.5</v>
      </c>
      <c r="M35" s="5"/>
    </row>
    <row r="36" spans="1:13" ht="13.5" thickBot="1">
      <c r="B36" s="11"/>
      <c r="C36" s="445" t="s">
        <v>0</v>
      </c>
      <c r="D36" s="445"/>
      <c r="E36" s="453">
        <f>SUM(E32:E35)</f>
        <v>10201.91</v>
      </c>
      <c r="M36" s="5"/>
    </row>
    <row r="37" spans="1:13">
      <c r="B37" s="11"/>
      <c r="C37" s="445"/>
      <c r="D37" s="445"/>
      <c r="E37" s="623"/>
      <c r="M37" s="5"/>
    </row>
    <row r="38" spans="1:13" s="437" customFormat="1" ht="6.75" customHeight="1">
      <c r="B38" s="438"/>
      <c r="C38" s="439"/>
      <c r="D38" s="439"/>
      <c r="E38" s="440"/>
      <c r="F38" s="440"/>
      <c r="G38" s="440"/>
      <c r="H38" s="440"/>
      <c r="I38" s="440"/>
      <c r="J38" s="440"/>
      <c r="K38" s="440"/>
      <c r="L38" s="440"/>
      <c r="M38" s="440"/>
    </row>
    <row r="39" spans="1:13" ht="19.5" customHeight="1">
      <c r="A39" s="660"/>
      <c r="B39" s="432" t="s">
        <v>348</v>
      </c>
      <c r="C39" s="717" t="s">
        <v>368</v>
      </c>
      <c r="D39" s="457"/>
      <c r="E39" s="32"/>
      <c r="F39" s="32"/>
      <c r="G39" s="32"/>
      <c r="H39" s="32"/>
      <c r="I39" s="32"/>
      <c r="J39" s="32"/>
      <c r="K39" s="32"/>
      <c r="L39" s="32"/>
      <c r="M39" s="5"/>
    </row>
    <row r="40" spans="1:13" ht="19.5" customHeight="1">
      <c r="B40" s="432" t="s">
        <v>350</v>
      </c>
      <c r="C40" s="1018">
        <v>41836</v>
      </c>
      <c r="D40" s="1018"/>
      <c r="E40" s="32"/>
      <c r="F40" s="32"/>
      <c r="G40" s="32"/>
      <c r="H40" s="32"/>
      <c r="I40" s="32"/>
      <c r="J40" s="32"/>
      <c r="K40" s="32"/>
      <c r="L40" s="32"/>
      <c r="M40" s="5"/>
    </row>
    <row r="41" spans="1:13" ht="4.5" customHeight="1">
      <c r="B41" s="2"/>
      <c r="C41" s="76"/>
      <c r="D41" s="76"/>
      <c r="E41" s="1019"/>
      <c r="F41" s="1019"/>
      <c r="G41" s="3"/>
      <c r="H41" s="4"/>
      <c r="I41" s="4"/>
      <c r="J41" s="4"/>
      <c r="K41" s="4"/>
      <c r="L41" s="13"/>
      <c r="M41" s="4"/>
    </row>
    <row r="42" spans="1:13" s="6" customFormat="1" ht="13.5" thickBot="1">
      <c r="B42" s="433" t="s">
        <v>349</v>
      </c>
      <c r="C42" s="435" t="s">
        <v>1</v>
      </c>
      <c r="D42" s="435"/>
      <c r="E42" s="436" t="s">
        <v>2</v>
      </c>
    </row>
    <row r="43" spans="1:13">
      <c r="B43" s="125" t="s">
        <v>391</v>
      </c>
      <c r="C43" s="195" t="s">
        <v>44</v>
      </c>
      <c r="D43" s="891"/>
      <c r="E43" s="889">
        <v>2330.92</v>
      </c>
      <c r="M43" s="5"/>
    </row>
    <row r="44" spans="1:13">
      <c r="B44" s="563" t="s">
        <v>748</v>
      </c>
      <c r="C44" s="434" t="s">
        <v>41</v>
      </c>
      <c r="D44" s="892"/>
      <c r="E44" s="889">
        <v>1654.12</v>
      </c>
      <c r="M44" s="5"/>
    </row>
    <row r="45" spans="1:13">
      <c r="B45" s="563" t="s">
        <v>477</v>
      </c>
      <c r="C45" s="434" t="s">
        <v>351</v>
      </c>
      <c r="D45" s="892"/>
      <c r="E45" s="889">
        <v>752.24</v>
      </c>
      <c r="M45" s="5"/>
    </row>
    <row r="46" spans="1:13">
      <c r="B46" s="563" t="s">
        <v>3</v>
      </c>
      <c r="C46" s="434" t="s">
        <v>42</v>
      </c>
      <c r="D46" s="892"/>
      <c r="E46" s="889">
        <v>837.04</v>
      </c>
      <c r="F46" s="900"/>
      <c r="M46" s="5"/>
    </row>
    <row r="47" spans="1:13">
      <c r="B47" s="47" t="s">
        <v>4</v>
      </c>
      <c r="C47" s="75" t="s">
        <v>40</v>
      </c>
      <c r="D47" s="893"/>
      <c r="E47" s="890">
        <v>927.03</v>
      </c>
      <c r="M47" s="5"/>
    </row>
    <row r="48" spans="1:13">
      <c r="B48" s="47" t="s">
        <v>393</v>
      </c>
      <c r="C48" s="75" t="s">
        <v>392</v>
      </c>
      <c r="D48" s="893"/>
      <c r="E48" s="890">
        <v>692</v>
      </c>
      <c r="F48" s="301"/>
      <c r="M48" s="5"/>
    </row>
    <row r="49" spans="1:13" ht="13.5" thickBot="1">
      <c r="B49" s="443" t="s">
        <v>365</v>
      </c>
      <c r="C49" s="920" t="s">
        <v>366</v>
      </c>
      <c r="D49" s="921"/>
      <c r="E49" s="452">
        <v>1188</v>
      </c>
      <c r="F49" s="301"/>
      <c r="M49" s="5"/>
    </row>
    <row r="50" spans="1:13" s="4" customFormat="1" ht="13.5" thickBot="1">
      <c r="B50" s="302"/>
      <c r="C50" s="441"/>
      <c r="D50" s="441"/>
      <c r="E50" s="449">
        <f>SUM(E43:E49)</f>
        <v>8381.3499999999985</v>
      </c>
      <c r="F50" s="442"/>
    </row>
    <row r="51" spans="1:13">
      <c r="B51" s="567" t="s">
        <v>477</v>
      </c>
      <c r="C51" s="195" t="s">
        <v>285</v>
      </c>
      <c r="D51" s="195"/>
      <c r="E51" s="450">
        <v>500</v>
      </c>
      <c r="M51" s="5"/>
    </row>
    <row r="52" spans="1:13">
      <c r="B52" s="82" t="s">
        <v>11</v>
      </c>
      <c r="C52" s="138" t="s">
        <v>25</v>
      </c>
      <c r="D52" s="138"/>
      <c r="E52" s="454">
        <v>950</v>
      </c>
      <c r="M52" s="5"/>
    </row>
    <row r="53" spans="1:13" ht="13.5" thickBot="1">
      <c r="B53" s="126" t="s">
        <v>58</v>
      </c>
      <c r="C53" s="444" t="s">
        <v>59</v>
      </c>
      <c r="D53" s="444"/>
      <c r="E53" s="452">
        <v>952.5</v>
      </c>
      <c r="M53" s="5"/>
    </row>
    <row r="54" spans="1:13" ht="13.5" thickBot="1">
      <c r="B54" s="11"/>
      <c r="C54" s="445" t="s">
        <v>0</v>
      </c>
      <c r="D54" s="445"/>
      <c r="E54" s="453">
        <f>SUM(E50:E53)</f>
        <v>10783.849999999999</v>
      </c>
      <c r="M54" s="5"/>
    </row>
    <row r="55" spans="1:13" ht="12.75" customHeight="1">
      <c r="B55" s="11"/>
      <c r="C55" s="28"/>
      <c r="D55" s="28"/>
      <c r="E55" s="32"/>
      <c r="F55" s="32"/>
      <c r="G55" s="32"/>
      <c r="H55" s="32"/>
      <c r="I55" s="32"/>
      <c r="J55" s="32"/>
      <c r="K55" s="32"/>
      <c r="L55" s="32"/>
      <c r="M55" s="32"/>
    </row>
    <row r="56" spans="1:13" s="437" customFormat="1" ht="6.75" customHeight="1">
      <c r="B56" s="438"/>
      <c r="C56" s="439"/>
      <c r="D56" s="439"/>
      <c r="E56" s="440"/>
      <c r="F56" s="440"/>
      <c r="G56" s="440"/>
      <c r="H56" s="440"/>
      <c r="I56" s="440"/>
      <c r="J56" s="440"/>
      <c r="K56" s="440"/>
      <c r="L56" s="440"/>
      <c r="M56" s="440"/>
    </row>
    <row r="57" spans="1:13" ht="19.5" customHeight="1">
      <c r="A57" s="660"/>
      <c r="B57" s="432" t="s">
        <v>348</v>
      </c>
      <c r="C57" s="717" t="s">
        <v>321</v>
      </c>
      <c r="D57" s="457"/>
      <c r="E57" s="32"/>
      <c r="F57" s="32"/>
      <c r="G57" s="32"/>
      <c r="H57" s="32"/>
      <c r="I57" s="32"/>
      <c r="J57" s="32"/>
      <c r="K57" s="32"/>
      <c r="L57" s="32"/>
      <c r="M57" s="5"/>
    </row>
    <row r="58" spans="1:13" ht="19.5" customHeight="1">
      <c r="B58" s="432" t="s">
        <v>350</v>
      </c>
      <c r="C58" s="1018">
        <v>41843</v>
      </c>
      <c r="D58" s="1018"/>
      <c r="E58" s="32"/>
      <c r="F58" s="32"/>
      <c r="G58" s="32"/>
      <c r="H58" s="32"/>
      <c r="I58" s="32"/>
      <c r="J58" s="32"/>
      <c r="K58" s="32"/>
      <c r="L58" s="32"/>
      <c r="M58" s="5"/>
    </row>
    <row r="59" spans="1:13" ht="4.5" customHeight="1">
      <c r="B59" s="2"/>
      <c r="C59" s="76"/>
      <c r="D59" s="76"/>
      <c r="E59" s="1019"/>
      <c r="F59" s="1019"/>
      <c r="G59" s="3"/>
      <c r="H59" s="4"/>
      <c r="I59" s="4"/>
      <c r="J59" s="4"/>
      <c r="K59" s="4"/>
      <c r="L59" s="13"/>
      <c r="M59" s="4"/>
    </row>
    <row r="60" spans="1:13" s="6" customFormat="1" ht="13.5" thickBot="1">
      <c r="B60" s="433" t="s">
        <v>349</v>
      </c>
      <c r="C60" s="435" t="s">
        <v>1</v>
      </c>
      <c r="D60" s="435"/>
      <c r="E60" s="436" t="s">
        <v>2</v>
      </c>
    </row>
    <row r="61" spans="1:13">
      <c r="B61" s="125" t="s">
        <v>391</v>
      </c>
      <c r="C61" s="195" t="s">
        <v>44</v>
      </c>
      <c r="D61" s="891"/>
      <c r="E61" s="889">
        <v>1967.67</v>
      </c>
      <c r="M61" s="5"/>
    </row>
    <row r="62" spans="1:13">
      <c r="B62" s="563" t="s">
        <v>748</v>
      </c>
      <c r="C62" s="434" t="s">
        <v>41</v>
      </c>
      <c r="D62" s="892"/>
      <c r="E62" s="889">
        <v>1191.6500000000001</v>
      </c>
      <c r="M62" s="5"/>
    </row>
    <row r="63" spans="1:13">
      <c r="B63" s="563" t="s">
        <v>477</v>
      </c>
      <c r="C63" s="434" t="s">
        <v>351</v>
      </c>
      <c r="D63" s="892"/>
      <c r="E63" s="889">
        <v>652.24</v>
      </c>
      <c r="M63" s="5"/>
    </row>
    <row r="64" spans="1:13">
      <c r="B64" s="563" t="s">
        <v>3</v>
      </c>
      <c r="C64" s="434" t="s">
        <v>42</v>
      </c>
      <c r="D64" s="892"/>
      <c r="E64" s="889">
        <v>837.04</v>
      </c>
      <c r="F64" s="900"/>
      <c r="M64" s="5"/>
    </row>
    <row r="65" spans="1:13">
      <c r="B65" s="47" t="s">
        <v>4</v>
      </c>
      <c r="C65" s="75" t="s">
        <v>40</v>
      </c>
      <c r="D65" s="893"/>
      <c r="E65" s="890">
        <v>927.03</v>
      </c>
      <c r="M65" s="5"/>
    </row>
    <row r="66" spans="1:13">
      <c r="B66" s="47" t="s">
        <v>393</v>
      </c>
      <c r="C66" s="75" t="s">
        <v>392</v>
      </c>
      <c r="D66" s="893"/>
      <c r="E66" s="890">
        <v>721.7</v>
      </c>
      <c r="F66" s="301"/>
      <c r="M66" s="5"/>
    </row>
    <row r="67" spans="1:13" ht="13.5" thickBot="1">
      <c r="B67" s="443" t="s">
        <v>365</v>
      </c>
      <c r="C67" s="920" t="s">
        <v>366</v>
      </c>
      <c r="D67" s="921"/>
      <c r="E67" s="452">
        <v>1377.34</v>
      </c>
      <c r="F67" s="301"/>
      <c r="M67" s="5"/>
    </row>
    <row r="68" spans="1:13" s="4" customFormat="1" ht="13.5" thickBot="1">
      <c r="B68" s="302"/>
      <c r="C68" s="441"/>
      <c r="D68" s="441"/>
      <c r="E68" s="449">
        <f>SUM(E61:E67)</f>
        <v>7674.67</v>
      </c>
      <c r="F68" s="442"/>
    </row>
    <row r="69" spans="1:13">
      <c r="B69" s="567" t="s">
        <v>477</v>
      </c>
      <c r="C69" s="195" t="s">
        <v>285</v>
      </c>
      <c r="D69" s="195"/>
      <c r="E69" s="450">
        <v>500</v>
      </c>
      <c r="M69" s="5"/>
    </row>
    <row r="70" spans="1:13">
      <c r="B70" s="82" t="s">
        <v>11</v>
      </c>
      <c r="C70" s="138" t="s">
        <v>25</v>
      </c>
      <c r="D70" s="138"/>
      <c r="E70" s="454">
        <v>950</v>
      </c>
      <c r="M70" s="5"/>
    </row>
    <row r="71" spans="1:13" ht="13.5" thickBot="1">
      <c r="B71" s="126" t="s">
        <v>58</v>
      </c>
      <c r="C71" s="444" t="s">
        <v>59</v>
      </c>
      <c r="D71" s="444"/>
      <c r="E71" s="452">
        <v>952.5</v>
      </c>
      <c r="M71" s="5"/>
    </row>
    <row r="72" spans="1:13" ht="13.5" thickBot="1">
      <c r="B72" s="11"/>
      <c r="C72" s="445" t="s">
        <v>0</v>
      </c>
      <c r="D72" s="445"/>
      <c r="E72" s="453">
        <f>SUM(E68:E71)</f>
        <v>10077.17</v>
      </c>
      <c r="M72" s="5"/>
    </row>
    <row r="73" spans="1:13" ht="12.75" customHeight="1">
      <c r="B73" s="11"/>
      <c r="C73" s="28"/>
      <c r="D73" s="28"/>
      <c r="E73" s="32"/>
      <c r="F73" s="32"/>
      <c r="G73" s="32"/>
      <c r="H73" s="32"/>
      <c r="I73" s="32"/>
      <c r="J73" s="32"/>
      <c r="K73" s="32"/>
      <c r="L73" s="32"/>
      <c r="M73" s="32"/>
    </row>
    <row r="74" spans="1:13" s="437" customFormat="1" ht="6.75" customHeight="1">
      <c r="B74" s="438"/>
      <c r="C74" s="439"/>
      <c r="D74" s="439"/>
      <c r="E74" s="440"/>
      <c r="F74" s="440"/>
      <c r="G74" s="440"/>
      <c r="H74" s="440"/>
      <c r="I74" s="440"/>
      <c r="J74" s="440"/>
      <c r="K74" s="440"/>
      <c r="L74" s="440"/>
      <c r="M74" s="440"/>
    </row>
    <row r="75" spans="1:13" ht="19.5" customHeight="1">
      <c r="A75" s="660"/>
      <c r="B75" s="432" t="s">
        <v>348</v>
      </c>
      <c r="C75" s="717" t="s">
        <v>759</v>
      </c>
      <c r="D75" s="457"/>
      <c r="E75" s="32"/>
      <c r="F75" s="32"/>
      <c r="G75" s="32"/>
      <c r="H75" s="32"/>
      <c r="I75" s="32"/>
      <c r="J75" s="32"/>
      <c r="K75" s="32"/>
      <c r="L75" s="32"/>
      <c r="M75" s="5"/>
    </row>
    <row r="76" spans="1:13" ht="19.5" customHeight="1">
      <c r="B76" s="432" t="s">
        <v>350</v>
      </c>
      <c r="C76" s="1018">
        <v>41850</v>
      </c>
      <c r="D76" s="1018"/>
      <c r="E76" s="32"/>
      <c r="F76" s="32"/>
      <c r="G76" s="32"/>
      <c r="H76" s="32"/>
      <c r="I76" s="32"/>
      <c r="J76" s="32"/>
      <c r="K76" s="32"/>
      <c r="L76" s="32"/>
      <c r="M76" s="5"/>
    </row>
    <row r="77" spans="1:13" ht="4.5" customHeight="1">
      <c r="B77" s="2"/>
      <c r="C77" s="76"/>
      <c r="D77" s="76"/>
      <c r="E77" s="1019"/>
      <c r="F77" s="1019"/>
      <c r="G77" s="3"/>
      <c r="H77" s="4"/>
      <c r="I77" s="4"/>
      <c r="J77" s="4"/>
      <c r="K77" s="4"/>
      <c r="L77" s="13"/>
      <c r="M77" s="4"/>
    </row>
    <row r="78" spans="1:13" s="6" customFormat="1" ht="13.5" thickBot="1">
      <c r="B78" s="433" t="s">
        <v>349</v>
      </c>
      <c r="C78" s="435" t="s">
        <v>1</v>
      </c>
      <c r="D78" s="435"/>
      <c r="E78" s="436" t="s">
        <v>2</v>
      </c>
    </row>
    <row r="79" spans="1:13">
      <c r="B79" s="125" t="s">
        <v>391</v>
      </c>
      <c r="C79" s="195" t="s">
        <v>44</v>
      </c>
      <c r="D79" s="891"/>
      <c r="E79" s="889">
        <v>2264.69</v>
      </c>
      <c r="M79" s="5"/>
    </row>
    <row r="80" spans="1:13">
      <c r="B80" s="563" t="s">
        <v>748</v>
      </c>
      <c r="C80" s="434" t="s">
        <v>41</v>
      </c>
      <c r="D80" s="892"/>
      <c r="E80" s="889">
        <v>1614.47</v>
      </c>
      <c r="M80" s="5"/>
    </row>
    <row r="81" spans="1:13">
      <c r="B81" s="563" t="s">
        <v>477</v>
      </c>
      <c r="C81" s="434" t="s">
        <v>351</v>
      </c>
      <c r="D81" s="892"/>
      <c r="E81" s="889">
        <v>652.24</v>
      </c>
      <c r="M81" s="5"/>
    </row>
    <row r="82" spans="1:13">
      <c r="B82" s="563" t="s">
        <v>3</v>
      </c>
      <c r="C82" s="434" t="s">
        <v>42</v>
      </c>
      <c r="D82" s="892"/>
      <c r="E82" s="889">
        <v>837.04</v>
      </c>
      <c r="M82" s="5"/>
    </row>
    <row r="83" spans="1:13">
      <c r="B83" s="47" t="s">
        <v>4</v>
      </c>
      <c r="C83" s="75" t="s">
        <v>40</v>
      </c>
      <c r="D83" s="893"/>
      <c r="E83" s="890">
        <v>927.03</v>
      </c>
      <c r="M83" s="5"/>
    </row>
    <row r="84" spans="1:13">
      <c r="B84" s="47" t="s">
        <v>393</v>
      </c>
      <c r="C84" s="75" t="s">
        <v>392</v>
      </c>
      <c r="D84" s="893"/>
      <c r="E84" s="890">
        <v>692</v>
      </c>
      <c r="F84" s="301"/>
      <c r="M84" s="5"/>
    </row>
    <row r="85" spans="1:13" ht="13.5" thickBot="1">
      <c r="B85" s="443" t="s">
        <v>365</v>
      </c>
      <c r="C85" s="920" t="s">
        <v>366</v>
      </c>
      <c r="D85" s="921"/>
      <c r="E85" s="452">
        <v>1544.4</v>
      </c>
      <c r="F85" s="301"/>
      <c r="M85" s="5"/>
    </row>
    <row r="86" spans="1:13" s="4" customFormat="1" ht="13.5" thickBot="1">
      <c r="B86" s="302"/>
      <c r="C86" s="441"/>
      <c r="D86" s="441"/>
      <c r="E86" s="449">
        <f>SUM(E79:E85)</f>
        <v>8531.869999999999</v>
      </c>
      <c r="F86" s="442"/>
    </row>
    <row r="87" spans="1:13" ht="13.5" thickBot="1">
      <c r="B87" s="895" t="s">
        <v>477</v>
      </c>
      <c r="C87" s="896" t="s">
        <v>285</v>
      </c>
      <c r="D87" s="896"/>
      <c r="E87" s="930">
        <v>500</v>
      </c>
      <c r="M87" s="5"/>
    </row>
    <row r="88" spans="1:13" ht="13.5" thickBot="1">
      <c r="B88" s="11"/>
      <c r="C88" s="445" t="s">
        <v>0</v>
      </c>
      <c r="D88" s="445"/>
      <c r="E88" s="453">
        <f>SUM(E86:E87)</f>
        <v>9031.869999999999</v>
      </c>
      <c r="M88" s="5"/>
    </row>
    <row r="89" spans="1:13" ht="12.75" customHeight="1">
      <c r="B89" s="11"/>
      <c r="C89" s="28"/>
      <c r="D89" s="28"/>
      <c r="E89" s="32"/>
      <c r="F89" s="32"/>
      <c r="G89" s="32"/>
      <c r="H89" s="32"/>
      <c r="I89" s="32"/>
      <c r="J89" s="32"/>
      <c r="K89" s="32"/>
      <c r="L89" s="32"/>
      <c r="M89" s="32"/>
    </row>
    <row r="90" spans="1:13" s="7" customFormat="1" ht="13.15" customHeight="1">
      <c r="A90" s="56" t="s">
        <v>30</v>
      </c>
      <c r="B90" s="57" t="s">
        <v>31</v>
      </c>
      <c r="C90" s="57"/>
      <c r="D90" s="455">
        <f>Nikki!E1292</f>
        <v>8483.35</v>
      </c>
      <c r="E90" s="908" t="s">
        <v>721</v>
      </c>
      <c r="F90" s="56" t="s">
        <v>38</v>
      </c>
      <c r="G90" s="57" t="s">
        <v>39</v>
      </c>
      <c r="H90" s="455">
        <v>1200</v>
      </c>
      <c r="I90" s="938" t="s">
        <v>721</v>
      </c>
      <c r="J90" s="458"/>
      <c r="K90" s="458"/>
      <c r="L90" s="458"/>
      <c r="M90" s="458"/>
    </row>
    <row r="91" spans="1:13" s="7" customFormat="1" ht="13.15" customHeight="1">
      <c r="A91" s="56" t="s">
        <v>32</v>
      </c>
      <c r="B91" s="57" t="s">
        <v>131</v>
      </c>
      <c r="C91" s="57"/>
      <c r="D91" s="455">
        <f>Nikki!E1293</f>
        <v>3278.5299999999993</v>
      </c>
      <c r="E91" s="908" t="s">
        <v>721</v>
      </c>
      <c r="F91" s="56" t="s">
        <v>38</v>
      </c>
      <c r="G91" s="57" t="s">
        <v>107</v>
      </c>
      <c r="H91" s="455">
        <f>120000*15%/12</f>
        <v>1500</v>
      </c>
      <c r="I91" s="938" t="s">
        <v>721</v>
      </c>
      <c r="J91" s="458"/>
      <c r="K91" s="458"/>
      <c r="L91" s="458"/>
      <c r="M91" s="458"/>
    </row>
    <row r="92" spans="1:13" s="7" customFormat="1" ht="13.15" customHeight="1">
      <c r="A92" s="56" t="s">
        <v>33</v>
      </c>
      <c r="B92" s="57" t="s">
        <v>34</v>
      </c>
      <c r="C92" s="57"/>
      <c r="D92" s="455">
        <v>311.83999999999997</v>
      </c>
      <c r="E92" s="455"/>
      <c r="F92" s="56" t="s">
        <v>45</v>
      </c>
      <c r="G92" s="57" t="s">
        <v>39</v>
      </c>
      <c r="H92" s="455">
        <v>1800</v>
      </c>
      <c r="I92" s="938" t="s">
        <v>721</v>
      </c>
      <c r="J92" s="458"/>
      <c r="K92" s="458"/>
      <c r="L92" s="458"/>
      <c r="M92" s="458"/>
    </row>
    <row r="93" spans="1:13" s="7" customFormat="1" ht="13.15" customHeight="1">
      <c r="A93" s="56" t="s">
        <v>736</v>
      </c>
      <c r="B93" s="57" t="s">
        <v>737</v>
      </c>
      <c r="C93" s="57"/>
      <c r="D93" s="455">
        <v>764.27</v>
      </c>
      <c r="E93" s="455"/>
      <c r="F93" s="56" t="s">
        <v>32</v>
      </c>
      <c r="G93" s="57" t="s">
        <v>108</v>
      </c>
      <c r="H93" s="455">
        <v>1014</v>
      </c>
      <c r="I93" s="458"/>
      <c r="J93" s="458"/>
      <c r="K93" s="458"/>
      <c r="L93" s="458"/>
      <c r="M93" s="458"/>
    </row>
    <row r="94" spans="1:13" s="7" customFormat="1" ht="13.15" customHeight="1">
      <c r="A94" s="56" t="s">
        <v>736</v>
      </c>
      <c r="B94" s="57" t="s">
        <v>738</v>
      </c>
      <c r="C94" s="57"/>
      <c r="D94" s="455">
        <v>472.63</v>
      </c>
      <c r="E94" s="455"/>
      <c r="F94" s="56" t="s">
        <v>230</v>
      </c>
      <c r="G94" s="57" t="s">
        <v>232</v>
      </c>
      <c r="H94" s="455">
        <v>500</v>
      </c>
      <c r="I94" s="938" t="s">
        <v>721</v>
      </c>
      <c r="J94" s="458"/>
      <c r="K94" s="458"/>
      <c r="L94" s="458"/>
      <c r="M94" s="458"/>
    </row>
    <row r="95" spans="1:13" s="7" customFormat="1" ht="13.15" customHeight="1">
      <c r="A95" s="56" t="s">
        <v>736</v>
      </c>
      <c r="B95" s="57" t="s">
        <v>739</v>
      </c>
      <c r="C95" s="57"/>
      <c r="D95" s="455">
        <v>86.94</v>
      </c>
      <c r="E95" s="455"/>
      <c r="F95" s="56" t="s">
        <v>231</v>
      </c>
      <c r="G95" s="57" t="s">
        <v>233</v>
      </c>
      <c r="H95" s="455">
        <v>500</v>
      </c>
      <c r="I95" s="938" t="s">
        <v>721</v>
      </c>
      <c r="J95" s="458"/>
      <c r="K95" s="458"/>
      <c r="L95" s="458"/>
      <c r="M95" s="458"/>
    </row>
    <row r="96" spans="1:13" s="7" customFormat="1" ht="13.15" customHeight="1">
      <c r="A96" s="56" t="s">
        <v>36</v>
      </c>
      <c r="B96" s="57" t="s">
        <v>37</v>
      </c>
      <c r="C96" s="455"/>
      <c r="D96" s="455">
        <v>8000</v>
      </c>
      <c r="E96" s="908" t="s">
        <v>721</v>
      </c>
      <c r="F96" s="56" t="s">
        <v>33</v>
      </c>
      <c r="G96" s="57" t="s">
        <v>46</v>
      </c>
      <c r="H96" s="455">
        <v>11000</v>
      </c>
      <c r="I96" s="455"/>
      <c r="J96" s="459"/>
    </row>
    <row r="97" spans="1:13" s="7" customFormat="1" ht="13.15" customHeight="1">
      <c r="A97" s="56" t="s">
        <v>35</v>
      </c>
      <c r="B97" s="57" t="s">
        <v>186</v>
      </c>
      <c r="C97" s="455"/>
      <c r="D97" s="455">
        <v>1000</v>
      </c>
      <c r="E97" s="455"/>
      <c r="F97" s="139" t="s">
        <v>65</v>
      </c>
      <c r="G97" s="57" t="s">
        <v>47</v>
      </c>
      <c r="H97" s="455">
        <v>11000</v>
      </c>
      <c r="I97" s="455"/>
      <c r="J97" s="459"/>
    </row>
    <row r="98" spans="1:13" s="7" customFormat="1" ht="13.15" customHeight="1" thickBot="1">
      <c r="A98" s="56"/>
      <c r="B98" s="57" t="s">
        <v>106</v>
      </c>
      <c r="C98" s="455"/>
      <c r="D98" s="455">
        <v>5000</v>
      </c>
      <c r="E98" s="455"/>
      <c r="F98" s="56"/>
      <c r="G98" s="57"/>
      <c r="H98" s="456"/>
      <c r="I98" s="659"/>
      <c r="J98" s="459"/>
    </row>
    <row r="99" spans="1:13" s="7" customFormat="1" ht="13.15" customHeight="1" thickTop="1" thickBot="1">
      <c r="B99" s="56"/>
      <c r="C99" s="57"/>
      <c r="D99" s="57"/>
      <c r="E99" s="455"/>
      <c r="F99" s="61"/>
      <c r="G99" s="57"/>
      <c r="H99" s="659">
        <f>SUM(H90:H98)+SUM(D90:D98)</f>
        <v>55911.56</v>
      </c>
      <c r="I99" s="132"/>
      <c r="J99" s="459"/>
    </row>
    <row r="100" spans="1:13" s="7" customFormat="1" ht="13.15" customHeight="1" thickBot="1">
      <c r="B100" s="56"/>
      <c r="C100" s="57"/>
      <c r="D100" s="57"/>
      <c r="E100" s="455"/>
      <c r="F100" s="61"/>
      <c r="G100" s="474" t="s">
        <v>5</v>
      </c>
      <c r="H100" s="475">
        <f>H99+E88</f>
        <v>64943.429999999993</v>
      </c>
      <c r="I100" s="659"/>
      <c r="J100" s="459"/>
    </row>
    <row r="101" spans="1:13" s="7" customFormat="1" ht="13.15" customHeight="1">
      <c r="B101" s="56"/>
      <c r="C101" s="57"/>
      <c r="D101" s="9"/>
      <c r="E101" s="455"/>
      <c r="F101" s="58"/>
      <c r="G101" s="57"/>
      <c r="H101" s="659"/>
      <c r="I101" s="659"/>
      <c r="J101" s="459"/>
    </row>
    <row r="102" spans="1:13" s="7" customFormat="1" ht="13.15" customHeight="1">
      <c r="B102" s="56"/>
      <c r="C102" s="57"/>
      <c r="D102" s="8"/>
      <c r="E102" s="455"/>
      <c r="F102" s="61"/>
      <c r="G102" s="57"/>
      <c r="H102" s="659"/>
      <c r="I102" s="659"/>
      <c r="J102" s="459"/>
    </row>
    <row r="103" spans="1:13" s="7" customFormat="1" ht="13.15" customHeight="1">
      <c r="B103" s="56"/>
      <c r="C103" s="57"/>
      <c r="D103" s="8"/>
      <c r="E103" s="455"/>
      <c r="F103" s="61"/>
      <c r="G103" s="474"/>
      <c r="H103" s="513"/>
      <c r="I103" s="659"/>
      <c r="J103" s="459"/>
    </row>
    <row r="104" spans="1:13" s="7" customFormat="1" ht="13.15" customHeight="1">
      <c r="A104" s="9"/>
      <c r="B104" s="10"/>
      <c r="C104" s="9"/>
      <c r="D104" s="8"/>
      <c r="E104" s="455"/>
      <c r="F104" s="58"/>
      <c r="G104" s="57"/>
      <c r="H104" s="659"/>
      <c r="I104" s="659"/>
      <c r="J104" s="459"/>
    </row>
    <row r="105" spans="1:13" s="7" customFormat="1" ht="13.15" customHeight="1">
      <c r="A105" s="9"/>
      <c r="B105" s="10"/>
      <c r="C105" s="8"/>
      <c r="D105" s="8"/>
      <c r="E105" s="9"/>
      <c r="F105" s="9"/>
      <c r="G105" s="9"/>
      <c r="H105" s="9"/>
      <c r="I105" s="659"/>
      <c r="J105" s="459"/>
    </row>
    <row r="106" spans="1:13" s="7" customFormat="1" ht="13.15" customHeight="1">
      <c r="A106" s="9"/>
      <c r="B106" s="10"/>
      <c r="C106" s="8"/>
      <c r="D106" s="8"/>
      <c r="E106" s="9"/>
      <c r="F106" s="9"/>
      <c r="G106" s="9"/>
      <c r="H106" s="9"/>
      <c r="I106" s="659"/>
      <c r="J106" s="459"/>
    </row>
    <row r="107" spans="1:13" s="7" customFormat="1" ht="13.15" customHeight="1">
      <c r="A107" s="9"/>
      <c r="B107" s="10"/>
      <c r="C107" s="8"/>
      <c r="D107" s="8"/>
      <c r="E107" s="9"/>
      <c r="F107" s="9"/>
      <c r="G107" s="9"/>
      <c r="H107" s="9"/>
      <c r="I107" s="659"/>
      <c r="J107" s="459"/>
    </row>
    <row r="108" spans="1:13" s="7" customFormat="1" ht="13.15" customHeight="1">
      <c r="A108" s="9"/>
      <c r="B108" s="10"/>
      <c r="C108" s="8"/>
      <c r="D108" s="9"/>
      <c r="E108" s="9"/>
      <c r="F108" s="9"/>
      <c r="G108" s="9"/>
      <c r="H108" s="9"/>
      <c r="I108" s="659"/>
      <c r="J108" s="459"/>
    </row>
    <row r="109" spans="1:13" s="7" customFormat="1" ht="13.15" customHeight="1">
      <c r="A109" s="9"/>
      <c r="B109" s="10"/>
      <c r="C109" s="8"/>
      <c r="D109" s="9"/>
      <c r="E109" s="9"/>
      <c r="F109" s="9"/>
      <c r="G109" s="9"/>
      <c r="H109" s="9"/>
      <c r="I109" s="659"/>
      <c r="J109" s="459"/>
    </row>
    <row r="110" spans="1:13" s="9" customFormat="1" ht="12">
      <c r="B110" s="10"/>
      <c r="C110" s="8"/>
      <c r="M110" s="10"/>
    </row>
    <row r="111" spans="1:13" s="9" customFormat="1" ht="12">
      <c r="B111" s="10"/>
      <c r="M111" s="10"/>
    </row>
    <row r="112" spans="1:13" s="9" customFormat="1" ht="12">
      <c r="B112" s="10"/>
      <c r="M112" s="10"/>
    </row>
    <row r="113" spans="1:13" s="9" customFormat="1" ht="12">
      <c r="B113" s="10"/>
      <c r="M113" s="10"/>
    </row>
    <row r="114" spans="1:13" s="9" customFormat="1">
      <c r="B114" s="10"/>
      <c r="D114" s="5"/>
      <c r="M114" s="10"/>
    </row>
    <row r="115" spans="1:13" s="9" customFormat="1">
      <c r="B115" s="10"/>
      <c r="D115" s="5"/>
      <c r="M115" s="10"/>
    </row>
    <row r="116" spans="1:13" s="9" customFormat="1">
      <c r="B116" s="10"/>
      <c r="D116" s="5"/>
      <c r="M116" s="10"/>
    </row>
    <row r="117" spans="1:13" s="9" customFormat="1">
      <c r="B117" s="12"/>
      <c r="C117" s="5"/>
      <c r="D117" s="5"/>
      <c r="M117" s="10"/>
    </row>
    <row r="118" spans="1:13" s="9" customFormat="1">
      <c r="B118" s="12"/>
      <c r="C118" s="5"/>
      <c r="D118" s="5"/>
      <c r="E118" s="5"/>
      <c r="F118" s="5"/>
      <c r="G118" s="5"/>
      <c r="H118" s="5"/>
      <c r="M118" s="10"/>
    </row>
    <row r="119" spans="1:13" s="9" customFormat="1">
      <c r="B119" s="12"/>
      <c r="C119" s="5"/>
      <c r="D119" s="5"/>
      <c r="E119" s="5"/>
      <c r="F119" s="5"/>
      <c r="G119" s="5"/>
      <c r="H119" s="5"/>
      <c r="M119" s="10"/>
    </row>
    <row r="120" spans="1:13" s="9" customFormat="1">
      <c r="B120" s="12"/>
      <c r="C120" s="5"/>
      <c r="D120" s="5"/>
      <c r="E120" s="5"/>
      <c r="F120" s="5"/>
      <c r="G120" s="5"/>
      <c r="H120" s="5"/>
      <c r="M120" s="10"/>
    </row>
    <row r="121" spans="1:13" s="9" customFormat="1">
      <c r="A121" s="5"/>
      <c r="B121" s="12"/>
      <c r="C121" s="5"/>
      <c r="D121" s="5"/>
      <c r="E121" s="5"/>
      <c r="F121" s="5"/>
      <c r="G121" s="5"/>
      <c r="H121" s="5"/>
      <c r="M121" s="10"/>
    </row>
    <row r="122" spans="1:13" s="9" customFormat="1">
      <c r="A122" s="5"/>
      <c r="B122" s="12"/>
      <c r="C122" s="5"/>
      <c r="D122" s="5"/>
      <c r="E122" s="5"/>
      <c r="F122" s="5"/>
      <c r="G122" s="5"/>
      <c r="H122" s="5"/>
      <c r="M122" s="10"/>
    </row>
    <row r="123" spans="1:13" s="9" customFormat="1">
      <c r="A123" s="5"/>
      <c r="B123" s="12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10"/>
    </row>
    <row r="124" spans="1:13" s="9" customFormat="1">
      <c r="A124" s="5"/>
      <c r="B124" s="12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10"/>
    </row>
    <row r="125" spans="1:13" s="9" customFormat="1">
      <c r="A125" s="5"/>
      <c r="B125" s="12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10"/>
    </row>
    <row r="126" spans="1:13" s="9" customFormat="1">
      <c r="A126" s="5"/>
      <c r="B126" s="12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10"/>
    </row>
  </sheetData>
  <mergeCells count="11">
    <mergeCell ref="C40:D40"/>
    <mergeCell ref="A1:H1"/>
    <mergeCell ref="C4:D4"/>
    <mergeCell ref="E5:F5"/>
    <mergeCell ref="C22:D22"/>
    <mergeCell ref="E23:F23"/>
    <mergeCell ref="E41:F41"/>
    <mergeCell ref="C76:D76"/>
    <mergeCell ref="E77:F77"/>
    <mergeCell ref="C58:D58"/>
    <mergeCell ref="E59:F59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topLeftCell="A55" workbookViewId="0">
      <selection activeCell="G72" sqref="G72"/>
    </sheetView>
  </sheetViews>
  <sheetFormatPr defaultColWidth="8.85546875" defaultRowHeight="12.75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2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>
      <c r="A1" s="1022" t="s">
        <v>769</v>
      </c>
      <c r="B1" s="1022"/>
      <c r="C1" s="1022"/>
      <c r="D1" s="1022"/>
      <c r="E1" s="1022"/>
      <c r="F1" s="1022"/>
      <c r="G1" s="1022"/>
      <c r="H1" s="1022"/>
      <c r="I1" s="487"/>
      <c r="J1" s="487"/>
      <c r="K1" s="487"/>
      <c r="L1" s="487"/>
      <c r="M1" s="487"/>
    </row>
    <row r="2" spans="1:13" s="437" customFormat="1" ht="6.75" customHeight="1">
      <c r="B2" s="438"/>
      <c r="C2" s="439"/>
      <c r="D2" s="439"/>
      <c r="E2" s="440"/>
      <c r="F2" s="440"/>
      <c r="G2" s="440"/>
      <c r="H2" s="440"/>
      <c r="I2" s="440"/>
      <c r="J2" s="440"/>
      <c r="K2" s="440"/>
      <c r="L2" s="440"/>
      <c r="M2" s="440"/>
    </row>
    <row r="3" spans="1:13" ht="19.5" customHeight="1">
      <c r="A3" s="660"/>
      <c r="B3" s="432" t="s">
        <v>348</v>
      </c>
      <c r="C3" s="717" t="s">
        <v>771</v>
      </c>
      <c r="D3" s="457"/>
      <c r="E3" s="32"/>
      <c r="F3" s="32"/>
      <c r="G3" s="32"/>
      <c r="H3" s="32"/>
      <c r="I3" s="32"/>
      <c r="J3" s="32"/>
      <c r="K3" s="32"/>
      <c r="L3" s="32"/>
      <c r="M3" s="5"/>
    </row>
    <row r="4" spans="1:13" ht="19.5" customHeight="1">
      <c r="B4" s="432" t="s">
        <v>350</v>
      </c>
      <c r="C4" s="1018">
        <v>41857</v>
      </c>
      <c r="D4" s="1020"/>
      <c r="E4" s="32"/>
      <c r="F4" s="32"/>
      <c r="G4" s="32"/>
      <c r="H4" s="32"/>
      <c r="I4" s="32"/>
      <c r="J4" s="32"/>
      <c r="K4" s="32"/>
      <c r="L4" s="32"/>
      <c r="M4" s="5"/>
    </row>
    <row r="5" spans="1:13" ht="4.5" customHeight="1">
      <c r="B5" s="2"/>
      <c r="C5" s="76"/>
      <c r="D5" s="76"/>
      <c r="E5" s="1019"/>
      <c r="F5" s="1021"/>
      <c r="G5" s="3"/>
      <c r="H5" s="4"/>
      <c r="I5" s="4"/>
      <c r="J5" s="4"/>
      <c r="K5" s="4"/>
      <c r="L5" s="13"/>
      <c r="M5" s="4"/>
    </row>
    <row r="6" spans="1:13" s="6" customFormat="1" ht="13.5" thickBot="1">
      <c r="B6" s="433" t="s">
        <v>349</v>
      </c>
      <c r="C6" s="435" t="s">
        <v>1</v>
      </c>
      <c r="D6" s="435"/>
      <c r="E6" s="436" t="s">
        <v>2</v>
      </c>
      <c r="G6" s="433"/>
      <c r="H6" s="433"/>
      <c r="I6" s="318"/>
      <c r="J6" s="318"/>
    </row>
    <row r="7" spans="1:13">
      <c r="B7" s="125" t="s">
        <v>391</v>
      </c>
      <c r="C7" s="195" t="s">
        <v>44</v>
      </c>
      <c r="D7" s="891"/>
      <c r="E7" s="889">
        <v>1882.77</v>
      </c>
      <c r="G7" s="661"/>
      <c r="H7" s="662"/>
      <c r="I7" s="4"/>
      <c r="J7" s="4"/>
      <c r="M7" s="5"/>
    </row>
    <row r="8" spans="1:13">
      <c r="B8" s="563" t="s">
        <v>748</v>
      </c>
      <c r="C8" s="434" t="s">
        <v>41</v>
      </c>
      <c r="D8" s="892"/>
      <c r="E8" s="889">
        <v>1614.4</v>
      </c>
      <c r="G8" s="661"/>
      <c r="H8" s="662"/>
      <c r="I8" s="4"/>
      <c r="J8" s="4"/>
      <c r="M8" s="5"/>
    </row>
    <row r="9" spans="1:13">
      <c r="B9" s="563" t="s">
        <v>477</v>
      </c>
      <c r="C9" s="434" t="s">
        <v>351</v>
      </c>
      <c r="D9" s="892"/>
      <c r="E9" s="889">
        <v>752.24</v>
      </c>
      <c r="G9" s="661"/>
      <c r="H9" s="662"/>
      <c r="I9" s="4"/>
      <c r="J9" s="4"/>
      <c r="M9" s="5"/>
    </row>
    <row r="10" spans="1:13">
      <c r="B10" s="563" t="s">
        <v>3</v>
      </c>
      <c r="C10" s="434" t="s">
        <v>42</v>
      </c>
      <c r="D10" s="892"/>
      <c r="E10" s="889">
        <v>937.04</v>
      </c>
      <c r="F10" s="900" t="s">
        <v>721</v>
      </c>
      <c r="G10" s="661"/>
      <c r="H10" s="662"/>
      <c r="I10" s="4"/>
      <c r="J10" s="4"/>
      <c r="M10" s="5"/>
    </row>
    <row r="11" spans="1:13">
      <c r="B11" s="47" t="s">
        <v>4</v>
      </c>
      <c r="C11" s="75" t="s">
        <v>40</v>
      </c>
      <c r="D11" s="893"/>
      <c r="E11" s="890">
        <v>927.03</v>
      </c>
      <c r="G11" s="661"/>
      <c r="H11" s="662"/>
      <c r="I11" s="4"/>
      <c r="J11" s="4"/>
      <c r="M11" s="5"/>
    </row>
    <row r="12" spans="1:13">
      <c r="B12" s="47" t="s">
        <v>393</v>
      </c>
      <c r="C12" s="75" t="s">
        <v>392</v>
      </c>
      <c r="D12" s="893"/>
      <c r="E12" s="890">
        <v>692</v>
      </c>
      <c r="F12" s="301"/>
      <c r="G12" s="661"/>
      <c r="H12" s="662"/>
      <c r="I12" s="4"/>
      <c r="J12" s="4"/>
      <c r="M12" s="5"/>
    </row>
    <row r="13" spans="1:13">
      <c r="B13" s="939" t="s">
        <v>784</v>
      </c>
      <c r="C13" s="940" t="s">
        <v>779</v>
      </c>
      <c r="D13" s="941"/>
      <c r="E13" s="898">
        <v>437.75</v>
      </c>
      <c r="F13" s="301"/>
      <c r="G13" s="661"/>
      <c r="H13" s="662"/>
      <c r="I13" s="4"/>
      <c r="J13" s="4"/>
      <c r="M13" s="5"/>
    </row>
    <row r="14" spans="1:13" ht="13.5" thickBot="1">
      <c r="B14" s="443" t="s">
        <v>365</v>
      </c>
      <c r="C14" s="920" t="s">
        <v>366</v>
      </c>
      <c r="D14" s="921"/>
      <c r="E14" s="452">
        <v>1277.0999999999999</v>
      </c>
      <c r="F14" s="301"/>
      <c r="G14" s="661"/>
      <c r="H14" s="662"/>
      <c r="I14" s="4"/>
      <c r="J14" s="4"/>
      <c r="M14" s="5"/>
    </row>
    <row r="15" spans="1:13" s="4" customFormat="1" ht="13.5" thickBot="1">
      <c r="B15" s="302"/>
      <c r="C15" s="441"/>
      <c r="D15" s="441"/>
      <c r="E15" s="449">
        <f>SUM(E7:E14)</f>
        <v>8520.33</v>
      </c>
      <c r="F15" s="442"/>
      <c r="H15" s="662"/>
    </row>
    <row r="16" spans="1:13">
      <c r="B16" s="567" t="s">
        <v>477</v>
      </c>
      <c r="C16" s="195" t="s">
        <v>285</v>
      </c>
      <c r="D16" s="195"/>
      <c r="E16" s="450">
        <v>500</v>
      </c>
      <c r="G16" s="4"/>
      <c r="H16" s="662"/>
      <c r="I16" s="4"/>
      <c r="J16" s="4"/>
      <c r="M16" s="5"/>
    </row>
    <row r="17" spans="1:13">
      <c r="B17" s="82" t="s">
        <v>11</v>
      </c>
      <c r="C17" s="138" t="s">
        <v>25</v>
      </c>
      <c r="D17" s="138"/>
      <c r="E17" s="454">
        <v>950</v>
      </c>
      <c r="G17" s="4"/>
      <c r="H17" s="662"/>
      <c r="I17" s="4"/>
      <c r="J17" s="4"/>
      <c r="M17" s="5"/>
    </row>
    <row r="18" spans="1:13" ht="13.5" thickBot="1">
      <c r="B18" s="126" t="s">
        <v>58</v>
      </c>
      <c r="C18" s="444" t="s">
        <v>59</v>
      </c>
      <c r="D18" s="444"/>
      <c r="E18" s="452">
        <v>952.5</v>
      </c>
      <c r="G18" s="4"/>
      <c r="H18" s="662"/>
      <c r="I18" s="4"/>
      <c r="J18" s="4"/>
      <c r="M18" s="5"/>
    </row>
    <row r="19" spans="1:13" ht="13.5" thickBot="1">
      <c r="B19" s="11"/>
      <c r="C19" s="445" t="s">
        <v>0</v>
      </c>
      <c r="D19" s="445"/>
      <c r="E19" s="453">
        <f>SUM(E15:E18)</f>
        <v>10922.83</v>
      </c>
      <c r="G19" s="663"/>
      <c r="H19" s="662"/>
      <c r="I19" s="4"/>
      <c r="J19" s="4"/>
      <c r="M19" s="5"/>
    </row>
    <row r="20" spans="1:13">
      <c r="B20" s="11"/>
      <c r="C20" s="445"/>
      <c r="D20" s="445"/>
      <c r="E20" s="623"/>
      <c r="M20" s="5"/>
    </row>
    <row r="21" spans="1:13">
      <c r="B21" s="11" t="s">
        <v>3</v>
      </c>
      <c r="C21" s="441" t="s">
        <v>777</v>
      </c>
      <c r="D21" s="445"/>
      <c r="E21" s="623">
        <v>800</v>
      </c>
      <c r="F21" s="900" t="s">
        <v>721</v>
      </c>
      <c r="M21" s="5"/>
    </row>
    <row r="22" spans="1:13">
      <c r="B22" s="11" t="s">
        <v>477</v>
      </c>
      <c r="C22" s="441" t="s">
        <v>778</v>
      </c>
      <c r="D22" s="445"/>
      <c r="E22" s="623">
        <v>200</v>
      </c>
      <c r="M22" s="5"/>
    </row>
    <row r="23" spans="1:13">
      <c r="B23" s="11"/>
      <c r="C23" s="445"/>
      <c r="D23" s="445"/>
      <c r="E23" s="623"/>
      <c r="G23" s="663"/>
      <c r="H23" s="662"/>
      <c r="I23" s="4"/>
      <c r="J23" s="4"/>
      <c r="M23" s="5"/>
    </row>
    <row r="24" spans="1:13" s="437" customFormat="1" ht="6.75" customHeight="1">
      <c r="B24" s="438"/>
      <c r="C24" s="439"/>
      <c r="D24" s="439"/>
      <c r="E24" s="440"/>
      <c r="F24" s="440"/>
      <c r="G24" s="440"/>
      <c r="H24" s="440"/>
      <c r="I24" s="440"/>
      <c r="J24" s="440"/>
      <c r="K24" s="440"/>
      <c r="L24" s="440"/>
      <c r="M24" s="440"/>
    </row>
    <row r="25" spans="1:13" ht="19.5" customHeight="1">
      <c r="A25" s="660"/>
      <c r="B25" s="432" t="s">
        <v>348</v>
      </c>
      <c r="C25" s="717" t="s">
        <v>286</v>
      </c>
      <c r="D25" s="717"/>
      <c r="E25" s="32"/>
      <c r="F25" s="32"/>
      <c r="G25" s="32"/>
      <c r="H25" s="32"/>
      <c r="I25" s="32"/>
      <c r="J25" s="32"/>
      <c r="K25" s="32"/>
      <c r="L25" s="32"/>
      <c r="M25" s="5"/>
    </row>
    <row r="26" spans="1:13" ht="19.5" customHeight="1">
      <c r="B26" s="432" t="s">
        <v>350</v>
      </c>
      <c r="C26" s="1018">
        <v>41864</v>
      </c>
      <c r="D26" s="1020"/>
      <c r="E26" s="32"/>
      <c r="F26" s="32"/>
      <c r="G26" s="32"/>
      <c r="H26" s="32"/>
      <c r="I26" s="32"/>
      <c r="J26" s="32"/>
      <c r="K26" s="32"/>
      <c r="L26" s="32"/>
      <c r="M26" s="5"/>
    </row>
    <row r="27" spans="1:13" ht="4.5" customHeight="1">
      <c r="B27" s="2"/>
      <c r="C27" s="76"/>
      <c r="D27" s="76"/>
      <c r="E27" s="1019"/>
      <c r="F27" s="1021"/>
      <c r="G27" s="3"/>
      <c r="H27" s="4"/>
      <c r="I27" s="4"/>
      <c r="J27" s="4"/>
      <c r="K27" s="4"/>
      <c r="L27" s="13"/>
      <c r="M27" s="4"/>
    </row>
    <row r="28" spans="1:13" s="6" customFormat="1" ht="13.5" thickBot="1">
      <c r="B28" s="433" t="s">
        <v>349</v>
      </c>
      <c r="C28" s="435" t="s">
        <v>1</v>
      </c>
      <c r="D28" s="435"/>
      <c r="E28" s="436" t="s">
        <v>2</v>
      </c>
      <c r="G28" s="318"/>
      <c r="H28" s="318"/>
      <c r="I28" s="318"/>
      <c r="J28" s="318"/>
    </row>
    <row r="29" spans="1:13">
      <c r="B29" s="125" t="s">
        <v>391</v>
      </c>
      <c r="C29" s="195" t="s">
        <v>44</v>
      </c>
      <c r="D29" s="891"/>
      <c r="E29" s="889">
        <v>2094.9899999999998</v>
      </c>
      <c r="M29" s="5"/>
    </row>
    <row r="30" spans="1:13">
      <c r="B30" s="563" t="s">
        <v>748</v>
      </c>
      <c r="C30" s="434" t="s">
        <v>41</v>
      </c>
      <c r="D30" s="892"/>
      <c r="E30" s="889">
        <v>1746.65</v>
      </c>
      <c r="M30" s="5"/>
    </row>
    <row r="31" spans="1:13">
      <c r="B31" s="563" t="s">
        <v>477</v>
      </c>
      <c r="C31" s="434" t="s">
        <v>351</v>
      </c>
      <c r="D31" s="892"/>
      <c r="E31" s="889">
        <v>652.24</v>
      </c>
      <c r="M31" s="5"/>
    </row>
    <row r="32" spans="1:13">
      <c r="B32" s="563" t="s">
        <v>3</v>
      </c>
      <c r="C32" s="434" t="s">
        <v>42</v>
      </c>
      <c r="D32" s="892"/>
      <c r="E32" s="889">
        <v>837.04</v>
      </c>
      <c r="M32" s="5"/>
    </row>
    <row r="33" spans="1:13">
      <c r="B33" s="47" t="s">
        <v>4</v>
      </c>
      <c r="C33" s="75" t="s">
        <v>40</v>
      </c>
      <c r="D33" s="893"/>
      <c r="E33" s="890">
        <v>927.03</v>
      </c>
      <c r="M33" s="5"/>
    </row>
    <row r="34" spans="1:13">
      <c r="B34" s="47" t="s">
        <v>393</v>
      </c>
      <c r="C34" s="75" t="s">
        <v>392</v>
      </c>
      <c r="D34" s="893"/>
      <c r="E34" s="890">
        <v>1003.85</v>
      </c>
      <c r="M34" s="5"/>
    </row>
    <row r="35" spans="1:13">
      <c r="B35" s="939" t="s">
        <v>784</v>
      </c>
      <c r="C35" s="940" t="s">
        <v>779</v>
      </c>
      <c r="D35" s="941"/>
      <c r="E35" s="898">
        <v>903.7</v>
      </c>
      <c r="F35" s="301"/>
      <c r="G35" s="661"/>
      <c r="H35" s="662"/>
      <c r="I35" s="4"/>
      <c r="J35" s="4"/>
      <c r="M35" s="5"/>
    </row>
    <row r="36" spans="1:13">
      <c r="B36" s="47" t="s">
        <v>785</v>
      </c>
      <c r="C36" s="75" t="s">
        <v>786</v>
      </c>
      <c r="D36" s="893"/>
      <c r="E36" s="454">
        <v>519.75</v>
      </c>
      <c r="F36" s="301"/>
      <c r="G36" s="661"/>
      <c r="H36" s="662"/>
      <c r="I36" s="4"/>
      <c r="J36" s="4"/>
      <c r="M36" s="5"/>
    </row>
    <row r="37" spans="1:13" ht="13.5" thickBot="1">
      <c r="B37" s="942" t="s">
        <v>365</v>
      </c>
      <c r="C37" s="943" t="s">
        <v>366</v>
      </c>
      <c r="D37" s="944"/>
      <c r="E37" s="909">
        <v>3865.08</v>
      </c>
      <c r="F37" s="301"/>
      <c r="M37" s="5"/>
    </row>
    <row r="38" spans="1:13" s="4" customFormat="1" ht="13.5" thickBot="1">
      <c r="B38" s="302"/>
      <c r="C38" s="441"/>
      <c r="D38" s="441"/>
      <c r="E38" s="449">
        <f>SUM(E29:E37)</f>
        <v>12550.33</v>
      </c>
      <c r="F38" s="442"/>
    </row>
    <row r="39" spans="1:13">
      <c r="B39" s="567" t="s">
        <v>477</v>
      </c>
      <c r="C39" s="195" t="s">
        <v>285</v>
      </c>
      <c r="D39" s="195"/>
      <c r="E39" s="450">
        <v>500</v>
      </c>
      <c r="M39" s="5"/>
    </row>
    <row r="40" spans="1:13">
      <c r="B40" s="82" t="s">
        <v>11</v>
      </c>
      <c r="C40" s="138" t="s">
        <v>25</v>
      </c>
      <c r="D40" s="138"/>
      <c r="E40" s="454">
        <v>950</v>
      </c>
      <c r="M40" s="5"/>
    </row>
    <row r="41" spans="1:13" ht="13.5" thickBot="1">
      <c r="B41" s="126" t="s">
        <v>58</v>
      </c>
      <c r="C41" s="444" t="s">
        <v>59</v>
      </c>
      <c r="D41" s="444"/>
      <c r="E41" s="452">
        <v>952.5</v>
      </c>
      <c r="M41" s="5"/>
    </row>
    <row r="42" spans="1:13" ht="13.5" thickBot="1">
      <c r="B42" s="11"/>
      <c r="C42" s="445" t="s">
        <v>0</v>
      </c>
      <c r="D42" s="445"/>
      <c r="E42" s="453">
        <f>SUM(E38:E41)</f>
        <v>14952.83</v>
      </c>
      <c r="M42" s="5"/>
    </row>
    <row r="43" spans="1:13">
      <c r="B43" s="11"/>
      <c r="C43" s="445"/>
      <c r="D43" s="445"/>
      <c r="E43" s="623"/>
      <c r="M43" s="5"/>
    </row>
    <row r="44" spans="1:13" s="437" customFormat="1" ht="6.75" customHeight="1">
      <c r="B44" s="438"/>
      <c r="C44" s="439"/>
      <c r="D44" s="439"/>
      <c r="E44" s="440"/>
      <c r="F44" s="440"/>
      <c r="G44" s="440"/>
      <c r="H44" s="440"/>
      <c r="I44" s="440"/>
      <c r="J44" s="440"/>
      <c r="K44" s="440"/>
      <c r="L44" s="440"/>
      <c r="M44" s="440"/>
    </row>
    <row r="45" spans="1:13" ht="19.5" customHeight="1">
      <c r="A45" s="660"/>
      <c r="B45" s="432" t="s">
        <v>348</v>
      </c>
      <c r="C45" s="717" t="s">
        <v>772</v>
      </c>
      <c r="D45" s="457"/>
      <c r="E45" s="32"/>
      <c r="F45" s="32"/>
      <c r="G45" s="32"/>
      <c r="H45" s="32"/>
      <c r="I45" s="32"/>
      <c r="J45" s="32"/>
      <c r="K45" s="32"/>
      <c r="L45" s="32"/>
      <c r="M45" s="5"/>
    </row>
    <row r="46" spans="1:13" ht="19.5" customHeight="1">
      <c r="B46" s="432" t="s">
        <v>350</v>
      </c>
      <c r="C46" s="1018">
        <v>41871</v>
      </c>
      <c r="D46" s="1018"/>
      <c r="E46" s="32"/>
      <c r="F46" s="32"/>
      <c r="G46" s="32"/>
      <c r="H46" s="32"/>
      <c r="I46" s="32"/>
      <c r="J46" s="32"/>
      <c r="K46" s="32"/>
      <c r="L46" s="32"/>
      <c r="M46" s="5"/>
    </row>
    <row r="47" spans="1:13" ht="4.5" customHeight="1">
      <c r="B47" s="2"/>
      <c r="C47" s="76"/>
      <c r="D47" s="76"/>
      <c r="E47" s="1019"/>
      <c r="F47" s="1019"/>
      <c r="G47" s="3"/>
      <c r="H47" s="4"/>
      <c r="I47" s="4"/>
      <c r="J47" s="4"/>
      <c r="K47" s="4"/>
      <c r="L47" s="13"/>
      <c r="M47" s="4"/>
    </row>
    <row r="48" spans="1:13" s="6" customFormat="1" ht="13.5" thickBot="1">
      <c r="B48" s="433" t="s">
        <v>349</v>
      </c>
      <c r="C48" s="435" t="s">
        <v>1</v>
      </c>
      <c r="D48" s="435"/>
      <c r="E48" s="436" t="s">
        <v>2</v>
      </c>
    </row>
    <row r="49" spans="1:13">
      <c r="B49" s="125" t="s">
        <v>391</v>
      </c>
      <c r="C49" s="195" t="s">
        <v>44</v>
      </c>
      <c r="D49" s="891"/>
      <c r="E49" s="889">
        <v>1849.34</v>
      </c>
      <c r="M49" s="5"/>
    </row>
    <row r="50" spans="1:13">
      <c r="B50" s="563" t="s">
        <v>748</v>
      </c>
      <c r="C50" s="434" t="s">
        <v>41</v>
      </c>
      <c r="D50" s="892"/>
      <c r="E50" s="889">
        <v>1614.41</v>
      </c>
      <c r="M50" s="5"/>
    </row>
    <row r="51" spans="1:13">
      <c r="B51" s="563" t="s">
        <v>477</v>
      </c>
      <c r="C51" s="434" t="s">
        <v>351</v>
      </c>
      <c r="D51" s="892"/>
      <c r="E51" s="889">
        <v>652.24</v>
      </c>
      <c r="M51" s="5"/>
    </row>
    <row r="52" spans="1:13">
      <c r="B52" s="563" t="s">
        <v>3</v>
      </c>
      <c r="C52" s="434" t="s">
        <v>42</v>
      </c>
      <c r="D52" s="892"/>
      <c r="E52" s="889">
        <v>837.04</v>
      </c>
      <c r="F52" s="900"/>
      <c r="M52" s="5"/>
    </row>
    <row r="53" spans="1:13">
      <c r="B53" s="47" t="s">
        <v>4</v>
      </c>
      <c r="C53" s="75" t="s">
        <v>40</v>
      </c>
      <c r="D53" s="893"/>
      <c r="E53" s="890">
        <v>927.03</v>
      </c>
      <c r="M53" s="5"/>
    </row>
    <row r="54" spans="1:13">
      <c r="B54" s="47" t="s">
        <v>393</v>
      </c>
      <c r="C54" s="75" t="s">
        <v>392</v>
      </c>
      <c r="D54" s="893"/>
      <c r="E54" s="890">
        <v>692</v>
      </c>
      <c r="F54" s="301"/>
      <c r="M54" s="5"/>
    </row>
    <row r="55" spans="1:13">
      <c r="B55" s="939" t="s">
        <v>784</v>
      </c>
      <c r="C55" s="940" t="s">
        <v>779</v>
      </c>
      <c r="D55" s="941"/>
      <c r="E55" s="898">
        <v>792</v>
      </c>
      <c r="F55" s="301"/>
      <c r="G55" s="661"/>
      <c r="H55" s="662"/>
      <c r="I55" s="4"/>
      <c r="J55" s="4"/>
      <c r="M55" s="5"/>
    </row>
    <row r="56" spans="1:13" ht="13.5" thickBot="1">
      <c r="B56" s="443" t="s">
        <v>785</v>
      </c>
      <c r="C56" s="920" t="s">
        <v>786</v>
      </c>
      <c r="D56" s="921"/>
      <c r="E56" s="452">
        <v>633.6</v>
      </c>
      <c r="F56" s="301"/>
      <c r="M56" s="5"/>
    </row>
    <row r="57" spans="1:13" s="4" customFormat="1" ht="13.5" thickBot="1">
      <c r="B57" s="302"/>
      <c r="C57" s="441"/>
      <c r="D57" s="441"/>
      <c r="E57" s="449">
        <f>SUM(E49:E56)</f>
        <v>7997.66</v>
      </c>
      <c r="F57" s="442"/>
    </row>
    <row r="58" spans="1:13">
      <c r="B58" s="567" t="s">
        <v>477</v>
      </c>
      <c r="C58" s="195" t="s">
        <v>285</v>
      </c>
      <c r="D58" s="195"/>
      <c r="E58" s="450">
        <v>500</v>
      </c>
      <c r="M58" s="5"/>
    </row>
    <row r="59" spans="1:13">
      <c r="B59" s="82" t="s">
        <v>11</v>
      </c>
      <c r="C59" s="138" t="s">
        <v>25</v>
      </c>
      <c r="D59" s="138"/>
      <c r="E59" s="454">
        <v>950</v>
      </c>
      <c r="M59" s="5"/>
    </row>
    <row r="60" spans="1:13" ht="13.5" thickBot="1">
      <c r="B60" s="126" t="s">
        <v>58</v>
      </c>
      <c r="C60" s="444" t="s">
        <v>59</v>
      </c>
      <c r="D60" s="444"/>
      <c r="E60" s="452">
        <v>952.5</v>
      </c>
      <c r="M60" s="5"/>
    </row>
    <row r="61" spans="1:13" ht="13.5" thickBot="1">
      <c r="B61" s="11"/>
      <c r="C61" s="445" t="s">
        <v>0</v>
      </c>
      <c r="D61" s="445"/>
      <c r="E61" s="453">
        <f>SUM(E57:E60)</f>
        <v>10400.16</v>
      </c>
      <c r="M61" s="5"/>
    </row>
    <row r="62" spans="1:13" ht="12.75" customHeight="1">
      <c r="B62" s="11"/>
      <c r="C62" s="28"/>
      <c r="D62" s="28"/>
      <c r="E62" s="32"/>
      <c r="F62" s="32"/>
      <c r="G62" s="32"/>
      <c r="H62" s="32"/>
      <c r="I62" s="32"/>
      <c r="J62" s="32"/>
      <c r="K62" s="32"/>
      <c r="L62" s="32"/>
      <c r="M62" s="32"/>
    </row>
    <row r="63" spans="1:13" s="437" customFormat="1" ht="6.75" customHeight="1">
      <c r="B63" s="438"/>
      <c r="C63" s="439"/>
      <c r="D63" s="439"/>
      <c r="E63" s="440"/>
      <c r="F63" s="440"/>
      <c r="G63" s="440"/>
      <c r="H63" s="440"/>
      <c r="I63" s="440"/>
      <c r="J63" s="440"/>
      <c r="K63" s="440"/>
      <c r="L63" s="440"/>
      <c r="M63" s="440"/>
    </row>
    <row r="64" spans="1:13" ht="19.5" customHeight="1">
      <c r="A64" s="660"/>
      <c r="B64" s="432" t="s">
        <v>348</v>
      </c>
      <c r="C64" s="717" t="s">
        <v>289</v>
      </c>
      <c r="D64" s="457"/>
      <c r="E64" s="32"/>
      <c r="F64" s="32"/>
      <c r="G64" s="32"/>
      <c r="H64" s="32"/>
      <c r="I64" s="32"/>
      <c r="J64" s="32"/>
      <c r="K64" s="32"/>
      <c r="L64" s="32"/>
      <c r="M64" s="5"/>
    </row>
    <row r="65" spans="2:13" ht="19.5" customHeight="1">
      <c r="B65" s="432" t="s">
        <v>350</v>
      </c>
      <c r="C65" s="1018">
        <v>41878</v>
      </c>
      <c r="D65" s="1018"/>
      <c r="E65" s="32"/>
      <c r="F65" s="32"/>
      <c r="G65" s="32"/>
      <c r="H65" s="32"/>
      <c r="I65" s="32"/>
      <c r="J65" s="32"/>
      <c r="K65" s="32"/>
      <c r="L65" s="32"/>
      <c r="M65" s="5"/>
    </row>
    <row r="66" spans="2:13" ht="4.5" customHeight="1">
      <c r="B66" s="2"/>
      <c r="C66" s="76"/>
      <c r="D66" s="76"/>
      <c r="E66" s="1019"/>
      <c r="F66" s="1019"/>
      <c r="G66" s="3"/>
      <c r="H66" s="4"/>
      <c r="I66" s="4"/>
      <c r="J66" s="4"/>
      <c r="K66" s="4"/>
      <c r="L66" s="13"/>
      <c r="M66" s="4"/>
    </row>
    <row r="67" spans="2:13" s="6" customFormat="1" ht="13.5" thickBot="1">
      <c r="B67" s="433" t="s">
        <v>349</v>
      </c>
      <c r="C67" s="435" t="s">
        <v>1</v>
      </c>
      <c r="D67" s="435"/>
      <c r="E67" s="436" t="s">
        <v>2</v>
      </c>
    </row>
    <row r="68" spans="2:13">
      <c r="B68" s="125" t="s">
        <v>391</v>
      </c>
      <c r="C68" s="195" t="s">
        <v>44</v>
      </c>
      <c r="D68" s="891"/>
      <c r="E68" s="889">
        <v>2119.31</v>
      </c>
      <c r="M68" s="5"/>
    </row>
    <row r="69" spans="2:13">
      <c r="B69" s="563" t="s">
        <v>748</v>
      </c>
      <c r="C69" s="434" t="s">
        <v>41</v>
      </c>
      <c r="D69" s="892"/>
      <c r="E69" s="889">
        <v>1191.68</v>
      </c>
      <c r="M69" s="5"/>
    </row>
    <row r="70" spans="2:13">
      <c r="B70" s="563" t="s">
        <v>477</v>
      </c>
      <c r="C70" s="434" t="s">
        <v>351</v>
      </c>
      <c r="D70" s="892"/>
      <c r="E70" s="889">
        <v>652.24</v>
      </c>
      <c r="M70" s="5"/>
    </row>
    <row r="71" spans="2:13">
      <c r="B71" s="563" t="s">
        <v>3</v>
      </c>
      <c r="C71" s="434" t="s">
        <v>42</v>
      </c>
      <c r="D71" s="892"/>
      <c r="E71" s="889">
        <v>837.04</v>
      </c>
      <c r="F71" s="900"/>
      <c r="M71" s="5"/>
    </row>
    <row r="72" spans="2:13">
      <c r="B72" s="47" t="s">
        <v>4</v>
      </c>
      <c r="C72" s="75" t="s">
        <v>40</v>
      </c>
      <c r="D72" s="893"/>
      <c r="E72" s="890">
        <v>927.03</v>
      </c>
      <c r="M72" s="5"/>
    </row>
    <row r="73" spans="2:13">
      <c r="B73" s="47" t="s">
        <v>393</v>
      </c>
      <c r="C73" s="75" t="s">
        <v>392</v>
      </c>
      <c r="D73" s="893"/>
      <c r="E73" s="890">
        <v>692</v>
      </c>
      <c r="F73" s="301"/>
      <c r="M73" s="5"/>
    </row>
    <row r="74" spans="2:13">
      <c r="B74" s="939" t="s">
        <v>784</v>
      </c>
      <c r="C74" s="940" t="s">
        <v>779</v>
      </c>
      <c r="D74" s="941"/>
      <c r="E74" s="898">
        <v>792</v>
      </c>
      <c r="F74" s="301"/>
      <c r="G74" s="661"/>
      <c r="H74" s="662"/>
      <c r="I74" s="4"/>
      <c r="J74" s="4"/>
      <c r="M74" s="5"/>
    </row>
    <row r="75" spans="2:13" ht="13.5" thickBot="1">
      <c r="B75" s="443" t="s">
        <v>785</v>
      </c>
      <c r="C75" s="920" t="s">
        <v>786</v>
      </c>
      <c r="D75" s="921"/>
      <c r="E75" s="452">
        <v>792</v>
      </c>
      <c r="F75" s="301"/>
      <c r="M75" s="5"/>
    </row>
    <row r="76" spans="2:13" s="4" customFormat="1" ht="13.5" thickBot="1">
      <c r="B76" s="302"/>
      <c r="C76" s="441"/>
      <c r="D76" s="441"/>
      <c r="E76" s="449">
        <f>SUM(E68:E75)</f>
        <v>8003.2999999999993</v>
      </c>
      <c r="F76" s="442"/>
    </row>
    <row r="77" spans="2:13">
      <c r="B77" s="567" t="s">
        <v>477</v>
      </c>
      <c r="C77" s="195" t="s">
        <v>285</v>
      </c>
      <c r="D77" s="195"/>
      <c r="E77" s="450">
        <v>500</v>
      </c>
      <c r="M77" s="5"/>
    </row>
    <row r="78" spans="2:13">
      <c r="B78" s="82" t="s">
        <v>11</v>
      </c>
      <c r="C78" s="138" t="s">
        <v>25</v>
      </c>
      <c r="D78" s="138"/>
      <c r="E78" s="454">
        <v>950</v>
      </c>
      <c r="M78" s="5"/>
    </row>
    <row r="79" spans="2:13" ht="13.5" thickBot="1">
      <c r="B79" s="126" t="s">
        <v>58</v>
      </c>
      <c r="C79" s="444" t="s">
        <v>59</v>
      </c>
      <c r="D79" s="444"/>
      <c r="E79" s="452">
        <v>952.5</v>
      </c>
      <c r="M79" s="5"/>
    </row>
    <row r="80" spans="2:13" ht="13.5" thickBot="1">
      <c r="B80" s="11"/>
      <c r="C80" s="445" t="s">
        <v>0</v>
      </c>
      <c r="D80" s="445"/>
      <c r="E80" s="453">
        <f>SUM(E76:E79)</f>
        <v>10405.799999999999</v>
      </c>
      <c r="M80" s="5"/>
    </row>
    <row r="81" spans="1:13">
      <c r="B81" s="11"/>
      <c r="C81" s="445"/>
      <c r="D81" s="445"/>
      <c r="E81" s="623"/>
      <c r="M81" s="5"/>
    </row>
    <row r="82" spans="1:13" s="7" customFormat="1" ht="13.15" customHeight="1">
      <c r="A82" s="56" t="s">
        <v>30</v>
      </c>
      <c r="B82" s="57" t="s">
        <v>31</v>
      </c>
      <c r="C82" s="57"/>
      <c r="D82" s="455">
        <f>Nikki!E1319</f>
        <v>8483.35</v>
      </c>
      <c r="E82" s="908"/>
      <c r="F82" s="56" t="s">
        <v>38</v>
      </c>
      <c r="G82" s="57" t="s">
        <v>39</v>
      </c>
      <c r="H82" s="455">
        <v>1200</v>
      </c>
      <c r="I82" s="938"/>
      <c r="J82" s="458"/>
      <c r="K82" s="458"/>
      <c r="L82" s="458"/>
      <c r="M82" s="458"/>
    </row>
    <row r="83" spans="1:13" s="7" customFormat="1" ht="13.15" customHeight="1">
      <c r="A83" s="56" t="s">
        <v>32</v>
      </c>
      <c r="B83" s="57" t="s">
        <v>131</v>
      </c>
      <c r="C83" s="57"/>
      <c r="D83" s="455">
        <f>Nikki!E1320</f>
        <v>1426.9799999999996</v>
      </c>
      <c r="E83" s="908"/>
      <c r="F83" s="56" t="s">
        <v>38</v>
      </c>
      <c r="G83" s="57" t="s">
        <v>107</v>
      </c>
      <c r="H83" s="455">
        <f>120000*15%/12</f>
        <v>1500</v>
      </c>
      <c r="I83" s="938"/>
      <c r="J83" s="458"/>
      <c r="K83" s="458"/>
      <c r="L83" s="458"/>
      <c r="M83" s="458"/>
    </row>
    <row r="84" spans="1:13" s="7" customFormat="1" ht="13.15" customHeight="1">
      <c r="A84" s="56" t="s">
        <v>33</v>
      </c>
      <c r="B84" s="57" t="s">
        <v>34</v>
      </c>
      <c r="C84" s="57"/>
      <c r="D84" s="455">
        <v>311.83999999999997</v>
      </c>
      <c r="E84" s="455"/>
      <c r="F84" s="56" t="s">
        <v>45</v>
      </c>
      <c r="G84" s="57" t="s">
        <v>39</v>
      </c>
      <c r="H84" s="455">
        <v>1800</v>
      </c>
      <c r="I84" s="938"/>
      <c r="J84" s="458"/>
      <c r="K84" s="458"/>
      <c r="L84" s="458"/>
      <c r="M84" s="458"/>
    </row>
    <row r="85" spans="1:13" s="7" customFormat="1" ht="13.15" customHeight="1">
      <c r="A85" s="56" t="s">
        <v>736</v>
      </c>
      <c r="B85" s="57" t="s">
        <v>737</v>
      </c>
      <c r="C85" s="57"/>
      <c r="D85" s="455">
        <v>764.27</v>
      </c>
      <c r="E85" s="455"/>
      <c r="F85" s="56" t="s">
        <v>32</v>
      </c>
      <c r="G85" s="57" t="s">
        <v>108</v>
      </c>
      <c r="H85" s="455">
        <v>1014</v>
      </c>
      <c r="I85" s="458"/>
      <c r="J85" s="458"/>
      <c r="K85" s="458"/>
      <c r="L85" s="458"/>
      <c r="M85" s="458"/>
    </row>
    <row r="86" spans="1:13" s="7" customFormat="1" ht="13.15" customHeight="1">
      <c r="A86" s="56" t="s">
        <v>736</v>
      </c>
      <c r="B86" s="57" t="s">
        <v>738</v>
      </c>
      <c r="C86" s="57"/>
      <c r="D86" s="455">
        <v>472.63</v>
      </c>
      <c r="E86" s="455"/>
      <c r="F86" s="56" t="s">
        <v>230</v>
      </c>
      <c r="G86" s="57" t="s">
        <v>232</v>
      </c>
      <c r="H86" s="455">
        <v>500</v>
      </c>
      <c r="I86" s="938"/>
      <c r="J86" s="458"/>
      <c r="K86" s="458"/>
      <c r="L86" s="458"/>
      <c r="M86" s="458"/>
    </row>
    <row r="87" spans="1:13" s="7" customFormat="1" ht="13.15" customHeight="1">
      <c r="A87" s="56" t="s">
        <v>736</v>
      </c>
      <c r="B87" s="57" t="s">
        <v>739</v>
      </c>
      <c r="C87" s="57"/>
      <c r="D87" s="455">
        <v>86.94</v>
      </c>
      <c r="E87" s="455"/>
      <c r="F87" s="56" t="s">
        <v>231</v>
      </c>
      <c r="G87" s="57" t="s">
        <v>233</v>
      </c>
      <c r="H87" s="455">
        <v>500</v>
      </c>
      <c r="I87" s="938"/>
      <c r="J87" s="458"/>
      <c r="K87" s="458"/>
      <c r="L87" s="458"/>
      <c r="M87" s="458"/>
    </row>
    <row r="88" spans="1:13" s="7" customFormat="1" ht="13.15" customHeight="1">
      <c r="A88" s="56" t="s">
        <v>36</v>
      </c>
      <c r="B88" s="57" t="s">
        <v>37</v>
      </c>
      <c r="C88" s="455"/>
      <c r="D88" s="455">
        <v>8000</v>
      </c>
      <c r="E88" s="908"/>
      <c r="F88" s="56" t="s">
        <v>33</v>
      </c>
      <c r="G88" s="57" t="s">
        <v>46</v>
      </c>
      <c r="H88" s="455">
        <v>11000</v>
      </c>
      <c r="I88" s="455"/>
      <c r="J88" s="459"/>
    </row>
    <row r="89" spans="1:13" s="7" customFormat="1" ht="13.15" customHeight="1">
      <c r="A89" s="56" t="s">
        <v>35</v>
      </c>
      <c r="B89" s="57" t="s">
        <v>186</v>
      </c>
      <c r="C89" s="455"/>
      <c r="D89" s="455">
        <v>1000</v>
      </c>
      <c r="E89" s="455"/>
      <c r="F89" s="139" t="s">
        <v>65</v>
      </c>
      <c r="G89" s="57" t="s">
        <v>47</v>
      </c>
      <c r="H89" s="455">
        <v>11000</v>
      </c>
      <c r="I89" s="455"/>
      <c r="J89" s="459"/>
    </row>
    <row r="90" spans="1:13" s="7" customFormat="1" ht="13.15" customHeight="1" thickBot="1">
      <c r="A90" s="56"/>
      <c r="B90" s="57" t="s">
        <v>106</v>
      </c>
      <c r="C90" s="455"/>
      <c r="D90" s="455">
        <v>5000</v>
      </c>
      <c r="E90" s="455"/>
      <c r="F90" s="56"/>
      <c r="G90" s="57"/>
      <c r="H90" s="456"/>
      <c r="I90" s="659"/>
      <c r="J90" s="459"/>
    </row>
    <row r="91" spans="1:13" s="7" customFormat="1" ht="13.15" customHeight="1" thickTop="1" thickBot="1">
      <c r="B91" s="56"/>
      <c r="C91" s="57"/>
      <c r="D91" s="57"/>
      <c r="E91" s="455"/>
      <c r="F91" s="61"/>
      <c r="G91" s="57"/>
      <c r="H91" s="659">
        <f>SUM(H82:H90)+SUM(D82:D90)</f>
        <v>54060.01</v>
      </c>
      <c r="I91" s="132"/>
      <c r="J91" s="459"/>
    </row>
    <row r="92" spans="1:13" s="7" customFormat="1" ht="13.15" customHeight="1" thickBot="1">
      <c r="B92" s="56"/>
      <c r="C92" s="57"/>
      <c r="D92" s="57"/>
      <c r="E92" s="455"/>
      <c r="F92" s="61"/>
      <c r="G92" s="474" t="s">
        <v>5</v>
      </c>
      <c r="H92" s="475">
        <f>H91+E80</f>
        <v>64465.81</v>
      </c>
      <c r="I92" s="659"/>
      <c r="J92" s="459"/>
    </row>
    <row r="93" spans="1:13" s="7" customFormat="1" ht="13.15" customHeight="1">
      <c r="B93" s="56"/>
      <c r="C93" s="57"/>
      <c r="D93" s="9"/>
      <c r="E93" s="455"/>
      <c r="F93" s="58"/>
      <c r="G93" s="57"/>
      <c r="H93" s="659"/>
      <c r="I93" s="659"/>
      <c r="J93" s="459"/>
    </row>
    <row r="94" spans="1:13" s="7" customFormat="1" ht="13.15" customHeight="1">
      <c r="B94" s="56"/>
      <c r="C94" s="57"/>
      <c r="D94" s="8"/>
      <c r="E94" s="455"/>
      <c r="F94" s="61"/>
      <c r="G94" s="57"/>
      <c r="H94" s="659"/>
      <c r="I94" s="659"/>
      <c r="J94" s="459"/>
    </row>
    <row r="95" spans="1:13" s="7" customFormat="1" ht="13.15" customHeight="1">
      <c r="B95" s="56"/>
      <c r="C95" s="57"/>
      <c r="D95" s="8"/>
      <c r="E95" s="455"/>
      <c r="F95" s="61"/>
      <c r="G95" s="474"/>
      <c r="H95" s="513"/>
      <c r="I95" s="659"/>
      <c r="J95" s="459"/>
    </row>
    <row r="96" spans="1:13" s="7" customFormat="1" ht="13.15" customHeight="1">
      <c r="A96" s="9"/>
      <c r="B96" s="10"/>
      <c r="C96" s="9"/>
      <c r="D96" s="8"/>
      <c r="E96" s="455"/>
      <c r="F96" s="58"/>
      <c r="G96" s="57"/>
      <c r="H96" s="659"/>
      <c r="I96" s="659"/>
      <c r="J96" s="459"/>
    </row>
    <row r="97" spans="1:13" s="7" customFormat="1" ht="13.15" customHeight="1">
      <c r="A97" s="9"/>
      <c r="B97" s="10"/>
      <c r="C97" s="8"/>
      <c r="D97" s="8"/>
      <c r="E97" s="9"/>
      <c r="F97" s="9"/>
      <c r="G97" s="9"/>
      <c r="H97" s="9"/>
      <c r="I97" s="659"/>
      <c r="J97" s="459"/>
    </row>
    <row r="98" spans="1:13" s="7" customFormat="1" ht="13.15" customHeight="1">
      <c r="A98" s="9"/>
      <c r="B98" s="10"/>
      <c r="C98" s="8"/>
      <c r="D98" s="8"/>
      <c r="E98" s="9"/>
      <c r="F98" s="9"/>
      <c r="G98" s="9"/>
      <c r="H98" s="9"/>
      <c r="I98" s="659"/>
      <c r="J98" s="459"/>
    </row>
    <row r="99" spans="1:13" s="7" customFormat="1" ht="13.15" customHeight="1">
      <c r="A99" s="9"/>
      <c r="B99" s="10"/>
      <c r="C99" s="8"/>
      <c r="D99" s="8"/>
      <c r="E99" s="9"/>
      <c r="F99" s="9"/>
      <c r="G99" s="9"/>
      <c r="H99" s="9"/>
      <c r="I99" s="659"/>
      <c r="J99" s="459"/>
    </row>
    <row r="100" spans="1:13" s="7" customFormat="1" ht="13.15" customHeight="1">
      <c r="A100" s="9"/>
      <c r="B100" s="10"/>
      <c r="C100" s="8"/>
      <c r="D100" s="9"/>
      <c r="E100" s="9"/>
      <c r="F100" s="9"/>
      <c r="G100" s="9"/>
      <c r="H100" s="9"/>
      <c r="I100" s="659"/>
      <c r="J100" s="459"/>
    </row>
    <row r="101" spans="1:13" s="7" customFormat="1" ht="13.15" customHeight="1">
      <c r="A101" s="9"/>
      <c r="B101" s="10"/>
      <c r="C101" s="8"/>
      <c r="D101" s="9"/>
      <c r="E101" s="9"/>
      <c r="F101" s="9"/>
      <c r="G101" s="9"/>
      <c r="H101" s="9"/>
      <c r="I101" s="659"/>
      <c r="J101" s="459"/>
    </row>
    <row r="102" spans="1:13" s="9" customFormat="1" ht="12">
      <c r="B102" s="10"/>
      <c r="C102" s="8"/>
      <c r="M102" s="10"/>
    </row>
    <row r="103" spans="1:13" s="9" customFormat="1" ht="12">
      <c r="B103" s="10"/>
      <c r="M103" s="10"/>
    </row>
    <row r="104" spans="1:13" s="9" customFormat="1" ht="12">
      <c r="B104" s="10"/>
      <c r="M104" s="10"/>
    </row>
    <row r="105" spans="1:13" s="9" customFormat="1" ht="12">
      <c r="B105" s="10"/>
      <c r="M105" s="10"/>
    </row>
    <row r="106" spans="1:13" s="9" customFormat="1">
      <c r="B106" s="10"/>
      <c r="D106" s="5"/>
      <c r="M106" s="10"/>
    </row>
    <row r="107" spans="1:13" s="9" customFormat="1">
      <c r="B107" s="10"/>
      <c r="D107" s="5"/>
      <c r="M107" s="10"/>
    </row>
    <row r="108" spans="1:13" s="9" customFormat="1">
      <c r="B108" s="10"/>
      <c r="D108" s="5"/>
      <c r="M108" s="10"/>
    </row>
    <row r="109" spans="1:13" s="9" customFormat="1">
      <c r="B109" s="12"/>
      <c r="C109" s="5"/>
      <c r="D109" s="5"/>
      <c r="M109" s="10"/>
    </row>
    <row r="110" spans="1:13" s="9" customFormat="1">
      <c r="B110" s="12"/>
      <c r="C110" s="5"/>
      <c r="D110" s="5"/>
      <c r="E110" s="5"/>
      <c r="F110" s="5"/>
      <c r="G110" s="5"/>
      <c r="H110" s="5"/>
      <c r="M110" s="10"/>
    </row>
    <row r="111" spans="1:13" s="9" customFormat="1">
      <c r="B111" s="12"/>
      <c r="C111" s="5"/>
      <c r="D111" s="5"/>
      <c r="E111" s="5"/>
      <c r="F111" s="5"/>
      <c r="G111" s="5"/>
      <c r="H111" s="5"/>
      <c r="M111" s="10"/>
    </row>
    <row r="112" spans="1:13" s="9" customFormat="1">
      <c r="B112" s="12"/>
      <c r="C112" s="5"/>
      <c r="D112" s="5"/>
      <c r="E112" s="5"/>
      <c r="F112" s="5"/>
      <c r="G112" s="5"/>
      <c r="H112" s="5"/>
      <c r="M112" s="10"/>
    </row>
    <row r="113" spans="1:13" s="9" customFormat="1">
      <c r="A113" s="5"/>
      <c r="B113" s="12"/>
      <c r="C113" s="5"/>
      <c r="D113" s="5"/>
      <c r="E113" s="5"/>
      <c r="F113" s="5"/>
      <c r="G113" s="5"/>
      <c r="H113" s="5"/>
      <c r="M113" s="10"/>
    </row>
    <row r="114" spans="1:13" s="9" customFormat="1">
      <c r="A114" s="5"/>
      <c r="B114" s="12"/>
      <c r="C114" s="5"/>
      <c r="D114" s="5"/>
      <c r="E114" s="5"/>
      <c r="F114" s="5"/>
      <c r="G114" s="5"/>
      <c r="H114" s="5"/>
      <c r="M114" s="10"/>
    </row>
    <row r="115" spans="1:13" s="9" customFormat="1">
      <c r="A115" s="5"/>
      <c r="B115" s="12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10"/>
    </row>
    <row r="116" spans="1:13" s="9" customFormat="1">
      <c r="A116" s="5"/>
      <c r="B116" s="12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10"/>
    </row>
    <row r="117" spans="1:13" s="9" customFormat="1">
      <c r="A117" s="5"/>
      <c r="B117" s="12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10"/>
    </row>
    <row r="118" spans="1:13" s="9" customFormat="1">
      <c r="A118" s="5"/>
      <c r="B118" s="12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10"/>
    </row>
  </sheetData>
  <mergeCells count="9">
    <mergeCell ref="E47:F47"/>
    <mergeCell ref="C65:D65"/>
    <mergeCell ref="E66:F66"/>
    <mergeCell ref="A1:H1"/>
    <mergeCell ref="C4:D4"/>
    <mergeCell ref="E5:F5"/>
    <mergeCell ref="C26:D26"/>
    <mergeCell ref="E27:F27"/>
    <mergeCell ref="C46:D46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61" workbookViewId="0">
      <selection activeCell="D85" sqref="D85"/>
    </sheetView>
  </sheetViews>
  <sheetFormatPr defaultColWidth="8.85546875" defaultRowHeight="12.75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2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>
      <c r="A1" s="1022" t="s">
        <v>791</v>
      </c>
      <c r="B1" s="1022"/>
      <c r="C1" s="1022"/>
      <c r="D1" s="1022"/>
      <c r="E1" s="1022"/>
      <c r="F1" s="1022"/>
      <c r="G1" s="1022"/>
      <c r="H1" s="1022"/>
      <c r="I1" s="487"/>
      <c r="J1" s="487"/>
      <c r="K1" s="487"/>
      <c r="L1" s="487"/>
      <c r="M1" s="487"/>
    </row>
    <row r="2" spans="1:13" s="437" customFormat="1" ht="6.75" customHeight="1">
      <c r="B2" s="438"/>
      <c r="C2" s="439"/>
      <c r="D2" s="439"/>
      <c r="E2" s="440"/>
      <c r="F2" s="440"/>
      <c r="G2" s="440"/>
      <c r="H2" s="440"/>
      <c r="I2" s="440"/>
      <c r="J2" s="440"/>
      <c r="K2" s="440"/>
      <c r="L2" s="440"/>
      <c r="M2" s="440"/>
    </row>
    <row r="3" spans="1:13" ht="19.5" customHeight="1">
      <c r="A3" s="660"/>
      <c r="B3" s="432" t="s">
        <v>348</v>
      </c>
      <c r="C3" s="717" t="s">
        <v>792</v>
      </c>
      <c r="D3" s="457"/>
      <c r="E3" s="32"/>
      <c r="F3" s="32"/>
      <c r="G3" s="32"/>
      <c r="H3" s="32"/>
      <c r="I3" s="32"/>
      <c r="J3" s="32"/>
      <c r="K3" s="32"/>
      <c r="L3" s="32"/>
      <c r="M3" s="5"/>
    </row>
    <row r="4" spans="1:13" ht="19.5" customHeight="1">
      <c r="B4" s="432" t="s">
        <v>350</v>
      </c>
      <c r="C4" s="1018">
        <v>41885</v>
      </c>
      <c r="D4" s="1020"/>
      <c r="E4" s="32"/>
      <c r="F4" s="32"/>
      <c r="G4" s="32"/>
      <c r="H4" s="32"/>
      <c r="I4" s="32"/>
      <c r="J4" s="32"/>
      <c r="K4" s="32"/>
      <c r="L4" s="32"/>
      <c r="M4" s="5"/>
    </row>
    <row r="5" spans="1:13" ht="4.5" customHeight="1">
      <c r="B5" s="2"/>
      <c r="C5" s="76"/>
      <c r="D5" s="76"/>
      <c r="E5" s="1019"/>
      <c r="F5" s="1021"/>
      <c r="G5" s="3"/>
      <c r="H5" s="4"/>
      <c r="I5" s="4"/>
      <c r="J5" s="4"/>
      <c r="K5" s="4"/>
      <c r="L5" s="13"/>
      <c r="M5" s="4"/>
    </row>
    <row r="6" spans="1:13" s="6" customFormat="1" ht="13.5" thickBot="1">
      <c r="B6" s="433" t="s">
        <v>349</v>
      </c>
      <c r="C6" s="435" t="s">
        <v>1</v>
      </c>
      <c r="D6" s="435"/>
      <c r="E6" s="436" t="s">
        <v>2</v>
      </c>
      <c r="G6" s="433"/>
      <c r="H6" s="433"/>
      <c r="I6" s="318"/>
      <c r="J6" s="318"/>
    </row>
    <row r="7" spans="1:13">
      <c r="B7" s="125" t="s">
        <v>391</v>
      </c>
      <c r="C7" s="195" t="s">
        <v>44</v>
      </c>
      <c r="D7" s="891"/>
      <c r="E7" s="889">
        <v>1847.73</v>
      </c>
      <c r="G7" s="661"/>
      <c r="H7" s="662"/>
      <c r="I7" s="4"/>
      <c r="J7" s="4"/>
      <c r="M7" s="5"/>
    </row>
    <row r="8" spans="1:13">
      <c r="B8" s="563" t="s">
        <v>748</v>
      </c>
      <c r="C8" s="434" t="s">
        <v>41</v>
      </c>
      <c r="D8" s="892"/>
      <c r="E8" s="889">
        <v>1614.45</v>
      </c>
      <c r="G8" s="661"/>
      <c r="H8" s="662"/>
      <c r="I8" s="4"/>
      <c r="J8" s="4"/>
      <c r="M8" s="5"/>
    </row>
    <row r="9" spans="1:13">
      <c r="B9" s="563" t="s">
        <v>477</v>
      </c>
      <c r="C9" s="434" t="s">
        <v>351</v>
      </c>
      <c r="D9" s="892"/>
      <c r="E9" s="889">
        <v>452.24</v>
      </c>
      <c r="G9" s="661"/>
      <c r="H9" s="662"/>
      <c r="I9" s="4"/>
      <c r="J9" s="4"/>
      <c r="M9" s="5"/>
    </row>
    <row r="10" spans="1:13">
      <c r="B10" s="563" t="s">
        <v>3</v>
      </c>
      <c r="C10" s="434" t="s">
        <v>42</v>
      </c>
      <c r="D10" s="892"/>
      <c r="E10" s="889">
        <v>837.04</v>
      </c>
      <c r="F10" s="900"/>
      <c r="G10" s="661"/>
      <c r="H10" s="662"/>
      <c r="I10" s="4"/>
      <c r="J10" s="4"/>
      <c r="M10" s="5"/>
    </row>
    <row r="11" spans="1:13">
      <c r="B11" s="47" t="s">
        <v>4</v>
      </c>
      <c r="C11" s="75" t="s">
        <v>40</v>
      </c>
      <c r="D11" s="893"/>
      <c r="E11" s="890">
        <v>927.03</v>
      </c>
      <c r="G11" s="661"/>
      <c r="H11" s="662"/>
      <c r="I11" s="4"/>
      <c r="J11" s="4"/>
      <c r="M11" s="5"/>
    </row>
    <row r="12" spans="1:13">
      <c r="B12" s="47" t="s">
        <v>793</v>
      </c>
      <c r="C12" s="75" t="s">
        <v>794</v>
      </c>
      <c r="D12" s="893"/>
      <c r="E12" s="890">
        <v>316.8</v>
      </c>
      <c r="G12" s="661"/>
      <c r="H12" s="662"/>
      <c r="I12" s="4"/>
      <c r="J12" s="4"/>
      <c r="M12" s="5"/>
    </row>
    <row r="13" spans="1:13">
      <c r="B13" s="47" t="s">
        <v>393</v>
      </c>
      <c r="C13" s="75" t="s">
        <v>392</v>
      </c>
      <c r="D13" s="893"/>
      <c r="E13" s="890">
        <v>692</v>
      </c>
      <c r="F13" s="301"/>
      <c r="G13" s="661"/>
      <c r="H13" s="662"/>
      <c r="I13" s="4"/>
      <c r="J13" s="4"/>
      <c r="M13" s="5"/>
    </row>
    <row r="14" spans="1:13">
      <c r="B14" s="939" t="s">
        <v>784</v>
      </c>
      <c r="C14" s="940" t="s">
        <v>779</v>
      </c>
      <c r="D14" s="941"/>
      <c r="E14" s="898">
        <v>792</v>
      </c>
      <c r="F14" s="301"/>
      <c r="G14" s="661"/>
      <c r="H14" s="662"/>
      <c r="I14" s="4"/>
      <c r="J14" s="4"/>
      <c r="M14" s="5"/>
    </row>
    <row r="15" spans="1:13">
      <c r="B15" s="47" t="s">
        <v>785</v>
      </c>
      <c r="C15" s="75" t="s">
        <v>786</v>
      </c>
      <c r="D15" s="941"/>
      <c r="E15" s="898">
        <v>475.2</v>
      </c>
      <c r="F15" s="301"/>
      <c r="G15" s="661"/>
      <c r="H15" s="662"/>
      <c r="I15" s="4"/>
      <c r="J15" s="4"/>
      <c r="M15" s="5"/>
    </row>
    <row r="16" spans="1:13" ht="13.5" thickBot="1">
      <c r="B16" s="443" t="s">
        <v>365</v>
      </c>
      <c r="C16" s="920" t="s">
        <v>366</v>
      </c>
      <c r="D16" s="921"/>
      <c r="E16" s="452">
        <v>1188</v>
      </c>
      <c r="F16" s="301"/>
      <c r="G16" s="661"/>
      <c r="H16" s="662"/>
      <c r="I16" s="4"/>
      <c r="J16" s="4"/>
      <c r="M16" s="5"/>
    </row>
    <row r="17" spans="1:13" s="4" customFormat="1" ht="13.5" thickBot="1">
      <c r="B17" s="302"/>
      <c r="C17" s="441"/>
      <c r="D17" s="441"/>
      <c r="E17" s="449">
        <f>SUM(E7:E16)</f>
        <v>9142.49</v>
      </c>
      <c r="F17" s="442"/>
      <c r="H17" s="662"/>
    </row>
    <row r="18" spans="1:13">
      <c r="B18" s="567" t="s">
        <v>477</v>
      </c>
      <c r="C18" s="195" t="s">
        <v>285</v>
      </c>
      <c r="D18" s="195"/>
      <c r="E18" s="450">
        <v>500</v>
      </c>
      <c r="G18" s="4"/>
      <c r="H18" s="662"/>
      <c r="I18" s="4"/>
      <c r="J18" s="4"/>
      <c r="M18" s="5"/>
    </row>
    <row r="19" spans="1:13">
      <c r="B19" s="82" t="s">
        <v>11</v>
      </c>
      <c r="C19" s="138" t="s">
        <v>25</v>
      </c>
      <c r="D19" s="138"/>
      <c r="E19" s="454">
        <v>950</v>
      </c>
      <c r="G19" s="4"/>
      <c r="H19" s="662"/>
      <c r="I19" s="4"/>
      <c r="J19" s="4"/>
      <c r="M19" s="5"/>
    </row>
    <row r="20" spans="1:13" ht="13.5" thickBot="1">
      <c r="B20" s="126" t="s">
        <v>58</v>
      </c>
      <c r="C20" s="444" t="s">
        <v>59</v>
      </c>
      <c r="D20" s="444"/>
      <c r="E20" s="452">
        <v>952.5</v>
      </c>
      <c r="G20" s="4"/>
      <c r="H20" s="662"/>
      <c r="I20" s="4"/>
      <c r="J20" s="4"/>
      <c r="M20" s="5"/>
    </row>
    <row r="21" spans="1:13" ht="13.5" thickBot="1">
      <c r="B21" s="11"/>
      <c r="C21" s="445" t="s">
        <v>0</v>
      </c>
      <c r="D21" s="445"/>
      <c r="E21" s="453">
        <f>SUM(E17:E20)</f>
        <v>11544.99</v>
      </c>
      <c r="G21" s="663"/>
      <c r="H21" s="662"/>
      <c r="I21" s="4"/>
      <c r="J21" s="4"/>
      <c r="M21" s="5"/>
    </row>
    <row r="22" spans="1:13">
      <c r="B22" s="11"/>
      <c r="C22" s="445"/>
      <c r="D22" s="445"/>
      <c r="E22" s="623"/>
      <c r="M22" s="5"/>
    </row>
    <row r="23" spans="1:13" s="437" customFormat="1" ht="6.75" customHeight="1">
      <c r="B23" s="438"/>
      <c r="C23" s="439"/>
      <c r="D23" s="439"/>
      <c r="E23" s="440"/>
      <c r="F23" s="440"/>
      <c r="G23" s="440"/>
      <c r="H23" s="440"/>
      <c r="I23" s="440"/>
      <c r="J23" s="440"/>
      <c r="K23" s="440"/>
      <c r="L23" s="440"/>
      <c r="M23" s="440"/>
    </row>
    <row r="24" spans="1:13" ht="19.5" customHeight="1">
      <c r="A24" s="660"/>
      <c r="B24" s="432" t="s">
        <v>348</v>
      </c>
      <c r="C24" s="717" t="s">
        <v>248</v>
      </c>
      <c r="D24" s="717"/>
      <c r="E24" s="32"/>
      <c r="F24" s="32"/>
      <c r="G24" s="32"/>
      <c r="H24" s="32"/>
      <c r="I24" s="32"/>
      <c r="J24" s="32"/>
      <c r="K24" s="32"/>
      <c r="L24" s="32"/>
      <c r="M24" s="5"/>
    </row>
    <row r="25" spans="1:13" ht="19.5" customHeight="1">
      <c r="B25" s="432" t="s">
        <v>350</v>
      </c>
      <c r="C25" s="1018">
        <v>41892</v>
      </c>
      <c r="D25" s="1020"/>
      <c r="E25" s="32"/>
      <c r="F25" s="32"/>
      <c r="G25" s="32"/>
      <c r="H25" s="32"/>
      <c r="I25" s="32"/>
      <c r="J25" s="32"/>
      <c r="K25" s="32"/>
      <c r="L25" s="32"/>
      <c r="M25" s="5"/>
    </row>
    <row r="26" spans="1:13" ht="4.5" customHeight="1">
      <c r="B26" s="2"/>
      <c r="C26" s="76"/>
      <c r="D26" s="76"/>
      <c r="E26" s="1019"/>
      <c r="F26" s="1021"/>
      <c r="G26" s="3"/>
      <c r="H26" s="4"/>
      <c r="I26" s="4"/>
      <c r="J26" s="4"/>
      <c r="K26" s="4"/>
      <c r="L26" s="13"/>
      <c r="M26" s="4"/>
    </row>
    <row r="27" spans="1:13" s="6" customFormat="1" ht="13.5" thickBot="1">
      <c r="B27" s="433" t="s">
        <v>349</v>
      </c>
      <c r="C27" s="435" t="s">
        <v>1</v>
      </c>
      <c r="D27" s="435"/>
      <c r="E27" s="436" t="s">
        <v>2</v>
      </c>
      <c r="G27" s="318"/>
      <c r="H27" s="318"/>
      <c r="I27" s="318"/>
      <c r="J27" s="318"/>
    </row>
    <row r="28" spans="1:13">
      <c r="B28" s="125" t="s">
        <v>391</v>
      </c>
      <c r="C28" s="195" t="s">
        <v>44</v>
      </c>
      <c r="D28" s="891"/>
      <c r="E28" s="889">
        <v>1847.65</v>
      </c>
      <c r="M28" s="5"/>
    </row>
    <row r="29" spans="1:13">
      <c r="B29" s="563" t="s">
        <v>748</v>
      </c>
      <c r="C29" s="434" t="s">
        <v>41</v>
      </c>
      <c r="D29" s="892"/>
      <c r="E29" s="889">
        <v>1614.39</v>
      </c>
      <c r="M29" s="5"/>
    </row>
    <row r="30" spans="1:13">
      <c r="B30" s="563" t="s">
        <v>477</v>
      </c>
      <c r="C30" s="434" t="s">
        <v>351</v>
      </c>
      <c r="D30" s="892"/>
      <c r="E30" s="889">
        <v>552.24</v>
      </c>
      <c r="M30" s="5"/>
    </row>
    <row r="31" spans="1:13">
      <c r="B31" s="563" t="s">
        <v>3</v>
      </c>
      <c r="C31" s="434" t="s">
        <v>42</v>
      </c>
      <c r="D31" s="892"/>
      <c r="E31" s="889">
        <v>1122.1600000000001</v>
      </c>
      <c r="M31" s="5"/>
    </row>
    <row r="32" spans="1:13">
      <c r="B32" s="47" t="s">
        <v>4</v>
      </c>
      <c r="C32" s="75" t="s">
        <v>40</v>
      </c>
      <c r="D32" s="893"/>
      <c r="E32" s="890">
        <v>927.03</v>
      </c>
      <c r="M32" s="5"/>
    </row>
    <row r="33" spans="1:13">
      <c r="B33" s="47" t="s">
        <v>793</v>
      </c>
      <c r="C33" s="75" t="s">
        <v>794</v>
      </c>
      <c r="D33" s="893"/>
      <c r="E33" s="890">
        <v>1029.5999999999999</v>
      </c>
      <c r="M33" s="5"/>
    </row>
    <row r="34" spans="1:13">
      <c r="B34" s="47" t="s">
        <v>393</v>
      </c>
      <c r="C34" s="75" t="s">
        <v>392</v>
      </c>
      <c r="D34" s="893"/>
      <c r="E34" s="890">
        <v>929.6</v>
      </c>
      <c r="M34" s="5"/>
    </row>
    <row r="35" spans="1:13">
      <c r="B35" s="47" t="s">
        <v>784</v>
      </c>
      <c r="C35" s="75" t="s">
        <v>779</v>
      </c>
      <c r="D35" s="893"/>
      <c r="E35" s="890">
        <v>1029.5999999999999</v>
      </c>
      <c r="F35" s="301"/>
      <c r="G35" s="661"/>
      <c r="H35" s="662"/>
      <c r="I35" s="4"/>
      <c r="J35" s="4"/>
      <c r="M35" s="5"/>
    </row>
    <row r="36" spans="1:13" ht="13.5" thickBot="1">
      <c r="B36" s="942" t="s">
        <v>365</v>
      </c>
      <c r="C36" s="943" t="s">
        <v>366</v>
      </c>
      <c r="D36" s="944"/>
      <c r="E36" s="909">
        <v>990</v>
      </c>
      <c r="F36" s="301"/>
      <c r="M36" s="5"/>
    </row>
    <row r="37" spans="1:13" s="4" customFormat="1" ht="13.5" thickBot="1">
      <c r="B37" s="302"/>
      <c r="C37" s="441"/>
      <c r="D37" s="441"/>
      <c r="E37" s="449">
        <f>SUM(E28:E36)</f>
        <v>10042.27</v>
      </c>
      <c r="F37" s="442"/>
    </row>
    <row r="38" spans="1:13">
      <c r="B38" s="567" t="s">
        <v>477</v>
      </c>
      <c r="C38" s="195" t="s">
        <v>285</v>
      </c>
      <c r="D38" s="195"/>
      <c r="E38" s="450">
        <v>500</v>
      </c>
      <c r="M38" s="5"/>
    </row>
    <row r="39" spans="1:13">
      <c r="B39" s="82" t="s">
        <v>11</v>
      </c>
      <c r="C39" s="138" t="s">
        <v>25</v>
      </c>
      <c r="D39" s="138"/>
      <c r="E39" s="454">
        <v>950</v>
      </c>
      <c r="M39" s="5"/>
    </row>
    <row r="40" spans="1:13" ht="13.5" thickBot="1">
      <c r="B40" s="126" t="s">
        <v>58</v>
      </c>
      <c r="C40" s="444" t="s">
        <v>59</v>
      </c>
      <c r="D40" s="444"/>
      <c r="E40" s="452">
        <v>952.5</v>
      </c>
      <c r="M40" s="5"/>
    </row>
    <row r="41" spans="1:13" ht="13.5" thickBot="1">
      <c r="B41" s="11"/>
      <c r="C41" s="445" t="s">
        <v>0</v>
      </c>
      <c r="D41" s="445"/>
      <c r="E41" s="453">
        <f>SUM(E37:E40)</f>
        <v>12444.77</v>
      </c>
      <c r="M41" s="5"/>
    </row>
    <row r="42" spans="1:13">
      <c r="B42" s="11"/>
      <c r="C42" s="445"/>
      <c r="D42" s="445"/>
      <c r="E42" s="623"/>
      <c r="M42" s="5"/>
    </row>
    <row r="43" spans="1:13" s="437" customFormat="1" ht="6.75" customHeight="1">
      <c r="B43" s="438"/>
      <c r="C43" s="439"/>
      <c r="D43" s="439"/>
      <c r="E43" s="440"/>
      <c r="F43" s="440"/>
      <c r="G43" s="440"/>
      <c r="H43" s="440"/>
      <c r="I43" s="440"/>
      <c r="J43" s="440"/>
      <c r="K43" s="440"/>
      <c r="L43" s="440"/>
      <c r="M43" s="440"/>
    </row>
    <row r="44" spans="1:13" ht="19.5" customHeight="1">
      <c r="A44" s="660"/>
      <c r="B44" s="432" t="s">
        <v>348</v>
      </c>
      <c r="C44" s="717" t="s">
        <v>249</v>
      </c>
      <c r="D44" s="457"/>
      <c r="E44" s="32"/>
      <c r="F44" s="32"/>
      <c r="G44" s="32"/>
      <c r="H44" s="32"/>
      <c r="I44" s="32"/>
      <c r="J44" s="32"/>
      <c r="K44" s="32"/>
      <c r="L44" s="32"/>
      <c r="M44" s="5"/>
    </row>
    <row r="45" spans="1:13" ht="19.5" customHeight="1">
      <c r="B45" s="432" t="s">
        <v>350</v>
      </c>
      <c r="C45" s="1018">
        <v>41899</v>
      </c>
      <c r="D45" s="1018"/>
      <c r="E45" s="32"/>
      <c r="F45" s="32"/>
      <c r="G45" s="32"/>
      <c r="H45" s="32"/>
      <c r="I45" s="32"/>
      <c r="J45" s="32"/>
      <c r="K45" s="32"/>
      <c r="L45" s="32"/>
      <c r="M45" s="5"/>
    </row>
    <row r="46" spans="1:13" ht="4.5" customHeight="1">
      <c r="B46" s="2"/>
      <c r="C46" s="76"/>
      <c r="D46" s="76"/>
      <c r="E46" s="1019"/>
      <c r="F46" s="1019"/>
      <c r="G46" s="3"/>
      <c r="H46" s="4"/>
      <c r="I46" s="4"/>
      <c r="J46" s="4"/>
      <c r="K46" s="4"/>
      <c r="L46" s="13"/>
      <c r="M46" s="4"/>
    </row>
    <row r="47" spans="1:13" s="6" customFormat="1" ht="13.5" thickBot="1">
      <c r="B47" s="433" t="s">
        <v>349</v>
      </c>
      <c r="C47" s="435" t="s">
        <v>1</v>
      </c>
      <c r="D47" s="435"/>
      <c r="E47" s="436" t="s">
        <v>2</v>
      </c>
    </row>
    <row r="48" spans="1:13">
      <c r="B48" s="125" t="s">
        <v>391</v>
      </c>
      <c r="C48" s="195" t="s">
        <v>44</v>
      </c>
      <c r="D48" s="891"/>
      <c r="E48" s="889">
        <v>1847.65</v>
      </c>
      <c r="M48" s="5"/>
    </row>
    <row r="49" spans="1:13">
      <c r="B49" s="563" t="s">
        <v>748</v>
      </c>
      <c r="C49" s="434" t="s">
        <v>41</v>
      </c>
      <c r="D49" s="892"/>
      <c r="E49" s="889">
        <v>1614.46</v>
      </c>
      <c r="M49" s="5"/>
    </row>
    <row r="50" spans="1:13">
      <c r="B50" s="563" t="s">
        <v>477</v>
      </c>
      <c r="C50" s="434" t="s">
        <v>351</v>
      </c>
      <c r="D50" s="892"/>
      <c r="E50" s="889">
        <v>552.24</v>
      </c>
      <c r="M50" s="5"/>
    </row>
    <row r="51" spans="1:13">
      <c r="B51" s="563" t="s">
        <v>3</v>
      </c>
      <c r="C51" s="434" t="s">
        <v>42</v>
      </c>
      <c r="D51" s="892"/>
      <c r="E51" s="889">
        <v>1122.1600000000001</v>
      </c>
      <c r="F51" s="900"/>
      <c r="M51" s="5"/>
    </row>
    <row r="52" spans="1:13">
      <c r="B52" s="47" t="s">
        <v>4</v>
      </c>
      <c r="C52" s="75" t="s">
        <v>40</v>
      </c>
      <c r="D52" s="893"/>
      <c r="E52" s="890">
        <v>927.03</v>
      </c>
      <c r="M52" s="5"/>
    </row>
    <row r="53" spans="1:13">
      <c r="B53" s="47" t="s">
        <v>793</v>
      </c>
      <c r="C53" s="75" t="s">
        <v>794</v>
      </c>
      <c r="D53" s="893"/>
      <c r="E53" s="890">
        <v>1029.5999999999999</v>
      </c>
      <c r="M53" s="5"/>
    </row>
    <row r="54" spans="1:13">
      <c r="B54" s="47" t="s">
        <v>393</v>
      </c>
      <c r="C54" s="75" t="s">
        <v>392</v>
      </c>
      <c r="D54" s="893"/>
      <c r="E54" s="890">
        <v>929.6</v>
      </c>
      <c r="F54" s="301"/>
      <c r="M54" s="5"/>
    </row>
    <row r="55" spans="1:13">
      <c r="B55" s="47" t="s">
        <v>784</v>
      </c>
      <c r="C55" s="75" t="s">
        <v>779</v>
      </c>
      <c r="D55" s="893"/>
      <c r="E55" s="890">
        <v>940.5</v>
      </c>
      <c r="F55" s="301"/>
      <c r="G55" s="661"/>
      <c r="H55" s="662"/>
      <c r="I55" s="4"/>
      <c r="J55" s="4"/>
      <c r="M55" s="5"/>
    </row>
    <row r="56" spans="1:13" ht="13.5" thickBot="1">
      <c r="B56" s="942" t="s">
        <v>365</v>
      </c>
      <c r="C56" s="943" t="s">
        <v>366</v>
      </c>
      <c r="D56" s="944"/>
      <c r="E56" s="909">
        <v>990</v>
      </c>
      <c r="F56" s="301"/>
      <c r="M56" s="5"/>
    </row>
    <row r="57" spans="1:13" s="4" customFormat="1" ht="13.5" thickBot="1">
      <c r="B57" s="302"/>
      <c r="C57" s="441"/>
      <c r="D57" s="441"/>
      <c r="E57" s="449">
        <f>SUM(E48:E56)</f>
        <v>9953.24</v>
      </c>
      <c r="F57" s="442"/>
    </row>
    <row r="58" spans="1:13">
      <c r="B58" s="567" t="s">
        <v>477</v>
      </c>
      <c r="C58" s="195" t="s">
        <v>285</v>
      </c>
      <c r="D58" s="195"/>
      <c r="E58" s="450">
        <v>500</v>
      </c>
      <c r="M58" s="5"/>
    </row>
    <row r="59" spans="1:13">
      <c r="B59" s="82" t="s">
        <v>11</v>
      </c>
      <c r="C59" s="138" t="s">
        <v>25</v>
      </c>
      <c r="D59" s="138"/>
      <c r="E59" s="454">
        <v>950</v>
      </c>
      <c r="M59" s="5"/>
    </row>
    <row r="60" spans="1:13" ht="13.5" thickBot="1">
      <c r="B60" s="126" t="s">
        <v>58</v>
      </c>
      <c r="C60" s="444" t="s">
        <v>59</v>
      </c>
      <c r="D60" s="444"/>
      <c r="E60" s="452">
        <v>952.5</v>
      </c>
      <c r="M60" s="5"/>
    </row>
    <row r="61" spans="1:13" ht="13.5" thickBot="1">
      <c r="B61" s="11"/>
      <c r="C61" s="445" t="s">
        <v>0</v>
      </c>
      <c r="D61" s="445"/>
      <c r="E61" s="453">
        <f>SUM(E57:E60)</f>
        <v>12355.74</v>
      </c>
      <c r="M61" s="5"/>
    </row>
    <row r="62" spans="1:13" ht="12.75" customHeight="1">
      <c r="B62" s="11"/>
      <c r="C62" s="28"/>
      <c r="D62" s="28"/>
      <c r="E62" s="32"/>
      <c r="F62" s="32"/>
      <c r="G62" s="32"/>
      <c r="H62" s="32"/>
      <c r="I62" s="32"/>
      <c r="J62" s="32"/>
      <c r="K62" s="32"/>
      <c r="L62" s="32"/>
      <c r="M62" s="32"/>
    </row>
    <row r="63" spans="1:13" s="437" customFormat="1" ht="6.75" customHeight="1">
      <c r="B63" s="438"/>
      <c r="C63" s="439"/>
      <c r="D63" s="439"/>
      <c r="E63" s="440"/>
      <c r="F63" s="440"/>
      <c r="G63" s="440"/>
      <c r="H63" s="440"/>
      <c r="I63" s="440"/>
      <c r="J63" s="440"/>
      <c r="K63" s="440"/>
      <c r="L63" s="440"/>
      <c r="M63" s="440"/>
    </row>
    <row r="64" spans="1:13" ht="19.5" customHeight="1">
      <c r="A64" s="660"/>
      <c r="B64" s="432" t="s">
        <v>348</v>
      </c>
      <c r="C64" s="717" t="s">
        <v>222</v>
      </c>
      <c r="D64" s="457"/>
      <c r="E64" s="32"/>
      <c r="F64" s="32"/>
      <c r="G64" s="32"/>
      <c r="H64" s="32"/>
      <c r="I64" s="32"/>
      <c r="J64" s="32"/>
      <c r="K64" s="32"/>
      <c r="L64" s="32"/>
      <c r="M64" s="5"/>
    </row>
    <row r="65" spans="2:13" ht="19.5" customHeight="1">
      <c r="B65" s="432" t="s">
        <v>350</v>
      </c>
      <c r="C65" s="1018">
        <v>41906</v>
      </c>
      <c r="D65" s="1018"/>
      <c r="E65" s="32"/>
      <c r="F65" s="32"/>
      <c r="G65" s="32"/>
      <c r="H65" s="32"/>
      <c r="I65" s="32"/>
      <c r="J65" s="32"/>
      <c r="K65" s="32"/>
      <c r="L65" s="32"/>
      <c r="M65" s="5"/>
    </row>
    <row r="66" spans="2:13" ht="4.5" customHeight="1">
      <c r="B66" s="2"/>
      <c r="C66" s="76"/>
      <c r="D66" s="76"/>
      <c r="E66" s="1019"/>
      <c r="F66" s="1019"/>
      <c r="G66" s="3"/>
      <c r="H66" s="4"/>
      <c r="I66" s="4"/>
      <c r="J66" s="4"/>
      <c r="K66" s="4"/>
      <c r="L66" s="13"/>
      <c r="M66" s="4"/>
    </row>
    <row r="67" spans="2:13" s="6" customFormat="1" ht="13.5" thickBot="1">
      <c r="B67" s="433" t="s">
        <v>349</v>
      </c>
      <c r="C67" s="435" t="s">
        <v>1</v>
      </c>
      <c r="D67" s="435"/>
      <c r="E67" s="436" t="s">
        <v>2</v>
      </c>
    </row>
    <row r="68" spans="2:13">
      <c r="B68" s="125" t="s">
        <v>391</v>
      </c>
      <c r="C68" s="195" t="s">
        <v>44</v>
      </c>
      <c r="D68" s="891"/>
      <c r="E68" s="889">
        <v>2740.3</v>
      </c>
      <c r="M68" s="5"/>
    </row>
    <row r="69" spans="2:13">
      <c r="B69" s="563" t="s">
        <v>748</v>
      </c>
      <c r="C69" s="434" t="s">
        <v>41</v>
      </c>
      <c r="D69" s="892"/>
      <c r="E69" s="889">
        <v>1614.5</v>
      </c>
      <c r="M69" s="5"/>
    </row>
    <row r="70" spans="2:13">
      <c r="B70" s="563" t="s">
        <v>477</v>
      </c>
      <c r="C70" s="434" t="s">
        <v>351</v>
      </c>
      <c r="D70" s="892"/>
      <c r="E70" s="889">
        <v>552.24</v>
      </c>
      <c r="M70" s="5"/>
    </row>
    <row r="71" spans="2:13">
      <c r="B71" s="563" t="s">
        <v>3</v>
      </c>
      <c r="C71" s="434" t="s">
        <v>42</v>
      </c>
      <c r="D71" s="892"/>
      <c r="E71" s="889">
        <v>1122.1600000000001</v>
      </c>
      <c r="F71" s="900"/>
      <c r="M71" s="5"/>
    </row>
    <row r="72" spans="2:13">
      <c r="B72" s="47" t="s">
        <v>4</v>
      </c>
      <c r="C72" s="75" t="s">
        <v>40</v>
      </c>
      <c r="D72" s="893"/>
      <c r="E72" s="890">
        <v>1018.47</v>
      </c>
      <c r="M72" s="5"/>
    </row>
    <row r="73" spans="2:13">
      <c r="B73" s="47" t="s">
        <v>793</v>
      </c>
      <c r="C73" s="75" t="s">
        <v>794</v>
      </c>
      <c r="D73" s="893"/>
      <c r="E73" s="890">
        <v>1237.5</v>
      </c>
      <c r="M73" s="5"/>
    </row>
    <row r="74" spans="2:13">
      <c r="B74" s="47" t="s">
        <v>393</v>
      </c>
      <c r="C74" s="75" t="s">
        <v>392</v>
      </c>
      <c r="D74" s="893"/>
      <c r="E74" s="890">
        <v>929.6</v>
      </c>
      <c r="F74" s="301"/>
      <c r="M74" s="5"/>
    </row>
    <row r="75" spans="2:13">
      <c r="B75" s="47" t="s">
        <v>784</v>
      </c>
      <c r="C75" s="75" t="s">
        <v>779</v>
      </c>
      <c r="D75" s="893"/>
      <c r="E75" s="890">
        <v>1029.5999999999999</v>
      </c>
      <c r="F75" s="301"/>
      <c r="G75" s="661"/>
      <c r="H75" s="662"/>
      <c r="I75" s="4"/>
      <c r="J75" s="4"/>
      <c r="M75" s="5"/>
    </row>
    <row r="76" spans="2:13" ht="13.5" thickBot="1">
      <c r="B76" s="942" t="s">
        <v>365</v>
      </c>
      <c r="C76" s="943" t="s">
        <v>366</v>
      </c>
      <c r="D76" s="944"/>
      <c r="E76" s="909">
        <v>1017.85</v>
      </c>
      <c r="F76" s="301"/>
      <c r="M76" s="5"/>
    </row>
    <row r="77" spans="2:13" s="4" customFormat="1" ht="13.5" thickBot="1">
      <c r="B77" s="302"/>
      <c r="C77" s="441"/>
      <c r="D77" s="441"/>
      <c r="E77" s="449">
        <f>SUM(E68:E76)</f>
        <v>11262.220000000001</v>
      </c>
      <c r="F77" s="442"/>
    </row>
    <row r="78" spans="2:13">
      <c r="B78" s="567" t="s">
        <v>477</v>
      </c>
      <c r="C78" s="195" t="s">
        <v>285</v>
      </c>
      <c r="D78" s="195"/>
      <c r="E78" s="450">
        <v>500</v>
      </c>
      <c r="M78" s="5"/>
    </row>
    <row r="79" spans="2:13">
      <c r="B79" s="82" t="s">
        <v>11</v>
      </c>
      <c r="C79" s="138" t="s">
        <v>25</v>
      </c>
      <c r="D79" s="138"/>
      <c r="E79" s="454">
        <v>950</v>
      </c>
      <c r="M79" s="5"/>
    </row>
    <row r="80" spans="2:13" ht="13.5" thickBot="1">
      <c r="B80" s="126" t="s">
        <v>58</v>
      </c>
      <c r="C80" s="444" t="s">
        <v>59</v>
      </c>
      <c r="D80" s="444"/>
      <c r="E80" s="452">
        <v>952.5</v>
      </c>
      <c r="M80" s="5"/>
    </row>
    <row r="81" spans="1:13" ht="13.5" thickBot="1">
      <c r="B81" s="11"/>
      <c r="C81" s="445" t="s">
        <v>0</v>
      </c>
      <c r="D81" s="445"/>
      <c r="E81" s="453">
        <f>SUM(E77:E80)</f>
        <v>13664.720000000001</v>
      </c>
      <c r="M81" s="5"/>
    </row>
    <row r="82" spans="1:13">
      <c r="B82" s="11"/>
      <c r="C82" s="445"/>
      <c r="D82" s="445"/>
      <c r="E82" s="623"/>
      <c r="M82" s="5"/>
    </row>
    <row r="83" spans="1:13" s="7" customFormat="1" ht="13.15" customHeight="1">
      <c r="A83" s="56" t="s">
        <v>30</v>
      </c>
      <c r="B83" s="57" t="s">
        <v>31</v>
      </c>
      <c r="C83" s="57"/>
      <c r="D83" s="455">
        <f>Nikki!E1352</f>
        <v>8483.35</v>
      </c>
      <c r="E83" s="908"/>
      <c r="F83" s="56" t="s">
        <v>38</v>
      </c>
      <c r="G83" s="57" t="s">
        <v>39</v>
      </c>
      <c r="H83" s="455">
        <v>1200</v>
      </c>
      <c r="I83" s="938"/>
      <c r="J83" s="458"/>
      <c r="K83" s="458"/>
      <c r="L83" s="458"/>
      <c r="M83" s="458"/>
    </row>
    <row r="84" spans="1:13" s="7" customFormat="1" ht="13.15" customHeight="1">
      <c r="A84" s="56" t="s">
        <v>32</v>
      </c>
      <c r="B84" s="57" t="s">
        <v>131</v>
      </c>
      <c r="C84" s="57"/>
      <c r="D84" s="455">
        <f>Nikki!E1353</f>
        <v>3792.2000000000003</v>
      </c>
      <c r="E84" s="908"/>
      <c r="F84" s="56" t="s">
        <v>38</v>
      </c>
      <c r="G84" s="57" t="s">
        <v>107</v>
      </c>
      <c r="H84" s="455">
        <f>120000*15%/12</f>
        <v>1500</v>
      </c>
      <c r="I84" s="938"/>
      <c r="J84" s="458"/>
      <c r="K84" s="458"/>
      <c r="L84" s="458"/>
      <c r="M84" s="458"/>
    </row>
    <row r="85" spans="1:13" s="7" customFormat="1" ht="13.15" customHeight="1">
      <c r="A85" s="56" t="s">
        <v>33</v>
      </c>
      <c r="B85" s="57" t="s">
        <v>34</v>
      </c>
      <c r="C85" s="57"/>
      <c r="D85" s="455">
        <v>311.83999999999997</v>
      </c>
      <c r="E85" s="455"/>
      <c r="F85" s="56" t="s">
        <v>45</v>
      </c>
      <c r="G85" s="57" t="s">
        <v>39</v>
      </c>
      <c r="H85" s="455">
        <v>1800</v>
      </c>
      <c r="I85" s="938"/>
      <c r="J85" s="458"/>
      <c r="K85" s="458"/>
      <c r="L85" s="458"/>
      <c r="M85" s="458"/>
    </row>
    <row r="86" spans="1:13" s="7" customFormat="1" ht="13.15" customHeight="1">
      <c r="A86" s="56" t="s">
        <v>736</v>
      </c>
      <c r="B86" s="57" t="s">
        <v>737</v>
      </c>
      <c r="C86" s="57"/>
      <c r="D86" s="455">
        <v>764.27</v>
      </c>
      <c r="E86" s="455"/>
      <c r="F86" s="56" t="s">
        <v>32</v>
      </c>
      <c r="G86" s="57" t="s">
        <v>108</v>
      </c>
      <c r="H86" s="455">
        <v>1014</v>
      </c>
      <c r="I86" s="458"/>
      <c r="J86" s="458"/>
      <c r="K86" s="458"/>
      <c r="L86" s="458"/>
      <c r="M86" s="458"/>
    </row>
    <row r="87" spans="1:13" s="7" customFormat="1" ht="13.15" customHeight="1">
      <c r="A87" s="56" t="s">
        <v>736</v>
      </c>
      <c r="B87" s="57" t="s">
        <v>738</v>
      </c>
      <c r="C87" s="57"/>
      <c r="D87" s="455">
        <v>472.63</v>
      </c>
      <c r="E87" s="455"/>
      <c r="F87" s="56" t="s">
        <v>230</v>
      </c>
      <c r="G87" s="57" t="s">
        <v>232</v>
      </c>
      <c r="H87" s="455">
        <v>500</v>
      </c>
      <c r="I87" s="938"/>
      <c r="J87" s="458"/>
      <c r="K87" s="458"/>
      <c r="L87" s="458"/>
      <c r="M87" s="458"/>
    </row>
    <row r="88" spans="1:13" s="7" customFormat="1" ht="13.15" customHeight="1">
      <c r="A88" s="56" t="s">
        <v>736</v>
      </c>
      <c r="B88" s="57" t="s">
        <v>739</v>
      </c>
      <c r="C88" s="57"/>
      <c r="D88" s="455">
        <v>86.94</v>
      </c>
      <c r="E88" s="455"/>
      <c r="F88" s="56" t="s">
        <v>231</v>
      </c>
      <c r="G88" s="57" t="s">
        <v>233</v>
      </c>
      <c r="H88" s="455">
        <v>500</v>
      </c>
      <c r="I88" s="938"/>
      <c r="J88" s="458"/>
      <c r="K88" s="458"/>
      <c r="L88" s="458"/>
      <c r="M88" s="458"/>
    </row>
    <row r="89" spans="1:13" s="7" customFormat="1" ht="13.15" customHeight="1">
      <c r="A89" s="56" t="s">
        <v>36</v>
      </c>
      <c r="B89" s="57" t="s">
        <v>37</v>
      </c>
      <c r="C89" s="455"/>
      <c r="D89" s="455">
        <v>8000</v>
      </c>
      <c r="E89" s="908"/>
      <c r="F89" s="56" t="s">
        <v>33</v>
      </c>
      <c r="G89" s="57" t="s">
        <v>46</v>
      </c>
      <c r="H89" s="455">
        <v>11000</v>
      </c>
      <c r="I89" s="455"/>
      <c r="J89" s="459"/>
    </row>
    <row r="90" spans="1:13" s="7" customFormat="1" ht="13.15" customHeight="1">
      <c r="A90" s="56" t="s">
        <v>35</v>
      </c>
      <c r="B90" s="57" t="s">
        <v>186</v>
      </c>
      <c r="C90" s="455"/>
      <c r="D90" s="455">
        <v>1000</v>
      </c>
      <c r="E90" s="455"/>
      <c r="F90" s="139" t="s">
        <v>65</v>
      </c>
      <c r="G90" s="57" t="s">
        <v>47</v>
      </c>
      <c r="H90" s="455">
        <v>11000</v>
      </c>
      <c r="I90" s="455"/>
      <c r="J90" s="459"/>
    </row>
    <row r="91" spans="1:13" s="7" customFormat="1" ht="13.15" customHeight="1" thickBot="1">
      <c r="A91" s="56"/>
      <c r="B91" s="57" t="s">
        <v>106</v>
      </c>
      <c r="C91" s="455"/>
      <c r="D91" s="455">
        <v>5000</v>
      </c>
      <c r="E91" s="455"/>
      <c r="F91" s="56"/>
      <c r="G91" s="57"/>
      <c r="H91" s="456"/>
      <c r="I91" s="659"/>
      <c r="J91" s="459"/>
    </row>
    <row r="92" spans="1:13" s="7" customFormat="1" ht="13.15" customHeight="1" thickTop="1" thickBot="1">
      <c r="B92" s="56"/>
      <c r="C92" s="57"/>
      <c r="D92" s="57"/>
      <c r="E92" s="455"/>
      <c r="F92" s="61"/>
      <c r="G92" s="57"/>
      <c r="H92" s="659">
        <f>SUM(H83:H91)+SUM(D83:D91)</f>
        <v>56425.23</v>
      </c>
      <c r="I92" s="132"/>
      <c r="J92" s="459"/>
    </row>
    <row r="93" spans="1:13" s="7" customFormat="1" ht="13.15" customHeight="1" thickBot="1">
      <c r="B93" s="56"/>
      <c r="C93" s="57"/>
      <c r="D93" s="57"/>
      <c r="E93" s="455"/>
      <c r="F93" s="61"/>
      <c r="G93" s="474" t="s">
        <v>5</v>
      </c>
      <c r="H93" s="475">
        <f>H92+E81</f>
        <v>70089.950000000012</v>
      </c>
      <c r="I93" s="659"/>
      <c r="J93" s="459"/>
    </row>
    <row r="94" spans="1:13" s="7" customFormat="1" ht="13.15" customHeight="1">
      <c r="B94" s="56"/>
      <c r="C94" s="57"/>
      <c r="D94" s="9"/>
      <c r="E94" s="455"/>
      <c r="F94" s="58"/>
      <c r="G94" s="57"/>
      <c r="H94" s="659"/>
      <c r="I94" s="659"/>
      <c r="J94" s="459"/>
    </row>
    <row r="95" spans="1:13" s="7" customFormat="1" ht="13.15" customHeight="1">
      <c r="B95" s="56"/>
      <c r="C95" s="57"/>
      <c r="D95" s="8"/>
      <c r="E95" s="455"/>
      <c r="F95" s="61"/>
      <c r="G95" s="57"/>
      <c r="H95" s="659"/>
      <c r="I95" s="659"/>
      <c r="J95" s="459"/>
    </row>
    <row r="96" spans="1:13" s="7" customFormat="1" ht="13.15" customHeight="1">
      <c r="B96" s="56"/>
      <c r="C96" s="57"/>
      <c r="D96" s="8"/>
      <c r="E96" s="455"/>
      <c r="F96" s="61"/>
      <c r="G96" s="474"/>
      <c r="H96" s="513"/>
      <c r="I96" s="659"/>
      <c r="J96" s="459"/>
    </row>
    <row r="97" spans="1:13" s="7" customFormat="1" ht="13.15" customHeight="1">
      <c r="A97" s="9"/>
      <c r="B97" s="10"/>
      <c r="C97" s="9"/>
      <c r="D97" s="8"/>
      <c r="E97" s="455"/>
      <c r="F97" s="58"/>
      <c r="G97" s="57"/>
      <c r="H97" s="659"/>
      <c r="I97" s="659"/>
      <c r="J97" s="459"/>
    </row>
    <row r="98" spans="1:13" s="7" customFormat="1" ht="13.15" customHeight="1">
      <c r="A98" s="9"/>
      <c r="B98" s="10"/>
      <c r="C98" s="8"/>
      <c r="D98" s="8"/>
      <c r="E98" s="9"/>
      <c r="F98" s="9"/>
      <c r="G98" s="9"/>
      <c r="H98" s="9"/>
      <c r="I98" s="659"/>
      <c r="J98" s="459"/>
    </row>
    <row r="99" spans="1:13" s="7" customFormat="1" ht="13.15" customHeight="1">
      <c r="A99" s="9"/>
      <c r="B99" s="10"/>
      <c r="C99" s="8"/>
      <c r="D99" s="8"/>
      <c r="E99" s="9"/>
      <c r="F99" s="9"/>
      <c r="G99" s="9"/>
      <c r="H99" s="9"/>
      <c r="I99" s="659"/>
      <c r="J99" s="459"/>
    </row>
    <row r="100" spans="1:13" s="7" customFormat="1" ht="13.15" customHeight="1">
      <c r="A100" s="9"/>
      <c r="B100" s="10"/>
      <c r="C100" s="8"/>
      <c r="D100" s="8"/>
      <c r="E100" s="9"/>
      <c r="F100" s="9"/>
      <c r="G100" s="9"/>
      <c r="H100" s="9"/>
      <c r="I100" s="659"/>
      <c r="J100" s="459"/>
    </row>
    <row r="101" spans="1:13" s="7" customFormat="1" ht="13.15" customHeight="1">
      <c r="A101" s="9"/>
      <c r="B101" s="10"/>
      <c r="C101" s="8"/>
      <c r="D101" s="9"/>
      <c r="E101" s="9"/>
      <c r="F101" s="9"/>
      <c r="G101" s="9"/>
      <c r="H101" s="9"/>
      <c r="I101" s="659"/>
      <c r="J101" s="459"/>
    </row>
    <row r="102" spans="1:13" s="7" customFormat="1" ht="13.15" customHeight="1">
      <c r="A102" s="9"/>
      <c r="B102" s="10"/>
      <c r="C102" s="8"/>
      <c r="D102" s="9"/>
      <c r="E102" s="9"/>
      <c r="F102" s="9"/>
      <c r="G102" s="9"/>
      <c r="H102" s="9"/>
      <c r="I102" s="659"/>
      <c r="J102" s="459"/>
    </row>
    <row r="103" spans="1:13" s="9" customFormat="1" ht="12">
      <c r="B103" s="10"/>
      <c r="C103" s="8"/>
      <c r="M103" s="10"/>
    </row>
    <row r="104" spans="1:13" s="9" customFormat="1" ht="12">
      <c r="B104" s="10"/>
      <c r="M104" s="10"/>
    </row>
    <row r="105" spans="1:13" s="9" customFormat="1" ht="12">
      <c r="B105" s="10"/>
      <c r="M105" s="10"/>
    </row>
    <row r="106" spans="1:13" s="9" customFormat="1" ht="12">
      <c r="B106" s="10"/>
      <c r="M106" s="10"/>
    </row>
    <row r="107" spans="1:13" s="9" customFormat="1">
      <c r="B107" s="10"/>
      <c r="D107" s="5"/>
      <c r="M107" s="10"/>
    </row>
    <row r="108" spans="1:13" s="9" customFormat="1">
      <c r="B108" s="10"/>
      <c r="D108" s="5"/>
      <c r="M108" s="10"/>
    </row>
    <row r="109" spans="1:13" s="9" customFormat="1">
      <c r="B109" s="10"/>
      <c r="D109" s="5"/>
      <c r="M109" s="10"/>
    </row>
    <row r="110" spans="1:13" s="9" customFormat="1">
      <c r="B110" s="12"/>
      <c r="C110" s="5"/>
      <c r="D110" s="5"/>
      <c r="M110" s="10"/>
    </row>
    <row r="111" spans="1:13" s="9" customFormat="1">
      <c r="B111" s="12"/>
      <c r="C111" s="5"/>
      <c r="D111" s="5"/>
      <c r="E111" s="5"/>
      <c r="F111" s="5"/>
      <c r="G111" s="5"/>
      <c r="H111" s="5"/>
      <c r="M111" s="10"/>
    </row>
    <row r="112" spans="1:13" s="9" customFormat="1">
      <c r="B112" s="12"/>
      <c r="C112" s="5"/>
      <c r="D112" s="5"/>
      <c r="E112" s="5"/>
      <c r="F112" s="5"/>
      <c r="G112" s="5"/>
      <c r="H112" s="5"/>
      <c r="M112" s="10"/>
    </row>
    <row r="113" spans="1:13" s="9" customFormat="1">
      <c r="B113" s="12"/>
      <c r="C113" s="5"/>
      <c r="D113" s="5"/>
      <c r="E113" s="5"/>
      <c r="F113" s="5"/>
      <c r="G113" s="5"/>
      <c r="H113" s="5"/>
      <c r="M113" s="10"/>
    </row>
    <row r="114" spans="1:13" s="9" customFormat="1">
      <c r="A114" s="5"/>
      <c r="B114" s="12"/>
      <c r="C114" s="5"/>
      <c r="D114" s="5"/>
      <c r="E114" s="5"/>
      <c r="F114" s="5"/>
      <c r="G114" s="5"/>
      <c r="H114" s="5"/>
      <c r="M114" s="10"/>
    </row>
    <row r="115" spans="1:13" s="9" customFormat="1">
      <c r="A115" s="5"/>
      <c r="B115" s="12"/>
      <c r="C115" s="5"/>
      <c r="D115" s="5"/>
      <c r="E115" s="5"/>
      <c r="F115" s="5"/>
      <c r="G115" s="5"/>
      <c r="H115" s="5"/>
      <c r="M115" s="10"/>
    </row>
    <row r="116" spans="1:13" s="9" customFormat="1">
      <c r="A116" s="5"/>
      <c r="B116" s="12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10"/>
    </row>
    <row r="117" spans="1:13" s="9" customFormat="1">
      <c r="A117" s="5"/>
      <c r="B117" s="12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10"/>
    </row>
    <row r="118" spans="1:13" s="9" customFormat="1">
      <c r="A118" s="5"/>
      <c r="B118" s="12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10"/>
    </row>
    <row r="119" spans="1:13" s="9" customFormat="1">
      <c r="A119" s="5"/>
      <c r="B119" s="12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10"/>
    </row>
  </sheetData>
  <mergeCells count="9">
    <mergeCell ref="E46:F46"/>
    <mergeCell ref="C65:D65"/>
    <mergeCell ref="E66:F66"/>
    <mergeCell ref="A1:H1"/>
    <mergeCell ref="C4:D4"/>
    <mergeCell ref="E5:F5"/>
    <mergeCell ref="C25:D25"/>
    <mergeCell ref="E26:F26"/>
    <mergeCell ref="C45:D45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"/>
  <sheetViews>
    <sheetView workbookViewId="0">
      <selection activeCell="E100" sqref="E100"/>
    </sheetView>
  </sheetViews>
  <sheetFormatPr defaultColWidth="8.85546875" defaultRowHeight="12.75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2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>
      <c r="A1" s="1022" t="s">
        <v>801</v>
      </c>
      <c r="B1" s="1022"/>
      <c r="C1" s="1022"/>
      <c r="D1" s="1022"/>
      <c r="E1" s="1022"/>
      <c r="F1" s="1022"/>
      <c r="G1" s="1022"/>
      <c r="H1" s="1022"/>
      <c r="I1" s="487"/>
      <c r="J1" s="487"/>
      <c r="K1" s="487"/>
      <c r="L1" s="487"/>
      <c r="M1" s="487"/>
    </row>
    <row r="2" spans="1:13" s="437" customFormat="1" ht="6.75" customHeight="1">
      <c r="B2" s="438"/>
      <c r="C2" s="439"/>
      <c r="D2" s="439"/>
      <c r="E2" s="440"/>
      <c r="F2" s="440"/>
      <c r="G2" s="440"/>
      <c r="H2" s="440"/>
      <c r="I2" s="440"/>
      <c r="J2" s="440"/>
      <c r="K2" s="440"/>
      <c r="L2" s="440"/>
      <c r="M2" s="440"/>
    </row>
    <row r="3" spans="1:13" ht="19.5" customHeight="1">
      <c r="A3" s="660"/>
      <c r="B3" s="432" t="s">
        <v>348</v>
      </c>
      <c r="C3" s="717" t="s">
        <v>371</v>
      </c>
      <c r="D3" s="457"/>
      <c r="E3" s="32"/>
      <c r="F3" s="32"/>
      <c r="G3" s="32"/>
      <c r="H3" s="32"/>
      <c r="I3" s="32"/>
      <c r="J3" s="32"/>
      <c r="K3" s="32"/>
      <c r="L3" s="32"/>
      <c r="M3" s="5"/>
    </row>
    <row r="4" spans="1:13" ht="19.5" customHeight="1">
      <c r="B4" s="432" t="s">
        <v>350</v>
      </c>
      <c r="C4" s="1018">
        <v>41913</v>
      </c>
      <c r="D4" s="1020"/>
      <c r="E4" s="32"/>
      <c r="F4" s="32"/>
      <c r="G4" s="32"/>
      <c r="H4" s="32"/>
      <c r="I4" s="32"/>
      <c r="J4" s="32"/>
      <c r="K4" s="32"/>
      <c r="L4" s="32"/>
      <c r="M4" s="5"/>
    </row>
    <row r="5" spans="1:13" ht="4.5" customHeight="1">
      <c r="B5" s="2"/>
      <c r="C5" s="76"/>
      <c r="D5" s="76"/>
      <c r="E5" s="1019"/>
      <c r="F5" s="1021"/>
      <c r="G5" s="3"/>
      <c r="H5" s="4"/>
      <c r="I5" s="4"/>
      <c r="J5" s="4"/>
      <c r="K5" s="4"/>
      <c r="L5" s="13"/>
      <c r="M5" s="4"/>
    </row>
    <row r="6" spans="1:13" s="6" customFormat="1" ht="13.5" thickBot="1">
      <c r="B6" s="433" t="s">
        <v>349</v>
      </c>
      <c r="C6" s="435" t="s">
        <v>1</v>
      </c>
      <c r="D6" s="435"/>
      <c r="E6" s="436" t="s">
        <v>2</v>
      </c>
      <c r="G6" s="433"/>
      <c r="H6" s="433"/>
      <c r="I6" s="318"/>
      <c r="J6" s="318"/>
    </row>
    <row r="7" spans="1:13">
      <c r="B7" s="125" t="s">
        <v>391</v>
      </c>
      <c r="C7" s="195" t="s">
        <v>44</v>
      </c>
      <c r="D7" s="891"/>
      <c r="E7" s="889">
        <v>2080.5100000000002</v>
      </c>
      <c r="G7" s="661"/>
      <c r="H7" s="662"/>
      <c r="I7" s="4"/>
      <c r="J7" s="4"/>
      <c r="M7" s="5"/>
    </row>
    <row r="8" spans="1:13">
      <c r="B8" s="563" t="s">
        <v>748</v>
      </c>
      <c r="C8" s="434" t="s">
        <v>41</v>
      </c>
      <c r="D8" s="892"/>
      <c r="E8" s="889">
        <v>1614.46</v>
      </c>
      <c r="G8" s="661"/>
      <c r="H8" s="662"/>
      <c r="I8" s="4"/>
      <c r="J8" s="4"/>
      <c r="M8" s="5"/>
    </row>
    <row r="9" spans="1:13">
      <c r="B9" s="563" t="s">
        <v>477</v>
      </c>
      <c r="C9" s="434" t="s">
        <v>351</v>
      </c>
      <c r="D9" s="892"/>
      <c r="E9" s="889">
        <v>652.24</v>
      </c>
      <c r="G9" s="661"/>
      <c r="H9" s="662"/>
      <c r="I9" s="4"/>
      <c r="J9" s="4"/>
      <c r="M9" s="5"/>
    </row>
    <row r="10" spans="1:13">
      <c r="B10" s="563" t="s">
        <v>3</v>
      </c>
      <c r="C10" s="434" t="s">
        <v>42</v>
      </c>
      <c r="D10" s="892"/>
      <c r="E10" s="889">
        <v>837.04</v>
      </c>
      <c r="F10" s="900"/>
      <c r="G10" s="661"/>
      <c r="H10" s="662"/>
      <c r="I10" s="4"/>
      <c r="J10" s="4"/>
      <c r="M10" s="5"/>
    </row>
    <row r="11" spans="1:13">
      <c r="B11" s="47" t="s">
        <v>4</v>
      </c>
      <c r="C11" s="75" t="s">
        <v>40</v>
      </c>
      <c r="D11" s="893"/>
      <c r="E11" s="890">
        <v>927.03</v>
      </c>
      <c r="G11" s="661"/>
      <c r="H11" s="662"/>
      <c r="I11" s="4"/>
      <c r="J11" s="4"/>
      <c r="M11" s="5"/>
    </row>
    <row r="12" spans="1:13">
      <c r="B12" s="47" t="s">
        <v>793</v>
      </c>
      <c r="C12" s="75" t="s">
        <v>794</v>
      </c>
      <c r="D12" s="893"/>
      <c r="E12" s="890">
        <v>1029.5999999999999</v>
      </c>
      <c r="G12" s="661"/>
      <c r="H12" s="662"/>
      <c r="I12" s="4"/>
      <c r="J12" s="4"/>
      <c r="M12" s="5"/>
    </row>
    <row r="13" spans="1:13">
      <c r="B13" s="47" t="s">
        <v>393</v>
      </c>
      <c r="C13" s="75" t="s">
        <v>392</v>
      </c>
      <c r="D13" s="893"/>
      <c r="E13" s="890">
        <v>692</v>
      </c>
      <c r="F13" s="301"/>
      <c r="G13" s="661"/>
      <c r="H13" s="662"/>
      <c r="I13" s="4"/>
      <c r="J13" s="4"/>
      <c r="M13" s="5"/>
    </row>
    <row r="14" spans="1:13">
      <c r="B14" s="939" t="s">
        <v>784</v>
      </c>
      <c r="C14" s="940" t="s">
        <v>779</v>
      </c>
      <c r="D14" s="941"/>
      <c r="E14" s="898">
        <v>792</v>
      </c>
      <c r="F14" s="301"/>
      <c r="G14" s="661"/>
      <c r="H14" s="662"/>
      <c r="I14" s="4"/>
      <c r="J14" s="4"/>
      <c r="M14" s="5"/>
    </row>
    <row r="15" spans="1:13" ht="13.5" thickBot="1">
      <c r="B15" s="443" t="s">
        <v>365</v>
      </c>
      <c r="C15" s="920" t="s">
        <v>366</v>
      </c>
      <c r="D15" s="921"/>
      <c r="E15" s="452">
        <v>990</v>
      </c>
      <c r="F15" s="301"/>
      <c r="G15" s="661"/>
      <c r="H15" s="662"/>
      <c r="I15" s="4"/>
      <c r="J15" s="4"/>
      <c r="M15" s="5"/>
    </row>
    <row r="16" spans="1:13" s="4" customFormat="1" ht="13.5" thickBot="1">
      <c r="B16" s="302"/>
      <c r="C16" s="441"/>
      <c r="D16" s="441"/>
      <c r="E16" s="449">
        <f>SUM(E7:E15)</f>
        <v>9614.8799999999992</v>
      </c>
      <c r="F16" s="442"/>
      <c r="H16" s="662"/>
    </row>
    <row r="17" spans="1:13">
      <c r="B17" s="567" t="s">
        <v>477</v>
      </c>
      <c r="C17" s="195" t="s">
        <v>285</v>
      </c>
      <c r="D17" s="195"/>
      <c r="E17" s="450">
        <v>500</v>
      </c>
      <c r="G17" s="4"/>
      <c r="H17" s="662"/>
      <c r="I17" s="4"/>
      <c r="J17" s="4"/>
      <c r="M17" s="5"/>
    </row>
    <row r="18" spans="1:13">
      <c r="B18" s="82" t="s">
        <v>11</v>
      </c>
      <c r="C18" s="138" t="s">
        <v>25</v>
      </c>
      <c r="D18" s="138"/>
      <c r="E18" s="454">
        <v>950</v>
      </c>
      <c r="G18" s="4"/>
      <c r="H18" s="662"/>
      <c r="I18" s="4"/>
      <c r="J18" s="4"/>
      <c r="M18" s="5"/>
    </row>
    <row r="19" spans="1:13" ht="13.5" thickBot="1">
      <c r="B19" s="126" t="s">
        <v>58</v>
      </c>
      <c r="C19" s="444" t="s">
        <v>59</v>
      </c>
      <c r="D19" s="444"/>
      <c r="E19" s="452">
        <v>952.5</v>
      </c>
      <c r="G19" s="4"/>
      <c r="H19" s="662"/>
      <c r="I19" s="4"/>
      <c r="J19" s="4"/>
      <c r="M19" s="5"/>
    </row>
    <row r="20" spans="1:13" ht="13.5" thickBot="1">
      <c r="B20" s="11"/>
      <c r="C20" s="445" t="s">
        <v>0</v>
      </c>
      <c r="D20" s="445"/>
      <c r="E20" s="453">
        <f>SUM(E16:E19)</f>
        <v>12017.38</v>
      </c>
      <c r="G20" s="663"/>
      <c r="H20" s="662"/>
      <c r="I20" s="4"/>
      <c r="J20" s="4"/>
      <c r="M20" s="5"/>
    </row>
    <row r="21" spans="1:13">
      <c r="B21" s="11"/>
      <c r="C21" s="445"/>
      <c r="D21" s="445"/>
      <c r="E21" s="623"/>
      <c r="M21" s="5"/>
    </row>
    <row r="22" spans="1:13" s="437" customFormat="1" ht="6.75" customHeight="1">
      <c r="B22" s="438"/>
      <c r="C22" s="439"/>
      <c r="D22" s="439"/>
      <c r="E22" s="440"/>
      <c r="F22" s="440"/>
      <c r="G22" s="440"/>
      <c r="H22" s="440"/>
      <c r="I22" s="440"/>
      <c r="J22" s="440"/>
      <c r="K22" s="440"/>
      <c r="L22" s="440"/>
      <c r="M22" s="440"/>
    </row>
    <row r="23" spans="1:13" ht="19.5" customHeight="1">
      <c r="A23" s="660"/>
      <c r="B23" s="432" t="s">
        <v>348</v>
      </c>
      <c r="C23" s="717" t="s">
        <v>804</v>
      </c>
      <c r="D23" s="717"/>
      <c r="E23" s="32"/>
      <c r="F23" s="32"/>
      <c r="G23" s="32"/>
      <c r="H23" s="32"/>
      <c r="I23" s="32"/>
      <c r="J23" s="32"/>
      <c r="K23" s="32"/>
      <c r="L23" s="32"/>
      <c r="M23" s="5"/>
    </row>
    <row r="24" spans="1:13" ht="19.5" customHeight="1">
      <c r="B24" s="432" t="s">
        <v>350</v>
      </c>
      <c r="C24" s="1018">
        <v>41920</v>
      </c>
      <c r="D24" s="1020"/>
      <c r="E24" s="32"/>
      <c r="F24" s="32"/>
      <c r="G24" s="32"/>
      <c r="H24" s="32"/>
      <c r="I24" s="32"/>
      <c r="J24" s="32"/>
      <c r="K24" s="32"/>
      <c r="L24" s="32"/>
      <c r="M24" s="5"/>
    </row>
    <row r="25" spans="1:13" ht="4.5" customHeight="1">
      <c r="B25" s="2"/>
      <c r="C25" s="76"/>
      <c r="D25" s="76"/>
      <c r="E25" s="1019"/>
      <c r="F25" s="1021"/>
      <c r="G25" s="3"/>
      <c r="H25" s="4"/>
      <c r="I25" s="4"/>
      <c r="J25" s="4"/>
      <c r="K25" s="4"/>
      <c r="L25" s="13"/>
      <c r="M25" s="4"/>
    </row>
    <row r="26" spans="1:13" s="6" customFormat="1" ht="13.5" thickBot="1">
      <c r="B26" s="433" t="s">
        <v>349</v>
      </c>
      <c r="C26" s="435" t="s">
        <v>1</v>
      </c>
      <c r="D26" s="435"/>
      <c r="E26" s="436" t="s">
        <v>2</v>
      </c>
      <c r="G26" s="318"/>
      <c r="H26" s="318"/>
      <c r="I26" s="318"/>
      <c r="J26" s="318"/>
    </row>
    <row r="27" spans="1:13">
      <c r="B27" s="125" t="s">
        <v>391</v>
      </c>
      <c r="C27" s="195" t="s">
        <v>44</v>
      </c>
      <c r="D27" s="891"/>
      <c r="E27" s="889">
        <v>2080.5300000000002</v>
      </c>
      <c r="M27" s="5"/>
    </row>
    <row r="28" spans="1:13">
      <c r="B28" s="563" t="s">
        <v>748</v>
      </c>
      <c r="C28" s="434" t="s">
        <v>41</v>
      </c>
      <c r="D28" s="892"/>
      <c r="E28" s="889">
        <v>1812.71</v>
      </c>
      <c r="F28" s="512" t="s">
        <v>803</v>
      </c>
      <c r="M28" s="5"/>
    </row>
    <row r="29" spans="1:13">
      <c r="B29" s="563" t="s">
        <v>477</v>
      </c>
      <c r="C29" s="434" t="s">
        <v>351</v>
      </c>
      <c r="D29" s="892"/>
      <c r="E29" s="889">
        <v>552.24</v>
      </c>
      <c r="M29" s="5"/>
    </row>
    <row r="30" spans="1:13">
      <c r="B30" s="563" t="s">
        <v>3</v>
      </c>
      <c r="C30" s="434" t="s">
        <v>42</v>
      </c>
      <c r="D30" s="892"/>
      <c r="E30" s="889">
        <v>1122.1600000000001</v>
      </c>
      <c r="M30" s="5"/>
    </row>
    <row r="31" spans="1:13">
      <c r="B31" s="47" t="s">
        <v>4</v>
      </c>
      <c r="C31" s="75" t="s">
        <v>40</v>
      </c>
      <c r="D31" s="893"/>
      <c r="E31" s="890">
        <v>1076.6500000000001</v>
      </c>
      <c r="M31" s="5"/>
    </row>
    <row r="32" spans="1:13">
      <c r="B32" s="47" t="s">
        <v>793</v>
      </c>
      <c r="C32" s="75" t="s">
        <v>794</v>
      </c>
      <c r="D32" s="893"/>
      <c r="E32" s="890">
        <v>1029.5999999999999</v>
      </c>
      <c r="M32" s="5"/>
    </row>
    <row r="33" spans="1:13">
      <c r="B33" s="47" t="s">
        <v>393</v>
      </c>
      <c r="C33" s="75" t="s">
        <v>392</v>
      </c>
      <c r="D33" s="893"/>
      <c r="E33" s="890">
        <v>929.6</v>
      </c>
      <c r="M33" s="5"/>
    </row>
    <row r="34" spans="1:13">
      <c r="B34" s="47" t="s">
        <v>784</v>
      </c>
      <c r="C34" s="75" t="s">
        <v>779</v>
      </c>
      <c r="D34" s="893"/>
      <c r="E34" s="890">
        <v>1029.5999999999999</v>
      </c>
      <c r="F34" s="301"/>
      <c r="G34" s="661"/>
      <c r="H34" s="662"/>
      <c r="I34" s="4"/>
      <c r="J34" s="4"/>
      <c r="M34" s="5"/>
    </row>
    <row r="35" spans="1:13" ht="13.5" thickBot="1">
      <c r="B35" s="942" t="s">
        <v>365</v>
      </c>
      <c r="C35" s="943" t="s">
        <v>366</v>
      </c>
      <c r="D35" s="944"/>
      <c r="E35" s="909">
        <v>990</v>
      </c>
      <c r="F35" s="301"/>
      <c r="M35" s="5"/>
    </row>
    <row r="36" spans="1:13" s="4" customFormat="1" ht="13.5" thickBot="1">
      <c r="B36" s="302"/>
      <c r="C36" s="441"/>
      <c r="D36" s="441"/>
      <c r="E36" s="449">
        <f>SUM(E27:E35)</f>
        <v>10623.090000000002</v>
      </c>
      <c r="F36" s="442"/>
    </row>
    <row r="37" spans="1:13">
      <c r="B37" s="567" t="s">
        <v>477</v>
      </c>
      <c r="C37" s="195" t="s">
        <v>285</v>
      </c>
      <c r="D37" s="195"/>
      <c r="E37" s="450">
        <v>500</v>
      </c>
      <c r="M37" s="5"/>
    </row>
    <row r="38" spans="1:13">
      <c r="B38" s="82" t="s">
        <v>11</v>
      </c>
      <c r="C38" s="138" t="s">
        <v>25</v>
      </c>
      <c r="D38" s="138"/>
      <c r="E38" s="454">
        <v>950</v>
      </c>
      <c r="M38" s="5"/>
    </row>
    <row r="39" spans="1:13" ht="13.5" thickBot="1">
      <c r="B39" s="126" t="s">
        <v>58</v>
      </c>
      <c r="C39" s="444" t="s">
        <v>59</v>
      </c>
      <c r="D39" s="444"/>
      <c r="E39" s="452">
        <v>952.5</v>
      </c>
      <c r="M39" s="5"/>
    </row>
    <row r="40" spans="1:13" ht="13.5" thickBot="1">
      <c r="B40" s="11"/>
      <c r="C40" s="445" t="s">
        <v>0</v>
      </c>
      <c r="D40" s="445"/>
      <c r="E40" s="453">
        <f>SUM(E36:E39)</f>
        <v>13025.590000000002</v>
      </c>
      <c r="M40" s="5"/>
    </row>
    <row r="41" spans="1:13">
      <c r="B41" s="11"/>
      <c r="C41" s="445"/>
      <c r="D41" s="445"/>
      <c r="E41" s="623"/>
      <c r="M41" s="5"/>
    </row>
    <row r="42" spans="1:13" s="437" customFormat="1" ht="6.75" customHeight="1">
      <c r="B42" s="438"/>
      <c r="C42" s="439"/>
      <c r="D42" s="439"/>
      <c r="E42" s="440"/>
      <c r="F42" s="440"/>
      <c r="G42" s="440"/>
      <c r="H42" s="440"/>
      <c r="I42" s="440"/>
      <c r="J42" s="440"/>
      <c r="K42" s="440"/>
      <c r="L42" s="440"/>
      <c r="M42" s="440"/>
    </row>
    <row r="43" spans="1:13" ht="19.5" customHeight="1">
      <c r="A43" s="660"/>
      <c r="B43" s="432" t="s">
        <v>348</v>
      </c>
      <c r="C43" s="717" t="s">
        <v>805</v>
      </c>
      <c r="D43" s="457"/>
      <c r="E43" s="32"/>
      <c r="F43" s="32"/>
      <c r="G43" s="32"/>
      <c r="H43" s="32"/>
      <c r="I43" s="32"/>
      <c r="J43" s="32"/>
      <c r="K43" s="32"/>
      <c r="L43" s="32"/>
      <c r="M43" s="5"/>
    </row>
    <row r="44" spans="1:13" ht="19.5" customHeight="1">
      <c r="B44" s="432" t="s">
        <v>350</v>
      </c>
      <c r="C44" s="1018">
        <v>41927</v>
      </c>
      <c r="D44" s="1018"/>
      <c r="E44" s="32"/>
      <c r="F44" s="32"/>
      <c r="G44" s="32"/>
      <c r="H44" s="32"/>
      <c r="I44" s="32"/>
      <c r="J44" s="32"/>
      <c r="K44" s="32"/>
      <c r="L44" s="32"/>
      <c r="M44" s="5"/>
    </row>
    <row r="45" spans="1:13" ht="4.5" customHeight="1">
      <c r="B45" s="2"/>
      <c r="C45" s="76"/>
      <c r="D45" s="76"/>
      <c r="E45" s="1019"/>
      <c r="F45" s="1019"/>
      <c r="G45" s="3"/>
      <c r="H45" s="4"/>
      <c r="I45" s="4"/>
      <c r="J45" s="4"/>
      <c r="K45" s="4"/>
      <c r="L45" s="13"/>
      <c r="M45" s="4"/>
    </row>
    <row r="46" spans="1:13" s="6" customFormat="1" ht="13.5" thickBot="1">
      <c r="B46" s="433" t="s">
        <v>349</v>
      </c>
      <c r="C46" s="435" t="s">
        <v>1</v>
      </c>
      <c r="D46" s="435"/>
      <c r="E46" s="436" t="s">
        <v>2</v>
      </c>
    </row>
    <row r="47" spans="1:13">
      <c r="B47" s="125" t="s">
        <v>391</v>
      </c>
      <c r="C47" s="195" t="s">
        <v>44</v>
      </c>
      <c r="D47" s="891"/>
      <c r="E47" s="889">
        <v>2777.67</v>
      </c>
      <c r="F47" s="512" t="s">
        <v>802</v>
      </c>
      <c r="M47" s="5"/>
    </row>
    <row r="48" spans="1:13">
      <c r="B48" s="563" t="s">
        <v>748</v>
      </c>
      <c r="C48" s="434" t="s">
        <v>41</v>
      </c>
      <c r="D48" s="892"/>
      <c r="E48" s="889">
        <v>1191.54</v>
      </c>
      <c r="M48" s="5"/>
    </row>
    <row r="49" spans="2:13">
      <c r="B49" s="563" t="s">
        <v>477</v>
      </c>
      <c r="C49" s="434" t="s">
        <v>351</v>
      </c>
      <c r="D49" s="892"/>
      <c r="E49" s="889">
        <v>552.24</v>
      </c>
      <c r="M49" s="5"/>
    </row>
    <row r="50" spans="2:13">
      <c r="B50" s="563" t="s">
        <v>3</v>
      </c>
      <c r="C50" s="434" t="s">
        <v>42</v>
      </c>
      <c r="D50" s="892"/>
      <c r="E50" s="889">
        <v>837.04</v>
      </c>
      <c r="F50" s="900"/>
      <c r="M50" s="5"/>
    </row>
    <row r="51" spans="2:13">
      <c r="B51" s="47" t="s">
        <v>4</v>
      </c>
      <c r="C51" s="75" t="s">
        <v>40</v>
      </c>
      <c r="D51" s="893"/>
      <c r="E51" s="890">
        <v>927.03</v>
      </c>
      <c r="M51" s="5"/>
    </row>
    <row r="52" spans="2:13">
      <c r="B52" s="47" t="s">
        <v>793</v>
      </c>
      <c r="C52" s="75" t="s">
        <v>794</v>
      </c>
      <c r="D52" s="893"/>
      <c r="E52" s="890">
        <f>821.7-100-33</f>
        <v>688.7</v>
      </c>
      <c r="M52" s="5"/>
    </row>
    <row r="53" spans="2:13">
      <c r="B53" s="47" t="s">
        <v>393</v>
      </c>
      <c r="C53" s="75" t="s">
        <v>392</v>
      </c>
      <c r="D53" s="893"/>
      <c r="E53" s="890">
        <v>692</v>
      </c>
      <c r="F53" s="301"/>
      <c r="M53" s="5"/>
    </row>
    <row r="54" spans="2:13">
      <c r="B54" s="47" t="s">
        <v>784</v>
      </c>
      <c r="C54" s="75" t="s">
        <v>779</v>
      </c>
      <c r="D54" s="893"/>
      <c r="E54" s="890">
        <v>792</v>
      </c>
      <c r="F54" s="301"/>
      <c r="G54" s="661"/>
      <c r="H54" s="662"/>
      <c r="I54" s="4"/>
      <c r="J54" s="4"/>
      <c r="M54" s="5"/>
    </row>
    <row r="55" spans="2:13" ht="13.5" thickBot="1">
      <c r="B55" s="942" t="s">
        <v>365</v>
      </c>
      <c r="C55" s="943" t="s">
        <v>366</v>
      </c>
      <c r="D55" s="944"/>
      <c r="E55" s="909">
        <v>1305.56</v>
      </c>
      <c r="F55" s="301"/>
      <c r="M55" s="5"/>
    </row>
    <row r="56" spans="2:13" s="4" customFormat="1" ht="13.5" thickBot="1">
      <c r="B56" s="302"/>
      <c r="C56" s="441"/>
      <c r="D56" s="441"/>
      <c r="E56" s="449">
        <f>SUM(E47:E55)</f>
        <v>9763.7799999999988</v>
      </c>
      <c r="F56" s="442"/>
    </row>
    <row r="57" spans="2:13">
      <c r="B57" s="567" t="s">
        <v>477</v>
      </c>
      <c r="C57" s="195" t="s">
        <v>285</v>
      </c>
      <c r="D57" s="195"/>
      <c r="E57" s="450">
        <v>500</v>
      </c>
      <c r="M57" s="5"/>
    </row>
    <row r="58" spans="2:13">
      <c r="B58" s="82" t="s">
        <v>11</v>
      </c>
      <c r="C58" s="138" t="s">
        <v>25</v>
      </c>
      <c r="D58" s="138"/>
      <c r="E58" s="454">
        <v>950</v>
      </c>
      <c r="M58" s="5"/>
    </row>
    <row r="59" spans="2:13" ht="13.5" thickBot="1">
      <c r="B59" s="126" t="s">
        <v>58</v>
      </c>
      <c r="C59" s="444" t="s">
        <v>59</v>
      </c>
      <c r="D59" s="444"/>
      <c r="E59" s="452">
        <v>952.5</v>
      </c>
      <c r="M59" s="5"/>
    </row>
    <row r="60" spans="2:13" ht="13.5" thickBot="1">
      <c r="B60" s="11"/>
      <c r="C60" s="445" t="s">
        <v>0</v>
      </c>
      <c r="D60" s="445"/>
      <c r="E60" s="453">
        <f>SUM(E56:E59)</f>
        <v>12166.279999999999</v>
      </c>
      <c r="M60" s="5"/>
    </row>
    <row r="61" spans="2:13">
      <c r="B61" s="11"/>
      <c r="C61" s="445"/>
      <c r="D61" s="445"/>
      <c r="E61" s="623"/>
      <c r="M61" s="5"/>
    </row>
    <row r="62" spans="2:13">
      <c r="B62" s="11" t="s">
        <v>30</v>
      </c>
      <c r="C62" s="919" t="s">
        <v>819</v>
      </c>
      <c r="D62" s="445"/>
      <c r="E62" s="623">
        <f>100+33</f>
        <v>133</v>
      </c>
      <c r="M62" s="5"/>
    </row>
    <row r="63" spans="2:13">
      <c r="B63" s="11"/>
      <c r="C63" s="445"/>
      <c r="D63" s="445"/>
      <c r="E63" s="623"/>
      <c r="M63" s="5"/>
    </row>
    <row r="64" spans="2:13" ht="12.75" customHeight="1">
      <c r="B64" s="11"/>
      <c r="C64" s="28"/>
      <c r="D64" s="28"/>
      <c r="E64" s="32"/>
      <c r="F64" s="32"/>
      <c r="G64" s="32"/>
      <c r="H64" s="32"/>
      <c r="I64" s="32"/>
      <c r="J64" s="32"/>
      <c r="K64" s="32"/>
      <c r="L64" s="32"/>
      <c r="M64" s="32"/>
    </row>
    <row r="65" spans="1:13" s="437" customFormat="1" ht="6.75" customHeight="1">
      <c r="B65" s="438"/>
      <c r="C65" s="439"/>
      <c r="D65" s="439"/>
      <c r="E65" s="440"/>
      <c r="F65" s="440"/>
      <c r="G65" s="440"/>
      <c r="H65" s="440"/>
      <c r="I65" s="440"/>
      <c r="J65" s="440"/>
      <c r="K65" s="440"/>
      <c r="L65" s="440"/>
      <c r="M65" s="440"/>
    </row>
    <row r="66" spans="1:13" ht="19.5" customHeight="1">
      <c r="A66" s="660"/>
      <c r="B66" s="432" t="s">
        <v>348</v>
      </c>
      <c r="C66" s="717" t="s">
        <v>806</v>
      </c>
      <c r="D66" s="457"/>
      <c r="E66" s="32"/>
      <c r="F66" s="32"/>
      <c r="G66" s="32"/>
      <c r="H66" s="32"/>
      <c r="I66" s="32"/>
      <c r="J66" s="32"/>
      <c r="K66" s="32"/>
      <c r="L66" s="32"/>
      <c r="M66" s="5"/>
    </row>
    <row r="67" spans="1:13" ht="19.5" customHeight="1">
      <c r="B67" s="432" t="s">
        <v>350</v>
      </c>
      <c r="C67" s="1018">
        <v>41934</v>
      </c>
      <c r="D67" s="1018"/>
      <c r="E67" s="32"/>
      <c r="F67" s="32"/>
      <c r="G67" s="32"/>
      <c r="H67" s="32"/>
      <c r="I67" s="32"/>
      <c r="J67" s="32"/>
      <c r="K67" s="32"/>
      <c r="L67" s="32"/>
      <c r="M67" s="5"/>
    </row>
    <row r="68" spans="1:13" ht="4.5" customHeight="1">
      <c r="B68" s="2"/>
      <c r="C68" s="76"/>
      <c r="D68" s="76"/>
      <c r="E68" s="1019"/>
      <c r="F68" s="1019"/>
      <c r="G68" s="3"/>
      <c r="H68" s="4"/>
      <c r="I68" s="4"/>
      <c r="J68" s="4"/>
      <c r="K68" s="4"/>
      <c r="L68" s="13"/>
      <c r="M68" s="4"/>
    </row>
    <row r="69" spans="1:13" s="6" customFormat="1" ht="13.5" thickBot="1">
      <c r="B69" s="433" t="s">
        <v>349</v>
      </c>
      <c r="C69" s="435" t="s">
        <v>1</v>
      </c>
      <c r="D69" s="435"/>
      <c r="E69" s="436" t="s">
        <v>2</v>
      </c>
    </row>
    <row r="70" spans="1:13">
      <c r="B70" s="125" t="s">
        <v>391</v>
      </c>
      <c r="C70" s="195" t="s">
        <v>44</v>
      </c>
      <c r="D70" s="891"/>
      <c r="E70" s="889">
        <f>2041.73</f>
        <v>2041.73</v>
      </c>
      <c r="M70" s="5"/>
    </row>
    <row r="71" spans="1:13">
      <c r="B71" s="563" t="s">
        <v>748</v>
      </c>
      <c r="C71" s="434" t="s">
        <v>41</v>
      </c>
      <c r="D71" s="892"/>
      <c r="E71" s="889">
        <v>1614.51</v>
      </c>
      <c r="M71" s="5"/>
    </row>
    <row r="72" spans="1:13">
      <c r="B72" s="563" t="s">
        <v>477</v>
      </c>
      <c r="C72" s="434" t="s">
        <v>351</v>
      </c>
      <c r="D72" s="892"/>
      <c r="E72" s="889">
        <f>552.24-250</f>
        <v>302.24</v>
      </c>
      <c r="F72" s="963" t="s">
        <v>827</v>
      </c>
      <c r="M72" s="5"/>
    </row>
    <row r="73" spans="1:13">
      <c r="B73" s="563" t="s">
        <v>3</v>
      </c>
      <c r="C73" s="434" t="s">
        <v>42</v>
      </c>
      <c r="D73" s="892"/>
      <c r="E73" s="889">
        <v>837.04</v>
      </c>
      <c r="F73" s="900"/>
      <c r="M73" s="5"/>
    </row>
    <row r="74" spans="1:13">
      <c r="B74" s="47" t="s">
        <v>4</v>
      </c>
      <c r="C74" s="75" t="s">
        <v>40</v>
      </c>
      <c r="D74" s="893"/>
      <c r="E74" s="890">
        <v>927.03</v>
      </c>
      <c r="M74" s="5"/>
    </row>
    <row r="75" spans="1:13">
      <c r="B75" s="47" t="s">
        <v>793</v>
      </c>
      <c r="C75" s="75" t="s">
        <v>794</v>
      </c>
      <c r="D75" s="893"/>
      <c r="E75" s="890">
        <v>840.5</v>
      </c>
      <c r="M75" s="5"/>
    </row>
    <row r="76" spans="1:13">
      <c r="B76" s="47" t="s">
        <v>393</v>
      </c>
      <c r="C76" s="75" t="s">
        <v>392</v>
      </c>
      <c r="D76" s="893"/>
      <c r="E76" s="890">
        <v>692</v>
      </c>
      <c r="F76" s="301"/>
      <c r="M76" s="5"/>
    </row>
    <row r="77" spans="1:13">
      <c r="B77" s="47" t="s">
        <v>784</v>
      </c>
      <c r="C77" s="75" t="s">
        <v>779</v>
      </c>
      <c r="D77" s="893"/>
      <c r="E77" s="890">
        <v>792</v>
      </c>
      <c r="F77" s="301"/>
      <c r="G77" s="661"/>
      <c r="H77" s="662"/>
      <c r="I77" s="4"/>
      <c r="J77" s="4"/>
      <c r="M77" s="5"/>
    </row>
    <row r="78" spans="1:13" ht="13.5" thickBot="1">
      <c r="B78" s="942" t="s">
        <v>365</v>
      </c>
      <c r="C78" s="943" t="s">
        <v>366</v>
      </c>
      <c r="D78" s="944"/>
      <c r="E78" s="909">
        <v>787.88</v>
      </c>
      <c r="F78" s="301"/>
      <c r="M78" s="5"/>
    </row>
    <row r="79" spans="1:13" s="4" customFormat="1" ht="13.5" thickBot="1">
      <c r="B79" s="302"/>
      <c r="C79" s="441"/>
      <c r="D79" s="441"/>
      <c r="E79" s="449">
        <f>SUM(E70:E78)</f>
        <v>8834.9299999999985</v>
      </c>
      <c r="F79" s="442"/>
    </row>
    <row r="80" spans="1:13">
      <c r="B80" s="567" t="s">
        <v>477</v>
      </c>
      <c r="C80" s="195" t="s">
        <v>285</v>
      </c>
      <c r="D80" s="195"/>
      <c r="E80" s="450">
        <v>500</v>
      </c>
      <c r="M80" s="5"/>
    </row>
    <row r="81" spans="1:13">
      <c r="B81" s="82" t="s">
        <v>11</v>
      </c>
      <c r="C81" s="138" t="s">
        <v>25</v>
      </c>
      <c r="D81" s="138"/>
      <c r="E81" s="454">
        <v>950</v>
      </c>
      <c r="M81" s="5"/>
    </row>
    <row r="82" spans="1:13" ht="13.5" thickBot="1">
      <c r="B82" s="126" t="s">
        <v>58</v>
      </c>
      <c r="C82" s="444" t="s">
        <v>59</v>
      </c>
      <c r="D82" s="444"/>
      <c r="E82" s="452">
        <v>952.5</v>
      </c>
      <c r="M82" s="5"/>
    </row>
    <row r="83" spans="1:13" ht="13.5" thickBot="1">
      <c r="B83" s="11"/>
      <c r="C83" s="445" t="s">
        <v>0</v>
      </c>
      <c r="D83" s="445"/>
      <c r="E83" s="453">
        <f>SUM(E79:E82)</f>
        <v>11237.429999999998</v>
      </c>
      <c r="M83" s="5"/>
    </row>
    <row r="84" spans="1:13">
      <c r="B84" s="11"/>
      <c r="C84" s="445"/>
      <c r="D84" s="445"/>
      <c r="E84" s="623"/>
      <c r="M84" s="5"/>
    </row>
    <row r="85" spans="1:13">
      <c r="B85" s="11" t="s">
        <v>828</v>
      </c>
      <c r="C85" s="919" t="s">
        <v>826</v>
      </c>
      <c r="D85" s="445"/>
      <c r="E85" s="623">
        <v>250</v>
      </c>
      <c r="M85" s="5"/>
    </row>
    <row r="86" spans="1:13" ht="12.75" customHeight="1">
      <c r="B86" s="11"/>
      <c r="C86" s="28"/>
      <c r="D86" s="28"/>
      <c r="E86" s="32"/>
      <c r="F86" s="32"/>
      <c r="G86" s="32"/>
      <c r="H86" s="32"/>
      <c r="I86" s="32"/>
      <c r="J86" s="32"/>
      <c r="K86" s="32"/>
      <c r="L86" s="32"/>
      <c r="M86" s="32"/>
    </row>
    <row r="87" spans="1:13" s="437" customFormat="1" ht="6.75" customHeight="1">
      <c r="B87" s="438"/>
      <c r="C87" s="439"/>
      <c r="D87" s="439"/>
      <c r="E87" s="440"/>
      <c r="F87" s="440"/>
      <c r="G87" s="440"/>
      <c r="H87" s="440"/>
      <c r="I87" s="440"/>
      <c r="J87" s="440"/>
      <c r="K87" s="440"/>
      <c r="L87" s="440"/>
      <c r="M87" s="440"/>
    </row>
    <row r="88" spans="1:13" ht="19.5" customHeight="1">
      <c r="A88" s="660"/>
      <c r="B88" s="432" t="s">
        <v>348</v>
      </c>
      <c r="C88" s="717" t="s">
        <v>807</v>
      </c>
      <c r="D88" s="457"/>
      <c r="E88" s="32"/>
      <c r="F88" s="32"/>
      <c r="G88" s="32"/>
      <c r="H88" s="32"/>
      <c r="I88" s="32"/>
      <c r="J88" s="32"/>
      <c r="K88" s="32"/>
      <c r="L88" s="32"/>
      <c r="M88" s="5"/>
    </row>
    <row r="89" spans="1:13" ht="19.5" customHeight="1">
      <c r="B89" s="432" t="s">
        <v>350</v>
      </c>
      <c r="C89" s="1018">
        <v>41941</v>
      </c>
      <c r="D89" s="1018"/>
      <c r="E89" s="32"/>
      <c r="F89" s="32"/>
      <c r="G89" s="32"/>
      <c r="H89" s="32"/>
      <c r="I89" s="32"/>
      <c r="J89" s="32"/>
      <c r="K89" s="32"/>
      <c r="L89" s="32"/>
      <c r="M89" s="5"/>
    </row>
    <row r="90" spans="1:13" ht="4.5" customHeight="1">
      <c r="B90" s="2"/>
      <c r="C90" s="76"/>
      <c r="D90" s="76"/>
      <c r="E90" s="1019"/>
      <c r="F90" s="1019"/>
      <c r="G90" s="3"/>
      <c r="H90" s="4"/>
      <c r="I90" s="4"/>
      <c r="J90" s="4"/>
      <c r="K90" s="4"/>
      <c r="L90" s="13"/>
      <c r="M90" s="4"/>
    </row>
    <row r="91" spans="1:13" s="6" customFormat="1" ht="13.5" thickBot="1">
      <c r="B91" s="433" t="s">
        <v>349</v>
      </c>
      <c r="C91" s="435" t="s">
        <v>1</v>
      </c>
      <c r="D91" s="435"/>
      <c r="E91" s="436" t="s">
        <v>2</v>
      </c>
    </row>
    <row r="92" spans="1:13">
      <c r="B92" s="125" t="s">
        <v>391</v>
      </c>
      <c r="C92" s="195" t="s">
        <v>44</v>
      </c>
      <c r="D92" s="891"/>
      <c r="E92" s="889">
        <v>1847.64</v>
      </c>
      <c r="F92" s="512"/>
      <c r="M92" s="5"/>
    </row>
    <row r="93" spans="1:13">
      <c r="B93" s="563" t="s">
        <v>748</v>
      </c>
      <c r="C93" s="434" t="s">
        <v>41</v>
      </c>
      <c r="D93" s="892"/>
      <c r="E93" s="889">
        <v>1614.4</v>
      </c>
      <c r="F93" s="512"/>
      <c r="M93" s="5"/>
    </row>
    <row r="94" spans="1:13">
      <c r="B94" s="563" t="s">
        <v>477</v>
      </c>
      <c r="C94" s="434" t="s">
        <v>351</v>
      </c>
      <c r="D94" s="892"/>
      <c r="E94" s="889">
        <v>552.24</v>
      </c>
      <c r="M94" s="5"/>
    </row>
    <row r="95" spans="1:13">
      <c r="B95" s="563" t="s">
        <v>3</v>
      </c>
      <c r="C95" s="434" t="s">
        <v>42</v>
      </c>
      <c r="D95" s="892"/>
      <c r="E95" s="889">
        <v>837.04</v>
      </c>
      <c r="F95" s="900"/>
      <c r="M95" s="5"/>
    </row>
    <row r="96" spans="1:13">
      <c r="B96" s="47" t="s">
        <v>4</v>
      </c>
      <c r="C96" s="75" t="s">
        <v>40</v>
      </c>
      <c r="D96" s="893"/>
      <c r="E96" s="890">
        <v>927.03</v>
      </c>
      <c r="M96" s="5"/>
    </row>
    <row r="97" spans="1:13">
      <c r="B97" s="47" t="s">
        <v>793</v>
      </c>
      <c r="C97" s="75" t="s">
        <v>794</v>
      </c>
      <c r="D97" s="893"/>
      <c r="E97" s="890">
        <v>692</v>
      </c>
      <c r="M97" s="5"/>
    </row>
    <row r="98" spans="1:13">
      <c r="B98" s="47" t="s">
        <v>393</v>
      </c>
      <c r="C98" s="75" t="s">
        <v>392</v>
      </c>
      <c r="D98" s="893"/>
      <c r="E98" s="890">
        <v>692</v>
      </c>
      <c r="F98" s="301"/>
      <c r="M98" s="5"/>
    </row>
    <row r="99" spans="1:13">
      <c r="B99" s="47" t="s">
        <v>784</v>
      </c>
      <c r="C99" s="75" t="s">
        <v>779</v>
      </c>
      <c r="D99" s="893"/>
      <c r="E99" s="890">
        <v>792</v>
      </c>
      <c r="F99" s="301"/>
      <c r="G99" s="661"/>
      <c r="H99" s="662"/>
      <c r="I99" s="4"/>
      <c r="J99" s="4"/>
      <c r="M99" s="5"/>
    </row>
    <row r="100" spans="1:13" ht="13.5" thickBot="1">
      <c r="B100" s="942" t="s">
        <v>365</v>
      </c>
      <c r="C100" s="943" t="s">
        <v>366</v>
      </c>
      <c r="D100" s="944"/>
      <c r="E100" s="909">
        <v>1629.49</v>
      </c>
      <c r="F100" s="301"/>
      <c r="M100" s="5"/>
    </row>
    <row r="101" spans="1:13" s="4" customFormat="1" ht="13.5" thickBot="1">
      <c r="B101" s="302"/>
      <c r="C101" s="441"/>
      <c r="D101" s="441"/>
      <c r="E101" s="449">
        <f>SUM(E92:E100)</f>
        <v>9583.84</v>
      </c>
      <c r="F101" s="442"/>
    </row>
    <row r="102" spans="1:13" ht="13.5" thickBot="1">
      <c r="B102" s="895" t="s">
        <v>477</v>
      </c>
      <c r="C102" s="896" t="s">
        <v>285</v>
      </c>
      <c r="D102" s="897"/>
      <c r="E102" s="930">
        <v>500</v>
      </c>
      <c r="M102" s="5"/>
    </row>
    <row r="103" spans="1:13" ht="13.5" thickBot="1">
      <c r="B103" s="11"/>
      <c r="C103" s="445" t="s">
        <v>0</v>
      </c>
      <c r="D103" s="445"/>
      <c r="E103" s="453">
        <f>SUM(E101:E102)</f>
        <v>10083.84</v>
      </c>
      <c r="M103" s="5"/>
    </row>
    <row r="104" spans="1:13">
      <c r="B104" s="11"/>
      <c r="C104" s="445"/>
      <c r="D104" s="445"/>
      <c r="E104" s="623"/>
      <c r="M104" s="5"/>
    </row>
    <row r="105" spans="1:13" s="7" customFormat="1" ht="13.15" customHeight="1">
      <c r="A105" s="56" t="s">
        <v>30</v>
      </c>
      <c r="B105" s="57" t="s">
        <v>31</v>
      </c>
      <c r="C105" s="57"/>
      <c r="D105" s="455">
        <f>Nikki!E1381</f>
        <v>8483.35</v>
      </c>
      <c r="E105" s="908" t="s">
        <v>721</v>
      </c>
      <c r="F105" s="56" t="s">
        <v>38</v>
      </c>
      <c r="G105" s="57" t="s">
        <v>39</v>
      </c>
      <c r="H105" s="455">
        <v>1200</v>
      </c>
      <c r="I105" s="938"/>
      <c r="J105" s="908" t="s">
        <v>721</v>
      </c>
      <c r="K105" s="458"/>
      <c r="L105" s="458"/>
      <c r="M105" s="458"/>
    </row>
    <row r="106" spans="1:13" s="7" customFormat="1" ht="13.15" customHeight="1">
      <c r="A106" s="56" t="s">
        <v>32</v>
      </c>
      <c r="B106" s="57" t="s">
        <v>131</v>
      </c>
      <c r="C106" s="57"/>
      <c r="D106" s="455">
        <f>Nikki!E1382</f>
        <v>1119.6899999999996</v>
      </c>
      <c r="E106" s="908"/>
      <c r="F106" s="56" t="s">
        <v>38</v>
      </c>
      <c r="G106" s="57" t="s">
        <v>107</v>
      </c>
      <c r="H106" s="455">
        <f>120000*15%/12</f>
        <v>1500</v>
      </c>
      <c r="I106" s="938"/>
      <c r="J106" s="908" t="s">
        <v>721</v>
      </c>
      <c r="K106" s="458"/>
      <c r="L106" s="458"/>
      <c r="M106" s="458"/>
    </row>
    <row r="107" spans="1:13" s="7" customFormat="1" ht="13.15" customHeight="1">
      <c r="A107" s="56" t="s">
        <v>33</v>
      </c>
      <c r="B107" s="57" t="s">
        <v>34</v>
      </c>
      <c r="C107" s="57"/>
      <c r="D107" s="455">
        <v>311.83999999999997</v>
      </c>
      <c r="E107" s="455"/>
      <c r="F107" s="56" t="s">
        <v>45</v>
      </c>
      <c r="G107" s="57" t="s">
        <v>39</v>
      </c>
      <c r="H107" s="455">
        <v>1800</v>
      </c>
      <c r="I107" s="938"/>
      <c r="J107" s="908" t="s">
        <v>721</v>
      </c>
      <c r="K107" s="458"/>
      <c r="L107" s="458"/>
      <c r="M107" s="458"/>
    </row>
    <row r="108" spans="1:13" s="7" customFormat="1" ht="13.15" customHeight="1">
      <c r="A108" s="56" t="s">
        <v>736</v>
      </c>
      <c r="B108" s="57" t="s">
        <v>737</v>
      </c>
      <c r="C108" s="57"/>
      <c r="D108" s="455">
        <v>764.27</v>
      </c>
      <c r="E108" s="455"/>
      <c r="F108" s="56" t="s">
        <v>32</v>
      </c>
      <c r="G108" s="57" t="s">
        <v>108</v>
      </c>
      <c r="H108" s="455">
        <v>1014</v>
      </c>
      <c r="I108" s="938"/>
      <c r="J108" s="908" t="s">
        <v>721</v>
      </c>
      <c r="K108" s="458"/>
      <c r="L108" s="458"/>
      <c r="M108" s="458"/>
    </row>
    <row r="109" spans="1:13" s="7" customFormat="1" ht="13.15" customHeight="1">
      <c r="A109" s="56" t="s">
        <v>736</v>
      </c>
      <c r="B109" s="57" t="s">
        <v>738</v>
      </c>
      <c r="C109" s="57"/>
      <c r="D109" s="455">
        <v>472.63</v>
      </c>
      <c r="E109" s="455"/>
      <c r="F109" s="56" t="s">
        <v>230</v>
      </c>
      <c r="G109" s="57" t="s">
        <v>232</v>
      </c>
      <c r="H109" s="455">
        <v>500</v>
      </c>
      <c r="I109" s="938"/>
      <c r="J109" s="908" t="s">
        <v>721</v>
      </c>
      <c r="K109" s="458"/>
      <c r="L109" s="458"/>
      <c r="M109" s="458"/>
    </row>
    <row r="110" spans="1:13" s="7" customFormat="1" ht="13.15" customHeight="1">
      <c r="A110" s="56" t="s">
        <v>736</v>
      </c>
      <c r="B110" s="57" t="s">
        <v>739</v>
      </c>
      <c r="C110" s="57"/>
      <c r="D110" s="455">
        <v>86.94</v>
      </c>
      <c r="E110" s="455"/>
      <c r="F110" s="56" t="s">
        <v>231</v>
      </c>
      <c r="G110" s="57" t="s">
        <v>233</v>
      </c>
      <c r="H110" s="455">
        <v>500</v>
      </c>
      <c r="I110" s="938"/>
      <c r="J110" s="908" t="s">
        <v>721</v>
      </c>
      <c r="K110" s="458"/>
      <c r="L110" s="458"/>
      <c r="M110" s="458"/>
    </row>
    <row r="111" spans="1:13" s="7" customFormat="1" ht="13.15" customHeight="1">
      <c r="A111" s="56" t="s">
        <v>36</v>
      </c>
      <c r="B111" s="57" t="s">
        <v>37</v>
      </c>
      <c r="C111" s="455"/>
      <c r="D111" s="455">
        <v>8000</v>
      </c>
      <c r="E111" s="908" t="s">
        <v>721</v>
      </c>
      <c r="F111" s="56" t="s">
        <v>33</v>
      </c>
      <c r="G111" s="57" t="s">
        <v>46</v>
      </c>
      <c r="H111" s="455">
        <v>11000</v>
      </c>
      <c r="I111" s="938"/>
      <c r="J111" s="908" t="s">
        <v>721</v>
      </c>
    </row>
    <row r="112" spans="1:13" s="7" customFormat="1" ht="13.15" customHeight="1">
      <c r="A112" s="56" t="s">
        <v>35</v>
      </c>
      <c r="B112" s="57" t="s">
        <v>186</v>
      </c>
      <c r="C112" s="455"/>
      <c r="D112" s="455">
        <v>1000</v>
      </c>
      <c r="E112" s="455"/>
      <c r="F112" s="139" t="s">
        <v>65</v>
      </c>
      <c r="G112" s="57" t="s">
        <v>47</v>
      </c>
      <c r="H112" s="455">
        <v>11000</v>
      </c>
      <c r="I112" s="455"/>
      <c r="J112" s="459"/>
    </row>
    <row r="113" spans="1:13" s="7" customFormat="1" ht="13.15" customHeight="1" thickBot="1">
      <c r="A113" s="56"/>
      <c r="B113" s="57" t="s">
        <v>106</v>
      </c>
      <c r="C113" s="455"/>
      <c r="D113" s="455">
        <v>5000</v>
      </c>
      <c r="E113" s="455"/>
      <c r="F113" s="56"/>
      <c r="G113" s="57"/>
      <c r="H113" s="456"/>
      <c r="I113" s="659"/>
      <c r="J113" s="459"/>
    </row>
    <row r="114" spans="1:13" s="7" customFormat="1" ht="13.15" customHeight="1" thickTop="1" thickBot="1">
      <c r="B114" s="56"/>
      <c r="C114" s="57"/>
      <c r="D114" s="57"/>
      <c r="E114" s="455"/>
      <c r="F114" s="61"/>
      <c r="G114" s="57"/>
      <c r="H114" s="659">
        <f>SUM(H105:H113)+SUM(D105:D113)</f>
        <v>53752.72</v>
      </c>
      <c r="I114" s="132"/>
      <c r="J114" s="459"/>
    </row>
    <row r="115" spans="1:13" s="7" customFormat="1" ht="13.15" customHeight="1" thickBot="1">
      <c r="B115" s="56"/>
      <c r="C115" s="57"/>
      <c r="D115" s="57"/>
      <c r="E115" s="455"/>
      <c r="F115" s="61"/>
      <c r="G115" s="474" t="s">
        <v>5</v>
      </c>
      <c r="H115" s="475">
        <f>H114+E103</f>
        <v>63836.56</v>
      </c>
      <c r="I115" s="659"/>
      <c r="J115" s="459"/>
    </row>
    <row r="116" spans="1:13" s="7" customFormat="1" ht="13.15" customHeight="1">
      <c r="B116" s="56"/>
      <c r="C116" s="57"/>
      <c r="D116" s="9"/>
      <c r="E116" s="455"/>
      <c r="F116" s="58"/>
      <c r="G116" s="57"/>
      <c r="H116" s="659"/>
      <c r="I116" s="659"/>
      <c r="J116" s="459"/>
    </row>
    <row r="117" spans="1:13" s="7" customFormat="1" ht="13.15" customHeight="1">
      <c r="B117" s="56"/>
      <c r="C117" s="57"/>
      <c r="D117" s="8"/>
      <c r="E117" s="455"/>
      <c r="F117" s="61"/>
      <c r="G117" s="57"/>
      <c r="H117" s="659"/>
      <c r="I117" s="659"/>
      <c r="J117" s="459"/>
    </row>
    <row r="118" spans="1:13" s="7" customFormat="1" ht="13.15" customHeight="1">
      <c r="B118" s="56"/>
      <c r="C118" s="57"/>
      <c r="D118" s="8"/>
      <c r="E118" s="455"/>
      <c r="F118" s="61"/>
      <c r="G118" s="474"/>
      <c r="H118" s="513"/>
      <c r="I118" s="659"/>
      <c r="J118" s="459"/>
    </row>
    <row r="119" spans="1:13" s="7" customFormat="1" ht="13.15" customHeight="1">
      <c r="A119" s="9"/>
      <c r="B119" s="10"/>
      <c r="C119" s="9"/>
      <c r="D119" s="8"/>
      <c r="E119" s="455"/>
      <c r="F119" s="58"/>
      <c r="G119" s="57"/>
      <c r="H119" s="659"/>
      <c r="I119" s="659"/>
      <c r="J119" s="459"/>
    </row>
    <row r="120" spans="1:13" s="7" customFormat="1" ht="13.15" customHeight="1">
      <c r="A120" s="9"/>
      <c r="B120" s="10"/>
      <c r="C120" s="8"/>
      <c r="D120" s="8"/>
      <c r="E120" s="9"/>
      <c r="F120" s="9"/>
      <c r="G120" s="9"/>
      <c r="H120" s="9"/>
      <c r="I120" s="659"/>
      <c r="J120" s="459"/>
    </row>
    <row r="121" spans="1:13" s="7" customFormat="1" ht="13.15" customHeight="1">
      <c r="A121" s="9"/>
      <c r="B121" s="10"/>
      <c r="C121" s="8"/>
      <c r="D121" s="8"/>
      <c r="E121" s="9"/>
      <c r="F121" s="9"/>
      <c r="G121" s="9"/>
      <c r="H121" s="9"/>
      <c r="I121" s="659"/>
      <c r="J121" s="459"/>
    </row>
    <row r="122" spans="1:13" s="7" customFormat="1" ht="13.15" customHeight="1">
      <c r="A122" s="9"/>
      <c r="B122" s="10"/>
      <c r="C122" s="8"/>
      <c r="D122" s="8"/>
      <c r="E122" s="9"/>
      <c r="F122" s="9"/>
      <c r="G122" s="9"/>
      <c r="H122" s="9"/>
      <c r="I122" s="659"/>
      <c r="J122" s="459"/>
    </row>
    <row r="123" spans="1:13" s="7" customFormat="1" ht="13.15" customHeight="1">
      <c r="A123" s="9"/>
      <c r="B123" s="10"/>
      <c r="C123" s="8"/>
      <c r="D123" s="9"/>
      <c r="E123" s="9"/>
      <c r="F123" s="9"/>
      <c r="G123" s="9"/>
      <c r="H123" s="9"/>
      <c r="I123" s="659"/>
      <c r="J123" s="459"/>
    </row>
    <row r="124" spans="1:13" s="7" customFormat="1" ht="13.15" customHeight="1">
      <c r="A124" s="9"/>
      <c r="B124" s="10"/>
      <c r="C124" s="8"/>
      <c r="D124" s="9"/>
      <c r="E124" s="9"/>
      <c r="F124" s="9"/>
      <c r="G124" s="9"/>
      <c r="H124" s="9"/>
      <c r="I124" s="659"/>
      <c r="J124" s="459"/>
    </row>
    <row r="125" spans="1:13" s="9" customFormat="1" ht="12">
      <c r="B125" s="10"/>
      <c r="C125" s="8"/>
      <c r="M125" s="10"/>
    </row>
    <row r="126" spans="1:13" s="9" customFormat="1" ht="12">
      <c r="B126" s="10"/>
      <c r="M126" s="10"/>
    </row>
    <row r="127" spans="1:13" s="9" customFormat="1" ht="12">
      <c r="B127" s="10"/>
      <c r="M127" s="10"/>
    </row>
    <row r="128" spans="1:13" s="9" customFormat="1" ht="12">
      <c r="B128" s="10"/>
      <c r="M128" s="10"/>
    </row>
    <row r="129" spans="1:13" s="9" customFormat="1">
      <c r="B129" s="10"/>
      <c r="D129" s="5"/>
      <c r="M129" s="10"/>
    </row>
    <row r="130" spans="1:13" s="9" customFormat="1">
      <c r="B130" s="10"/>
      <c r="D130" s="5"/>
      <c r="M130" s="10"/>
    </row>
    <row r="131" spans="1:13" s="9" customFormat="1">
      <c r="B131" s="10"/>
      <c r="D131" s="5"/>
      <c r="M131" s="10"/>
    </row>
    <row r="132" spans="1:13" s="9" customFormat="1">
      <c r="B132" s="12"/>
      <c r="C132" s="5"/>
      <c r="D132" s="5"/>
      <c r="M132" s="10"/>
    </row>
    <row r="133" spans="1:13" s="9" customFormat="1">
      <c r="B133" s="12"/>
      <c r="C133" s="5"/>
      <c r="D133" s="5"/>
      <c r="E133" s="5"/>
      <c r="F133" s="5"/>
      <c r="G133" s="5"/>
      <c r="H133" s="5"/>
      <c r="M133" s="10"/>
    </row>
    <row r="134" spans="1:13" s="9" customFormat="1">
      <c r="B134" s="12"/>
      <c r="C134" s="5"/>
      <c r="D134" s="5"/>
      <c r="E134" s="5"/>
      <c r="F134" s="5"/>
      <c r="G134" s="5"/>
      <c r="H134" s="5"/>
      <c r="M134" s="10"/>
    </row>
    <row r="135" spans="1:13" s="9" customFormat="1">
      <c r="B135" s="12"/>
      <c r="C135" s="5"/>
      <c r="D135" s="5"/>
      <c r="E135" s="5"/>
      <c r="F135" s="5"/>
      <c r="G135" s="5"/>
      <c r="H135" s="5"/>
      <c r="M135" s="10"/>
    </row>
    <row r="136" spans="1:13" s="9" customFormat="1">
      <c r="A136" s="5"/>
      <c r="B136" s="12"/>
      <c r="C136" s="5"/>
      <c r="D136" s="5"/>
      <c r="E136" s="5"/>
      <c r="F136" s="5"/>
      <c r="G136" s="5"/>
      <c r="H136" s="5"/>
      <c r="M136" s="10"/>
    </row>
    <row r="137" spans="1:13" s="9" customFormat="1">
      <c r="A137" s="5"/>
      <c r="B137" s="12"/>
      <c r="C137" s="5"/>
      <c r="D137" s="5"/>
      <c r="E137" s="5"/>
      <c r="F137" s="5"/>
      <c r="G137" s="5"/>
      <c r="H137" s="5"/>
      <c r="M137" s="10"/>
    </row>
    <row r="138" spans="1:13" s="9" customFormat="1">
      <c r="A138" s="5"/>
      <c r="B138" s="12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10"/>
    </row>
    <row r="139" spans="1:13" s="9" customFormat="1">
      <c r="A139" s="5"/>
      <c r="B139" s="12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10"/>
    </row>
    <row r="140" spans="1:13" s="9" customFormat="1">
      <c r="A140" s="5"/>
      <c r="B140" s="12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10"/>
    </row>
    <row r="141" spans="1:13" s="9" customFormat="1">
      <c r="A141" s="5"/>
      <c r="B141" s="12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10"/>
    </row>
  </sheetData>
  <mergeCells count="11">
    <mergeCell ref="C44:D44"/>
    <mergeCell ref="A1:H1"/>
    <mergeCell ref="C4:D4"/>
    <mergeCell ref="E5:F5"/>
    <mergeCell ref="C24:D24"/>
    <mergeCell ref="E25:F25"/>
    <mergeCell ref="E45:F45"/>
    <mergeCell ref="C89:D89"/>
    <mergeCell ref="E90:F90"/>
    <mergeCell ref="C67:D67"/>
    <mergeCell ref="E68:F68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topLeftCell="A58" workbookViewId="0">
      <selection activeCell="D86" sqref="D86"/>
    </sheetView>
  </sheetViews>
  <sheetFormatPr defaultColWidth="8.85546875" defaultRowHeight="12.75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2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>
      <c r="A1" s="1022" t="s">
        <v>829</v>
      </c>
      <c r="B1" s="1022"/>
      <c r="C1" s="1022"/>
      <c r="D1" s="1022"/>
      <c r="E1" s="1022"/>
      <c r="F1" s="1022"/>
      <c r="G1" s="1022"/>
      <c r="H1" s="1022"/>
      <c r="I1" s="487"/>
      <c r="J1" s="487"/>
      <c r="K1" s="487"/>
      <c r="L1" s="487"/>
      <c r="M1" s="487"/>
    </row>
    <row r="2" spans="1:13" s="437" customFormat="1" ht="6.75" customHeight="1">
      <c r="B2" s="438"/>
      <c r="C2" s="439"/>
      <c r="D2" s="439"/>
      <c r="E2" s="440"/>
      <c r="F2" s="440"/>
      <c r="G2" s="440"/>
      <c r="H2" s="440"/>
      <c r="I2" s="440"/>
      <c r="J2" s="440"/>
      <c r="K2" s="440"/>
      <c r="L2" s="440"/>
      <c r="M2" s="440"/>
    </row>
    <row r="3" spans="1:13" ht="19.5" customHeight="1">
      <c r="A3" s="660"/>
      <c r="B3" s="432" t="s">
        <v>348</v>
      </c>
      <c r="C3" s="717" t="s">
        <v>831</v>
      </c>
      <c r="D3" s="457"/>
      <c r="E3" s="32"/>
      <c r="F3" s="32"/>
      <c r="G3" s="32"/>
      <c r="H3" s="32"/>
      <c r="I3" s="32"/>
      <c r="J3" s="32"/>
      <c r="K3" s="32"/>
      <c r="L3" s="32"/>
      <c r="M3" s="5"/>
    </row>
    <row r="4" spans="1:13" ht="19.5" customHeight="1">
      <c r="B4" s="432" t="s">
        <v>350</v>
      </c>
      <c r="C4" s="1018">
        <v>41948</v>
      </c>
      <c r="D4" s="1020"/>
      <c r="E4" s="32"/>
      <c r="F4" s="32"/>
      <c r="G4" s="32"/>
      <c r="H4" s="32"/>
      <c r="I4" s="32"/>
      <c r="J4" s="32"/>
      <c r="K4" s="32"/>
      <c r="L4" s="32"/>
      <c r="M4" s="5"/>
    </row>
    <row r="5" spans="1:13" ht="4.5" customHeight="1">
      <c r="B5" s="2"/>
      <c r="C5" s="76"/>
      <c r="D5" s="76"/>
      <c r="E5" s="1019"/>
      <c r="F5" s="1021"/>
      <c r="G5" s="3"/>
      <c r="H5" s="4"/>
      <c r="I5" s="4"/>
      <c r="J5" s="4"/>
      <c r="K5" s="4"/>
      <c r="L5" s="13"/>
      <c r="M5" s="4"/>
    </row>
    <row r="6" spans="1:13" s="6" customFormat="1" ht="13.5" thickBot="1">
      <c r="B6" s="433" t="s">
        <v>349</v>
      </c>
      <c r="C6" s="435" t="s">
        <v>1</v>
      </c>
      <c r="D6" s="435"/>
      <c r="E6" s="436" t="s">
        <v>2</v>
      </c>
      <c r="G6" s="433"/>
      <c r="H6" s="433"/>
      <c r="I6" s="318"/>
      <c r="J6" s="318"/>
    </row>
    <row r="7" spans="1:13">
      <c r="B7" s="125" t="s">
        <v>391</v>
      </c>
      <c r="C7" s="195" t="s">
        <v>44</v>
      </c>
      <c r="D7" s="891"/>
      <c r="E7" s="889">
        <v>1825.28</v>
      </c>
      <c r="G7" s="661"/>
      <c r="H7" s="662"/>
      <c r="I7" s="4"/>
      <c r="J7" s="4"/>
      <c r="M7" s="5"/>
    </row>
    <row r="8" spans="1:13">
      <c r="B8" s="563" t="s">
        <v>748</v>
      </c>
      <c r="C8" s="434" t="s">
        <v>41</v>
      </c>
      <c r="D8" s="892"/>
      <c r="E8" s="889">
        <v>1191.69</v>
      </c>
      <c r="G8" s="661"/>
      <c r="H8" s="662"/>
      <c r="I8" s="4"/>
      <c r="J8" s="4"/>
      <c r="M8" s="5"/>
    </row>
    <row r="9" spans="1:13">
      <c r="B9" s="563" t="s">
        <v>477</v>
      </c>
      <c r="C9" s="434" t="s">
        <v>351</v>
      </c>
      <c r="D9" s="892"/>
      <c r="E9" s="889">
        <v>752.24</v>
      </c>
      <c r="G9" s="661"/>
      <c r="H9" s="662"/>
      <c r="I9" s="4"/>
      <c r="J9" s="4"/>
      <c r="M9" s="5"/>
    </row>
    <row r="10" spans="1:13">
      <c r="B10" s="563" t="s">
        <v>3</v>
      </c>
      <c r="C10" s="434" t="s">
        <v>42</v>
      </c>
      <c r="D10" s="892"/>
      <c r="E10" s="889">
        <v>837.04</v>
      </c>
      <c r="F10" s="900"/>
      <c r="G10" s="661"/>
      <c r="H10" s="662"/>
      <c r="I10" s="4"/>
      <c r="J10" s="4"/>
      <c r="M10" s="5"/>
    </row>
    <row r="11" spans="1:13">
      <c r="B11" s="47" t="s">
        <v>4</v>
      </c>
      <c r="C11" s="75" t="s">
        <v>40</v>
      </c>
      <c r="D11" s="893"/>
      <c r="E11" s="890">
        <v>927.03</v>
      </c>
      <c r="G11" s="661"/>
      <c r="H11" s="662"/>
      <c r="I11" s="4"/>
      <c r="J11" s="4"/>
      <c r="M11" s="5"/>
    </row>
    <row r="12" spans="1:13">
      <c r="B12" s="47" t="s">
        <v>793</v>
      </c>
      <c r="C12" s="75" t="s">
        <v>794</v>
      </c>
      <c r="D12" s="893"/>
      <c r="E12" s="890">
        <f>692-103</f>
        <v>589</v>
      </c>
      <c r="G12" s="661"/>
      <c r="H12" s="662"/>
      <c r="I12" s="4"/>
      <c r="J12" s="4"/>
      <c r="M12" s="5"/>
    </row>
    <row r="13" spans="1:13">
      <c r="B13" s="47" t="s">
        <v>393</v>
      </c>
      <c r="C13" s="75" t="s">
        <v>392</v>
      </c>
      <c r="D13" s="893"/>
      <c r="E13" s="890">
        <v>642</v>
      </c>
      <c r="F13" s="301"/>
      <c r="G13" s="661"/>
      <c r="H13" s="662"/>
      <c r="I13" s="4"/>
      <c r="J13" s="4"/>
      <c r="M13" s="5"/>
    </row>
    <row r="14" spans="1:13">
      <c r="B14" s="939" t="s">
        <v>784</v>
      </c>
      <c r="C14" s="940" t="s">
        <v>779</v>
      </c>
      <c r="D14" s="941"/>
      <c r="E14" s="898">
        <v>792</v>
      </c>
      <c r="F14" s="301"/>
      <c r="G14" s="661"/>
      <c r="H14" s="662"/>
      <c r="I14" s="4"/>
      <c r="J14" s="4"/>
      <c r="M14" s="5"/>
    </row>
    <row r="15" spans="1:13" ht="13.5" thickBot="1">
      <c r="B15" s="443" t="s">
        <v>365</v>
      </c>
      <c r="C15" s="920" t="s">
        <v>366</v>
      </c>
      <c r="D15" s="921"/>
      <c r="E15" s="452">
        <v>1287</v>
      </c>
      <c r="F15" s="301"/>
      <c r="G15" s="661"/>
      <c r="H15" s="662"/>
      <c r="I15" s="4"/>
      <c r="J15" s="4"/>
      <c r="M15" s="5"/>
    </row>
    <row r="16" spans="1:13" s="4" customFormat="1" ht="13.5" thickBot="1">
      <c r="B16" s="302"/>
      <c r="C16" s="441"/>
      <c r="D16" s="441"/>
      <c r="E16" s="449">
        <f>SUM(E7:E15)</f>
        <v>8843.2799999999988</v>
      </c>
      <c r="F16" s="442"/>
      <c r="H16" s="662"/>
    </row>
    <row r="17" spans="1:13">
      <c r="B17" s="567" t="s">
        <v>477</v>
      </c>
      <c r="C17" s="195" t="s">
        <v>285</v>
      </c>
      <c r="D17" s="195"/>
      <c r="E17" s="450">
        <v>500</v>
      </c>
      <c r="G17" s="4"/>
      <c r="H17" s="662"/>
      <c r="I17" s="4"/>
      <c r="J17" s="4"/>
      <c r="M17" s="5"/>
    </row>
    <row r="18" spans="1:13">
      <c r="B18" s="82" t="s">
        <v>11</v>
      </c>
      <c r="C18" s="138" t="s">
        <v>25</v>
      </c>
      <c r="D18" s="138"/>
      <c r="E18" s="454">
        <v>950</v>
      </c>
      <c r="G18" s="4"/>
      <c r="H18" s="662"/>
      <c r="I18" s="4"/>
      <c r="J18" s="4"/>
      <c r="M18" s="5"/>
    </row>
    <row r="19" spans="1:13" ht="13.5" thickBot="1">
      <c r="B19" s="126" t="s">
        <v>58</v>
      </c>
      <c r="C19" s="444" t="s">
        <v>59</v>
      </c>
      <c r="D19" s="444"/>
      <c r="E19" s="452">
        <v>952.5</v>
      </c>
      <c r="G19" s="4"/>
      <c r="H19" s="662"/>
      <c r="I19" s="4"/>
      <c r="J19" s="4"/>
      <c r="M19" s="5"/>
    </row>
    <row r="20" spans="1:13" ht="13.5" thickBot="1">
      <c r="B20" s="11"/>
      <c r="C20" s="445" t="s">
        <v>0</v>
      </c>
      <c r="D20" s="445"/>
      <c r="E20" s="453">
        <f>SUM(E16:E19)</f>
        <v>11245.779999999999</v>
      </c>
      <c r="G20" s="663"/>
      <c r="H20" s="662"/>
      <c r="I20" s="4"/>
      <c r="J20" s="4"/>
      <c r="M20" s="5"/>
    </row>
    <row r="21" spans="1:13">
      <c r="B21" s="11"/>
      <c r="C21" s="445"/>
      <c r="D21" s="445"/>
      <c r="E21" s="623"/>
      <c r="G21" s="663"/>
      <c r="H21" s="662"/>
      <c r="I21" s="4"/>
      <c r="J21" s="4"/>
      <c r="M21" s="5"/>
    </row>
    <row r="22" spans="1:13">
      <c r="B22" s="11" t="s">
        <v>30</v>
      </c>
      <c r="C22" s="973" t="s">
        <v>836</v>
      </c>
      <c r="D22" s="445"/>
      <c r="E22" s="623">
        <v>103</v>
      </c>
      <c r="G22" s="663"/>
      <c r="H22" s="662"/>
      <c r="I22" s="4"/>
      <c r="J22" s="4"/>
      <c r="M22" s="5"/>
    </row>
    <row r="23" spans="1:13">
      <c r="B23" s="11"/>
      <c r="C23" s="445"/>
      <c r="D23" s="445"/>
      <c r="E23" s="623"/>
      <c r="M23" s="5"/>
    </row>
    <row r="24" spans="1:13" s="437" customFormat="1" ht="6.75" customHeight="1">
      <c r="B24" s="438"/>
      <c r="C24" s="439"/>
      <c r="D24" s="439"/>
      <c r="E24" s="440"/>
      <c r="F24" s="440"/>
      <c r="G24" s="440"/>
      <c r="H24" s="440"/>
      <c r="I24" s="440"/>
      <c r="J24" s="440"/>
      <c r="K24" s="440"/>
      <c r="L24" s="440"/>
      <c r="M24" s="440"/>
    </row>
    <row r="25" spans="1:13" ht="19.5" customHeight="1">
      <c r="A25" s="660"/>
      <c r="B25" s="432" t="s">
        <v>348</v>
      </c>
      <c r="C25" s="717" t="s">
        <v>832</v>
      </c>
      <c r="D25" s="717"/>
      <c r="E25" s="32"/>
      <c r="F25" s="32"/>
      <c r="G25" s="32"/>
      <c r="H25" s="32"/>
      <c r="I25" s="32"/>
      <c r="J25" s="32"/>
      <c r="K25" s="32"/>
      <c r="L25" s="32"/>
      <c r="M25" s="5"/>
    </row>
    <row r="26" spans="1:13" ht="19.5" customHeight="1">
      <c r="B26" s="432" t="s">
        <v>350</v>
      </c>
      <c r="C26" s="1018">
        <v>41955</v>
      </c>
      <c r="D26" s="1020"/>
      <c r="E26" s="32"/>
      <c r="F26" s="32"/>
      <c r="G26" s="32"/>
      <c r="H26" s="32"/>
      <c r="I26" s="32"/>
      <c r="J26" s="32"/>
      <c r="K26" s="32"/>
      <c r="L26" s="32"/>
      <c r="M26" s="5"/>
    </row>
    <row r="27" spans="1:13" ht="4.5" customHeight="1">
      <c r="B27" s="2"/>
      <c r="C27" s="76"/>
      <c r="D27" s="76"/>
      <c r="E27" s="1019"/>
      <c r="F27" s="1021"/>
      <c r="G27" s="3"/>
      <c r="H27" s="4"/>
      <c r="I27" s="4"/>
      <c r="J27" s="4"/>
      <c r="K27" s="4"/>
      <c r="L27" s="13"/>
      <c r="M27" s="4"/>
    </row>
    <row r="28" spans="1:13" s="6" customFormat="1" ht="13.5" thickBot="1">
      <c r="B28" s="433" t="s">
        <v>349</v>
      </c>
      <c r="C28" s="435" t="s">
        <v>1</v>
      </c>
      <c r="D28" s="435"/>
      <c r="E28" s="436" t="s">
        <v>2</v>
      </c>
      <c r="G28" s="318"/>
      <c r="H28" s="318"/>
      <c r="I28" s="318"/>
      <c r="J28" s="318"/>
    </row>
    <row r="29" spans="1:13">
      <c r="B29" s="125" t="s">
        <v>391</v>
      </c>
      <c r="C29" s="195" t="s">
        <v>44</v>
      </c>
      <c r="D29" s="891"/>
      <c r="E29" s="889">
        <v>2523.92</v>
      </c>
      <c r="M29" s="5"/>
    </row>
    <row r="30" spans="1:13">
      <c r="B30" s="563" t="s">
        <v>748</v>
      </c>
      <c r="C30" s="434" t="s">
        <v>41</v>
      </c>
      <c r="D30" s="892"/>
      <c r="E30" s="889">
        <v>2143.2399999999998</v>
      </c>
      <c r="F30" s="512"/>
      <c r="M30" s="5"/>
    </row>
    <row r="31" spans="1:13">
      <c r="B31" s="563" t="s">
        <v>477</v>
      </c>
      <c r="C31" s="434" t="s">
        <v>351</v>
      </c>
      <c r="D31" s="892"/>
      <c r="E31" s="889">
        <v>652.24</v>
      </c>
      <c r="M31" s="5"/>
    </row>
    <row r="32" spans="1:13">
      <c r="B32" s="563" t="s">
        <v>3</v>
      </c>
      <c r="C32" s="434" t="s">
        <v>42</v>
      </c>
      <c r="D32" s="892"/>
      <c r="E32" s="889">
        <v>837.04</v>
      </c>
      <c r="M32" s="5"/>
    </row>
    <row r="33" spans="1:13">
      <c r="B33" s="47" t="s">
        <v>4</v>
      </c>
      <c r="C33" s="75" t="s">
        <v>40</v>
      </c>
      <c r="D33" s="893"/>
      <c r="E33" s="890">
        <v>927.03</v>
      </c>
      <c r="M33" s="5"/>
    </row>
    <row r="34" spans="1:13">
      <c r="B34" s="47" t="s">
        <v>793</v>
      </c>
      <c r="C34" s="75" t="s">
        <v>794</v>
      </c>
      <c r="D34" s="893"/>
      <c r="E34" s="890">
        <v>792</v>
      </c>
      <c r="M34" s="5"/>
    </row>
    <row r="35" spans="1:13">
      <c r="B35" s="47" t="s">
        <v>393</v>
      </c>
      <c r="C35" s="75" t="s">
        <v>392</v>
      </c>
      <c r="D35" s="893"/>
      <c r="E35" s="890">
        <v>671.7</v>
      </c>
      <c r="M35" s="5"/>
    </row>
    <row r="36" spans="1:13">
      <c r="B36" s="47" t="s">
        <v>784</v>
      </c>
      <c r="C36" s="75" t="s">
        <v>779</v>
      </c>
      <c r="D36" s="893"/>
      <c r="E36" s="890">
        <v>792</v>
      </c>
      <c r="F36" s="301"/>
      <c r="G36" s="661"/>
      <c r="H36" s="662"/>
      <c r="I36" s="4"/>
      <c r="J36" s="4"/>
      <c r="M36" s="5"/>
    </row>
    <row r="37" spans="1:13" ht="13.5" thickBot="1">
      <c r="B37" s="942" t="s">
        <v>365</v>
      </c>
      <c r="C37" s="943" t="s">
        <v>366</v>
      </c>
      <c r="D37" s="944"/>
      <c r="E37" s="909">
        <v>2010.94</v>
      </c>
      <c r="F37" s="301"/>
      <c r="M37" s="5"/>
    </row>
    <row r="38" spans="1:13" s="4" customFormat="1" ht="13.5" thickBot="1">
      <c r="B38" s="302"/>
      <c r="C38" s="441"/>
      <c r="D38" s="441"/>
      <c r="E38" s="449">
        <f>SUM(E29:E37)</f>
        <v>11350.11</v>
      </c>
      <c r="F38" s="442"/>
    </row>
    <row r="39" spans="1:13">
      <c r="B39" s="567" t="s">
        <v>477</v>
      </c>
      <c r="C39" s="195" t="s">
        <v>285</v>
      </c>
      <c r="D39" s="195"/>
      <c r="E39" s="450">
        <v>500</v>
      </c>
      <c r="M39" s="5"/>
    </row>
    <row r="40" spans="1:13">
      <c r="B40" s="82" t="s">
        <v>11</v>
      </c>
      <c r="C40" s="138" t="s">
        <v>25</v>
      </c>
      <c r="D40" s="138"/>
      <c r="E40" s="454">
        <v>950</v>
      </c>
      <c r="M40" s="5"/>
    </row>
    <row r="41" spans="1:13" ht="13.5" thickBot="1">
      <c r="B41" s="126" t="s">
        <v>58</v>
      </c>
      <c r="C41" s="444" t="s">
        <v>59</v>
      </c>
      <c r="D41" s="444"/>
      <c r="E41" s="452">
        <v>952.5</v>
      </c>
      <c r="M41" s="5"/>
    </row>
    <row r="42" spans="1:13" ht="13.5" thickBot="1">
      <c r="B42" s="11"/>
      <c r="C42" s="445" t="s">
        <v>0</v>
      </c>
      <c r="D42" s="445"/>
      <c r="E42" s="453">
        <f>SUM(E38:E41)</f>
        <v>13752.61</v>
      </c>
      <c r="M42" s="5"/>
    </row>
    <row r="43" spans="1:13">
      <c r="B43" s="11"/>
      <c r="C43" s="445"/>
      <c r="D43" s="445"/>
      <c r="E43" s="623"/>
      <c r="M43" s="5"/>
    </row>
    <row r="44" spans="1:13" s="437" customFormat="1" ht="6.75" customHeight="1">
      <c r="B44" s="438"/>
      <c r="C44" s="439"/>
      <c r="D44" s="439"/>
      <c r="E44" s="440"/>
      <c r="F44" s="440"/>
      <c r="G44" s="440"/>
      <c r="H44" s="440"/>
      <c r="I44" s="440"/>
      <c r="J44" s="440"/>
      <c r="K44" s="440"/>
      <c r="L44" s="440"/>
      <c r="M44" s="440"/>
    </row>
    <row r="45" spans="1:13" ht="19.5" customHeight="1">
      <c r="A45" s="660"/>
      <c r="B45" s="432" t="s">
        <v>348</v>
      </c>
      <c r="C45" s="717" t="s">
        <v>833</v>
      </c>
      <c r="D45" s="457"/>
      <c r="E45" s="32"/>
      <c r="F45" s="32"/>
      <c r="G45" s="32"/>
      <c r="H45" s="32"/>
      <c r="I45" s="32"/>
      <c r="J45" s="32"/>
      <c r="K45" s="32"/>
      <c r="L45" s="32"/>
      <c r="M45" s="5"/>
    </row>
    <row r="46" spans="1:13" ht="19.5" customHeight="1">
      <c r="B46" s="432" t="s">
        <v>350</v>
      </c>
      <c r="C46" s="1018">
        <v>41962</v>
      </c>
      <c r="D46" s="1018"/>
      <c r="E46" s="32"/>
      <c r="F46" s="32"/>
      <c r="G46" s="32"/>
      <c r="H46" s="32"/>
      <c r="I46" s="32"/>
      <c r="J46" s="32"/>
      <c r="K46" s="32"/>
      <c r="L46" s="32"/>
      <c r="M46" s="5"/>
    </row>
    <row r="47" spans="1:13" ht="4.5" customHeight="1">
      <c r="B47" s="2"/>
      <c r="C47" s="76"/>
      <c r="D47" s="76"/>
      <c r="E47" s="1019"/>
      <c r="F47" s="1019"/>
      <c r="G47" s="3"/>
      <c r="H47" s="4"/>
      <c r="I47" s="4"/>
      <c r="J47" s="4"/>
      <c r="K47" s="4"/>
      <c r="L47" s="13"/>
      <c r="M47" s="4"/>
    </row>
    <row r="48" spans="1:13" s="6" customFormat="1" ht="13.5" thickBot="1">
      <c r="B48" s="433" t="s">
        <v>349</v>
      </c>
      <c r="C48" s="435" t="s">
        <v>1</v>
      </c>
      <c r="D48" s="435"/>
      <c r="E48" s="436" t="s">
        <v>2</v>
      </c>
    </row>
    <row r="49" spans="2:13">
      <c r="B49" s="125" t="s">
        <v>391</v>
      </c>
      <c r="C49" s="195" t="s">
        <v>44</v>
      </c>
      <c r="D49" s="891"/>
      <c r="E49" s="889">
        <v>2601.54</v>
      </c>
      <c r="F49" s="512"/>
      <c r="M49" s="5"/>
    </row>
    <row r="50" spans="2:13">
      <c r="B50" s="563" t="s">
        <v>748</v>
      </c>
      <c r="C50" s="434" t="s">
        <v>41</v>
      </c>
      <c r="D50" s="892"/>
      <c r="E50" s="889">
        <v>1191.6300000000001</v>
      </c>
      <c r="M50" s="5"/>
    </row>
    <row r="51" spans="2:13">
      <c r="B51" s="563" t="s">
        <v>477</v>
      </c>
      <c r="C51" s="434" t="s">
        <v>351</v>
      </c>
      <c r="D51" s="892"/>
      <c r="E51" s="889">
        <v>652.24</v>
      </c>
      <c r="M51" s="5"/>
    </row>
    <row r="52" spans="2:13">
      <c r="B52" s="563" t="s">
        <v>3</v>
      </c>
      <c r="C52" s="434" t="s">
        <v>42</v>
      </c>
      <c r="D52" s="892"/>
      <c r="E52" s="889">
        <v>837.04</v>
      </c>
      <c r="F52" s="900"/>
      <c r="M52" s="5"/>
    </row>
    <row r="53" spans="2:13">
      <c r="B53" s="47" t="s">
        <v>4</v>
      </c>
      <c r="C53" s="75" t="s">
        <v>40</v>
      </c>
      <c r="D53" s="893"/>
      <c r="E53" s="890">
        <v>927.03</v>
      </c>
      <c r="M53" s="5"/>
    </row>
    <row r="54" spans="2:13">
      <c r="B54" s="47" t="s">
        <v>793</v>
      </c>
      <c r="C54" s="75" t="s">
        <v>794</v>
      </c>
      <c r="D54" s="893"/>
      <c r="E54" s="890">
        <v>792</v>
      </c>
      <c r="M54" s="5"/>
    </row>
    <row r="55" spans="2:13">
      <c r="B55" s="47" t="s">
        <v>393</v>
      </c>
      <c r="C55" s="75" t="s">
        <v>392</v>
      </c>
      <c r="D55" s="893"/>
      <c r="E55" s="890">
        <v>642</v>
      </c>
      <c r="F55" s="301"/>
      <c r="M55" s="5"/>
    </row>
    <row r="56" spans="2:13">
      <c r="B56" s="47" t="s">
        <v>784</v>
      </c>
      <c r="C56" s="75" t="s">
        <v>779</v>
      </c>
      <c r="D56" s="893"/>
      <c r="E56" s="890">
        <v>792</v>
      </c>
      <c r="F56" s="301"/>
      <c r="G56" s="661"/>
      <c r="H56" s="662"/>
      <c r="I56" s="4"/>
      <c r="J56" s="4"/>
      <c r="M56" s="5"/>
    </row>
    <row r="57" spans="2:13" ht="13.5" thickBot="1">
      <c r="B57" s="942" t="s">
        <v>365</v>
      </c>
      <c r="C57" s="943" t="s">
        <v>366</v>
      </c>
      <c r="D57" s="944"/>
      <c r="E57" s="909">
        <v>990</v>
      </c>
      <c r="F57" s="301"/>
      <c r="M57" s="5"/>
    </row>
    <row r="58" spans="2:13" s="4" customFormat="1" ht="13.5" thickBot="1">
      <c r="B58" s="302"/>
      <c r="C58" s="441"/>
      <c r="D58" s="441"/>
      <c r="E58" s="449">
        <f>SUM(E49:E57)</f>
        <v>9425.48</v>
      </c>
      <c r="F58" s="442"/>
    </row>
    <row r="59" spans="2:13">
      <c r="B59" s="567" t="s">
        <v>477</v>
      </c>
      <c r="C59" s="195" t="s">
        <v>285</v>
      </c>
      <c r="D59" s="195"/>
      <c r="E59" s="450">
        <v>500</v>
      </c>
      <c r="M59" s="5"/>
    </row>
    <row r="60" spans="2:13">
      <c r="B60" s="82" t="s">
        <v>11</v>
      </c>
      <c r="C60" s="138" t="s">
        <v>25</v>
      </c>
      <c r="D60" s="138"/>
      <c r="E60" s="454">
        <v>950</v>
      </c>
      <c r="M60" s="5"/>
    </row>
    <row r="61" spans="2:13" ht="13.5" thickBot="1">
      <c r="B61" s="126" t="s">
        <v>58</v>
      </c>
      <c r="C61" s="444" t="s">
        <v>59</v>
      </c>
      <c r="D61" s="444"/>
      <c r="E61" s="452">
        <v>952.5</v>
      </c>
      <c r="M61" s="5"/>
    </row>
    <row r="62" spans="2:13" ht="13.5" thickBot="1">
      <c r="B62" s="11"/>
      <c r="C62" s="445" t="s">
        <v>0</v>
      </c>
      <c r="D62" s="445"/>
      <c r="E62" s="453">
        <f>SUM(E58:E61)</f>
        <v>11827.98</v>
      </c>
      <c r="M62" s="5"/>
    </row>
    <row r="63" spans="2:13" ht="12.75" customHeight="1">
      <c r="B63" s="11"/>
      <c r="C63" s="28"/>
      <c r="D63" s="28"/>
      <c r="E63" s="32"/>
      <c r="F63" s="32"/>
      <c r="G63" s="32"/>
      <c r="H63" s="32"/>
      <c r="I63" s="32"/>
      <c r="J63" s="32"/>
      <c r="K63" s="32"/>
      <c r="L63" s="32"/>
      <c r="M63" s="32"/>
    </row>
    <row r="64" spans="2:13" s="437" customFormat="1" ht="6.75" customHeight="1">
      <c r="B64" s="438"/>
      <c r="C64" s="439"/>
      <c r="D64" s="439"/>
      <c r="E64" s="440"/>
      <c r="F64" s="440"/>
      <c r="G64" s="440"/>
      <c r="H64" s="440"/>
      <c r="I64" s="440"/>
      <c r="J64" s="440"/>
      <c r="K64" s="440"/>
      <c r="L64" s="440"/>
      <c r="M64" s="440"/>
    </row>
    <row r="65" spans="1:13" ht="19.5" customHeight="1">
      <c r="A65" s="660"/>
      <c r="B65" s="432" t="s">
        <v>348</v>
      </c>
      <c r="C65" s="717" t="s">
        <v>834</v>
      </c>
      <c r="D65" s="457"/>
      <c r="E65" s="32"/>
      <c r="F65" s="32"/>
      <c r="G65" s="32"/>
      <c r="H65" s="32"/>
      <c r="I65" s="32"/>
      <c r="J65" s="32"/>
      <c r="K65" s="32"/>
      <c r="L65" s="32"/>
      <c r="M65" s="5"/>
    </row>
    <row r="66" spans="1:13" ht="19.5" customHeight="1">
      <c r="B66" s="432" t="s">
        <v>350</v>
      </c>
      <c r="C66" s="1018">
        <v>41969</v>
      </c>
      <c r="D66" s="1018"/>
      <c r="E66" s="32"/>
      <c r="F66" s="32"/>
      <c r="G66" s="32"/>
      <c r="H66" s="32"/>
      <c r="I66" s="32"/>
      <c r="J66" s="32"/>
      <c r="K66" s="32"/>
      <c r="L66" s="32"/>
      <c r="M66" s="5"/>
    </row>
    <row r="67" spans="1:13" ht="4.5" customHeight="1">
      <c r="B67" s="2"/>
      <c r="C67" s="76"/>
      <c r="D67" s="76"/>
      <c r="E67" s="1019"/>
      <c r="F67" s="1019"/>
      <c r="G67" s="3"/>
      <c r="H67" s="4"/>
      <c r="I67" s="4"/>
      <c r="J67" s="4"/>
      <c r="K67" s="4"/>
      <c r="L67" s="13"/>
      <c r="M67" s="4"/>
    </row>
    <row r="68" spans="1:13" s="6" customFormat="1" ht="13.5" thickBot="1">
      <c r="B68" s="433" t="s">
        <v>349</v>
      </c>
      <c r="C68" s="435" t="s">
        <v>1</v>
      </c>
      <c r="D68" s="435"/>
      <c r="E68" s="436" t="s">
        <v>2</v>
      </c>
    </row>
    <row r="69" spans="1:13">
      <c r="B69" s="125" t="s">
        <v>391</v>
      </c>
      <c r="C69" s="195" t="s">
        <v>44</v>
      </c>
      <c r="D69" s="891"/>
      <c r="E69" s="889">
        <v>2019.42</v>
      </c>
      <c r="M69" s="5"/>
    </row>
    <row r="70" spans="1:13">
      <c r="B70" s="563" t="s">
        <v>748</v>
      </c>
      <c r="C70" s="434" t="s">
        <v>41</v>
      </c>
      <c r="D70" s="892"/>
      <c r="E70" s="889">
        <v>1693.84</v>
      </c>
      <c r="M70" s="5"/>
    </row>
    <row r="71" spans="1:13">
      <c r="B71" s="563" t="s">
        <v>477</v>
      </c>
      <c r="C71" s="434" t="s">
        <v>351</v>
      </c>
      <c r="D71" s="892"/>
      <c r="E71" s="889">
        <v>680.45</v>
      </c>
      <c r="F71" s="963"/>
      <c r="M71" s="5"/>
    </row>
    <row r="72" spans="1:13">
      <c r="B72" s="563" t="s">
        <v>3</v>
      </c>
      <c r="C72" s="434" t="s">
        <v>42</v>
      </c>
      <c r="D72" s="892"/>
      <c r="E72" s="889">
        <v>837.04</v>
      </c>
      <c r="F72" s="900"/>
      <c r="M72" s="5"/>
    </row>
    <row r="73" spans="1:13">
      <c r="B73" s="47" t="s">
        <v>4</v>
      </c>
      <c r="C73" s="75" t="s">
        <v>40</v>
      </c>
      <c r="D73" s="893"/>
      <c r="E73" s="890">
        <v>927.03</v>
      </c>
      <c r="M73" s="5"/>
    </row>
    <row r="74" spans="1:13">
      <c r="B74" s="47" t="s">
        <v>793</v>
      </c>
      <c r="C74" s="75" t="s">
        <v>794</v>
      </c>
      <c r="D74" s="893"/>
      <c r="E74" s="890">
        <v>792</v>
      </c>
      <c r="M74" s="5"/>
    </row>
    <row r="75" spans="1:13">
      <c r="B75" s="47" t="s">
        <v>393</v>
      </c>
      <c r="C75" s="75" t="s">
        <v>392</v>
      </c>
      <c r="D75" s="893"/>
      <c r="E75" s="890">
        <v>879.6</v>
      </c>
      <c r="F75" s="301"/>
      <c r="M75" s="5"/>
    </row>
    <row r="76" spans="1:13">
      <c r="B76" s="47" t="s">
        <v>784</v>
      </c>
      <c r="C76" s="75" t="s">
        <v>779</v>
      </c>
      <c r="D76" s="893"/>
      <c r="E76" s="890">
        <v>792</v>
      </c>
      <c r="F76" s="301"/>
      <c r="G76" s="661"/>
      <c r="H76" s="662"/>
      <c r="I76" s="4"/>
      <c r="J76" s="4"/>
      <c r="M76" s="5"/>
    </row>
    <row r="77" spans="1:13" ht="13.5" thickBot="1">
      <c r="B77" s="942" t="s">
        <v>365</v>
      </c>
      <c r="C77" s="943" t="s">
        <v>366</v>
      </c>
      <c r="D77" s="944"/>
      <c r="E77" s="909">
        <v>1287</v>
      </c>
      <c r="F77" s="301"/>
      <c r="M77" s="5"/>
    </row>
    <row r="78" spans="1:13" s="4" customFormat="1" ht="13.5" thickBot="1">
      <c r="B78" s="302"/>
      <c r="C78" s="441"/>
      <c r="D78" s="441"/>
      <c r="E78" s="449">
        <f>SUM(E69:E77)</f>
        <v>9908.380000000001</v>
      </c>
      <c r="F78" s="442"/>
    </row>
    <row r="79" spans="1:13">
      <c r="B79" s="567" t="s">
        <v>477</v>
      </c>
      <c r="C79" s="195" t="s">
        <v>285</v>
      </c>
      <c r="D79" s="195"/>
      <c r="E79" s="450">
        <f>500+(500/40*1)</f>
        <v>512.5</v>
      </c>
      <c r="M79" s="5"/>
    </row>
    <row r="80" spans="1:13">
      <c r="B80" s="82" t="s">
        <v>11</v>
      </c>
      <c r="C80" s="138" t="s">
        <v>25</v>
      </c>
      <c r="D80" s="138"/>
      <c r="E80" s="454">
        <v>950</v>
      </c>
      <c r="M80" s="5"/>
    </row>
    <row r="81" spans="1:13" ht="13.5" thickBot="1">
      <c r="B81" s="126" t="s">
        <v>58</v>
      </c>
      <c r="C81" s="444" t="s">
        <v>59</v>
      </c>
      <c r="D81" s="444"/>
      <c r="E81" s="452">
        <v>952.5</v>
      </c>
      <c r="M81" s="5"/>
    </row>
    <row r="82" spans="1:13" ht="13.5" thickBot="1">
      <c r="B82" s="11"/>
      <c r="C82" s="445" t="s">
        <v>0</v>
      </c>
      <c r="D82" s="445"/>
      <c r="E82" s="453">
        <f>SUM(E78:E81)</f>
        <v>12323.380000000001</v>
      </c>
      <c r="M82" s="5"/>
    </row>
    <row r="83" spans="1:13">
      <c r="B83" s="11"/>
      <c r="C83" s="445"/>
      <c r="D83" s="445"/>
      <c r="E83" s="623"/>
      <c r="M83" s="5"/>
    </row>
    <row r="84" spans="1:13" s="7" customFormat="1" ht="13.15" customHeight="1">
      <c r="A84" s="56" t="s">
        <v>30</v>
      </c>
      <c r="B84" s="57" t="s">
        <v>31</v>
      </c>
      <c r="C84" s="57"/>
      <c r="D84" s="455">
        <f>Nikki!E1430</f>
        <v>8483.35</v>
      </c>
      <c r="E84" s="908"/>
      <c r="F84" s="56" t="s">
        <v>38</v>
      </c>
      <c r="G84" s="57" t="s">
        <v>39</v>
      </c>
      <c r="H84" s="455">
        <v>1200</v>
      </c>
      <c r="I84" s="938"/>
      <c r="J84" s="908"/>
      <c r="K84" s="458"/>
      <c r="L84" s="458"/>
      <c r="M84" s="458"/>
    </row>
    <row r="85" spans="1:13" s="7" customFormat="1" ht="13.15" customHeight="1">
      <c r="A85" s="56" t="s">
        <v>32</v>
      </c>
      <c r="B85" s="57" t="s">
        <v>131</v>
      </c>
      <c r="C85" s="57"/>
      <c r="D85" s="455">
        <f>Nikki!E1431</f>
        <v>235.52000000000041</v>
      </c>
      <c r="E85" s="908"/>
      <c r="F85" s="56" t="s">
        <v>38</v>
      </c>
      <c r="G85" s="57" t="s">
        <v>107</v>
      </c>
      <c r="H85" s="455">
        <f>120000*15%/12</f>
        <v>1500</v>
      </c>
      <c r="I85" s="938"/>
      <c r="J85" s="908"/>
      <c r="K85" s="458"/>
      <c r="L85" s="458"/>
      <c r="M85" s="458"/>
    </row>
    <row r="86" spans="1:13" s="7" customFormat="1" ht="13.15" customHeight="1">
      <c r="A86" s="56" t="s">
        <v>33</v>
      </c>
      <c r="B86" s="57" t="s">
        <v>34</v>
      </c>
      <c r="C86" s="57"/>
      <c r="D86" s="455">
        <v>311.83999999999997</v>
      </c>
      <c r="E86" s="455"/>
      <c r="F86" s="56" t="s">
        <v>45</v>
      </c>
      <c r="G86" s="57" t="s">
        <v>39</v>
      </c>
      <c r="H86" s="455">
        <v>1800</v>
      </c>
      <c r="I86" s="938"/>
      <c r="J86" s="908"/>
      <c r="K86" s="458"/>
      <c r="L86" s="458"/>
      <c r="M86" s="458"/>
    </row>
    <row r="87" spans="1:13" s="7" customFormat="1" ht="13.15" customHeight="1">
      <c r="A87" s="56" t="s">
        <v>736</v>
      </c>
      <c r="B87" s="57" t="s">
        <v>737</v>
      </c>
      <c r="C87" s="57"/>
      <c r="D87" s="455">
        <v>764.27</v>
      </c>
      <c r="E87" s="455"/>
      <c r="F87" s="56" t="s">
        <v>32</v>
      </c>
      <c r="G87" s="57" t="s">
        <v>108</v>
      </c>
      <c r="H87" s="455">
        <v>1014</v>
      </c>
      <c r="I87" s="938"/>
      <c r="J87" s="908"/>
      <c r="K87" s="458"/>
      <c r="L87" s="458"/>
      <c r="M87" s="458"/>
    </row>
    <row r="88" spans="1:13" s="7" customFormat="1" ht="13.15" customHeight="1">
      <c r="A88" s="56" t="s">
        <v>736</v>
      </c>
      <c r="B88" s="57" t="s">
        <v>738</v>
      </c>
      <c r="C88" s="57"/>
      <c r="D88" s="455">
        <v>472.63</v>
      </c>
      <c r="E88" s="455"/>
      <c r="F88" s="56" t="s">
        <v>230</v>
      </c>
      <c r="G88" s="57" t="s">
        <v>232</v>
      </c>
      <c r="H88" s="455">
        <v>500</v>
      </c>
      <c r="I88" s="938"/>
      <c r="J88" s="908"/>
      <c r="K88" s="458"/>
      <c r="L88" s="458"/>
      <c r="M88" s="458"/>
    </row>
    <row r="89" spans="1:13" s="7" customFormat="1" ht="13.15" customHeight="1">
      <c r="A89" s="56" t="s">
        <v>736</v>
      </c>
      <c r="B89" s="57" t="s">
        <v>739</v>
      </c>
      <c r="C89" s="57"/>
      <c r="D89" s="455">
        <v>86.94</v>
      </c>
      <c r="E89" s="455"/>
      <c r="F89" s="56" t="s">
        <v>231</v>
      </c>
      <c r="G89" s="57" t="s">
        <v>233</v>
      </c>
      <c r="H89" s="455">
        <v>500</v>
      </c>
      <c r="I89" s="938"/>
      <c r="J89" s="908"/>
      <c r="K89" s="458"/>
      <c r="L89" s="458"/>
      <c r="M89" s="458"/>
    </row>
    <row r="90" spans="1:13" s="7" customFormat="1" ht="13.15" customHeight="1">
      <c r="A90" s="56" t="s">
        <v>36</v>
      </c>
      <c r="B90" s="57" t="s">
        <v>37</v>
      </c>
      <c r="C90" s="455"/>
      <c r="D90" s="455">
        <v>8000</v>
      </c>
      <c r="E90" s="908"/>
      <c r="F90" s="56" t="s">
        <v>33</v>
      </c>
      <c r="G90" s="57" t="s">
        <v>46</v>
      </c>
      <c r="H90" s="455">
        <v>11000</v>
      </c>
      <c r="I90" s="938"/>
      <c r="J90" s="908"/>
    </row>
    <row r="91" spans="1:13" s="7" customFormat="1" ht="13.15" customHeight="1">
      <c r="A91" s="56" t="s">
        <v>35</v>
      </c>
      <c r="B91" s="57" t="s">
        <v>186</v>
      </c>
      <c r="C91" s="455"/>
      <c r="D91" s="455">
        <v>1000</v>
      </c>
      <c r="E91" s="455"/>
      <c r="F91" s="139" t="s">
        <v>65</v>
      </c>
      <c r="G91" s="57" t="s">
        <v>47</v>
      </c>
      <c r="H91" s="455">
        <v>11000</v>
      </c>
      <c r="I91" s="455"/>
      <c r="J91" s="459"/>
    </row>
    <row r="92" spans="1:13" s="7" customFormat="1" ht="13.15" customHeight="1" thickBot="1">
      <c r="A92" s="56"/>
      <c r="B92" s="57" t="s">
        <v>106</v>
      </c>
      <c r="C92" s="455"/>
      <c r="D92" s="455">
        <v>5000</v>
      </c>
      <c r="E92" s="455"/>
      <c r="F92" s="56"/>
      <c r="G92" s="57"/>
      <c r="H92" s="456"/>
      <c r="I92" s="659"/>
      <c r="J92" s="459"/>
    </row>
    <row r="93" spans="1:13" s="7" customFormat="1" ht="13.15" customHeight="1" thickTop="1" thickBot="1">
      <c r="B93" s="56"/>
      <c r="C93" s="57"/>
      <c r="D93" s="57"/>
      <c r="E93" s="455"/>
      <c r="F93" s="61"/>
      <c r="G93" s="57"/>
      <c r="H93" s="659">
        <f>SUM(H84:H92)+SUM(D84:D92)</f>
        <v>52868.55</v>
      </c>
      <c r="I93" s="132"/>
      <c r="J93" s="459"/>
    </row>
    <row r="94" spans="1:13" s="7" customFormat="1" ht="13.15" customHeight="1" thickBot="1">
      <c r="B94" s="56"/>
      <c r="C94" s="57"/>
      <c r="D94" s="57"/>
      <c r="E94" s="455"/>
      <c r="F94" s="61"/>
      <c r="G94" s="474" t="s">
        <v>5</v>
      </c>
      <c r="H94" s="475">
        <f>H93+E82</f>
        <v>65191.930000000008</v>
      </c>
      <c r="I94" s="659"/>
      <c r="J94" s="459"/>
    </row>
    <row r="95" spans="1:13" s="7" customFormat="1" ht="13.15" customHeight="1">
      <c r="B95" s="56"/>
      <c r="C95" s="57"/>
      <c r="D95" s="9"/>
      <c r="E95" s="455"/>
      <c r="F95" s="58"/>
      <c r="G95" s="57"/>
      <c r="H95" s="659"/>
      <c r="I95" s="659"/>
      <c r="J95" s="459"/>
    </row>
    <row r="96" spans="1:13" s="7" customFormat="1" ht="13.15" customHeight="1">
      <c r="B96" s="56"/>
      <c r="C96" s="57"/>
      <c r="D96" s="8"/>
      <c r="E96" s="455"/>
      <c r="F96" s="61"/>
      <c r="G96" s="57"/>
      <c r="H96" s="659"/>
      <c r="I96" s="659"/>
      <c r="J96" s="459"/>
    </row>
    <row r="97" spans="1:13" s="7" customFormat="1" ht="13.15" customHeight="1">
      <c r="B97" s="56"/>
      <c r="C97" s="57"/>
      <c r="D97" s="8"/>
      <c r="E97" s="455"/>
      <c r="F97" s="61"/>
      <c r="G97" s="474"/>
      <c r="H97" s="513"/>
      <c r="I97" s="659"/>
      <c r="J97" s="459"/>
    </row>
    <row r="98" spans="1:13" s="7" customFormat="1" ht="13.15" customHeight="1">
      <c r="A98" s="9"/>
      <c r="B98" s="10"/>
      <c r="C98" s="9"/>
      <c r="D98" s="8"/>
      <c r="E98" s="455"/>
      <c r="F98" s="58"/>
      <c r="G98" s="57"/>
      <c r="H98" s="659"/>
      <c r="I98" s="659"/>
      <c r="J98" s="459"/>
    </row>
    <row r="99" spans="1:13" s="7" customFormat="1" ht="13.15" customHeight="1">
      <c r="A99" s="9"/>
      <c r="B99" s="10"/>
      <c r="C99" s="8"/>
      <c r="D99" s="8"/>
      <c r="E99" s="9"/>
      <c r="F99" s="9"/>
      <c r="G99" s="9"/>
      <c r="H99" s="9"/>
      <c r="I99" s="659"/>
      <c r="J99" s="459"/>
    </row>
    <row r="100" spans="1:13" s="7" customFormat="1" ht="13.15" customHeight="1">
      <c r="A100" s="9"/>
      <c r="B100" s="10"/>
      <c r="C100" s="8"/>
      <c r="D100" s="8"/>
      <c r="E100" s="9"/>
      <c r="F100" s="9"/>
      <c r="G100" s="9"/>
      <c r="H100" s="9"/>
      <c r="I100" s="659"/>
      <c r="J100" s="459"/>
    </row>
    <row r="101" spans="1:13" s="7" customFormat="1" ht="13.15" customHeight="1">
      <c r="A101" s="9"/>
      <c r="B101" s="10"/>
      <c r="C101" s="8"/>
      <c r="D101" s="8"/>
      <c r="E101" s="9"/>
      <c r="F101" s="9"/>
      <c r="G101" s="9"/>
      <c r="H101" s="9"/>
      <c r="I101" s="659"/>
      <c r="J101" s="459"/>
    </row>
    <row r="102" spans="1:13" s="7" customFormat="1" ht="13.15" customHeight="1">
      <c r="A102" s="9"/>
      <c r="B102" s="10"/>
      <c r="C102" s="8"/>
      <c r="D102" s="9"/>
      <c r="E102" s="9"/>
      <c r="F102" s="9"/>
      <c r="G102" s="9"/>
      <c r="H102" s="9"/>
      <c r="I102" s="659"/>
      <c r="J102" s="459"/>
    </row>
    <row r="103" spans="1:13" s="7" customFormat="1" ht="13.15" customHeight="1">
      <c r="A103" s="9"/>
      <c r="B103" s="10"/>
      <c r="C103" s="8"/>
      <c r="D103" s="9"/>
      <c r="E103" s="9"/>
      <c r="F103" s="9"/>
      <c r="G103" s="9"/>
      <c r="H103" s="9"/>
      <c r="I103" s="659"/>
      <c r="J103" s="459"/>
    </row>
    <row r="104" spans="1:13" s="9" customFormat="1" ht="12">
      <c r="B104" s="10"/>
      <c r="C104" s="8"/>
      <c r="M104" s="10"/>
    </row>
    <row r="105" spans="1:13" s="9" customFormat="1" ht="12">
      <c r="B105" s="10"/>
      <c r="M105" s="10"/>
    </row>
    <row r="106" spans="1:13" s="9" customFormat="1" ht="12">
      <c r="B106" s="10"/>
      <c r="M106" s="10"/>
    </row>
    <row r="107" spans="1:13" s="9" customFormat="1" ht="12">
      <c r="B107" s="10"/>
      <c r="M107" s="10"/>
    </row>
    <row r="108" spans="1:13" s="9" customFormat="1">
      <c r="B108" s="10"/>
      <c r="D108" s="5"/>
      <c r="M108" s="10"/>
    </row>
    <row r="109" spans="1:13" s="9" customFormat="1">
      <c r="B109" s="10"/>
      <c r="D109" s="5"/>
      <c r="M109" s="10"/>
    </row>
    <row r="110" spans="1:13" s="9" customFormat="1">
      <c r="B110" s="10"/>
      <c r="D110" s="5"/>
      <c r="M110" s="10"/>
    </row>
    <row r="111" spans="1:13" s="9" customFormat="1">
      <c r="B111" s="12"/>
      <c r="C111" s="5"/>
      <c r="D111" s="5"/>
      <c r="M111" s="10"/>
    </row>
    <row r="112" spans="1:13" s="9" customFormat="1">
      <c r="B112" s="12"/>
      <c r="C112" s="5"/>
      <c r="D112" s="5"/>
      <c r="E112" s="5"/>
      <c r="F112" s="5"/>
      <c r="G112" s="5"/>
      <c r="H112" s="5"/>
      <c r="M112" s="10"/>
    </row>
    <row r="113" spans="1:13" s="9" customFormat="1">
      <c r="B113" s="12"/>
      <c r="C113" s="5"/>
      <c r="D113" s="5"/>
      <c r="E113" s="5"/>
      <c r="F113" s="5"/>
      <c r="G113" s="5"/>
      <c r="H113" s="5"/>
      <c r="M113" s="10"/>
    </row>
    <row r="114" spans="1:13" s="9" customFormat="1">
      <c r="B114" s="12"/>
      <c r="C114" s="5"/>
      <c r="D114" s="5"/>
      <c r="E114" s="5"/>
      <c r="F114" s="5"/>
      <c r="G114" s="5"/>
      <c r="H114" s="5"/>
      <c r="M114" s="10"/>
    </row>
    <row r="115" spans="1:13" s="9" customFormat="1">
      <c r="A115" s="5"/>
      <c r="B115" s="12"/>
      <c r="C115" s="5"/>
      <c r="D115" s="5"/>
      <c r="E115" s="5"/>
      <c r="F115" s="5"/>
      <c r="G115" s="5"/>
      <c r="H115" s="5"/>
      <c r="M115" s="10"/>
    </row>
    <row r="116" spans="1:13" s="9" customFormat="1">
      <c r="A116" s="5"/>
      <c r="B116" s="12"/>
      <c r="C116" s="5"/>
      <c r="D116" s="5"/>
      <c r="E116" s="5"/>
      <c r="F116" s="5"/>
      <c r="G116" s="5"/>
      <c r="H116" s="5"/>
      <c r="M116" s="10"/>
    </row>
    <row r="117" spans="1:13" s="9" customFormat="1">
      <c r="A117" s="5"/>
      <c r="B117" s="12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10"/>
    </row>
    <row r="118" spans="1:13" s="9" customFormat="1">
      <c r="A118" s="5"/>
      <c r="B118" s="12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10"/>
    </row>
    <row r="119" spans="1:13" s="9" customFormat="1">
      <c r="A119" s="5"/>
      <c r="B119" s="12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10"/>
    </row>
    <row r="120" spans="1:13" s="9" customFormat="1">
      <c r="A120" s="5"/>
      <c r="B120" s="12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10"/>
    </row>
  </sheetData>
  <mergeCells count="9">
    <mergeCell ref="E47:F47"/>
    <mergeCell ref="C66:D66"/>
    <mergeCell ref="E67:F67"/>
    <mergeCell ref="A1:H1"/>
    <mergeCell ref="C4:D4"/>
    <mergeCell ref="E5:F5"/>
    <mergeCell ref="C26:D26"/>
    <mergeCell ref="E27:F27"/>
    <mergeCell ref="C46:D46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March '14</vt:lpstr>
      <vt:lpstr>April '14</vt:lpstr>
      <vt:lpstr>May '14</vt:lpstr>
      <vt:lpstr>June '14</vt:lpstr>
      <vt:lpstr>July '14</vt:lpstr>
      <vt:lpstr>August '14</vt:lpstr>
      <vt:lpstr>September '14</vt:lpstr>
      <vt:lpstr>October '14</vt:lpstr>
      <vt:lpstr>November '14</vt:lpstr>
      <vt:lpstr>December '14</vt:lpstr>
      <vt:lpstr>January '14</vt:lpstr>
      <vt:lpstr>February '14</vt:lpstr>
      <vt:lpstr>Increases</vt:lpstr>
      <vt:lpstr>Nikki</vt:lpstr>
      <vt:lpstr>'April ''14'!Print_Area</vt:lpstr>
      <vt:lpstr>'August ''14'!Print_Area</vt:lpstr>
      <vt:lpstr>'December ''14'!Print_Area</vt:lpstr>
      <vt:lpstr>'February ''14'!Print_Area</vt:lpstr>
      <vt:lpstr>Increases!Print_Area</vt:lpstr>
      <vt:lpstr>'January ''14'!Print_Area</vt:lpstr>
      <vt:lpstr>'July ''14'!Print_Area</vt:lpstr>
      <vt:lpstr>'June ''14'!Print_Area</vt:lpstr>
      <vt:lpstr>'March ''14'!Print_Area</vt:lpstr>
      <vt:lpstr>'May ''14'!Print_Area</vt:lpstr>
      <vt:lpstr>'November ''14'!Print_Area</vt:lpstr>
      <vt:lpstr>'October ''14'!Print_Area</vt:lpstr>
      <vt:lpstr>'September ''14'!Print_Area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2015-02-26T10:52:35Z</cp:lastPrinted>
  <dcterms:created xsi:type="dcterms:W3CDTF">2006-03-02T06:43:14Z</dcterms:created>
  <dcterms:modified xsi:type="dcterms:W3CDTF">2015-03-05T09:16:48Z</dcterms:modified>
</cp:coreProperties>
</file>