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30" windowWidth="11340" windowHeight="6180" tabRatio="967" firstSheet="4" activeTab="20"/>
  </bookViews>
  <sheets>
    <sheet name="March '12" sheetId="27" r:id="rId1"/>
    <sheet name="April '12" sheetId="99" r:id="rId2"/>
    <sheet name="May '12" sheetId="101" r:id="rId3"/>
    <sheet name="June '12" sheetId="102" r:id="rId4"/>
    <sheet name="July '12" sheetId="103" r:id="rId5"/>
    <sheet name="August '12" sheetId="104" r:id="rId6"/>
    <sheet name="September '12" sheetId="105" r:id="rId7"/>
    <sheet name="October '12" sheetId="106" r:id="rId8"/>
    <sheet name="November '12" sheetId="107" r:id="rId9"/>
    <sheet name="December '12" sheetId="108" r:id="rId10"/>
    <sheet name="January '13" sheetId="109" r:id="rId11"/>
    <sheet name="February '13" sheetId="110" r:id="rId12"/>
    <sheet name="Increases" sheetId="111" r:id="rId13"/>
    <sheet name="Joseph" sheetId="68" r:id="rId14"/>
    <sheet name="Madala" sheetId="64" r:id="rId15"/>
    <sheet name="Dora" sheetId="62" r:id="rId16"/>
    <sheet name="Henry" sheetId="73" r:id="rId17"/>
    <sheet name="Andrew" sheetId="66" r:id="rId18"/>
    <sheet name="Buks" sheetId="93" r:id="rId19"/>
    <sheet name="Eric" sheetId="100" r:id="rId20"/>
    <sheet name="Nikki" sheetId="9" r:id="rId21"/>
  </sheets>
  <externalReferences>
    <externalReference r:id="rId22"/>
    <externalReference r:id="rId23"/>
  </externalReferences>
  <definedNames>
    <definedName name="_xlnm.Print_Area" localSheetId="17">Andrew!$A$1:$G$2</definedName>
    <definedName name="_xlnm.Print_Area" localSheetId="1">'April ''12'!$A$1:$K$159</definedName>
    <definedName name="_xlnm.Print_Area" localSheetId="5">'August ''12'!$A$80:$H$111</definedName>
    <definedName name="_xlnm.Print_Area" localSheetId="18">Buks!$A$1:$F$3</definedName>
    <definedName name="_xlnm.Print_Area" localSheetId="9">'December ''12'!$A$54:$H$69</definedName>
    <definedName name="_xlnm.Print_Area" localSheetId="15">Dora!$A$1:$G$2</definedName>
    <definedName name="_xlnm.Print_Area" localSheetId="19">Eric!$A$1:$F$3</definedName>
    <definedName name="_xlnm.Print_Area" localSheetId="11">'February ''13'!$A$60:$H$79</definedName>
    <definedName name="_xlnm.Print_Area" localSheetId="16">Henry!$A$1:$F$31</definedName>
    <definedName name="_xlnm.Print_Area" localSheetId="12">Increases!$A$1:$L$26</definedName>
    <definedName name="_xlnm.Print_Area" localSheetId="10">'January ''13'!$A$67:$H$97</definedName>
    <definedName name="_xlnm.Print_Area" localSheetId="13">Joseph!$A$1:$J$2</definedName>
    <definedName name="_xlnm.Print_Area" localSheetId="4">'July ''12'!$A$60:$H$89</definedName>
    <definedName name="_xlnm.Print_Area" localSheetId="3">'June ''12'!$A$47:$H$82</definedName>
    <definedName name="_xlnm.Print_Area" localSheetId="14">Madala!$A$1:$G$2</definedName>
    <definedName name="_xlnm.Print_Area" localSheetId="0">'March ''12'!$A$1:$K$164</definedName>
    <definedName name="_xlnm.Print_Area" localSheetId="2">'May ''12'!$A$1:$K$158</definedName>
    <definedName name="_xlnm.Print_Area" localSheetId="8">'November ''12'!$A$69:$H$102</definedName>
    <definedName name="_xlnm.Print_Area" localSheetId="7">'October ''12'!$A$91:$G$110</definedName>
    <definedName name="_xlnm.Print_Area" localSheetId="6">'September ''12'!$A$69:$H$102</definedName>
  </definedNames>
  <calcPr calcId="145621"/>
</workbook>
</file>

<file path=xl/calcChain.xml><?xml version="1.0" encoding="utf-8"?>
<calcChain xmlns="http://schemas.openxmlformats.org/spreadsheetml/2006/main">
  <c r="H642" i="9" l="1"/>
  <c r="E707" i="9" l="1"/>
  <c r="L26" i="111" l="1"/>
  <c r="K26" i="111"/>
  <c r="J26" i="111"/>
  <c r="L24" i="111"/>
  <c r="L16" i="111"/>
  <c r="K24" i="111"/>
  <c r="K23" i="111"/>
  <c r="L23" i="111" s="1"/>
  <c r="K22" i="111"/>
  <c r="L22" i="111" s="1"/>
  <c r="K21" i="111"/>
  <c r="L21" i="111" s="1"/>
  <c r="K20" i="111"/>
  <c r="L20" i="111" s="1"/>
  <c r="K19" i="111"/>
  <c r="L19" i="111" s="1"/>
  <c r="K18" i="111"/>
  <c r="L18" i="111" s="1"/>
  <c r="K17" i="111"/>
  <c r="L17" i="111" s="1"/>
  <c r="K16" i="111"/>
  <c r="E10" i="111"/>
  <c r="G8" i="111"/>
  <c r="G24" i="111"/>
  <c r="I24" i="111" s="1"/>
  <c r="J24" i="111" s="1"/>
  <c r="G23" i="111"/>
  <c r="G22" i="111"/>
  <c r="G21" i="111"/>
  <c r="G20" i="111"/>
  <c r="G19" i="111"/>
  <c r="G18" i="111"/>
  <c r="G17" i="111"/>
  <c r="G16" i="111"/>
  <c r="J23" i="111"/>
  <c r="J22" i="111"/>
  <c r="J21" i="111"/>
  <c r="J20" i="111"/>
  <c r="J19" i="111"/>
  <c r="J18" i="111"/>
  <c r="J17" i="111"/>
  <c r="G11" i="111"/>
  <c r="G9" i="111"/>
  <c r="G7" i="111"/>
  <c r="G6" i="111"/>
  <c r="G5" i="111"/>
  <c r="G4" i="111"/>
  <c r="E3" i="111"/>
  <c r="G3" i="111" s="1"/>
  <c r="F10" i="111"/>
  <c r="G10" i="111" s="1"/>
  <c r="J16" i="111" l="1"/>
  <c r="J25" i="111" s="1"/>
  <c r="G12" i="111"/>
  <c r="P686" i="9" l="1"/>
  <c r="E680" i="9"/>
  <c r="E686" i="9" s="1"/>
  <c r="P690" i="9" s="1"/>
  <c r="E679" i="9"/>
  <c r="E685" i="9" s="1"/>
  <c r="D81" i="110" s="1"/>
  <c r="D82" i="110" l="1"/>
  <c r="M690" i="9"/>
  <c r="E682" i="9"/>
  <c r="E76" i="110" l="1"/>
  <c r="E53" i="110"/>
  <c r="E56" i="110"/>
  <c r="H83" i="110"/>
  <c r="E72" i="110"/>
  <c r="E79" i="110" s="1"/>
  <c r="E37" i="110"/>
  <c r="E34" i="110"/>
  <c r="E18" i="110"/>
  <c r="E15" i="110"/>
  <c r="E19" i="110" l="1"/>
  <c r="E57" i="110"/>
  <c r="E38" i="110"/>
  <c r="I661" i="9" l="1"/>
  <c r="P663" i="9" l="1"/>
  <c r="E660" i="9"/>
  <c r="P656" i="9"/>
  <c r="E655" i="9"/>
  <c r="E657" i="9" s="1"/>
  <c r="D87" i="109" l="1"/>
  <c r="E661" i="9"/>
  <c r="H655" i="9"/>
  <c r="P674" i="9" l="1"/>
  <c r="G664" i="9"/>
  <c r="H660" i="9"/>
  <c r="H20" i="109" l="1"/>
  <c r="H19" i="109"/>
  <c r="H17" i="109"/>
  <c r="H16" i="109"/>
  <c r="H15" i="109"/>
  <c r="H13" i="109"/>
  <c r="H12" i="109"/>
  <c r="H11" i="109"/>
  <c r="H10" i="109"/>
  <c r="G14" i="109"/>
  <c r="H14" i="109" s="1"/>
  <c r="G9" i="109"/>
  <c r="H9" i="109" s="1"/>
  <c r="P636" i="9" l="1"/>
  <c r="E632" i="9"/>
  <c r="M642" i="9" s="1"/>
  <c r="P628" i="9"/>
  <c r="E627" i="9"/>
  <c r="E629" i="9" s="1"/>
  <c r="D59" i="108" l="1"/>
  <c r="E633" i="9"/>
  <c r="G636" i="9" s="1"/>
  <c r="H627" i="9"/>
  <c r="P646" i="9" l="1"/>
  <c r="H632" i="9"/>
  <c r="E41" i="108"/>
  <c r="E43" i="108" l="1"/>
  <c r="E42" i="108"/>
  <c r="E56" i="108"/>
  <c r="E63" i="109" l="1"/>
  <c r="E60" i="109"/>
  <c r="H88" i="109"/>
  <c r="E79" i="109"/>
  <c r="E40" i="109"/>
  <c r="E37" i="109"/>
  <c r="E21" i="109"/>
  <c r="H21" i="109" s="1"/>
  <c r="H22" i="109" s="1"/>
  <c r="E18" i="109"/>
  <c r="H60" i="108"/>
  <c r="E39" i="108"/>
  <c r="E21" i="108"/>
  <c r="E17" i="108"/>
  <c r="E22" i="108" l="1"/>
  <c r="E44" i="108"/>
  <c r="E41" i="109"/>
  <c r="E84" i="109"/>
  <c r="E64" i="109"/>
  <c r="E22" i="109"/>
  <c r="G609" i="9"/>
  <c r="G608" i="9"/>
  <c r="E607" i="9"/>
  <c r="M605" i="9" s="1"/>
  <c r="E602" i="9"/>
  <c r="H602" i="9" s="1"/>
  <c r="E604" i="9" l="1"/>
  <c r="E608" i="9"/>
  <c r="D93" i="107" s="1"/>
  <c r="P621" i="9" l="1"/>
  <c r="G611" i="9"/>
  <c r="H607" i="9"/>
  <c r="E41" i="107"/>
  <c r="E87" i="107" l="1"/>
  <c r="H94" i="107"/>
  <c r="E83" i="107"/>
  <c r="E90" i="107" s="1"/>
  <c r="E65" i="107"/>
  <c r="E61" i="107"/>
  <c r="E66" i="107" s="1"/>
  <c r="E43" i="107"/>
  <c r="E39" i="107"/>
  <c r="E44" i="107" s="1"/>
  <c r="E21" i="107"/>
  <c r="E17" i="107"/>
  <c r="E22" i="107" s="1"/>
  <c r="P594" i="9" l="1"/>
  <c r="P584" i="9"/>
  <c r="E582" i="9"/>
  <c r="E577" i="9"/>
  <c r="E579" i="9" s="1"/>
  <c r="D86" i="109" l="1"/>
  <c r="H96" i="109" s="1"/>
  <c r="H97" i="109" s="1"/>
  <c r="D58" i="108"/>
  <c r="H67" i="108" s="1"/>
  <c r="H68" i="108" s="1"/>
  <c r="M585" i="9"/>
  <c r="D92" i="107"/>
  <c r="H101" i="107" s="1"/>
  <c r="H102" i="107" s="1"/>
  <c r="H577" i="9"/>
  <c r="D112" i="106"/>
  <c r="E583" i="9"/>
  <c r="G586" i="9" s="1"/>
  <c r="P596" i="9" l="1"/>
  <c r="H582" i="9"/>
  <c r="E87" i="106" l="1"/>
  <c r="E83" i="106"/>
  <c r="E88" i="106" s="1"/>
  <c r="H114" i="106"/>
  <c r="E105" i="106"/>
  <c r="E110" i="106" s="1"/>
  <c r="E65" i="106"/>
  <c r="E61" i="106"/>
  <c r="E43" i="106"/>
  <c r="E39" i="106"/>
  <c r="E44" i="106" s="1"/>
  <c r="E21" i="106"/>
  <c r="E17" i="106"/>
  <c r="E22" i="106" s="1"/>
  <c r="E66" i="106" l="1"/>
  <c r="M555" i="9" l="1"/>
  <c r="M554" i="9"/>
  <c r="G552" i="9"/>
  <c r="E550" i="9"/>
  <c r="M559" i="9" s="1"/>
  <c r="E545" i="9"/>
  <c r="E547" i="9" s="1"/>
  <c r="E551" i="9" l="1"/>
  <c r="D93" i="105" s="1"/>
  <c r="D92" i="105"/>
  <c r="H545" i="9"/>
  <c r="H550" i="9" l="1"/>
  <c r="G554" i="9"/>
  <c r="P547" i="9"/>
  <c r="E41" i="105"/>
  <c r="E21" i="105" l="1"/>
  <c r="E17" i="105"/>
  <c r="E22" i="105" s="1"/>
  <c r="E43" i="105"/>
  <c r="E39" i="105"/>
  <c r="E44" i="105" s="1"/>
  <c r="E65" i="105"/>
  <c r="E61" i="105"/>
  <c r="H94" i="105"/>
  <c r="H101" i="105" s="1"/>
  <c r="E89" i="105"/>
  <c r="E83" i="105"/>
  <c r="E66" i="105" l="1"/>
  <c r="E90" i="105"/>
  <c r="H102" i="105" s="1"/>
  <c r="M526" i="9" l="1"/>
  <c r="E501" i="9" l="1"/>
  <c r="M529" i="9" l="1"/>
  <c r="M525" i="9"/>
  <c r="M514" i="9"/>
  <c r="G510" i="9"/>
  <c r="G509" i="9"/>
  <c r="G507" i="9"/>
  <c r="E506" i="9"/>
  <c r="E502" i="9"/>
  <c r="M527" i="9" l="1"/>
  <c r="D101" i="104"/>
  <c r="E503" i="9"/>
  <c r="E507" i="9" s="1"/>
  <c r="H501" i="9"/>
  <c r="P504" i="9" l="1"/>
  <c r="D102" i="104"/>
  <c r="G511" i="9"/>
  <c r="H506" i="9"/>
  <c r="E76" i="104" l="1"/>
  <c r="E56" i="104"/>
  <c r="E37" i="104"/>
  <c r="E98" i="104" l="1"/>
  <c r="H103" i="104"/>
  <c r="H110" i="104" s="1"/>
  <c r="C56" i="62"/>
  <c r="C13" i="62"/>
  <c r="E73" i="104"/>
  <c r="E77" i="104" s="1"/>
  <c r="E94" i="104"/>
  <c r="E99" i="104" s="1"/>
  <c r="E53" i="104"/>
  <c r="E57" i="104" s="1"/>
  <c r="E34" i="104"/>
  <c r="E15" i="104"/>
  <c r="E19" i="104" s="1"/>
  <c r="E38" i="104" l="1"/>
  <c r="H111" i="104"/>
  <c r="E469" i="9" l="1"/>
  <c r="M486" i="9" l="1"/>
  <c r="G475" i="9"/>
  <c r="E474" i="9"/>
  <c r="M485" i="9" s="1"/>
  <c r="E470" i="9"/>
  <c r="D80" i="103" l="1"/>
  <c r="E471" i="9"/>
  <c r="E475" i="9" s="1"/>
  <c r="P475" i="9" s="1"/>
  <c r="H469" i="9"/>
  <c r="G477" i="9" l="1"/>
  <c r="D81" i="103"/>
  <c r="C9" i="66" l="1"/>
  <c r="E35" i="103" l="1"/>
  <c r="H88" i="103" l="1"/>
  <c r="E53" i="103"/>
  <c r="E57" i="103" s="1"/>
  <c r="E34" i="103"/>
  <c r="E38" i="103" s="1"/>
  <c r="H81" i="103"/>
  <c r="E72" i="103"/>
  <c r="E78" i="103" s="1"/>
  <c r="E15" i="103"/>
  <c r="E19" i="103" s="1"/>
  <c r="H89" i="103" l="1"/>
  <c r="E435" i="9" l="1"/>
  <c r="H70" i="102" l="1"/>
  <c r="D68" i="102"/>
  <c r="M451" i="9" l="1"/>
  <c r="M450" i="9"/>
  <c r="G449" i="9"/>
  <c r="E440" i="9"/>
  <c r="E442" i="9" s="1"/>
  <c r="Z438" i="9"/>
  <c r="Z437" i="9"/>
  <c r="Z436" i="9"/>
  <c r="M436" i="9"/>
  <c r="E436" i="9"/>
  <c r="E437" i="9" s="1"/>
  <c r="E444" i="9" l="1"/>
  <c r="E448" i="9" s="1"/>
  <c r="D69" i="102" s="1"/>
  <c r="H80" i="102" s="1"/>
  <c r="Z439" i="9"/>
  <c r="P443" i="9" l="1"/>
  <c r="G448" i="9"/>
  <c r="G450" i="9" s="1"/>
  <c r="E58" i="102"/>
  <c r="E64" i="102" s="1"/>
  <c r="H81" i="102" s="1"/>
  <c r="E40" i="102"/>
  <c r="E44" i="102" s="1"/>
  <c r="E29" i="73"/>
  <c r="E28" i="73"/>
  <c r="E27" i="73"/>
  <c r="E26" i="73"/>
  <c r="E25" i="73"/>
  <c r="E24" i="73"/>
  <c r="E23" i="73"/>
  <c r="E22" i="73"/>
  <c r="E21" i="73"/>
  <c r="E20" i="73"/>
  <c r="E19" i="73"/>
  <c r="E18" i="73"/>
  <c r="E17" i="73"/>
  <c r="E16" i="73"/>
  <c r="E15" i="73"/>
  <c r="E30" i="73" l="1"/>
  <c r="M26" i="102" l="1"/>
  <c r="L26" i="102"/>
  <c r="K26" i="102"/>
  <c r="J26" i="102"/>
  <c r="I26" i="102"/>
  <c r="H26" i="102"/>
  <c r="G26" i="102"/>
  <c r="F26" i="102"/>
  <c r="E26" i="102"/>
  <c r="M13" i="102"/>
  <c r="L13" i="102"/>
  <c r="K13" i="102"/>
  <c r="J13" i="102"/>
  <c r="I13" i="102"/>
  <c r="H13" i="102"/>
  <c r="G13" i="102"/>
  <c r="F13" i="102"/>
  <c r="E13" i="102"/>
  <c r="J148" i="101"/>
  <c r="J108" i="101"/>
  <c r="K60" i="101"/>
  <c r="M419" i="9" l="1"/>
  <c r="G413" i="9" l="1"/>
  <c r="E399" i="9"/>
  <c r="M423" i="9" l="1"/>
  <c r="M422" i="9"/>
  <c r="M415" i="9"/>
  <c r="M407" i="9"/>
  <c r="E404" i="9"/>
  <c r="E406" i="9" s="1"/>
  <c r="E400" i="9"/>
  <c r="E401" i="9" s="1"/>
  <c r="E408" i="9" l="1"/>
  <c r="E412" i="9" l="1"/>
  <c r="P419" i="9" l="1"/>
  <c r="G412" i="9"/>
  <c r="G414" i="9" s="1"/>
  <c r="K52" i="101"/>
  <c r="J52" i="101"/>
  <c r="I52" i="101"/>
  <c r="H52" i="101"/>
  <c r="G52" i="101"/>
  <c r="F52" i="101"/>
  <c r="E52" i="101"/>
  <c r="D52" i="101"/>
  <c r="C52" i="101"/>
  <c r="J150" i="101"/>
  <c r="I150" i="101"/>
  <c r="H150" i="101"/>
  <c r="G150" i="101"/>
  <c r="F152" i="101" s="1"/>
  <c r="F150" i="101"/>
  <c r="E150" i="101"/>
  <c r="C156" i="101" s="1"/>
  <c r="F156" i="101" s="1"/>
  <c r="D150" i="101"/>
  <c r="C150" i="101"/>
  <c r="B150" i="101"/>
  <c r="J117" i="101"/>
  <c r="I117" i="101"/>
  <c r="H117" i="101"/>
  <c r="G117" i="101"/>
  <c r="F117" i="101"/>
  <c r="E117" i="101"/>
  <c r="D117" i="101"/>
  <c r="C117" i="101"/>
  <c r="B117" i="101"/>
  <c r="J109" i="101"/>
  <c r="I109" i="101"/>
  <c r="H109" i="101"/>
  <c r="G109" i="101"/>
  <c r="F109" i="101"/>
  <c r="E109" i="101"/>
  <c r="D109" i="101"/>
  <c r="C109" i="101"/>
  <c r="B109" i="101"/>
  <c r="J101" i="101"/>
  <c r="I101" i="101"/>
  <c r="H101" i="101"/>
  <c r="G101" i="101"/>
  <c r="F101" i="101"/>
  <c r="E101" i="101"/>
  <c r="D101" i="101"/>
  <c r="C101" i="101"/>
  <c r="B101" i="101"/>
  <c r="J93" i="101"/>
  <c r="I93" i="101"/>
  <c r="H93" i="101"/>
  <c r="G93" i="101"/>
  <c r="F93" i="101"/>
  <c r="E93" i="101"/>
  <c r="D93" i="101"/>
  <c r="C93" i="101"/>
  <c r="B93" i="101"/>
  <c r="J85" i="101"/>
  <c r="I85" i="101"/>
  <c r="H85" i="101"/>
  <c r="G85" i="101"/>
  <c r="F85" i="101"/>
  <c r="E85" i="101"/>
  <c r="D85" i="101"/>
  <c r="C85" i="101"/>
  <c r="B85" i="101"/>
  <c r="J77" i="101"/>
  <c r="I77" i="101"/>
  <c r="H77" i="101"/>
  <c r="G77" i="101"/>
  <c r="F77" i="101"/>
  <c r="E77" i="101"/>
  <c r="D77" i="101"/>
  <c r="C77" i="101"/>
  <c r="B77" i="101"/>
  <c r="K65" i="101"/>
  <c r="J65" i="101"/>
  <c r="I65" i="101"/>
  <c r="H65" i="101"/>
  <c r="G65" i="101"/>
  <c r="F65" i="101"/>
  <c r="E65" i="101"/>
  <c r="D65" i="101"/>
  <c r="C65" i="101"/>
  <c r="K39" i="101"/>
  <c r="J39" i="101"/>
  <c r="I39" i="101"/>
  <c r="H39" i="101"/>
  <c r="G39" i="101"/>
  <c r="F39" i="101"/>
  <c r="E39" i="101"/>
  <c r="D39" i="101"/>
  <c r="C39" i="101"/>
  <c r="K26" i="101"/>
  <c r="J26" i="101"/>
  <c r="I26" i="101"/>
  <c r="H26" i="101"/>
  <c r="G26" i="101"/>
  <c r="F26" i="101"/>
  <c r="E26" i="101"/>
  <c r="D26" i="101"/>
  <c r="C26" i="101"/>
  <c r="K13" i="101"/>
  <c r="J13" i="101"/>
  <c r="I13" i="101"/>
  <c r="H13" i="101"/>
  <c r="G13" i="101"/>
  <c r="F13" i="101"/>
  <c r="E13" i="101"/>
  <c r="D13" i="101"/>
  <c r="C13" i="101"/>
  <c r="C152" i="101" l="1"/>
  <c r="C154" i="101" s="1"/>
  <c r="F154" i="101" s="1"/>
  <c r="F158" i="101" s="1"/>
  <c r="F56" i="99" l="1"/>
  <c r="M386" i="9"/>
  <c r="M385" i="9"/>
  <c r="E377" i="9"/>
  <c r="E379" i="9" s="1"/>
  <c r="M376" i="9"/>
  <c r="P375" i="9"/>
  <c r="P373" i="9"/>
  <c r="E374" i="9"/>
  <c r="E381" i="9" l="1"/>
  <c r="E386" i="9" s="1"/>
  <c r="F57" i="99" l="1"/>
  <c r="P388" i="9"/>
  <c r="G386" i="9"/>
  <c r="C7" i="100" l="1"/>
  <c r="J151" i="99" l="1"/>
  <c r="I151" i="99"/>
  <c r="H151" i="99"/>
  <c r="G151" i="99"/>
  <c r="F153" i="99" s="1"/>
  <c r="F151" i="99"/>
  <c r="E151" i="99"/>
  <c r="C157" i="99" s="1"/>
  <c r="F157" i="99" s="1"/>
  <c r="D151" i="99"/>
  <c r="C151" i="99"/>
  <c r="B151" i="99"/>
  <c r="J124" i="99"/>
  <c r="I124" i="99"/>
  <c r="H124" i="99"/>
  <c r="G124" i="99"/>
  <c r="F124" i="99"/>
  <c r="E124" i="99"/>
  <c r="D124" i="99"/>
  <c r="C124" i="99"/>
  <c r="B124" i="99"/>
  <c r="J117" i="99"/>
  <c r="I117" i="99"/>
  <c r="H117" i="99"/>
  <c r="G117" i="99"/>
  <c r="F117" i="99"/>
  <c r="E117" i="99"/>
  <c r="D117" i="99"/>
  <c r="C117" i="99"/>
  <c r="B117" i="99"/>
  <c r="J110" i="99"/>
  <c r="I110" i="99"/>
  <c r="H110" i="99"/>
  <c r="G110" i="99"/>
  <c r="F110" i="99"/>
  <c r="E110" i="99"/>
  <c r="D110" i="99"/>
  <c r="C110" i="99"/>
  <c r="B110" i="99"/>
  <c r="J103" i="99"/>
  <c r="I103" i="99"/>
  <c r="H103" i="99"/>
  <c r="G103" i="99"/>
  <c r="F103" i="99"/>
  <c r="E103" i="99"/>
  <c r="D103" i="99"/>
  <c r="C103" i="99"/>
  <c r="B103" i="99"/>
  <c r="J96" i="99"/>
  <c r="I96" i="99"/>
  <c r="H96" i="99"/>
  <c r="G96" i="99"/>
  <c r="F96" i="99"/>
  <c r="E96" i="99"/>
  <c r="D96" i="99"/>
  <c r="C96" i="99"/>
  <c r="B96" i="99"/>
  <c r="J89" i="99"/>
  <c r="I89" i="99"/>
  <c r="H89" i="99"/>
  <c r="G89" i="99"/>
  <c r="F89" i="99"/>
  <c r="E89" i="99"/>
  <c r="D89" i="99"/>
  <c r="C89" i="99"/>
  <c r="B89" i="99"/>
  <c r="F67" i="99"/>
  <c r="K54" i="99"/>
  <c r="J54" i="99"/>
  <c r="I54" i="99"/>
  <c r="H54" i="99"/>
  <c r="G54" i="99"/>
  <c r="F54" i="99"/>
  <c r="E54" i="99"/>
  <c r="D54" i="99"/>
  <c r="C54" i="99"/>
  <c r="K39" i="99"/>
  <c r="J39" i="99"/>
  <c r="I39" i="99"/>
  <c r="H39" i="99"/>
  <c r="G39" i="99"/>
  <c r="F39" i="99"/>
  <c r="E39" i="99"/>
  <c r="D39" i="99"/>
  <c r="C39" i="99"/>
  <c r="K26" i="99"/>
  <c r="J26" i="99"/>
  <c r="I26" i="99"/>
  <c r="H26" i="99"/>
  <c r="G26" i="99"/>
  <c r="F26" i="99"/>
  <c r="E26" i="99"/>
  <c r="D26" i="99"/>
  <c r="C26" i="99"/>
  <c r="K13" i="99"/>
  <c r="J13" i="99"/>
  <c r="I13" i="99"/>
  <c r="H13" i="99"/>
  <c r="G13" i="99"/>
  <c r="F13" i="99"/>
  <c r="E13" i="99"/>
  <c r="D13" i="99"/>
  <c r="C13" i="99"/>
  <c r="C153" i="99" l="1"/>
  <c r="C155" i="99" s="1"/>
  <c r="F155" i="99" s="1"/>
  <c r="F159" i="99" s="1"/>
  <c r="E346" i="9" l="1"/>
  <c r="P360" i="9" l="1"/>
  <c r="F60" i="27" l="1"/>
  <c r="P365" i="9"/>
  <c r="M355" i="9"/>
  <c r="E351" i="9"/>
  <c r="E353" i="9" s="1"/>
  <c r="P348" i="9"/>
  <c r="E348" i="9"/>
  <c r="E355" i="9" l="1"/>
  <c r="E360" i="9" s="1"/>
  <c r="P366" i="9" s="1"/>
  <c r="F62" i="27"/>
  <c r="F77" i="99"/>
  <c r="F78" i="99" s="1"/>
  <c r="G360" i="9" l="1"/>
  <c r="F61" i="27"/>
  <c r="C9" i="93"/>
  <c r="C9" i="73"/>
  <c r="B156" i="27" l="1"/>
  <c r="C156" i="27"/>
  <c r="D156" i="27"/>
  <c r="E156" i="27"/>
  <c r="F156" i="27"/>
  <c r="G156" i="27"/>
  <c r="H156" i="27"/>
  <c r="I156" i="27"/>
  <c r="J156" i="27"/>
  <c r="J129" i="27"/>
  <c r="I129" i="27"/>
  <c r="H129" i="27"/>
  <c r="G129" i="27"/>
  <c r="F129" i="27"/>
  <c r="E129" i="27"/>
  <c r="D129" i="27"/>
  <c r="C129" i="27"/>
  <c r="B129" i="27"/>
  <c r="J122" i="27"/>
  <c r="I122" i="27"/>
  <c r="H122" i="27"/>
  <c r="G122" i="27"/>
  <c r="F122" i="27"/>
  <c r="E122" i="27"/>
  <c r="D122" i="27"/>
  <c r="C122" i="27"/>
  <c r="B122" i="27"/>
  <c r="F28" i="27" l="1"/>
  <c r="E326" i="9" l="1"/>
  <c r="F72" i="27" l="1"/>
  <c r="F82" i="27"/>
  <c r="M332" i="9" l="1"/>
  <c r="E331" i="9" l="1"/>
  <c r="E334" i="9" s="1"/>
  <c r="E327" i="9"/>
  <c r="E328" i="9" s="1"/>
  <c r="E336" i="9" l="1"/>
  <c r="E341" i="9" s="1"/>
  <c r="P338" i="9" s="1"/>
  <c r="G341" i="9" l="1"/>
  <c r="C14" i="64"/>
  <c r="C8" i="62" l="1"/>
  <c r="M303" i="9" l="1"/>
  <c r="E301" i="9"/>
  <c r="E304" i="9" s="1"/>
  <c r="E296" i="9"/>
  <c r="E298" i="9" s="1"/>
  <c r="E306" i="9" l="1"/>
  <c r="E311" i="9" s="1"/>
  <c r="G311" i="9" l="1"/>
  <c r="P320" i="9"/>
  <c r="E258" i="9" l="1"/>
  <c r="P268" i="9" l="1"/>
  <c r="M264" i="9"/>
  <c r="E263" i="9"/>
  <c r="P262" i="9"/>
  <c r="P261" i="9"/>
  <c r="E260" i="9"/>
  <c r="P249" i="9" l="1"/>
  <c r="I246" i="9"/>
  <c r="M242" i="9"/>
  <c r="E241" i="9"/>
  <c r="P240" i="9"/>
  <c r="I240" i="9"/>
  <c r="I245" i="9" s="1"/>
  <c r="I247" i="9" s="1"/>
  <c r="E243" i="9" s="1"/>
  <c r="P237" i="9"/>
  <c r="E237" i="9"/>
  <c r="E236" i="9"/>
  <c r="E264" i="9" l="1"/>
  <c r="E266" i="9" s="1"/>
  <c r="E268" i="9" s="1"/>
  <c r="E273" i="9" s="1"/>
  <c r="E238" i="9"/>
  <c r="E245" i="9"/>
  <c r="G273" i="9" l="1"/>
  <c r="P290" i="9"/>
  <c r="E247" i="9"/>
  <c r="E252" i="9" s="1"/>
  <c r="P252" i="9" l="1"/>
  <c r="G252" i="9"/>
  <c r="E215" i="9" l="1"/>
  <c r="I225" i="9" l="1"/>
  <c r="M219" i="9"/>
  <c r="E220" i="9"/>
  <c r="I219" i="9"/>
  <c r="I224" i="9" s="1"/>
  <c r="E217" i="9"/>
  <c r="I226" i="9" l="1"/>
  <c r="E222" i="9" s="1"/>
  <c r="E224" i="9" s="1"/>
  <c r="E226" i="9" s="1"/>
  <c r="E231" i="9" s="1"/>
  <c r="P228" i="9" l="1"/>
  <c r="G231" i="9"/>
  <c r="I203" i="9" l="1"/>
  <c r="I201" i="9"/>
  <c r="M198" i="9"/>
  <c r="E198" i="9"/>
  <c r="I197" i="9"/>
  <c r="P194" i="9"/>
  <c r="E193" i="9"/>
  <c r="E195" i="9" s="1"/>
  <c r="I202" i="9" l="1"/>
  <c r="I204" i="9" s="1"/>
  <c r="E200" i="9" s="1"/>
  <c r="E202" i="9" s="1"/>
  <c r="E204" i="9" s="1"/>
  <c r="E209" i="9" s="1"/>
  <c r="P209" i="9" l="1"/>
  <c r="G209" i="9"/>
  <c r="M175" i="9" l="1"/>
  <c r="E172" i="9" l="1"/>
  <c r="E174" i="9" s="1"/>
  <c r="M185" i="9"/>
  <c r="M183" i="9"/>
  <c r="I182" i="9"/>
  <c r="M181" i="9"/>
  <c r="M178" i="9"/>
  <c r="E177" i="9"/>
  <c r="I176" i="9"/>
  <c r="I181" i="9" s="1"/>
  <c r="I183" i="9" l="1"/>
  <c r="E179" i="9" s="1"/>
  <c r="E181" i="9" s="1"/>
  <c r="E183" i="9" s="1"/>
  <c r="E188" i="9" l="1"/>
  <c r="G188" i="9" l="1"/>
  <c r="P184" i="9"/>
  <c r="M155" i="9" l="1"/>
  <c r="E150" i="9" l="1"/>
  <c r="M166" i="9" l="1"/>
  <c r="M164" i="9"/>
  <c r="M162" i="9"/>
  <c r="M160" i="9"/>
  <c r="I160" i="9"/>
  <c r="P158" i="9"/>
  <c r="M158" i="9"/>
  <c r="I158" i="9"/>
  <c r="E155" i="9"/>
  <c r="I154" i="9"/>
  <c r="I159" i="9" s="1"/>
  <c r="P152" i="9"/>
  <c r="E152" i="9"/>
  <c r="I161" i="9" l="1"/>
  <c r="E157" i="9" s="1"/>
  <c r="E159" i="9" s="1"/>
  <c r="E161" i="9" s="1"/>
  <c r="E166" i="9" s="1"/>
  <c r="P166" i="9" l="1"/>
  <c r="G166" i="9"/>
  <c r="M144" i="9" l="1"/>
  <c r="M142" i="9"/>
  <c r="M140" i="9"/>
  <c r="M138" i="9"/>
  <c r="M136" i="9"/>
  <c r="I132" i="9"/>
  <c r="M131" i="9"/>
  <c r="I130" i="9"/>
  <c r="P129" i="9"/>
  <c r="E127" i="9"/>
  <c r="I126" i="9"/>
  <c r="E122" i="9"/>
  <c r="E124" i="9" s="1"/>
  <c r="I131" i="9" l="1"/>
  <c r="I133" i="9" s="1"/>
  <c r="E129" i="9" s="1"/>
  <c r="E131" i="9" s="1"/>
  <c r="E133" i="9" s="1"/>
  <c r="E138" i="9" s="1"/>
  <c r="P134" i="9" l="1"/>
  <c r="G138" i="9"/>
  <c r="M116" i="9" l="1"/>
  <c r="M114" i="9" l="1"/>
  <c r="M112" i="9"/>
  <c r="M110" i="9"/>
  <c r="M108" i="9"/>
  <c r="M105" i="9"/>
  <c r="I104" i="9"/>
  <c r="E99" i="9"/>
  <c r="I98" i="9"/>
  <c r="I103" i="9" s="1"/>
  <c r="E95" i="9"/>
  <c r="E94" i="9"/>
  <c r="E96" i="9" l="1"/>
  <c r="P78" i="9" l="1"/>
  <c r="M79" i="9"/>
  <c r="E75" i="9"/>
  <c r="I78" i="9"/>
  <c r="I76" i="9"/>
  <c r="M88" i="9" l="1"/>
  <c r="M86" i="9"/>
  <c r="M84" i="9"/>
  <c r="M82" i="9"/>
  <c r="M80" i="9"/>
  <c r="E73" i="9"/>
  <c r="I72" i="9"/>
  <c r="I77" i="9" s="1"/>
  <c r="I79" i="9" s="1"/>
  <c r="M70" i="9"/>
  <c r="E69" i="9"/>
  <c r="E68" i="9"/>
  <c r="E70" i="9" l="1"/>
  <c r="I81" i="9"/>
  <c r="E77" i="9"/>
  <c r="I105" i="9" l="1"/>
  <c r="I106" i="9" s="1"/>
  <c r="E101" i="9" s="1"/>
  <c r="E103" i="9" s="1"/>
  <c r="E105" i="9" s="1"/>
  <c r="E110" i="9" s="1"/>
  <c r="E79" i="9"/>
  <c r="E84" i="9" s="1"/>
  <c r="P81" i="9" s="1"/>
  <c r="G110" i="9" l="1"/>
  <c r="P101" i="9"/>
  <c r="G85" i="9"/>
  <c r="E45" i="9"/>
  <c r="M59" i="9" l="1"/>
  <c r="M57" i="9"/>
  <c r="M55" i="9"/>
  <c r="M53" i="9"/>
  <c r="M50" i="9"/>
  <c r="I56" i="9"/>
  <c r="I54" i="9"/>
  <c r="E51" i="9"/>
  <c r="I50" i="9"/>
  <c r="I55" i="9" s="1"/>
  <c r="P49" i="9"/>
  <c r="E46" i="9"/>
  <c r="E48" i="9" s="1"/>
  <c r="I57" i="9" l="1"/>
  <c r="E53" i="9" s="1"/>
  <c r="E55" i="9" s="1"/>
  <c r="E57" i="9" s="1"/>
  <c r="E62" i="9" l="1"/>
  <c r="P55" i="9" s="1"/>
  <c r="G63" i="9" l="1"/>
  <c r="J94" i="27" l="1"/>
  <c r="I94" i="27"/>
  <c r="H94" i="27"/>
  <c r="G94" i="27"/>
  <c r="F94" i="27"/>
  <c r="E94" i="27"/>
  <c r="D94" i="27"/>
  <c r="C94" i="27"/>
  <c r="B94" i="27"/>
  <c r="M26" i="9" l="1"/>
  <c r="M7" i="9" l="1"/>
  <c r="P7" i="9"/>
  <c r="M39" i="9" l="1"/>
  <c r="M37" i="9"/>
  <c r="M35" i="9"/>
  <c r="M33" i="9"/>
  <c r="M31" i="9"/>
  <c r="I17" i="9"/>
  <c r="I16" i="9"/>
  <c r="P15" i="9"/>
  <c r="E13" i="9"/>
  <c r="I12" i="9"/>
  <c r="E8" i="9"/>
  <c r="E7" i="9"/>
  <c r="E10" i="9" l="1"/>
  <c r="I18" i="9"/>
  <c r="E15" i="9" s="1"/>
  <c r="E17" i="9" s="1"/>
  <c r="E19" i="9" l="1"/>
  <c r="E24" i="9" s="1"/>
  <c r="P20" i="9" l="1"/>
  <c r="G25" i="9"/>
  <c r="K58" i="27" l="1"/>
  <c r="F83" i="27" s="1"/>
  <c r="J58" i="27"/>
  <c r="I58" i="27"/>
  <c r="H58" i="27"/>
  <c r="G58" i="27"/>
  <c r="F58" i="27"/>
  <c r="E58" i="27"/>
  <c r="D58" i="27"/>
  <c r="C58" i="27"/>
  <c r="K41" i="27"/>
  <c r="J41" i="27"/>
  <c r="I41" i="27"/>
  <c r="H41" i="27"/>
  <c r="G41" i="27"/>
  <c r="F41" i="27"/>
  <c r="E41" i="27"/>
  <c r="D41" i="27"/>
  <c r="C41" i="27"/>
  <c r="K26" i="27"/>
  <c r="J26" i="27"/>
  <c r="I26" i="27"/>
  <c r="H26" i="27"/>
  <c r="G26" i="27"/>
  <c r="F26" i="27"/>
  <c r="E26" i="27"/>
  <c r="D26" i="27"/>
  <c r="C26" i="27"/>
  <c r="K13" i="27"/>
  <c r="J13" i="27"/>
  <c r="I13" i="27"/>
  <c r="H13" i="27"/>
  <c r="G13" i="27"/>
  <c r="F13" i="27"/>
  <c r="E13" i="27"/>
  <c r="D13" i="27"/>
  <c r="C13" i="27"/>
  <c r="C162" i="27"/>
  <c r="F162" i="27" s="1"/>
  <c r="F158" i="27"/>
  <c r="B101" i="27"/>
  <c r="C101" i="27"/>
  <c r="D101" i="27"/>
  <c r="E101" i="27"/>
  <c r="F101" i="27"/>
  <c r="G101" i="27"/>
  <c r="H101" i="27"/>
  <c r="I101" i="27"/>
  <c r="J101" i="27"/>
  <c r="B108" i="27"/>
  <c r="C108" i="27"/>
  <c r="D108" i="27"/>
  <c r="E108" i="27"/>
  <c r="F108" i="27"/>
  <c r="G108" i="27"/>
  <c r="H108" i="27"/>
  <c r="I108" i="27"/>
  <c r="J108" i="27"/>
  <c r="B115" i="27"/>
  <c r="C115" i="27"/>
  <c r="D115" i="27"/>
  <c r="E115" i="27"/>
  <c r="F115" i="27"/>
  <c r="G115" i="27"/>
  <c r="H115" i="27"/>
  <c r="I115" i="27"/>
  <c r="J115" i="27"/>
  <c r="C158" i="27" l="1"/>
  <c r="C160" i="27" s="1"/>
  <c r="F160" i="27" s="1"/>
  <c r="F164" i="27" s="1"/>
  <c r="M40" i="9" l="1"/>
  <c r="N7" i="9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M45" i="9" l="1"/>
  <c r="N25" i="9"/>
  <c r="M60" i="9" l="1"/>
  <c r="N45" i="9"/>
  <c r="N46" i="9" s="1"/>
  <c r="N47" i="9" s="1"/>
  <c r="N48" i="9" s="1"/>
  <c r="N49" i="9" s="1"/>
  <c r="N50" i="9" s="1"/>
  <c r="N51" i="9" s="1"/>
  <c r="N52" i="9" s="1"/>
  <c r="N53" i="9" s="1"/>
  <c r="N54" i="9" s="1"/>
  <c r="N55" i="9" s="1"/>
  <c r="N56" i="9" s="1"/>
  <c r="N57" i="9" s="1"/>
  <c r="N26" i="9"/>
  <c r="N27" i="9" s="1"/>
  <c r="M68" i="9" l="1"/>
  <c r="N28" i="9"/>
  <c r="N29" i="9" s="1"/>
  <c r="M89" i="9" l="1"/>
  <c r="N68" i="9"/>
  <c r="N69" i="9" s="1"/>
  <c r="N70" i="9" s="1"/>
  <c r="N71" i="9" s="1"/>
  <c r="N72" i="9" s="1"/>
  <c r="N73" i="9" s="1"/>
  <c r="N74" i="9" s="1"/>
  <c r="N75" i="9" s="1"/>
  <c r="N76" i="9" s="1"/>
  <c r="N77" i="9" s="1"/>
  <c r="N78" i="9" s="1"/>
  <c r="N79" i="9" s="1"/>
  <c r="N80" i="9" s="1"/>
  <c r="N81" i="9" s="1"/>
  <c r="N82" i="9" s="1"/>
  <c r="N83" i="9" s="1"/>
  <c r="N84" i="9" s="1"/>
  <c r="N85" i="9" s="1"/>
  <c r="N86" i="9" s="1"/>
  <c r="N87" i="9" s="1"/>
  <c r="N88" i="9" s="1"/>
  <c r="N58" i="9"/>
  <c r="N59" i="9" s="1"/>
  <c r="N30" i="9"/>
  <c r="N31" i="9" s="1"/>
  <c r="P21" i="9"/>
  <c r="Q7" i="9"/>
  <c r="M94" i="9" l="1"/>
  <c r="N32" i="9"/>
  <c r="Q8" i="9"/>
  <c r="R7" i="9"/>
  <c r="M117" i="9" l="1"/>
  <c r="M122" i="9" s="1"/>
  <c r="N94" i="9"/>
  <c r="N95" i="9" s="1"/>
  <c r="N96" i="9" s="1"/>
  <c r="N97" i="9" s="1"/>
  <c r="N98" i="9" s="1"/>
  <c r="N99" i="9" s="1"/>
  <c r="N100" i="9" s="1"/>
  <c r="N101" i="9" s="1"/>
  <c r="N102" i="9" s="1"/>
  <c r="N103" i="9" s="1"/>
  <c r="N104" i="9" s="1"/>
  <c r="N105" i="9" s="1"/>
  <c r="N106" i="9" s="1"/>
  <c r="N107" i="9" s="1"/>
  <c r="N108" i="9" s="1"/>
  <c r="N33" i="9"/>
  <c r="N34" i="9" s="1"/>
  <c r="N35" i="9" s="1"/>
  <c r="N36" i="9" s="1"/>
  <c r="N37" i="9" s="1"/>
  <c r="N38" i="9" s="1"/>
  <c r="N39" i="9" s="1"/>
  <c r="Q9" i="9"/>
  <c r="R8" i="9"/>
  <c r="N109" i="9" l="1"/>
  <c r="N110" i="9" s="1"/>
  <c r="N111" i="9" s="1"/>
  <c r="N112" i="9" s="1"/>
  <c r="N113" i="9" s="1"/>
  <c r="N114" i="9" s="1"/>
  <c r="N115" i="9" s="1"/>
  <c r="N116" i="9" s="1"/>
  <c r="Q10" i="9"/>
  <c r="R9" i="9"/>
  <c r="M145" i="9" l="1"/>
  <c r="M150" i="9" s="1"/>
  <c r="N122" i="9"/>
  <c r="N123" i="9" s="1"/>
  <c r="N124" i="9" s="1"/>
  <c r="N125" i="9" s="1"/>
  <c r="N126" i="9" s="1"/>
  <c r="N127" i="9" s="1"/>
  <c r="N128" i="9" s="1"/>
  <c r="N129" i="9" s="1"/>
  <c r="Q11" i="9"/>
  <c r="R10" i="9"/>
  <c r="N130" i="9" l="1"/>
  <c r="N131" i="9" s="1"/>
  <c r="N132" i="9" s="1"/>
  <c r="N133" i="9" s="1"/>
  <c r="Q12" i="9"/>
  <c r="R11" i="9"/>
  <c r="M167" i="9" l="1"/>
  <c r="N150" i="9"/>
  <c r="N151" i="9" s="1"/>
  <c r="N152" i="9" s="1"/>
  <c r="N134" i="9"/>
  <c r="N135" i="9" s="1"/>
  <c r="N136" i="9" s="1"/>
  <c r="N137" i="9" s="1"/>
  <c r="N138" i="9" s="1"/>
  <c r="N139" i="9" s="1"/>
  <c r="N140" i="9" s="1"/>
  <c r="N141" i="9" s="1"/>
  <c r="N142" i="9" s="1"/>
  <c r="N143" i="9" s="1"/>
  <c r="N144" i="9" s="1"/>
  <c r="Q13" i="9"/>
  <c r="Q14" i="9" s="1"/>
  <c r="Q15" i="9" s="1"/>
  <c r="Q16" i="9" s="1"/>
  <c r="Q17" i="9" s="1"/>
  <c r="Q18" i="9" s="1"/>
  <c r="R12" i="9"/>
  <c r="M172" i="9" l="1"/>
  <c r="N153" i="9"/>
  <c r="N154" i="9" s="1"/>
  <c r="N155" i="9" s="1"/>
  <c r="N156" i="9" s="1"/>
  <c r="N157" i="9" s="1"/>
  <c r="N158" i="9" s="1"/>
  <c r="N159" i="9" s="1"/>
  <c r="N160" i="9" s="1"/>
  <c r="N161" i="9" s="1"/>
  <c r="N162" i="9" s="1"/>
  <c r="N163" i="9" s="1"/>
  <c r="N164" i="9" s="1"/>
  <c r="N165" i="9" s="1"/>
  <c r="N166" i="9" s="1"/>
  <c r="R13" i="9"/>
  <c r="M187" i="9" l="1"/>
  <c r="N172" i="9"/>
  <c r="N173" i="9" s="1"/>
  <c r="R14" i="9"/>
  <c r="M193" i="9" l="1"/>
  <c r="N174" i="9"/>
  <c r="N175" i="9" s="1"/>
  <c r="N176" i="9" s="1"/>
  <c r="N177" i="9" s="1"/>
  <c r="N178" i="9" s="1"/>
  <c r="R15" i="9"/>
  <c r="M208" i="9" l="1"/>
  <c r="M215" i="9" s="1"/>
  <c r="N193" i="9"/>
  <c r="N194" i="9" s="1"/>
  <c r="N195" i="9" s="1"/>
  <c r="N196" i="9" s="1"/>
  <c r="N197" i="9" s="1"/>
  <c r="N198" i="9" s="1"/>
  <c r="N199" i="9" s="1"/>
  <c r="N200" i="9" s="1"/>
  <c r="N179" i="9"/>
  <c r="R16" i="9"/>
  <c r="M226" i="9" l="1"/>
  <c r="N215" i="9"/>
  <c r="N216" i="9" s="1"/>
  <c r="N217" i="9" s="1"/>
  <c r="N201" i="9"/>
  <c r="N202" i="9" s="1"/>
  <c r="N203" i="9" s="1"/>
  <c r="N204" i="9" s="1"/>
  <c r="N205" i="9" s="1"/>
  <c r="N206" i="9" s="1"/>
  <c r="N207" i="9" s="1"/>
  <c r="N180" i="9"/>
  <c r="N181" i="9" s="1"/>
  <c r="N182" i="9" s="1"/>
  <c r="N183" i="9" s="1"/>
  <c r="N184" i="9" s="1"/>
  <c r="N185" i="9" s="1"/>
  <c r="N186" i="9" s="1"/>
  <c r="R17" i="9"/>
  <c r="M236" i="9" l="1"/>
  <c r="N218" i="9"/>
  <c r="N219" i="9" s="1"/>
  <c r="Q19" i="9"/>
  <c r="Q20" i="9" s="1"/>
  <c r="R18" i="9"/>
  <c r="M250" i="9" l="1"/>
  <c r="N236" i="9"/>
  <c r="N237" i="9" s="1"/>
  <c r="N238" i="9" s="1"/>
  <c r="N239" i="9" s="1"/>
  <c r="N240" i="9" s="1"/>
  <c r="N220" i="9"/>
  <c r="N221" i="9" s="1"/>
  <c r="N222" i="9" s="1"/>
  <c r="N223" i="9" s="1"/>
  <c r="N224" i="9" s="1"/>
  <c r="N225" i="9" s="1"/>
  <c r="R20" i="9"/>
  <c r="P45" i="9"/>
  <c r="R19" i="9"/>
  <c r="M258" i="9" l="1"/>
  <c r="N241" i="9"/>
  <c r="N242" i="9" s="1"/>
  <c r="N243" i="9" s="1"/>
  <c r="N244" i="9" s="1"/>
  <c r="N245" i="9" s="1"/>
  <c r="N246" i="9" s="1"/>
  <c r="N247" i="9" s="1"/>
  <c r="N248" i="9" s="1"/>
  <c r="N249" i="9" s="1"/>
  <c r="P56" i="9"/>
  <c r="Q45" i="9"/>
  <c r="M273" i="9" l="1"/>
  <c r="N258" i="9"/>
  <c r="N259" i="9" s="1"/>
  <c r="N260" i="9" s="1"/>
  <c r="N261" i="9" s="1"/>
  <c r="N262" i="9" s="1"/>
  <c r="N263" i="9" s="1"/>
  <c r="N264" i="9" s="1"/>
  <c r="N265" i="9" s="1"/>
  <c r="N266" i="9" s="1"/>
  <c r="Q46" i="9"/>
  <c r="R45" i="9"/>
  <c r="M296" i="9" l="1"/>
  <c r="N267" i="9"/>
  <c r="N268" i="9" s="1"/>
  <c r="N269" i="9" s="1"/>
  <c r="N270" i="9" s="1"/>
  <c r="N271" i="9" s="1"/>
  <c r="N272" i="9" s="1"/>
  <c r="Q47" i="9"/>
  <c r="R46" i="9"/>
  <c r="M312" i="9" l="1"/>
  <c r="M326" i="9" s="1"/>
  <c r="N296" i="9"/>
  <c r="N297" i="9" s="1"/>
  <c r="N298" i="9" s="1"/>
  <c r="N299" i="9" s="1"/>
  <c r="N300" i="9" s="1"/>
  <c r="N301" i="9" s="1"/>
  <c r="N302" i="9" s="1"/>
  <c r="N303" i="9" s="1"/>
  <c r="N304" i="9" s="1"/>
  <c r="N305" i="9" s="1"/>
  <c r="N306" i="9" s="1"/>
  <c r="N307" i="9" s="1"/>
  <c r="N308" i="9" s="1"/>
  <c r="N309" i="9" s="1"/>
  <c r="R47" i="9"/>
  <c r="Q48" i="9"/>
  <c r="N310" i="9" l="1"/>
  <c r="N311" i="9" s="1"/>
  <c r="R48" i="9"/>
  <c r="Q49" i="9"/>
  <c r="M340" i="9" l="1"/>
  <c r="M346" i="9" s="1"/>
  <c r="N326" i="9"/>
  <c r="N327" i="9" s="1"/>
  <c r="N328" i="9" s="1"/>
  <c r="N329" i="9" s="1"/>
  <c r="R49" i="9"/>
  <c r="Q50" i="9"/>
  <c r="N330" i="9" l="1"/>
  <c r="N331" i="9" s="1"/>
  <c r="N332" i="9" s="1"/>
  <c r="N333" i="9" s="1"/>
  <c r="N334" i="9" s="1"/>
  <c r="N335" i="9" s="1"/>
  <c r="N336" i="9" s="1"/>
  <c r="N337" i="9" s="1"/>
  <c r="N338" i="9" s="1"/>
  <c r="N339" i="9" s="1"/>
  <c r="R50" i="9"/>
  <c r="Q51" i="9"/>
  <c r="M364" i="9" l="1"/>
  <c r="N346" i="9"/>
  <c r="N347" i="9" s="1"/>
  <c r="N348" i="9" s="1"/>
  <c r="N349" i="9" s="1"/>
  <c r="N350" i="9" s="1"/>
  <c r="N351" i="9" s="1"/>
  <c r="N352" i="9" s="1"/>
  <c r="N353" i="9" s="1"/>
  <c r="N354" i="9" s="1"/>
  <c r="N355" i="9" s="1"/>
  <c r="N356" i="9" s="1"/>
  <c r="N357" i="9" s="1"/>
  <c r="N358" i="9" s="1"/>
  <c r="N359" i="9" s="1"/>
  <c r="N360" i="9" s="1"/>
  <c r="N361" i="9" s="1"/>
  <c r="N362" i="9" s="1"/>
  <c r="N363" i="9" s="1"/>
  <c r="Q52" i="9"/>
  <c r="R51" i="9"/>
  <c r="M372" i="9" l="1"/>
  <c r="Q53" i="9"/>
  <c r="R52" i="9"/>
  <c r="M394" i="9" l="1"/>
  <c r="M399" i="9" s="1"/>
  <c r="N372" i="9"/>
  <c r="N373" i="9" s="1"/>
  <c r="N374" i="9" s="1"/>
  <c r="N375" i="9" s="1"/>
  <c r="N376" i="9" s="1"/>
  <c r="N377" i="9" s="1"/>
  <c r="N378" i="9" s="1"/>
  <c r="N379" i="9" s="1"/>
  <c r="N380" i="9" s="1"/>
  <c r="N381" i="9" s="1"/>
  <c r="Q54" i="9"/>
  <c r="Q55" i="9" s="1"/>
  <c r="R53" i="9"/>
  <c r="N382" i="9" l="1"/>
  <c r="N383" i="9" s="1"/>
  <c r="N384" i="9" s="1"/>
  <c r="N385" i="9" s="1"/>
  <c r="N386" i="9" s="1"/>
  <c r="R55" i="9"/>
  <c r="P68" i="9"/>
  <c r="R54" i="9"/>
  <c r="M430" i="9" l="1"/>
  <c r="N399" i="9"/>
  <c r="N400" i="9" s="1"/>
  <c r="N401" i="9" s="1"/>
  <c r="N402" i="9" s="1"/>
  <c r="N403" i="9" s="1"/>
  <c r="N404" i="9" s="1"/>
  <c r="N405" i="9" s="1"/>
  <c r="N406" i="9" s="1"/>
  <c r="N407" i="9" s="1"/>
  <c r="N408" i="9" s="1"/>
  <c r="N409" i="9" s="1"/>
  <c r="N410" i="9" s="1"/>
  <c r="N411" i="9" s="1"/>
  <c r="N412" i="9" s="1"/>
  <c r="N413" i="9" s="1"/>
  <c r="N387" i="9"/>
  <c r="N388" i="9" s="1"/>
  <c r="N389" i="9" s="1"/>
  <c r="N390" i="9" s="1"/>
  <c r="N391" i="9" s="1"/>
  <c r="N392" i="9" s="1"/>
  <c r="N393" i="9" s="1"/>
  <c r="Q68" i="9"/>
  <c r="P82" i="9"/>
  <c r="M435" i="9" l="1"/>
  <c r="N414" i="9"/>
  <c r="N415" i="9" s="1"/>
  <c r="N416" i="9" s="1"/>
  <c r="N417" i="9" s="1"/>
  <c r="N418" i="9" s="1"/>
  <c r="N419" i="9" s="1"/>
  <c r="N420" i="9" s="1"/>
  <c r="R68" i="9"/>
  <c r="Q69" i="9"/>
  <c r="M464" i="9" l="1"/>
  <c r="N435" i="9"/>
  <c r="N436" i="9" s="1"/>
  <c r="N437" i="9" s="1"/>
  <c r="N438" i="9" s="1"/>
  <c r="N439" i="9" s="1"/>
  <c r="N440" i="9" s="1"/>
  <c r="N441" i="9" s="1"/>
  <c r="N442" i="9" s="1"/>
  <c r="N443" i="9" s="1"/>
  <c r="N444" i="9" s="1"/>
  <c r="N445" i="9" s="1"/>
  <c r="N446" i="9" s="1"/>
  <c r="N447" i="9" s="1"/>
  <c r="N448" i="9" s="1"/>
  <c r="N449" i="9" s="1"/>
  <c r="N450" i="9" s="1"/>
  <c r="N451" i="9" s="1"/>
  <c r="N452" i="9" s="1"/>
  <c r="N453" i="9" s="1"/>
  <c r="N454" i="9" s="1"/>
  <c r="N455" i="9" s="1"/>
  <c r="N456" i="9" s="1"/>
  <c r="N457" i="9" s="1"/>
  <c r="N458" i="9" s="1"/>
  <c r="N459" i="9" s="1"/>
  <c r="N460" i="9" s="1"/>
  <c r="N461" i="9" s="1"/>
  <c r="N462" i="9" s="1"/>
  <c r="N421" i="9"/>
  <c r="N422" i="9" s="1"/>
  <c r="N423" i="9" s="1"/>
  <c r="Q70" i="9"/>
  <c r="R69" i="9"/>
  <c r="M469" i="9" l="1"/>
  <c r="N424" i="9"/>
  <c r="Q71" i="9"/>
  <c r="R70" i="9"/>
  <c r="M496" i="9" l="1"/>
  <c r="N469" i="9"/>
  <c r="N470" i="9" s="1"/>
  <c r="N471" i="9" s="1"/>
  <c r="N472" i="9" s="1"/>
  <c r="N473" i="9" s="1"/>
  <c r="N474" i="9" s="1"/>
  <c r="N475" i="9" s="1"/>
  <c r="N476" i="9" s="1"/>
  <c r="N477" i="9" s="1"/>
  <c r="N478" i="9" s="1"/>
  <c r="N463" i="9"/>
  <c r="N425" i="9"/>
  <c r="N426" i="9" s="1"/>
  <c r="N427" i="9" s="1"/>
  <c r="N428" i="9" s="1"/>
  <c r="N429" i="9" s="1"/>
  <c r="R71" i="9"/>
  <c r="Q72" i="9"/>
  <c r="M501" i="9" l="1"/>
  <c r="N479" i="9"/>
  <c r="R72" i="9"/>
  <c r="Q73" i="9"/>
  <c r="M540" i="9" l="1"/>
  <c r="M545" i="9" s="1"/>
  <c r="N501" i="9"/>
  <c r="N502" i="9" s="1"/>
  <c r="N503" i="9" s="1"/>
  <c r="N504" i="9" s="1"/>
  <c r="N505" i="9" s="1"/>
  <c r="N506" i="9" s="1"/>
  <c r="N507" i="9" s="1"/>
  <c r="N508" i="9" s="1"/>
  <c r="N509" i="9" s="1"/>
  <c r="N510" i="9" s="1"/>
  <c r="N511" i="9" s="1"/>
  <c r="N512" i="9" s="1"/>
  <c r="N513" i="9" s="1"/>
  <c r="N514" i="9" s="1"/>
  <c r="N515" i="9" s="1"/>
  <c r="N516" i="9" s="1"/>
  <c r="N517" i="9" s="1"/>
  <c r="N518" i="9" s="1"/>
  <c r="N519" i="9" s="1"/>
  <c r="N520" i="9" s="1"/>
  <c r="N521" i="9" s="1"/>
  <c r="N522" i="9" s="1"/>
  <c r="N523" i="9" s="1"/>
  <c r="N524" i="9" s="1"/>
  <c r="N525" i="9" s="1"/>
  <c r="N526" i="9" s="1"/>
  <c r="N480" i="9"/>
  <c r="N481" i="9" s="1"/>
  <c r="Q74" i="9"/>
  <c r="R73" i="9"/>
  <c r="N527" i="9" l="1"/>
  <c r="N528" i="9" s="1"/>
  <c r="N529" i="9" s="1"/>
  <c r="N530" i="9" s="1"/>
  <c r="N531" i="9" s="1"/>
  <c r="N532" i="9" s="1"/>
  <c r="N533" i="9" s="1"/>
  <c r="N534" i="9" s="1"/>
  <c r="N535" i="9" s="1"/>
  <c r="N536" i="9" s="1"/>
  <c r="N537" i="9" s="1"/>
  <c r="N538" i="9" s="1"/>
  <c r="N482" i="9"/>
  <c r="N483" i="9" s="1"/>
  <c r="N484" i="9" s="1"/>
  <c r="N485" i="9" s="1"/>
  <c r="N486" i="9" s="1"/>
  <c r="N487" i="9" s="1"/>
  <c r="N488" i="9" s="1"/>
  <c r="N489" i="9" s="1"/>
  <c r="N490" i="9" s="1"/>
  <c r="N491" i="9" s="1"/>
  <c r="N492" i="9" s="1"/>
  <c r="N493" i="9" s="1"/>
  <c r="Q75" i="9"/>
  <c r="R74" i="9"/>
  <c r="M572" i="9" l="1"/>
  <c r="N545" i="9"/>
  <c r="N546" i="9" s="1"/>
  <c r="N547" i="9" s="1"/>
  <c r="N548" i="9" s="1"/>
  <c r="N549" i="9" s="1"/>
  <c r="N550" i="9" s="1"/>
  <c r="N551" i="9" s="1"/>
  <c r="N552" i="9" s="1"/>
  <c r="N553" i="9" s="1"/>
  <c r="N554" i="9" s="1"/>
  <c r="N539" i="9"/>
  <c r="N494" i="9"/>
  <c r="N495" i="9" s="1"/>
  <c r="Q76" i="9"/>
  <c r="R75" i="9"/>
  <c r="M577" i="9" l="1"/>
  <c r="N555" i="9"/>
  <c r="N556" i="9" s="1"/>
  <c r="N557" i="9" s="1"/>
  <c r="N558" i="9" s="1"/>
  <c r="N559" i="9" s="1"/>
  <c r="N560" i="9" s="1"/>
  <c r="N561" i="9" s="1"/>
  <c r="N562" i="9" s="1"/>
  <c r="N563" i="9" s="1"/>
  <c r="N564" i="9" s="1"/>
  <c r="N565" i="9" s="1"/>
  <c r="N566" i="9" s="1"/>
  <c r="N567" i="9" s="1"/>
  <c r="N568" i="9" s="1"/>
  <c r="Q77" i="9"/>
  <c r="R76" i="9"/>
  <c r="M597" i="9" l="1"/>
  <c r="N577" i="9"/>
  <c r="N578" i="9" s="1"/>
  <c r="N579" i="9" s="1"/>
  <c r="N580" i="9" s="1"/>
  <c r="N581" i="9" s="1"/>
  <c r="N582" i="9" s="1"/>
  <c r="N583" i="9" s="1"/>
  <c r="N584" i="9" s="1"/>
  <c r="N585" i="9" s="1"/>
  <c r="N586" i="9" s="1"/>
  <c r="N587" i="9" s="1"/>
  <c r="N588" i="9" s="1"/>
  <c r="N589" i="9" s="1"/>
  <c r="N590" i="9" s="1"/>
  <c r="N591" i="9" s="1"/>
  <c r="N592" i="9" s="1"/>
  <c r="N593" i="9" s="1"/>
  <c r="N594" i="9" s="1"/>
  <c r="R77" i="9"/>
  <c r="Q78" i="9"/>
  <c r="M602" i="9" l="1"/>
  <c r="N595" i="9"/>
  <c r="N596" i="9" s="1"/>
  <c r="N569" i="9"/>
  <c r="N570" i="9" s="1"/>
  <c r="N571" i="9" s="1"/>
  <c r="Q79" i="9"/>
  <c r="R78" i="9"/>
  <c r="M618" i="9" l="1"/>
  <c r="M627" i="9" s="1"/>
  <c r="N602" i="9"/>
  <c r="N603" i="9" s="1"/>
  <c r="N604" i="9" s="1"/>
  <c r="N605" i="9" s="1"/>
  <c r="N606" i="9" s="1"/>
  <c r="N607" i="9" s="1"/>
  <c r="N608" i="9" s="1"/>
  <c r="N609" i="9" s="1"/>
  <c r="N610" i="9" s="1"/>
  <c r="N611" i="9" s="1"/>
  <c r="N612" i="9" s="1"/>
  <c r="N613" i="9" s="1"/>
  <c r="N614" i="9" s="1"/>
  <c r="N615" i="9" s="1"/>
  <c r="N616" i="9" s="1"/>
  <c r="N617" i="9" s="1"/>
  <c r="Q80" i="9"/>
  <c r="Q81" i="9" s="1"/>
  <c r="P94" i="9" s="1"/>
  <c r="R79" i="9"/>
  <c r="P102" i="9" l="1"/>
  <c r="Q94" i="9"/>
  <c r="R80" i="9"/>
  <c r="N627" i="9" l="1"/>
  <c r="N628" i="9" s="1"/>
  <c r="N629" i="9" s="1"/>
  <c r="N630" i="9" s="1"/>
  <c r="N631" i="9" s="1"/>
  <c r="N632" i="9" s="1"/>
  <c r="N633" i="9" s="1"/>
  <c r="N634" i="9" s="1"/>
  <c r="N635" i="9" s="1"/>
  <c r="N636" i="9" s="1"/>
  <c r="N637" i="9" s="1"/>
  <c r="M650" i="9"/>
  <c r="Q95" i="9"/>
  <c r="R94" i="9"/>
  <c r="R81" i="9"/>
  <c r="M655" i="9" l="1"/>
  <c r="N638" i="9"/>
  <c r="N639" i="9" s="1"/>
  <c r="N640" i="9" s="1"/>
  <c r="N641" i="9" s="1"/>
  <c r="Q96" i="9"/>
  <c r="R95" i="9"/>
  <c r="N655" i="9" l="1"/>
  <c r="N656" i="9" s="1"/>
  <c r="N657" i="9" s="1"/>
  <c r="N658" i="9" s="1"/>
  <c r="N659" i="9" s="1"/>
  <c r="N660" i="9" s="1"/>
  <c r="N661" i="9" s="1"/>
  <c r="N662" i="9" s="1"/>
  <c r="N663" i="9" s="1"/>
  <c r="N664" i="9" s="1"/>
  <c r="N665" i="9" s="1"/>
  <c r="M674" i="9"/>
  <c r="N642" i="9"/>
  <c r="N643" i="9" s="1"/>
  <c r="Q97" i="9"/>
  <c r="R96" i="9"/>
  <c r="M680" i="9" l="1"/>
  <c r="N666" i="9"/>
  <c r="N667" i="9" s="1"/>
  <c r="N668" i="9" s="1"/>
  <c r="N669" i="9" s="1"/>
  <c r="N670" i="9" s="1"/>
  <c r="N671" i="9" s="1"/>
  <c r="N672" i="9" s="1"/>
  <c r="N673" i="9" s="1"/>
  <c r="N644" i="9"/>
  <c r="N645" i="9" s="1"/>
  <c r="N646" i="9" s="1"/>
  <c r="N647" i="9" s="1"/>
  <c r="N648" i="9" s="1"/>
  <c r="N649" i="9" s="1"/>
  <c r="R97" i="9"/>
  <c r="Q98" i="9"/>
  <c r="M703" i="9" l="1"/>
  <c r="N680" i="9"/>
  <c r="N681" i="9" s="1"/>
  <c r="N682" i="9" s="1"/>
  <c r="N683" i="9" s="1"/>
  <c r="N684" i="9" s="1"/>
  <c r="N685" i="9" s="1"/>
  <c r="N686" i="9" s="1"/>
  <c r="N687" i="9" s="1"/>
  <c r="N688" i="9" s="1"/>
  <c r="R98" i="9"/>
  <c r="Q99" i="9"/>
  <c r="N689" i="9" l="1"/>
  <c r="N690" i="9" s="1"/>
  <c r="N691" i="9" s="1"/>
  <c r="N692" i="9" s="1"/>
  <c r="N693" i="9" s="1"/>
  <c r="N694" i="9" s="1"/>
  <c r="N695" i="9" s="1"/>
  <c r="N696" i="9" s="1"/>
  <c r="N697" i="9" s="1"/>
  <c r="N698" i="9" s="1"/>
  <c r="N699" i="9" s="1"/>
  <c r="N700" i="9" s="1"/>
  <c r="N701" i="9" s="1"/>
  <c r="N702" i="9" s="1"/>
  <c r="Q100" i="9"/>
  <c r="Q101" i="9" s="1"/>
  <c r="P122" i="9" s="1"/>
  <c r="R99" i="9"/>
  <c r="P135" i="9" l="1"/>
  <c r="Q122" i="9"/>
  <c r="R100" i="9"/>
  <c r="Q123" i="9" l="1"/>
  <c r="R122" i="9"/>
  <c r="R101" i="9"/>
  <c r="R123" i="9" l="1"/>
  <c r="Q124" i="9"/>
  <c r="Q125" i="9" l="1"/>
  <c r="R124" i="9"/>
  <c r="Q126" i="9" l="1"/>
  <c r="R125" i="9"/>
  <c r="Q127" i="9" l="1"/>
  <c r="R126" i="9"/>
  <c r="Q128" i="9" l="1"/>
  <c r="R127" i="9"/>
  <c r="Q129" i="9" l="1"/>
  <c r="R128" i="9"/>
  <c r="Q130" i="9" l="1"/>
  <c r="R129" i="9"/>
  <c r="Q131" i="9" l="1"/>
  <c r="R130" i="9"/>
  <c r="Q132" i="9" l="1"/>
  <c r="R131" i="9"/>
  <c r="Q133" i="9" l="1"/>
  <c r="R132" i="9"/>
  <c r="R133" i="9" l="1"/>
  <c r="Q134" i="9"/>
  <c r="P150" i="9" s="1"/>
  <c r="P167" i="9" l="1"/>
  <c r="Q150" i="9"/>
  <c r="R134" i="9"/>
  <c r="Q151" i="9" l="1"/>
  <c r="R150" i="9"/>
  <c r="Q152" i="9" l="1"/>
  <c r="R151" i="9"/>
  <c r="Q153" i="9" l="1"/>
  <c r="R152" i="9"/>
  <c r="Q154" i="9" l="1"/>
  <c r="R153" i="9"/>
  <c r="R154" i="9" l="1"/>
  <c r="Q155" i="9"/>
  <c r="R155" i="9" l="1"/>
  <c r="Q156" i="9"/>
  <c r="R156" i="9" l="1"/>
  <c r="Q157" i="9"/>
  <c r="R157" i="9" l="1"/>
  <c r="Q158" i="9"/>
  <c r="R158" i="9" l="1"/>
  <c r="Q159" i="9"/>
  <c r="R159" i="9" l="1"/>
  <c r="Q160" i="9"/>
  <c r="R160" i="9" l="1"/>
  <c r="Q161" i="9"/>
  <c r="Q162" i="9" l="1"/>
  <c r="R162" i="9" s="1"/>
  <c r="R161" i="9"/>
  <c r="Q163" i="9" l="1"/>
  <c r="Q164" i="9" l="1"/>
  <c r="R163" i="9"/>
  <c r="R164" i="9" l="1"/>
  <c r="Q165" i="9"/>
  <c r="R165" i="9" l="1"/>
  <c r="Q166" i="9"/>
  <c r="P172" i="9" s="1"/>
  <c r="P185" i="9" l="1"/>
  <c r="Q172" i="9"/>
  <c r="R166" i="9"/>
  <c r="Q173" i="9" l="1"/>
  <c r="R172" i="9"/>
  <c r="R173" i="9" l="1"/>
  <c r="Q174" i="9"/>
  <c r="Q175" i="9" l="1"/>
  <c r="R174" i="9"/>
  <c r="Q176" i="9" l="1"/>
  <c r="R175" i="9"/>
  <c r="R176" i="9" l="1"/>
  <c r="Q177" i="9"/>
  <c r="R177" i="9" l="1"/>
  <c r="Q178" i="9"/>
  <c r="Q179" i="9" l="1"/>
  <c r="R178" i="9"/>
  <c r="Q180" i="9" l="1"/>
  <c r="R179" i="9"/>
  <c r="R180" i="9" l="1"/>
  <c r="Q181" i="9"/>
  <c r="R181" i="9" l="1"/>
  <c r="Q182" i="9"/>
  <c r="Q183" i="9" s="1"/>
  <c r="R183" i="9" l="1"/>
  <c r="Q184" i="9"/>
  <c r="P193" i="9" s="1"/>
  <c r="R182" i="9"/>
  <c r="Q193" i="9" l="1"/>
  <c r="P210" i="9"/>
  <c r="R184" i="9"/>
  <c r="R193" i="9" l="1"/>
  <c r="Q194" i="9"/>
  <c r="Q195" i="9" l="1"/>
  <c r="R194" i="9"/>
  <c r="Q196" i="9" l="1"/>
  <c r="R195" i="9"/>
  <c r="Q197" i="9" l="1"/>
  <c r="R196" i="9"/>
  <c r="Q198" i="9" l="1"/>
  <c r="R197" i="9"/>
  <c r="Q199" i="9" l="1"/>
  <c r="R198" i="9"/>
  <c r="Q200" i="9" l="1"/>
  <c r="R200" i="9" s="1"/>
  <c r="R199" i="9"/>
  <c r="Q201" i="9" l="1"/>
  <c r="Q202" i="9" l="1"/>
  <c r="R201" i="9"/>
  <c r="Q203" i="9" l="1"/>
  <c r="R202" i="9"/>
  <c r="Q204" i="9" l="1"/>
  <c r="R204" i="9" s="1"/>
  <c r="R203" i="9"/>
  <c r="Q205" i="9" l="1"/>
  <c r="Q206" i="9" l="1"/>
  <c r="R205" i="9"/>
  <c r="R206" i="9" l="1"/>
  <c r="Q207" i="9"/>
  <c r="R207" i="9" s="1"/>
  <c r="Q208" i="9" l="1"/>
  <c r="R208" i="9" l="1"/>
  <c r="Q209" i="9"/>
  <c r="P215" i="9" s="1"/>
  <c r="Q215" i="9" l="1"/>
  <c r="P229" i="9"/>
  <c r="R209" i="9"/>
  <c r="Q216" i="9" l="1"/>
  <c r="R215" i="9"/>
  <c r="R216" i="9" l="1"/>
  <c r="Q217" i="9"/>
  <c r="Q218" i="9" l="1"/>
  <c r="R217" i="9"/>
  <c r="Q219" i="9" l="1"/>
  <c r="R218" i="9"/>
  <c r="Q220" i="9" l="1"/>
  <c r="R219" i="9"/>
  <c r="Q221" i="9" l="1"/>
  <c r="R220" i="9"/>
  <c r="R221" i="9" l="1"/>
  <c r="Q222" i="9"/>
  <c r="Q223" i="9" l="1"/>
  <c r="R222" i="9"/>
  <c r="Q224" i="9" l="1"/>
  <c r="R223" i="9"/>
  <c r="R224" i="9" l="1"/>
  <c r="Q225" i="9"/>
  <c r="Q226" i="9" l="1"/>
  <c r="R225" i="9"/>
  <c r="R226" i="9" l="1"/>
  <c r="Q227" i="9"/>
  <c r="R227" i="9" s="1"/>
  <c r="Q228" i="9" l="1"/>
  <c r="P236" i="9" s="1"/>
  <c r="Q236" i="9" l="1"/>
  <c r="P253" i="9"/>
  <c r="R228" i="9"/>
  <c r="Q237" i="9" l="1"/>
  <c r="R236" i="9"/>
  <c r="R237" i="9" l="1"/>
  <c r="Q238" i="9"/>
  <c r="Q239" i="9" l="1"/>
  <c r="R238" i="9"/>
  <c r="R239" i="9" l="1"/>
  <c r="Q240" i="9"/>
  <c r="R240" i="9" l="1"/>
  <c r="Q241" i="9"/>
  <c r="R241" i="9" l="1"/>
  <c r="Q242" i="9"/>
  <c r="R242" i="9" l="1"/>
  <c r="Q243" i="9"/>
  <c r="Q244" i="9" l="1"/>
  <c r="R243" i="9"/>
  <c r="Q245" i="9" l="1"/>
  <c r="R244" i="9"/>
  <c r="R245" i="9" l="1"/>
  <c r="Q246" i="9"/>
  <c r="Q247" i="9" l="1"/>
  <c r="R246" i="9"/>
  <c r="Q248" i="9" l="1"/>
  <c r="R247" i="9"/>
  <c r="R248" i="9" l="1"/>
  <c r="Q249" i="9"/>
  <c r="R249" i="9" l="1"/>
  <c r="Q250" i="9"/>
  <c r="R250" i="9" l="1"/>
  <c r="Q251" i="9"/>
  <c r="Q252" i="9" l="1"/>
  <c r="P258" i="9" s="1"/>
  <c r="R251" i="9"/>
  <c r="P291" i="9" l="1"/>
  <c r="Q258" i="9"/>
  <c r="R252" i="9"/>
  <c r="Q259" i="9" l="1"/>
  <c r="R258" i="9"/>
  <c r="Q260" i="9" l="1"/>
  <c r="R259" i="9"/>
  <c r="Q261" i="9" l="1"/>
  <c r="R260" i="9"/>
  <c r="Q262" i="9" l="1"/>
  <c r="R261" i="9"/>
  <c r="Q263" i="9" l="1"/>
  <c r="R262" i="9"/>
  <c r="Q264" i="9" l="1"/>
  <c r="R263" i="9"/>
  <c r="Q265" i="9" l="1"/>
  <c r="R264" i="9"/>
  <c r="Q266" i="9" l="1"/>
  <c r="R265" i="9"/>
  <c r="Q267" i="9" l="1"/>
  <c r="R266" i="9"/>
  <c r="Q268" i="9" l="1"/>
  <c r="R267" i="9"/>
  <c r="Q269" i="9" l="1"/>
  <c r="R268" i="9"/>
  <c r="R269" i="9" l="1"/>
  <c r="Q270" i="9"/>
  <c r="Q271" i="9" l="1"/>
  <c r="R270" i="9"/>
  <c r="Q272" i="9" l="1"/>
  <c r="R271" i="9"/>
  <c r="Q273" i="9" l="1"/>
  <c r="R272" i="9"/>
  <c r="Q274" i="9" l="1"/>
  <c r="R273" i="9"/>
  <c r="Q275" i="9" l="1"/>
  <c r="R274" i="9"/>
  <c r="Q276" i="9" l="1"/>
  <c r="R275" i="9"/>
  <c r="Q277" i="9" l="1"/>
  <c r="R276" i="9"/>
  <c r="Q278" i="9" l="1"/>
  <c r="R277" i="9"/>
  <c r="Q279" i="9" l="1"/>
  <c r="R278" i="9"/>
  <c r="Q280" i="9" l="1"/>
  <c r="R279" i="9"/>
  <c r="R280" i="9" l="1"/>
  <c r="Q281" i="9"/>
  <c r="R281" i="9" l="1"/>
  <c r="Q282" i="9"/>
  <c r="R282" i="9" l="1"/>
  <c r="Q283" i="9"/>
  <c r="R283" i="9" l="1"/>
  <c r="Q284" i="9"/>
  <c r="R284" i="9" l="1"/>
  <c r="Q285" i="9"/>
  <c r="R285" i="9" l="1"/>
  <c r="Q286" i="9"/>
  <c r="R286" i="9" l="1"/>
  <c r="Q287" i="9"/>
  <c r="R287" i="9" l="1"/>
  <c r="Q288" i="9"/>
  <c r="R288" i="9" l="1"/>
  <c r="Q289" i="9"/>
  <c r="Q290" i="9" l="1"/>
  <c r="P296" i="9" s="1"/>
  <c r="R289" i="9"/>
  <c r="P321" i="9" l="1"/>
  <c r="Q296" i="9"/>
  <c r="R290" i="9"/>
  <c r="Q297" i="9" l="1"/>
  <c r="R296" i="9"/>
  <c r="Q298" i="9" l="1"/>
  <c r="R297" i="9"/>
  <c r="Q299" i="9" l="1"/>
  <c r="R298" i="9"/>
  <c r="Q300" i="9" l="1"/>
  <c r="R299" i="9"/>
  <c r="Q301" i="9" l="1"/>
  <c r="R300" i="9"/>
  <c r="Q302" i="9" l="1"/>
  <c r="R301" i="9"/>
  <c r="R302" i="9" l="1"/>
  <c r="Q303" i="9"/>
  <c r="R303" i="9" l="1"/>
  <c r="Q304" i="9"/>
  <c r="Q305" i="9" l="1"/>
  <c r="R304" i="9"/>
  <c r="Q306" i="9" l="1"/>
  <c r="R305" i="9"/>
  <c r="Q307" i="9" l="1"/>
  <c r="R306" i="9"/>
  <c r="Q308" i="9" l="1"/>
  <c r="R307" i="9"/>
  <c r="Q309" i="9" l="1"/>
  <c r="R308" i="9"/>
  <c r="Q310" i="9" l="1"/>
  <c r="R309" i="9"/>
  <c r="Q311" i="9" l="1"/>
  <c r="R310" i="9"/>
  <c r="Q312" i="9" l="1"/>
  <c r="R311" i="9"/>
  <c r="Q313" i="9" l="1"/>
  <c r="R312" i="9"/>
  <c r="Q314" i="9" l="1"/>
  <c r="R313" i="9"/>
  <c r="R314" i="9" l="1"/>
  <c r="Q315" i="9"/>
  <c r="R315" i="9" l="1"/>
  <c r="Q316" i="9"/>
  <c r="R316" i="9" l="1"/>
  <c r="Q317" i="9"/>
  <c r="R317" i="9" l="1"/>
  <c r="Q318" i="9"/>
  <c r="R318" i="9" l="1"/>
  <c r="Q319" i="9"/>
  <c r="Q320" i="9" s="1"/>
  <c r="P326" i="9" s="1"/>
  <c r="R320" i="9" l="1"/>
  <c r="R319" i="9"/>
  <c r="P339" i="9" l="1"/>
  <c r="Q326" i="9"/>
  <c r="Q327" i="9" l="1"/>
  <c r="R326" i="9"/>
  <c r="Q328" i="9" l="1"/>
  <c r="R327" i="9"/>
  <c r="Q329" i="9" l="1"/>
  <c r="R328" i="9"/>
  <c r="Q330" i="9" l="1"/>
  <c r="R329" i="9"/>
  <c r="Q331" i="9" l="1"/>
  <c r="R330" i="9"/>
  <c r="Q332" i="9" l="1"/>
  <c r="R331" i="9"/>
  <c r="Q333" i="9" l="1"/>
  <c r="R332" i="9"/>
  <c r="R333" i="9" l="1"/>
  <c r="Q334" i="9"/>
  <c r="Q335" i="9" l="1"/>
  <c r="R334" i="9"/>
  <c r="Q336" i="9" l="1"/>
  <c r="R335" i="9"/>
  <c r="Q337" i="9" l="1"/>
  <c r="Q338" i="9" s="1"/>
  <c r="R336" i="9"/>
  <c r="R338" i="9" l="1"/>
  <c r="P346" i="9"/>
  <c r="R337" i="9"/>
  <c r="P367" i="9" l="1"/>
  <c r="Q346" i="9"/>
  <c r="Q347" i="9" l="1"/>
  <c r="R346" i="9"/>
  <c r="Q348" i="9" l="1"/>
  <c r="R347" i="9"/>
  <c r="Q349" i="9" l="1"/>
  <c r="R348" i="9"/>
  <c r="Q350" i="9" l="1"/>
  <c r="R349" i="9"/>
  <c r="R350" i="9" l="1"/>
  <c r="Q351" i="9"/>
  <c r="Q352" i="9" l="1"/>
  <c r="R351" i="9"/>
  <c r="Q353" i="9" l="1"/>
  <c r="R352" i="9"/>
  <c r="Q354" i="9" l="1"/>
  <c r="R353" i="9"/>
  <c r="Q355" i="9" l="1"/>
  <c r="R354" i="9"/>
  <c r="Q356" i="9" l="1"/>
  <c r="R355" i="9"/>
  <c r="Q357" i="9" l="1"/>
  <c r="R356" i="9"/>
  <c r="Q358" i="9" l="1"/>
  <c r="R357" i="9"/>
  <c r="Q359" i="9" l="1"/>
  <c r="R358" i="9"/>
  <c r="Q360" i="9" l="1"/>
  <c r="R359" i="9"/>
  <c r="Q361" i="9" l="1"/>
  <c r="Q362" i="9" s="1"/>
  <c r="Q363" i="9" s="1"/>
  <c r="R360" i="9"/>
  <c r="R363" i="9" l="1"/>
  <c r="Q364" i="9"/>
  <c r="R364" i="9" s="1"/>
  <c r="R362" i="9"/>
  <c r="R361" i="9"/>
  <c r="Q365" i="9" l="1"/>
  <c r="Q366" i="9" s="1"/>
  <c r="R366" i="9" l="1"/>
  <c r="P372" i="9"/>
  <c r="R365" i="9"/>
  <c r="Q372" i="9" l="1"/>
  <c r="P389" i="9"/>
  <c r="Q373" i="9" l="1"/>
  <c r="R372" i="9"/>
  <c r="Q374" i="9" l="1"/>
  <c r="R373" i="9"/>
  <c r="Q375" i="9" l="1"/>
  <c r="R374" i="9"/>
  <c r="Q376" i="9" l="1"/>
  <c r="R375" i="9"/>
  <c r="Q377" i="9" l="1"/>
  <c r="R376" i="9"/>
  <c r="Q378" i="9" l="1"/>
  <c r="R377" i="9"/>
  <c r="R378" i="9" l="1"/>
  <c r="Q379" i="9"/>
  <c r="Q380" i="9" l="1"/>
  <c r="R379" i="9"/>
  <c r="Q381" i="9" l="1"/>
  <c r="R380" i="9"/>
  <c r="Q382" i="9" l="1"/>
  <c r="Q383" i="9" s="1"/>
  <c r="R381" i="9"/>
  <c r="R383" i="9" l="1"/>
  <c r="Q384" i="9"/>
  <c r="R382" i="9"/>
  <c r="R384" i="9" l="1"/>
  <c r="Q385" i="9"/>
  <c r="R385" i="9" l="1"/>
  <c r="Q386" i="9"/>
  <c r="R386" i="9" l="1"/>
  <c r="Q387" i="9"/>
  <c r="Q388" i="9" l="1"/>
  <c r="P399" i="9" s="1"/>
  <c r="R387" i="9"/>
  <c r="P420" i="9" l="1"/>
  <c r="Q399" i="9"/>
  <c r="R388" i="9"/>
  <c r="Q400" i="9" l="1"/>
  <c r="R399" i="9"/>
  <c r="Q401" i="9" l="1"/>
  <c r="R400" i="9"/>
  <c r="Q402" i="9" l="1"/>
  <c r="R401" i="9"/>
  <c r="Q403" i="9" l="1"/>
  <c r="R402" i="9"/>
  <c r="Q404" i="9" l="1"/>
  <c r="R403" i="9"/>
  <c r="Q405" i="9" l="1"/>
  <c r="R404" i="9"/>
  <c r="R405" i="9" l="1"/>
  <c r="Q406" i="9"/>
  <c r="R406" i="9" l="1"/>
  <c r="Q407" i="9"/>
  <c r="R407" i="9" l="1"/>
  <c r="Q408" i="9"/>
  <c r="Q409" i="9" l="1"/>
  <c r="R408" i="9"/>
  <c r="Q410" i="9" l="1"/>
  <c r="R409" i="9"/>
  <c r="Q411" i="9" l="1"/>
  <c r="R410" i="9"/>
  <c r="Q412" i="9" l="1"/>
  <c r="R411" i="9"/>
  <c r="Q413" i="9" l="1"/>
  <c r="R412" i="9"/>
  <c r="Q414" i="9" l="1"/>
  <c r="R413" i="9"/>
  <c r="R414" i="9" l="1"/>
  <c r="Q415" i="9"/>
  <c r="Q416" i="9" l="1"/>
  <c r="Q417" i="9" s="1"/>
  <c r="R415" i="9"/>
  <c r="R417" i="9" l="1"/>
  <c r="Q418" i="9"/>
  <c r="R418" i="9" s="1"/>
  <c r="R416" i="9"/>
  <c r="Q419" i="9" l="1"/>
  <c r="P435" i="9" s="1"/>
  <c r="P444" i="9" l="1"/>
  <c r="Q435" i="9"/>
  <c r="R419" i="9"/>
  <c r="Q436" i="9" l="1"/>
  <c r="R435" i="9"/>
  <c r="Q437" i="9" l="1"/>
  <c r="R436" i="9"/>
  <c r="Q438" i="9" l="1"/>
  <c r="R437" i="9"/>
  <c r="Q439" i="9" l="1"/>
  <c r="R438" i="9"/>
  <c r="Q440" i="9" l="1"/>
  <c r="Q441" i="9" s="1"/>
  <c r="Q442" i="9" s="1"/>
  <c r="R439" i="9"/>
  <c r="R442" i="9" l="1"/>
  <c r="Q443" i="9"/>
  <c r="R441" i="9"/>
  <c r="R440" i="9"/>
  <c r="P469" i="9" l="1"/>
  <c r="R443" i="9"/>
  <c r="Q469" i="9" l="1"/>
  <c r="P476" i="9"/>
  <c r="Q470" i="9" l="1"/>
  <c r="R469" i="9"/>
  <c r="Q471" i="9" l="1"/>
  <c r="R470" i="9"/>
  <c r="Q472" i="9" l="1"/>
  <c r="Q473" i="9" s="1"/>
  <c r="R471" i="9"/>
  <c r="R473" i="9" l="1"/>
  <c r="Q474" i="9"/>
  <c r="R474" i="9" s="1"/>
  <c r="R472" i="9"/>
  <c r="Q475" i="9" l="1"/>
  <c r="P501" i="9" s="1"/>
  <c r="P505" i="9" l="1"/>
  <c r="Q501" i="9"/>
  <c r="R475" i="9"/>
  <c r="Q502" i="9" l="1"/>
  <c r="Q503" i="9" s="1"/>
  <c r="R501" i="9"/>
  <c r="R503" i="9" l="1"/>
  <c r="Q504" i="9"/>
  <c r="P545" i="9" s="1"/>
  <c r="R502" i="9"/>
  <c r="R504" i="9" l="1"/>
  <c r="P548" i="9" l="1"/>
  <c r="Q545" i="9"/>
  <c r="Q546" i="9" l="1"/>
  <c r="Q547" i="9" s="1"/>
  <c r="P577" i="9" s="1"/>
  <c r="R545" i="9"/>
  <c r="P597" i="9" l="1"/>
  <c r="Q577" i="9"/>
  <c r="R546" i="9"/>
  <c r="H474" i="9"/>
  <c r="Q578" i="9" l="1"/>
  <c r="R577" i="9"/>
  <c r="R547" i="9"/>
  <c r="Q579" i="9" l="1"/>
  <c r="R578" i="9"/>
  <c r="Q580" i="9" l="1"/>
  <c r="R579" i="9"/>
  <c r="Q581" i="9" l="1"/>
  <c r="R580" i="9"/>
  <c r="Q582" i="9" l="1"/>
  <c r="R581" i="9"/>
  <c r="R582" i="9" l="1"/>
  <c r="Q583" i="9"/>
  <c r="R583" i="9" l="1"/>
  <c r="Q584" i="9"/>
  <c r="R584" i="9" l="1"/>
  <c r="Q585" i="9"/>
  <c r="R585" i="9" l="1"/>
  <c r="Q586" i="9"/>
  <c r="Q587" i="9" l="1"/>
  <c r="R586" i="9"/>
  <c r="Q588" i="9" l="1"/>
  <c r="R587" i="9"/>
  <c r="Q589" i="9" l="1"/>
  <c r="R588" i="9"/>
  <c r="Q590" i="9" l="1"/>
  <c r="R589" i="9"/>
  <c r="Q591" i="9" l="1"/>
  <c r="R590" i="9"/>
  <c r="Q592" i="9" l="1"/>
  <c r="R591" i="9"/>
  <c r="Q593" i="9" l="1"/>
  <c r="R592" i="9"/>
  <c r="Q594" i="9" l="1"/>
  <c r="R594" i="9" s="1"/>
  <c r="R593" i="9"/>
  <c r="Q595" i="9" l="1"/>
  <c r="R595" i="9" l="1"/>
  <c r="Q596" i="9"/>
  <c r="R596" i="9" l="1"/>
  <c r="P602" i="9"/>
  <c r="P622" i="9" l="1"/>
  <c r="Q602" i="9"/>
  <c r="Q603" i="9" l="1"/>
  <c r="R602" i="9"/>
  <c r="R603" i="9" l="1"/>
  <c r="Q604" i="9"/>
  <c r="R604" i="9" l="1"/>
  <c r="Q605" i="9"/>
  <c r="Q606" i="9" l="1"/>
  <c r="R605" i="9"/>
  <c r="Q607" i="9" l="1"/>
  <c r="R606" i="9"/>
  <c r="Q608" i="9" l="1"/>
  <c r="R607" i="9"/>
  <c r="Q609" i="9" l="1"/>
  <c r="R608" i="9"/>
  <c r="Q610" i="9" l="1"/>
  <c r="R609" i="9"/>
  <c r="R610" i="9" l="1"/>
  <c r="Q611" i="9"/>
  <c r="Q612" i="9" l="1"/>
  <c r="Q613" i="9" s="1"/>
  <c r="R611" i="9"/>
  <c r="R613" i="9" l="1"/>
  <c r="Q614" i="9"/>
  <c r="R612" i="9"/>
  <c r="R614" i="9" l="1"/>
  <c r="Q615" i="9"/>
  <c r="R615" i="9" l="1"/>
  <c r="Q616" i="9"/>
  <c r="Q617" i="9" l="1"/>
  <c r="R616" i="9"/>
  <c r="Q618" i="9" l="1"/>
  <c r="R617" i="9"/>
  <c r="Q619" i="9" l="1"/>
  <c r="R618" i="9"/>
  <c r="Q620" i="9" l="1"/>
  <c r="R619" i="9"/>
  <c r="R620" i="9" l="1"/>
  <c r="Q621" i="9"/>
  <c r="P627" i="9" s="1"/>
  <c r="Q627" i="9" l="1"/>
  <c r="P647" i="9"/>
  <c r="R621" i="9"/>
  <c r="Q628" i="9" l="1"/>
  <c r="R627" i="9"/>
  <c r="Q629" i="9" l="1"/>
  <c r="R628" i="9"/>
  <c r="R629" i="9" l="1"/>
  <c r="Q630" i="9"/>
  <c r="Q631" i="9" l="1"/>
  <c r="R630" i="9"/>
  <c r="Q632" i="9" l="1"/>
  <c r="R631" i="9"/>
  <c r="R632" i="9" l="1"/>
  <c r="Q633" i="9"/>
  <c r="R633" i="9" l="1"/>
  <c r="Q634" i="9"/>
  <c r="Q635" i="9" l="1"/>
  <c r="R634" i="9"/>
  <c r="R635" i="9" l="1"/>
  <c r="Q636" i="9"/>
  <c r="Q637" i="9" l="1"/>
  <c r="R636" i="9"/>
  <c r="Q638" i="9" l="1"/>
  <c r="R637" i="9"/>
  <c r="Q639" i="9" l="1"/>
  <c r="Q640" i="9" s="1"/>
  <c r="R638" i="9"/>
  <c r="R640" i="9" l="1"/>
  <c r="Q641" i="9"/>
  <c r="R639" i="9"/>
  <c r="R641" i="9" l="1"/>
  <c r="Q642" i="9"/>
  <c r="Q643" i="9" s="1"/>
  <c r="R643" i="9" l="1"/>
  <c r="Q644" i="9"/>
  <c r="R642" i="9"/>
  <c r="R644" i="9" l="1"/>
  <c r="Q645" i="9"/>
  <c r="R645" i="9" l="1"/>
  <c r="Q646" i="9"/>
  <c r="P655" i="9" s="1"/>
  <c r="P675" i="9" l="1"/>
  <c r="Q655" i="9"/>
  <c r="R646" i="9"/>
  <c r="Q656" i="9" l="1"/>
  <c r="R655" i="9"/>
  <c r="Q657" i="9" l="1"/>
  <c r="R656" i="9"/>
  <c r="Q658" i="9" l="1"/>
  <c r="R657" i="9"/>
  <c r="Q659" i="9" l="1"/>
  <c r="R658" i="9"/>
  <c r="Q660" i="9" l="1"/>
  <c r="R659" i="9"/>
  <c r="Q661" i="9" l="1"/>
  <c r="R660" i="9"/>
  <c r="Q662" i="9" l="1"/>
  <c r="R661" i="9"/>
  <c r="R662" i="9" l="1"/>
  <c r="Q663" i="9"/>
  <c r="R663" i="9" l="1"/>
  <c r="Q664" i="9"/>
  <c r="Q665" i="9" l="1"/>
  <c r="R664" i="9"/>
  <c r="Q666" i="9" l="1"/>
  <c r="R665" i="9"/>
  <c r="Q667" i="9" l="1"/>
  <c r="R666" i="9"/>
  <c r="Q668" i="9" l="1"/>
  <c r="R667" i="9"/>
  <c r="Q669" i="9" l="1"/>
  <c r="R668" i="9"/>
  <c r="Q670" i="9" l="1"/>
  <c r="Q671" i="9" s="1"/>
  <c r="R669" i="9"/>
  <c r="R671" i="9" l="1"/>
  <c r="Q672" i="9"/>
  <c r="R670" i="9"/>
  <c r="R672" i="9" l="1"/>
  <c r="Q673" i="9"/>
  <c r="R673" i="9" s="1"/>
  <c r="Q674" i="9" l="1"/>
  <c r="R674" i="9" l="1"/>
  <c r="P680" i="9"/>
  <c r="P691" i="9" l="1"/>
  <c r="Q680" i="9"/>
  <c r="Q681" i="9" l="1"/>
  <c r="R680" i="9"/>
  <c r="Q682" i="9" l="1"/>
  <c r="R681" i="9"/>
  <c r="Q683" i="9" l="1"/>
  <c r="R682" i="9"/>
  <c r="Q684" i="9" l="1"/>
  <c r="R683" i="9"/>
  <c r="Q685" i="9" l="1"/>
  <c r="R684" i="9"/>
  <c r="Q686" i="9" l="1"/>
  <c r="R685" i="9"/>
  <c r="Q687" i="9" l="1"/>
  <c r="R686" i="9"/>
  <c r="Q688" i="9" l="1"/>
  <c r="Q689" i="9" s="1"/>
  <c r="R687" i="9"/>
  <c r="R689" i="9" l="1"/>
  <c r="Q690" i="9"/>
  <c r="R690" i="9" s="1"/>
  <c r="R688" i="9"/>
  <c r="H91" i="110"/>
  <c r="H92" i="110" s="1"/>
  <c r="D113" i="106" l="1"/>
  <c r="H121" i="106" s="1"/>
  <c r="H122" i="106" s="1"/>
</calcChain>
</file>

<file path=xl/sharedStrings.xml><?xml version="1.0" encoding="utf-8"?>
<sst xmlns="http://schemas.openxmlformats.org/spreadsheetml/2006/main" count="4360" uniqueCount="604">
  <si>
    <t>TOTAL</t>
  </si>
  <si>
    <t>NAME</t>
  </si>
  <si>
    <t>BASIC</t>
  </si>
  <si>
    <t>O/TIME</t>
  </si>
  <si>
    <t>PENSION</t>
  </si>
  <si>
    <t>B - P</t>
  </si>
  <si>
    <t>UIF</t>
  </si>
  <si>
    <t>TAX</t>
  </si>
  <si>
    <t>OTHER</t>
  </si>
  <si>
    <t>MEDICAL</t>
  </si>
  <si>
    <t>PAYOUT</t>
  </si>
  <si>
    <t>P004</t>
  </si>
  <si>
    <t>JOSEPH</t>
  </si>
  <si>
    <t>P007</t>
  </si>
  <si>
    <t>MADALA</t>
  </si>
  <si>
    <t>DORA</t>
  </si>
  <si>
    <t>HENRY</t>
  </si>
  <si>
    <t>Total:</t>
  </si>
  <si>
    <t>IRP5</t>
  </si>
  <si>
    <t>W/ENDING</t>
  </si>
  <si>
    <t>PAYE 1</t>
  </si>
  <si>
    <t>PAYE 4</t>
  </si>
  <si>
    <t>SDL 2</t>
  </si>
  <si>
    <t>SDL 5</t>
  </si>
  <si>
    <t>UIF 3</t>
  </si>
  <si>
    <t>UIF  6</t>
  </si>
  <si>
    <t>P013</t>
  </si>
  <si>
    <t>pd</t>
  </si>
  <si>
    <t>NICOLE GELDENHUYS</t>
  </si>
  <si>
    <t>Deductions:</t>
  </si>
  <si>
    <t>Medical Aid:</t>
  </si>
  <si>
    <t>Car &amp; Insurance:</t>
  </si>
  <si>
    <t>Cellphone:</t>
  </si>
  <si>
    <t>Loan:</t>
  </si>
  <si>
    <t>P012</t>
  </si>
  <si>
    <t>Basic Salary:</t>
  </si>
  <si>
    <t>Virgin Money:</t>
  </si>
  <si>
    <t>Std Bank:</t>
  </si>
  <si>
    <t>-</t>
  </si>
  <si>
    <t>Truworths:</t>
  </si>
  <si>
    <t>Payments:</t>
  </si>
  <si>
    <t>Itemised Billing:</t>
  </si>
  <si>
    <t>SMS Bundle:</t>
  </si>
  <si>
    <t>CLIP:</t>
  </si>
  <si>
    <t>Autosim:</t>
  </si>
  <si>
    <t>Other:</t>
  </si>
  <si>
    <t>Woolworths:</t>
  </si>
  <si>
    <t>Petty Cash:</t>
  </si>
  <si>
    <t>HENRY RENT</t>
  </si>
  <si>
    <t>Usage:</t>
  </si>
  <si>
    <t>Less Company:</t>
  </si>
  <si>
    <t>Dad STD Bank:</t>
  </si>
  <si>
    <t>ANDREW</t>
  </si>
  <si>
    <t>P019</t>
  </si>
  <si>
    <t>ERIC</t>
  </si>
  <si>
    <t>THEODORA N. NTULO</t>
  </si>
  <si>
    <t>D500</t>
  </si>
  <si>
    <t>Nikki (STD Bank):</t>
  </si>
  <si>
    <t>D501</t>
  </si>
  <si>
    <t>D200</t>
  </si>
  <si>
    <t>Danny (Car Allowance):</t>
  </si>
  <si>
    <t>Danny (Corolla Insurance):</t>
  </si>
  <si>
    <t>D300</t>
  </si>
  <si>
    <t>Leon (Hilux Insurance):</t>
  </si>
  <si>
    <t>Leon (Tata Insurance):</t>
  </si>
  <si>
    <t>D400</t>
  </si>
  <si>
    <t>D401</t>
  </si>
  <si>
    <t>Petro G. (Derick Salary):</t>
  </si>
  <si>
    <t>A001</t>
  </si>
  <si>
    <t>D.D. Geldenhuys</t>
  </si>
  <si>
    <t>B100</t>
  </si>
  <si>
    <t>B200</t>
  </si>
  <si>
    <t>B300</t>
  </si>
  <si>
    <t>Home Loan - Danny</t>
  </si>
  <si>
    <t>Home Loan - Allen</t>
  </si>
  <si>
    <t>Home Loan - Derick</t>
  </si>
  <si>
    <t>MADALA MNISI</t>
  </si>
  <si>
    <t>ANDREW BALLARD</t>
  </si>
  <si>
    <t>JOSEPH MALALE</t>
  </si>
  <si>
    <t>BALANCE</t>
  </si>
  <si>
    <t>HENRY STEYNBERG</t>
  </si>
  <si>
    <t>A002</t>
  </si>
  <si>
    <t>Dan Salary</t>
  </si>
  <si>
    <t>Leon Salary</t>
  </si>
  <si>
    <t>Virgin Money</t>
  </si>
  <si>
    <t>(Finance Charge)</t>
  </si>
  <si>
    <t>(Clicks)</t>
  </si>
  <si>
    <t>PREMAC:</t>
  </si>
  <si>
    <t>BALANCE:</t>
  </si>
  <si>
    <t>AVAILABLE</t>
  </si>
  <si>
    <t>Standard Bank</t>
  </si>
  <si>
    <t>B/D:</t>
  </si>
  <si>
    <t>Foschini:</t>
  </si>
  <si>
    <t>(Pick 'n Pay)</t>
  </si>
  <si>
    <t>CDEWTAR01</t>
  </si>
  <si>
    <t>ANDREW RENT</t>
  </si>
  <si>
    <t>Top Up, Cellphone:</t>
  </si>
  <si>
    <t>Vodacom:</t>
  </si>
  <si>
    <t>(Vodacom):</t>
  </si>
  <si>
    <t>Debit Order Fee:</t>
  </si>
  <si>
    <t>(PREMAC)</t>
  </si>
  <si>
    <t>Leon (KZTE Insurance):</t>
  </si>
  <si>
    <t>D300, D0LB, D302</t>
  </si>
  <si>
    <t>(Transfer)</t>
  </si>
  <si>
    <t>P022</t>
  </si>
  <si>
    <t>NETT PAY:</t>
  </si>
  <si>
    <t>(Transfer):</t>
  </si>
  <si>
    <t>Petty Cash (carried):</t>
  </si>
  <si>
    <t>(Petty Cash):</t>
  </si>
  <si>
    <t>(Delmas Spar)</t>
  </si>
  <si>
    <t>(Tinus):</t>
  </si>
  <si>
    <t>CELLPHONE - 17Jan11</t>
  </si>
  <si>
    <t>FEBRUARY 2011</t>
  </si>
  <si>
    <t>(Tinus Klaserie):</t>
  </si>
  <si>
    <t>(Fee):</t>
  </si>
  <si>
    <t>(Norman's Hardware - B2C)</t>
  </si>
  <si>
    <t>(Solly's Textiles - B2C)</t>
  </si>
  <si>
    <t>(Panarotti's Pizza)</t>
  </si>
  <si>
    <t>(Pick 'n Pay):</t>
  </si>
  <si>
    <t>(Liquor Valu):</t>
  </si>
  <si>
    <t>(Imaging B2C):</t>
  </si>
  <si>
    <t>(Ackermans):</t>
  </si>
  <si>
    <t>(Cum):</t>
  </si>
  <si>
    <t>(Ludwig's ):</t>
  </si>
  <si>
    <t>(Delmas Apteek):</t>
  </si>
  <si>
    <t>(B2C):</t>
  </si>
  <si>
    <t>(Bundle Fee):</t>
  </si>
  <si>
    <t>(CJ Williams):</t>
  </si>
  <si>
    <t>(PrinterTECH - B2C)</t>
  </si>
  <si>
    <t>(ATM Cash Withdrawal)</t>
  </si>
  <si>
    <t>(pick 'n Pay - PETTY CASH)</t>
  </si>
  <si>
    <t>MARCH 2011</t>
  </si>
  <si>
    <t>(Ster Kinekor)</t>
  </si>
  <si>
    <t>(Steers):</t>
  </si>
  <si>
    <t>(Born 2 Care):</t>
  </si>
  <si>
    <t>(Mom Cash):</t>
  </si>
  <si>
    <t>(Clicks):</t>
  </si>
  <si>
    <t>(Darren - HOLIDAY):</t>
  </si>
  <si>
    <t>(Cash withdrawal)</t>
  </si>
  <si>
    <t>(Liquor Valu)</t>
  </si>
  <si>
    <t>Transfer:</t>
  </si>
  <si>
    <t>(Super CD)</t>
  </si>
  <si>
    <t>P015</t>
  </si>
  <si>
    <t>HENRY SCHOOL PAYMENT</t>
  </si>
  <si>
    <t>(Bronwyn - Holiday):</t>
  </si>
  <si>
    <t>Balance:</t>
  </si>
  <si>
    <t>Derick Interest:</t>
  </si>
  <si>
    <t>D.D. Geldenhuys (Interest)</t>
  </si>
  <si>
    <t>Ouma Monies (Nikki to draw)</t>
  </si>
  <si>
    <t>APRIL 2011</t>
  </si>
  <si>
    <t>Petty Cash - Carried</t>
  </si>
  <si>
    <t>Tinus:</t>
  </si>
  <si>
    <t>Cash Withdrawal:</t>
  </si>
  <si>
    <t>(Ocean Basket)</t>
  </si>
  <si>
    <t>Withdrawal Fee:</t>
  </si>
  <si>
    <t>(Outdoor Warehouse)</t>
  </si>
  <si>
    <t>P016</t>
  </si>
  <si>
    <t>(Pick 'n Pay - PETTY CASH)</t>
  </si>
  <si>
    <t>(PETTY CASH)</t>
  </si>
  <si>
    <t>Deducted:</t>
  </si>
  <si>
    <t>Difference c/f:</t>
  </si>
  <si>
    <t>MAY 2011</t>
  </si>
  <si>
    <t>CELLPHONE - 17May11</t>
  </si>
  <si>
    <t>Cash + Clicks:</t>
  </si>
  <si>
    <t>(Delmas Apteek)</t>
  </si>
  <si>
    <t>(Cash Withdrawal)</t>
  </si>
  <si>
    <t>CELLPHONE - 17April11</t>
  </si>
  <si>
    <t>Pay Rent:</t>
  </si>
  <si>
    <t>Dandy Dogs:</t>
  </si>
  <si>
    <t>(Perkals Gifts)</t>
  </si>
  <si>
    <t>Dad:</t>
  </si>
  <si>
    <t>Afriforum:</t>
  </si>
  <si>
    <t>Nikki (Virgin Money CC):</t>
  </si>
  <si>
    <t>JUNE 2011</t>
  </si>
  <si>
    <t>Cash:</t>
  </si>
  <si>
    <t>Fee:</t>
  </si>
  <si>
    <t>Clicks:</t>
  </si>
  <si>
    <t>Bronwyn:</t>
  </si>
  <si>
    <t>(PEP Stores)</t>
  </si>
  <si>
    <t>(Kalahari.net)</t>
  </si>
  <si>
    <t>(Pick n Pay)</t>
  </si>
  <si>
    <t>Mom (ouma gift):</t>
  </si>
  <si>
    <t>(Norman's Hardware)</t>
  </si>
  <si>
    <t>Delmas Spar:</t>
  </si>
  <si>
    <t>(Afgri Delmas)</t>
  </si>
  <si>
    <t>SSW:</t>
  </si>
  <si>
    <t>Cash withdrawal:</t>
  </si>
  <si>
    <t>JULY 2011</t>
  </si>
  <si>
    <t>Garage Card:</t>
  </si>
  <si>
    <t>MR Cremer:</t>
  </si>
  <si>
    <t>(Spur)</t>
  </si>
  <si>
    <t>(Petty Cash)</t>
  </si>
  <si>
    <t>(Cash + Fee)</t>
  </si>
  <si>
    <t>(Van Schaiks)</t>
  </si>
  <si>
    <t>(Mom groceries)</t>
  </si>
  <si>
    <t>AUGUST 2011</t>
  </si>
  <si>
    <t>(transfer)</t>
  </si>
  <si>
    <t>(finance charge)</t>
  </si>
  <si>
    <t>(Crazy Store)</t>
  </si>
  <si>
    <t>(KFC)</t>
  </si>
  <si>
    <t>Born 2 Care:</t>
  </si>
  <si>
    <t>SEPTEMBER 2011</t>
  </si>
  <si>
    <t>CELLPHONE - 17August11</t>
  </si>
  <si>
    <t>CELLPHONE - 17Sept11</t>
  </si>
  <si>
    <t>(computicket)</t>
  </si>
  <si>
    <t>Chantil:</t>
  </si>
  <si>
    <t>(UNISA)</t>
  </si>
  <si>
    <t>BUKS</t>
  </si>
  <si>
    <t>P021</t>
  </si>
  <si>
    <t>OCTOBER 2011</t>
  </si>
  <si>
    <t>CELLPHONE - 17Oct11</t>
  </si>
  <si>
    <t>(Sundra)</t>
  </si>
  <si>
    <t>(Eyes)</t>
  </si>
  <si>
    <t>(Pick n Pay - PETTY CASH)</t>
  </si>
  <si>
    <t>(Cash - PETTY)</t>
  </si>
  <si>
    <t>BAREND FULTON</t>
  </si>
  <si>
    <t>(Spar)</t>
  </si>
  <si>
    <t>(Nativa)</t>
  </si>
  <si>
    <t>(Clicks - Mom gift)</t>
  </si>
  <si>
    <t>NOVEMBER 2011</t>
  </si>
  <si>
    <t>(Mr Price)</t>
  </si>
  <si>
    <t>(Melrose Arch)</t>
  </si>
  <si>
    <t>Bank Fee:</t>
  </si>
  <si>
    <t>Dream body:</t>
  </si>
  <si>
    <t>(Delmas Veearts)</t>
  </si>
  <si>
    <t>(Born 2 Care)</t>
  </si>
  <si>
    <t>(Woolworths)</t>
  </si>
  <si>
    <t>(Delmas Post office)</t>
  </si>
  <si>
    <t>Derick Salary</t>
  </si>
  <si>
    <t>DECEMBER 2011</t>
  </si>
  <si>
    <t>JANUARY 2012</t>
  </si>
  <si>
    <t>01</t>
  </si>
  <si>
    <t>03</t>
  </si>
  <si>
    <t>SPCA:</t>
  </si>
  <si>
    <t>(Sounds Extreme)</t>
  </si>
  <si>
    <t>(Kalahari.com)</t>
  </si>
  <si>
    <t>(Bonus)</t>
  </si>
  <si>
    <t>Nedbank:</t>
  </si>
  <si>
    <t>Admin Fee:</t>
  </si>
  <si>
    <t>State. Fee:</t>
  </si>
  <si>
    <t>(Delmas Spar - PETTY CASH)</t>
  </si>
  <si>
    <t>Transfer Fee:</t>
  </si>
  <si>
    <t>(Tekkie Town)</t>
  </si>
  <si>
    <t>(CUM Books)</t>
  </si>
  <si>
    <t>(Game - DVDs)</t>
  </si>
  <si>
    <t>(Pick n Pay PTA)</t>
  </si>
  <si>
    <t>(Qphoto - PTA)</t>
  </si>
  <si>
    <t>(Oldfarm Tops)</t>
  </si>
  <si>
    <t>(Musica - PTA)</t>
  </si>
  <si>
    <t>Petrol:</t>
  </si>
  <si>
    <t>Cellphone Reimburse.</t>
  </si>
  <si>
    <t>(Dion Wired - Dad CASH -R500)</t>
  </si>
  <si>
    <t>(Edgars)</t>
  </si>
  <si>
    <t>(CTM - PREMAC)</t>
  </si>
  <si>
    <t>(Triumph)</t>
  </si>
  <si>
    <t>(Eds Cocktails)</t>
  </si>
  <si>
    <t>(Makro)</t>
  </si>
  <si>
    <t>(Old Farm Tops)</t>
  </si>
  <si>
    <t>(CTM - Reimbursement)</t>
  </si>
  <si>
    <t>Darren:</t>
  </si>
  <si>
    <t>(Withdrawal Fee)</t>
  </si>
  <si>
    <t>-129.99</t>
  </si>
  <si>
    <t>Prorata Dial-Direct</t>
  </si>
  <si>
    <t>DAY</t>
  </si>
  <si>
    <t>30</t>
  </si>
  <si>
    <t>07</t>
  </si>
  <si>
    <t>Dial-Direct:</t>
  </si>
  <si>
    <t>Petty Cash - c/o</t>
  </si>
  <si>
    <t>Balance b/d:</t>
  </si>
  <si>
    <t>MTN:</t>
  </si>
  <si>
    <t>(Peter James Motors)</t>
  </si>
  <si>
    <t>(Dad cash)</t>
  </si>
  <si>
    <t>F001</t>
  </si>
  <si>
    <t>F002</t>
  </si>
  <si>
    <t>Trudie Geldenhuys</t>
  </si>
  <si>
    <t>Patricia De Kok</t>
  </si>
  <si>
    <t>IELTS Test:</t>
  </si>
  <si>
    <t>Kalahari.com:</t>
  </si>
  <si>
    <t>(CTFM Eastgate)</t>
  </si>
  <si>
    <t>FEBRUARY 2012</t>
  </si>
  <si>
    <t>(Dino Direct)</t>
  </si>
  <si>
    <t>(Cash withdrawal + Fee)</t>
  </si>
  <si>
    <t>Peter James Motors:</t>
  </si>
  <si>
    <t>C Olivier:</t>
  </si>
  <si>
    <t>Credit = R15,550.00</t>
  </si>
  <si>
    <t>(Owed)</t>
  </si>
  <si>
    <t>(Biltong Boulevard)</t>
  </si>
  <si>
    <t>(Unisa)</t>
  </si>
  <si>
    <t>MARCH 2012</t>
  </si>
  <si>
    <t>Transfer</t>
  </si>
  <si>
    <t>28</t>
  </si>
  <si>
    <t>29</t>
  </si>
  <si>
    <t>Week Ending:           6-March-12</t>
  </si>
  <si>
    <t>Week Ending:           13-March-12</t>
  </si>
  <si>
    <t>Week Ending:           20-March-12</t>
  </si>
  <si>
    <t>Week Ending:           27-March-12</t>
  </si>
  <si>
    <t>(Premac)</t>
  </si>
  <si>
    <t>Delmas Batteries</t>
  </si>
  <si>
    <t>02</t>
  </si>
  <si>
    <t>Finance Charge</t>
  </si>
  <si>
    <t>Crafters Market</t>
  </si>
  <si>
    <t>Van Schaiks</t>
  </si>
  <si>
    <t>Plasticland:</t>
  </si>
  <si>
    <t>09</t>
  </si>
  <si>
    <t>Clicks</t>
  </si>
  <si>
    <t>Liquor Valu</t>
  </si>
  <si>
    <t>12</t>
  </si>
  <si>
    <t>SARS:</t>
  </si>
  <si>
    <t>Premac:</t>
  </si>
  <si>
    <t>13</t>
  </si>
  <si>
    <t>Melrose Place Arcadia</t>
  </si>
  <si>
    <t>Buks difference from last week</t>
  </si>
  <si>
    <t>Post Office</t>
  </si>
  <si>
    <t>AGRIGEL Sars</t>
  </si>
  <si>
    <t>Shoprite Delmas</t>
  </si>
  <si>
    <t>Cash withdrawal</t>
  </si>
  <si>
    <t>Agrigel/InfantMed:</t>
  </si>
  <si>
    <t>Andrew</t>
  </si>
  <si>
    <t>pd on 20/03/2012</t>
  </si>
  <si>
    <t>Pick n Pay</t>
  </si>
  <si>
    <t>APRIL 2012</t>
  </si>
  <si>
    <t>AGRIGEL</t>
  </si>
  <si>
    <t>(Agrigel Sars balance)</t>
  </si>
  <si>
    <t>Cash withdrawal + fee</t>
  </si>
  <si>
    <t>One Stop Stationery - INFANTMED</t>
  </si>
  <si>
    <t>Sasol Delmas - INFANTMED</t>
  </si>
  <si>
    <t>Fee - Unpaid Item:</t>
  </si>
  <si>
    <t>16</t>
  </si>
  <si>
    <t>Kana 106:</t>
  </si>
  <si>
    <t>Dippenaar &amp; Reinecke</t>
  </si>
  <si>
    <t>Week Ending:           3-April-12</t>
  </si>
  <si>
    <t>Week Ending:           10-April-12</t>
  </si>
  <si>
    <t>Week Ending:           17-April-12</t>
  </si>
  <si>
    <t>Week Ending:           24-April-12</t>
  </si>
  <si>
    <t>Petty Cash</t>
  </si>
  <si>
    <t>CTFM</t>
  </si>
  <si>
    <t>Delmas Spar</t>
  </si>
  <si>
    <t>Gordon Harris Photo</t>
  </si>
  <si>
    <t>11</t>
  </si>
  <si>
    <t>ERIC NTULO</t>
  </si>
  <si>
    <t>24</t>
  </si>
  <si>
    <t>Dino Direct</t>
  </si>
  <si>
    <t>MAY 2012</t>
  </si>
  <si>
    <t>26</t>
  </si>
  <si>
    <t>Van Schaiks:</t>
  </si>
  <si>
    <t>Scooters Pizza</t>
  </si>
  <si>
    <t>Cash Withdrawal + Fee</t>
  </si>
  <si>
    <t>Week Ending:           1-May-12</t>
  </si>
  <si>
    <t>Week Ending:           8-May-12</t>
  </si>
  <si>
    <t>Week Ending:           15-May-12</t>
  </si>
  <si>
    <t>Week Ending:           22-May-12</t>
  </si>
  <si>
    <t>Week Ending:           29-May-12</t>
  </si>
  <si>
    <t>PREMAC</t>
  </si>
  <si>
    <t>Delglas</t>
  </si>
  <si>
    <t>Sybaritic:</t>
  </si>
  <si>
    <t>Cash withdrawal + Fee</t>
  </si>
  <si>
    <t>ATM</t>
  </si>
  <si>
    <t>PLACE</t>
  </si>
  <si>
    <t>DETAILS</t>
  </si>
  <si>
    <t>FM Wireless Transmitters</t>
  </si>
  <si>
    <t>Curtain Runner and mousetrap</t>
  </si>
  <si>
    <t>Mirror for bedroom</t>
  </si>
  <si>
    <t>Game:</t>
  </si>
  <si>
    <t>Sheet Street</t>
  </si>
  <si>
    <t>Reimbursement</t>
  </si>
  <si>
    <t>Blinds</t>
  </si>
  <si>
    <t>Crazy Store</t>
  </si>
  <si>
    <t>Curtain hooks and ironing board cover</t>
  </si>
  <si>
    <t>Wine</t>
  </si>
  <si>
    <t>Norman's:</t>
  </si>
  <si>
    <t>TV Tronics</t>
  </si>
  <si>
    <t>TV Antenna Cables</t>
  </si>
  <si>
    <t>Pick n Pay:</t>
  </si>
  <si>
    <t>Discount Liquors Sundra</t>
  </si>
  <si>
    <t>BP Delwes</t>
  </si>
  <si>
    <t>Ackermans</t>
  </si>
  <si>
    <t>Boots</t>
  </si>
  <si>
    <t>Conjoh</t>
  </si>
  <si>
    <t>Rice, Rusks and snacks</t>
  </si>
  <si>
    <t>Kodak:</t>
  </si>
  <si>
    <t>21</t>
  </si>
  <si>
    <t>SAPO:</t>
  </si>
  <si>
    <t xml:space="preserve"> + Medical + Rent</t>
  </si>
  <si>
    <t xml:space="preserve"> + Rent</t>
  </si>
  <si>
    <t>CS Olivier:</t>
  </si>
  <si>
    <t>Liquor Valu:</t>
  </si>
  <si>
    <t>JUNE 2012</t>
  </si>
  <si>
    <t>Deposit</t>
  </si>
  <si>
    <t>May + admin</t>
  </si>
  <si>
    <t>June + key dep</t>
  </si>
  <si>
    <r>
      <t xml:space="preserve">Kana 106 </t>
    </r>
    <r>
      <rPr>
        <sz val="10"/>
        <color rgb="FFFF0000"/>
        <rFont val="Arial"/>
        <family val="2"/>
      </rPr>
      <t>July</t>
    </r>
    <r>
      <rPr>
        <sz val="10"/>
        <rFont val="Arial"/>
        <family val="2"/>
      </rPr>
      <t>:</t>
    </r>
  </si>
  <si>
    <t>Crazy Store:</t>
  </si>
  <si>
    <t>Balance Enquiry Fee</t>
  </si>
  <si>
    <t>Jolandi:</t>
  </si>
  <si>
    <t>Sheet Street:</t>
  </si>
  <si>
    <t>Week Ending:           5-June-12</t>
  </si>
  <si>
    <t>Week Ending:           12-June-12</t>
  </si>
  <si>
    <t>Groceries</t>
  </si>
  <si>
    <t>Cream</t>
  </si>
  <si>
    <t>CUM Books</t>
  </si>
  <si>
    <t>Cash Received</t>
  </si>
  <si>
    <t>Colddrinks</t>
  </si>
  <si>
    <t>Filing station</t>
  </si>
  <si>
    <t>Ouma party balance:</t>
  </si>
  <si>
    <t>Western Acc.:</t>
  </si>
  <si>
    <t>Spar:</t>
  </si>
  <si>
    <t>Sasol Delmas:</t>
  </si>
  <si>
    <t>Dr Pienaar:</t>
  </si>
  <si>
    <t>Cartridge Hyper:</t>
  </si>
  <si>
    <t>Tax credit differences:</t>
  </si>
  <si>
    <t>Week</t>
  </si>
  <si>
    <t>EXCEL</t>
  </si>
  <si>
    <t>QUICKBOOKS</t>
  </si>
  <si>
    <t>DIFFERENCE</t>
  </si>
  <si>
    <t>04</t>
  </si>
  <si>
    <t>05</t>
  </si>
  <si>
    <t>06</t>
  </si>
  <si>
    <t>08</t>
  </si>
  <si>
    <t>10</t>
  </si>
  <si>
    <t>YEAR WEEK</t>
  </si>
  <si>
    <t>PAY WEEK</t>
  </si>
  <si>
    <t>BANK CODE</t>
  </si>
  <si>
    <t>22/06/2012</t>
  </si>
  <si>
    <t>PAY DATE</t>
  </si>
  <si>
    <t>DORA NTULO</t>
  </si>
  <si>
    <t>29/06/2012</t>
  </si>
  <si>
    <t>HENRY SCHOOL 1</t>
  </si>
  <si>
    <t>HENRY SCHOOL 2</t>
  </si>
  <si>
    <t>Add Medical Tax Credit Difference:</t>
  </si>
  <si>
    <t>March</t>
  </si>
  <si>
    <t>April</t>
  </si>
  <si>
    <t>May</t>
  </si>
  <si>
    <t>Henry Tax Difference:</t>
  </si>
  <si>
    <t>Nikki Tax Difference:</t>
  </si>
  <si>
    <t>JULY 2012</t>
  </si>
  <si>
    <t>Nett Pay from Payroll:</t>
  </si>
  <si>
    <r>
      <t xml:space="preserve">Kana 106 </t>
    </r>
    <r>
      <rPr>
        <sz val="10"/>
        <color rgb="FFFF0000"/>
        <rFont val="Arial"/>
        <family val="2"/>
      </rPr>
      <t>Aug</t>
    </r>
    <r>
      <rPr>
        <sz val="10"/>
        <rFont val="Arial"/>
        <family val="2"/>
      </rPr>
      <t>:</t>
    </r>
  </si>
  <si>
    <t>Tax Difference:</t>
  </si>
  <si>
    <t>Pick 'n Pay:</t>
  </si>
  <si>
    <t>Pizza's, cooldrink fro JM Visit</t>
  </si>
  <si>
    <t>Delmas Onderdele:</t>
  </si>
  <si>
    <t>Mr Video:</t>
  </si>
  <si>
    <t>è</t>
  </si>
  <si>
    <t>06/07/2012</t>
  </si>
  <si>
    <t>13/07/2012</t>
  </si>
  <si>
    <t>20/07/2012</t>
  </si>
  <si>
    <t>27/07/2012</t>
  </si>
  <si>
    <t>P014</t>
  </si>
  <si>
    <t>FRANCOIS VD BANK</t>
  </si>
  <si>
    <t>Cooldrinks</t>
  </si>
  <si>
    <t>20</t>
  </si>
  <si>
    <t>Dora:</t>
  </si>
  <si>
    <t>Fine:</t>
  </si>
  <si>
    <t>31</t>
  </si>
  <si>
    <t>Beer</t>
  </si>
  <si>
    <t>AUGUST 2012</t>
  </si>
  <si>
    <r>
      <t xml:space="preserve">Kana 106 </t>
    </r>
    <r>
      <rPr>
        <sz val="10"/>
        <color rgb="FFFF0000"/>
        <rFont val="Arial"/>
        <family val="2"/>
      </rPr>
      <t>Sep</t>
    </r>
    <r>
      <rPr>
        <sz val="10"/>
        <rFont val="Arial"/>
        <family val="2"/>
      </rPr>
      <t>:</t>
    </r>
  </si>
  <si>
    <t>D-D Life:</t>
  </si>
  <si>
    <t>Vodacom ERM:</t>
  </si>
  <si>
    <t>CNA Woodlands:</t>
  </si>
  <si>
    <t>Finance charge</t>
  </si>
  <si>
    <t>Paid to Nikki monthly @ R250</t>
  </si>
  <si>
    <t>Nikki (Dora loan till May):</t>
  </si>
  <si>
    <t>Crazy store:</t>
  </si>
  <si>
    <t>Pep:</t>
  </si>
  <si>
    <t>One Stop:</t>
  </si>
  <si>
    <t>Bronberg Apteek:</t>
  </si>
  <si>
    <t>Coffee Café:</t>
  </si>
  <si>
    <t>15</t>
  </si>
  <si>
    <t>Delmas Sasol:</t>
  </si>
  <si>
    <t>KFC:</t>
  </si>
  <si>
    <t>P008</t>
  </si>
  <si>
    <t>DERRICK VENTER</t>
  </si>
  <si>
    <t>Melrose Place:</t>
  </si>
  <si>
    <t>McDonalds:</t>
  </si>
  <si>
    <t>PC Difference:</t>
  </si>
  <si>
    <t>SEPTEMBER 2012</t>
  </si>
  <si>
    <t>P001</t>
  </si>
  <si>
    <t>JAMES SMITH</t>
  </si>
  <si>
    <t>P009</t>
  </si>
  <si>
    <t>Owed</t>
  </si>
  <si>
    <t>SHAUN NTULO</t>
  </si>
  <si>
    <t>Spur:</t>
  </si>
  <si>
    <t>P.C. Difference:</t>
  </si>
  <si>
    <t>OCTOBER 2012</t>
  </si>
  <si>
    <t>Mr Price:</t>
  </si>
  <si>
    <t>John Dory's:</t>
  </si>
  <si>
    <t>Delmas Apteek</t>
  </si>
  <si>
    <r>
      <t xml:space="preserve">Kana 106 </t>
    </r>
    <r>
      <rPr>
        <sz val="10"/>
        <color rgb="FFFF0000"/>
        <rFont val="Arial"/>
        <family val="2"/>
      </rPr>
      <t>Nov</t>
    </r>
    <r>
      <rPr>
        <sz val="10"/>
        <rFont val="Arial"/>
        <family val="2"/>
      </rPr>
      <t>:</t>
    </r>
  </si>
  <si>
    <r>
      <t xml:space="preserve">Kana 106 </t>
    </r>
    <r>
      <rPr>
        <sz val="10"/>
        <color rgb="FFFF0000"/>
        <rFont val="Arial"/>
        <family val="2"/>
      </rPr>
      <t>Oct</t>
    </r>
    <r>
      <rPr>
        <sz val="10"/>
        <rFont val="Arial"/>
        <family val="2"/>
      </rPr>
      <t>:</t>
    </r>
  </si>
  <si>
    <t xml:space="preserve"> </t>
  </si>
  <si>
    <t>Bid or Buy</t>
  </si>
  <si>
    <t>UNISA Refund</t>
  </si>
  <si>
    <t>Modern Talking:</t>
  </si>
  <si>
    <t>Hair dye, lense solution</t>
  </si>
  <si>
    <t>Cash</t>
  </si>
  <si>
    <t>Bid or Buy:</t>
  </si>
  <si>
    <t>Cash transfer</t>
  </si>
  <si>
    <t>Celina</t>
  </si>
  <si>
    <t>Tinus and Mom birthday prezzies</t>
  </si>
  <si>
    <t>Medicine</t>
  </si>
  <si>
    <t>Snacks for fishing + bday</t>
  </si>
  <si>
    <t>Steers</t>
  </si>
  <si>
    <t>NOVEMBER 2012</t>
  </si>
  <si>
    <r>
      <t xml:space="preserve">Kana 109 </t>
    </r>
    <r>
      <rPr>
        <sz val="10"/>
        <color rgb="FFFF0000"/>
        <rFont val="Arial"/>
        <family val="2"/>
      </rPr>
      <t>Dec</t>
    </r>
    <r>
      <rPr>
        <sz val="10"/>
        <rFont val="Arial"/>
        <family val="2"/>
      </rPr>
      <t>:</t>
    </r>
  </si>
  <si>
    <r>
      <t xml:space="preserve">Kana 109 </t>
    </r>
    <r>
      <rPr>
        <sz val="10"/>
        <color rgb="FFFF0000"/>
        <rFont val="Arial"/>
        <family val="2"/>
      </rPr>
      <t>Jan</t>
    </r>
    <r>
      <rPr>
        <sz val="10"/>
        <rFont val="Arial"/>
        <family val="2"/>
      </rPr>
      <t>:</t>
    </r>
  </si>
  <si>
    <t>Mags and toiletries</t>
  </si>
  <si>
    <t>Refund</t>
  </si>
  <si>
    <t>Petty Cash Withdrawal</t>
  </si>
  <si>
    <t>ey</t>
  </si>
  <si>
    <t>Die Delmas Kersmark</t>
  </si>
  <si>
    <t>Designer Beds</t>
  </si>
  <si>
    <t>Matrix WH</t>
  </si>
  <si>
    <t>UPS - PETTY CASH</t>
  </si>
  <si>
    <t>PayPal</t>
  </si>
  <si>
    <t>Verification</t>
  </si>
  <si>
    <t>Hairdye, body lotion, mouthwash</t>
  </si>
  <si>
    <t>Petrol</t>
  </si>
  <si>
    <t>DECEMBER 2012</t>
  </si>
  <si>
    <t>CPA Skills Assessment</t>
  </si>
  <si>
    <t>ANNUAL SHUTDOWN STARTS</t>
  </si>
  <si>
    <t>JANUARY 2013</t>
  </si>
  <si>
    <t>ANNUAL SHUTDOWN ENDS</t>
  </si>
  <si>
    <t>SAPO</t>
  </si>
  <si>
    <t>Petty cash</t>
  </si>
  <si>
    <t>Minute Man Press</t>
  </si>
  <si>
    <t>Bonus</t>
  </si>
  <si>
    <t>Mr Price Home</t>
  </si>
  <si>
    <t>Derrick Cash loan to Leon</t>
  </si>
  <si>
    <t>Bonus:</t>
  </si>
  <si>
    <t>BONUS AND LEAVE INCLUDED</t>
  </si>
  <si>
    <t>Buks Garnishing Order</t>
  </si>
  <si>
    <t>Darren + Mom Present:</t>
  </si>
  <si>
    <t xml:space="preserve">PETTY CASH </t>
  </si>
  <si>
    <t>Cash Withdrawal</t>
  </si>
  <si>
    <t>Incredible Connection</t>
  </si>
  <si>
    <t>Pick n Pay Hyper</t>
  </si>
  <si>
    <t>Dam Day - chicken etc</t>
  </si>
  <si>
    <t>Roma</t>
  </si>
  <si>
    <t>Ring</t>
  </si>
  <si>
    <t>Oldfarm Spar</t>
  </si>
  <si>
    <t>Braai in pta</t>
  </si>
  <si>
    <t>Legit Delmas</t>
  </si>
  <si>
    <t>Top</t>
  </si>
  <si>
    <r>
      <t xml:space="preserve">Kana 109 </t>
    </r>
    <r>
      <rPr>
        <sz val="10"/>
        <color rgb="FFFF0000"/>
        <rFont val="Arial"/>
        <family val="2"/>
      </rPr>
      <t>Feb</t>
    </r>
    <r>
      <rPr>
        <sz val="10"/>
        <rFont val="Arial"/>
        <family val="2"/>
      </rPr>
      <t>:</t>
    </r>
  </si>
  <si>
    <t>OldFarm Tops</t>
  </si>
  <si>
    <t>Dop for Braai</t>
  </si>
  <si>
    <t>pick n Pay</t>
  </si>
  <si>
    <t>Snacks</t>
  </si>
  <si>
    <t>Simply Fish:</t>
  </si>
  <si>
    <t>Engen:</t>
  </si>
  <si>
    <t>Pick n Pay Woodlands</t>
  </si>
  <si>
    <t>Dog food and sweeper</t>
  </si>
  <si>
    <t>Shoprite - Paper</t>
  </si>
  <si>
    <t>Cash Deposit:</t>
  </si>
  <si>
    <t>HOLIDAY OVERTIME</t>
  </si>
  <si>
    <t>LiquorValu</t>
  </si>
  <si>
    <t>Darren Beer</t>
  </si>
  <si>
    <t>Fish and Chips</t>
  </si>
  <si>
    <t>Shoprite</t>
  </si>
  <si>
    <t>Kangmei:</t>
  </si>
  <si>
    <t>Church</t>
  </si>
  <si>
    <t>St Francis United Church</t>
  </si>
  <si>
    <t>Henry School 1</t>
  </si>
  <si>
    <t>Henry School 2</t>
  </si>
  <si>
    <t>FEBRUARY 2013</t>
  </si>
  <si>
    <t>HomeMark - Ouma ointment</t>
  </si>
  <si>
    <t>BUKS GARNISHING ORDER</t>
  </si>
  <si>
    <t>less</t>
  </si>
  <si>
    <t>Gossip Hair studio</t>
  </si>
  <si>
    <t>Magmos Motors</t>
  </si>
  <si>
    <t>Meat Mecca</t>
  </si>
  <si>
    <t>Meat</t>
  </si>
  <si>
    <t>Matrix Warehouse</t>
  </si>
  <si>
    <t>Pick n pay hyper</t>
  </si>
  <si>
    <t>P003</t>
  </si>
  <si>
    <t>Shoprite:</t>
  </si>
  <si>
    <r>
      <t xml:space="preserve">Kana 109 </t>
    </r>
    <r>
      <rPr>
        <sz val="10"/>
        <color rgb="FFFF0000"/>
        <rFont val="Arial"/>
        <family val="2"/>
      </rPr>
      <t>Mar</t>
    </r>
    <r>
      <rPr>
        <sz val="10"/>
        <rFont val="Arial"/>
        <family val="2"/>
      </rPr>
      <t>:</t>
    </r>
  </si>
  <si>
    <t>STANDARD WEEKS WAGES</t>
  </si>
  <si>
    <t>PREVIOUS INCREASE</t>
  </si>
  <si>
    <t>EXTRAS</t>
  </si>
  <si>
    <t>CURRENT</t>
  </si>
  <si>
    <t>% INCREASE</t>
  </si>
  <si>
    <t>PROPOSED INCREASES</t>
  </si>
  <si>
    <t>TOTAL WEEKLY PAYOUT</t>
  </si>
  <si>
    <t>Started July 2012</t>
  </si>
  <si>
    <t>NOTABLE INFO</t>
  </si>
  <si>
    <t>Med + R37.37</t>
  </si>
  <si>
    <t>CURRENT RATE</t>
  </si>
  <si>
    <t>PROPOSED RATE</t>
  </si>
  <si>
    <t>RELATIVE INCREASES</t>
  </si>
  <si>
    <t>weekly</t>
  </si>
  <si>
    <t>monthly</t>
  </si>
  <si>
    <t>AHK Motor Spares:</t>
  </si>
  <si>
    <t>According to Payroll</t>
  </si>
  <si>
    <t>July</t>
  </si>
  <si>
    <t>June</t>
  </si>
  <si>
    <t>August</t>
  </si>
  <si>
    <t>September</t>
  </si>
  <si>
    <t>October</t>
  </si>
  <si>
    <t>November</t>
  </si>
  <si>
    <t>December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</si>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</sst>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0.0"/>
    <numFmt numFmtId="168" formatCode="0_ ;\-0\ "/>
    <numFmt numFmtId="169" formatCode="hh:mm:ss;@"/>
  </numFmts>
  <fonts count="74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9"/>
      <color indexed="10"/>
      <name val="Arial"/>
      <family val="2"/>
    </font>
    <font>
      <b/>
      <sz val="9"/>
      <color indexed="10"/>
      <name val="Wingdings"/>
      <charset val="2"/>
    </font>
    <font>
      <b/>
      <sz val="9"/>
      <color indexed="10"/>
      <name val="Arial"/>
      <family val="2"/>
    </font>
    <font>
      <sz val="10"/>
      <color indexed="57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48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sz val="10"/>
      <color theme="5" tint="0.39997558519241921"/>
      <name val="Arial"/>
      <family val="2"/>
    </font>
    <font>
      <sz val="10"/>
      <color theme="1"/>
      <name val="Arial"/>
      <family val="2"/>
    </font>
    <font>
      <i/>
      <u val="singleAccounting"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b/>
      <u val="singleAccounting"/>
      <sz val="10"/>
      <name val="Arial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i/>
      <sz val="10"/>
      <color rgb="FFFF33CC"/>
      <name val="Arial"/>
      <family val="2"/>
    </font>
    <font>
      <sz val="9"/>
      <color rgb="FFFF0000"/>
      <name val="Arial"/>
      <family val="2"/>
    </font>
    <font>
      <b/>
      <i/>
      <sz val="10"/>
      <color rgb="FFFF33CC"/>
      <name val="Arial"/>
      <family val="2"/>
    </font>
    <font>
      <b/>
      <sz val="7.5"/>
      <name val="Arial"/>
      <family val="2"/>
    </font>
    <font>
      <b/>
      <i/>
      <sz val="14"/>
      <color theme="0"/>
      <name val="Incised901 Nd BT"/>
      <family val="2"/>
    </font>
    <font>
      <b/>
      <i/>
      <sz val="16"/>
      <color theme="1" tint="0.499984740745262"/>
      <name val="Arial"/>
      <family val="2"/>
    </font>
    <font>
      <b/>
      <i/>
      <sz val="8"/>
      <color theme="1" tint="0.34998626667073579"/>
      <name val="Arial"/>
      <family val="2"/>
    </font>
    <font>
      <b/>
      <sz val="10"/>
      <color rgb="FF00B05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sz val="10"/>
      <color rgb="FF7030A0"/>
      <name val="Wingdings"/>
      <charset val="2"/>
    </font>
    <font>
      <sz val="10"/>
      <color rgb="FF7030A0"/>
      <name val="Arial"/>
      <family val="2"/>
    </font>
    <font>
      <i/>
      <sz val="22"/>
      <color indexed="8"/>
      <name val="Arial Black"/>
      <family val="2"/>
    </font>
    <font>
      <i/>
      <sz val="10"/>
      <color theme="0" tint="-0.34998626667073579"/>
      <name val="Arial"/>
      <family val="2"/>
    </font>
    <font>
      <b/>
      <i/>
      <u/>
      <sz val="9"/>
      <color theme="0" tint="-0.3499862666707357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u/>
      <sz val="10"/>
      <color theme="0"/>
      <name val="Arial"/>
      <family val="2"/>
    </font>
    <font>
      <b/>
      <i/>
      <sz val="14"/>
      <name val="Arial"/>
      <family val="2"/>
    </font>
    <font>
      <i/>
      <sz val="10"/>
      <color theme="1"/>
      <name val="Arial"/>
      <family val="2"/>
    </font>
    <font>
      <i/>
      <sz val="10"/>
      <color rgb="FFFF00FF"/>
      <name val="Arial"/>
      <family val="2"/>
    </font>
    <font>
      <sz val="11"/>
      <name val="Calibri"/>
      <family val="2"/>
      <scheme val="minor"/>
    </font>
    <font>
      <b/>
      <sz val="10"/>
      <color theme="7"/>
      <name val="Arial"/>
      <family val="2"/>
    </font>
    <font>
      <i/>
      <sz val="10"/>
      <color theme="4"/>
      <name val="Arial"/>
      <family val="2"/>
    </font>
    <font>
      <b/>
      <sz val="10"/>
      <color rgb="FF7030A0"/>
      <name val="Arial"/>
      <family val="2"/>
    </font>
    <font>
      <b/>
      <i/>
      <sz val="26"/>
      <color theme="8" tint="-0.249977111117893"/>
      <name val="Arial"/>
      <family val="2"/>
    </font>
    <font>
      <b/>
      <i/>
      <sz val="18"/>
      <color theme="8" tint="-0.249977111117893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theme="4"/>
        <bgColor auto="1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</cellStyleXfs>
  <cellXfs count="981">
    <xf numFmtId="0" fontId="0" fillId="0" borderId="0" xfId="0"/>
    <xf numFmtId="0" fontId="2" fillId="0" borderId="0" xfId="3"/>
    <xf numFmtId="0" fontId="3" fillId="0" borderId="0" xfId="3" applyFont="1" applyFill="1" applyBorder="1" applyAlignment="1">
      <alignment horizontal="center"/>
    </xf>
    <xf numFmtId="15" fontId="6" fillId="0" borderId="0" xfId="2" applyNumberFormat="1" applyFont="1" applyBorder="1"/>
    <xf numFmtId="0" fontId="1" fillId="0" borderId="0" xfId="2" applyBorder="1"/>
    <xf numFmtId="0" fontId="1" fillId="0" borderId="0" xfId="2"/>
    <xf numFmtId="0" fontId="4" fillId="0" borderId="0" xfId="2" applyFont="1" applyAlignment="1">
      <alignment horizontal="center"/>
    </xf>
    <xf numFmtId="0" fontId="1" fillId="0" borderId="0" xfId="2" applyAlignment="1">
      <alignment vertical="center"/>
    </xf>
    <xf numFmtId="0" fontId="1" fillId="2" borderId="0" xfId="2" applyFill="1"/>
    <xf numFmtId="0" fontId="9" fillId="0" borderId="0" xfId="2" applyFont="1" applyFill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2" applyFont="1"/>
    <xf numFmtId="2" fontId="10" fillId="0" borderId="2" xfId="2" applyNumberFormat="1" applyFont="1" applyBorder="1"/>
    <xf numFmtId="0" fontId="6" fillId="0" borderId="0" xfId="2" applyFont="1" applyAlignment="1">
      <alignment horizontal="center"/>
    </xf>
    <xf numFmtId="0" fontId="6" fillId="0" borderId="5" xfId="2" applyFont="1" applyBorder="1"/>
    <xf numFmtId="0" fontId="11" fillId="0" borderId="2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1" fillId="2" borderId="0" xfId="2" applyFill="1" applyAlignment="1">
      <alignment horizontal="center"/>
    </xf>
    <xf numFmtId="0" fontId="9" fillId="0" borderId="0" xfId="2" applyFont="1" applyFill="1" applyAlignment="1">
      <alignment horizontal="center" vertical="center"/>
    </xf>
    <xf numFmtId="0" fontId="1" fillId="0" borderId="0" xfId="2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2" fontId="10" fillId="0" borderId="3" xfId="2" applyNumberFormat="1" applyFont="1" applyBorder="1"/>
    <xf numFmtId="2" fontId="10" fillId="0" borderId="0" xfId="2" applyNumberFormat="1" applyFont="1" applyBorder="1"/>
    <xf numFmtId="0" fontId="11" fillId="0" borderId="10" xfId="2" applyFont="1" applyBorder="1" applyAlignment="1">
      <alignment horizontal="center"/>
    </xf>
    <xf numFmtId="15" fontId="10" fillId="0" borderId="12" xfId="2" applyNumberFormat="1" applyFont="1" applyBorder="1" applyAlignment="1">
      <alignment horizontal="center"/>
    </xf>
    <xf numFmtId="15" fontId="6" fillId="0" borderId="13" xfId="2" applyNumberFormat="1" applyFont="1" applyBorder="1" applyAlignment="1">
      <alignment horizontal="center"/>
    </xf>
    <xf numFmtId="15" fontId="6" fillId="0" borderId="14" xfId="2" applyNumberFormat="1" applyFont="1" applyBorder="1" applyAlignment="1">
      <alignment horizontal="center"/>
    </xf>
    <xf numFmtId="15" fontId="6" fillId="0" borderId="15" xfId="2" applyNumberFormat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10" fillId="0" borderId="0" xfId="2" applyFont="1" applyFill="1" applyAlignment="1">
      <alignment horizontal="center" vertical="center" wrapText="1"/>
    </xf>
    <xf numFmtId="15" fontId="6" fillId="0" borderId="17" xfId="2" applyNumberFormat="1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164" fontId="0" fillId="0" borderId="0" xfId="1" applyFont="1"/>
    <xf numFmtId="0" fontId="0" fillId="0" borderId="0" xfId="0" applyAlignment="1">
      <alignment horizontal="center"/>
    </xf>
    <xf numFmtId="164" fontId="0" fillId="0" borderId="19" xfId="1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164" fontId="7" fillId="0" borderId="0" xfId="1" applyFont="1"/>
    <xf numFmtId="0" fontId="7" fillId="0" borderId="0" xfId="0" applyFont="1"/>
    <xf numFmtId="164" fontId="4" fillId="0" borderId="0" xfId="1" applyFont="1"/>
    <xf numFmtId="0" fontId="0" fillId="0" borderId="0" xfId="0" applyBorder="1"/>
    <xf numFmtId="0" fontId="0" fillId="0" borderId="0" xfId="0" applyAlignment="1">
      <alignment vertical="center"/>
    </xf>
    <xf numFmtId="0" fontId="4" fillId="0" borderId="20" xfId="2" applyFont="1" applyBorder="1" applyAlignment="1">
      <alignment horizontal="center"/>
    </xf>
    <xf numFmtId="0" fontId="7" fillId="0" borderId="21" xfId="2" applyFont="1" applyBorder="1" applyAlignment="1">
      <alignment horizontal="center"/>
    </xf>
    <xf numFmtId="15" fontId="6" fillId="0" borderId="22" xfId="2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4" fontId="6" fillId="0" borderId="5" xfId="2" applyNumberFormat="1" applyFont="1" applyBorder="1"/>
    <xf numFmtId="0" fontId="10" fillId="0" borderId="5" xfId="2" applyFont="1" applyBorder="1"/>
    <xf numFmtId="4" fontId="10" fillId="0" borderId="5" xfId="2" applyNumberFormat="1" applyFont="1" applyBorder="1"/>
    <xf numFmtId="4" fontId="6" fillId="0" borderId="26" xfId="2" applyNumberFormat="1" applyFont="1" applyBorder="1"/>
    <xf numFmtId="4" fontId="6" fillId="0" borderId="27" xfId="2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 applyAlignment="1">
      <alignment horizontal="center"/>
    </xf>
    <xf numFmtId="164" fontId="0" fillId="0" borderId="0" xfId="1" applyFont="1" applyBorder="1"/>
    <xf numFmtId="0" fontId="7" fillId="0" borderId="28" xfId="2" applyFont="1" applyBorder="1"/>
    <xf numFmtId="4" fontId="10" fillId="0" borderId="9" xfId="2" applyNumberFormat="1" applyFont="1" applyBorder="1"/>
    <xf numFmtId="164" fontId="7" fillId="0" borderId="11" xfId="1" applyFont="1" applyBorder="1"/>
    <xf numFmtId="0" fontId="7" fillId="0" borderId="0" xfId="2" applyFont="1" applyBorder="1"/>
    <xf numFmtId="2" fontId="14" fillId="0" borderId="32" xfId="0" applyNumberFormat="1" applyFont="1" applyFill="1" applyBorder="1" applyAlignment="1">
      <alignment horizontal="right"/>
    </xf>
    <xf numFmtId="2" fontId="14" fillId="0" borderId="23" xfId="0" applyNumberFormat="1" applyFont="1" applyFill="1" applyBorder="1" applyAlignment="1">
      <alignment horizontal="right"/>
    </xf>
    <xf numFmtId="2" fontId="14" fillId="0" borderId="33" xfId="0" applyNumberFormat="1" applyFont="1" applyFill="1" applyBorder="1" applyAlignment="1">
      <alignment horizontal="right"/>
    </xf>
    <xf numFmtId="2" fontId="14" fillId="0" borderId="8" xfId="0" applyNumberFormat="1" applyFont="1" applyFill="1" applyBorder="1" applyAlignment="1">
      <alignment horizontal="right"/>
    </xf>
    <xf numFmtId="2" fontId="14" fillId="0" borderId="5" xfId="0" applyNumberFormat="1" applyFont="1" applyFill="1" applyBorder="1" applyAlignment="1">
      <alignment horizontal="right"/>
    </xf>
    <xf numFmtId="2" fontId="14" fillId="0" borderId="34" xfId="0" applyNumberFormat="1" applyFont="1" applyFill="1" applyBorder="1" applyAlignment="1">
      <alignment horizontal="right"/>
    </xf>
    <xf numFmtId="164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/>
    </xf>
    <xf numFmtId="164" fontId="0" fillId="0" borderId="0" xfId="0" applyNumberFormat="1" applyAlignment="1"/>
    <xf numFmtId="0" fontId="0" fillId="0" borderId="0" xfId="0" applyAlignment="1"/>
    <xf numFmtId="4" fontId="10" fillId="0" borderId="0" xfId="2" applyNumberFormat="1" applyFont="1" applyBorder="1"/>
    <xf numFmtId="2" fontId="14" fillId="0" borderId="16" xfId="0" applyNumberFormat="1" applyFont="1" applyFill="1" applyBorder="1" applyAlignment="1">
      <alignment horizontal="right"/>
    </xf>
    <xf numFmtId="2" fontId="14" fillId="0" borderId="35" xfId="0" applyNumberFormat="1" applyFont="1" applyFill="1" applyBorder="1" applyAlignment="1">
      <alignment horizontal="right"/>
    </xf>
    <xf numFmtId="2" fontId="14" fillId="0" borderId="36" xfId="0" applyNumberFormat="1" applyFont="1" applyFill="1" applyBorder="1" applyAlignment="1">
      <alignment horizontal="right"/>
    </xf>
    <xf numFmtId="2" fontId="14" fillId="0" borderId="38" xfId="0" applyNumberFormat="1" applyFont="1" applyFill="1" applyBorder="1" applyAlignment="1">
      <alignment horizontal="right"/>
    </xf>
    <xf numFmtId="2" fontId="14" fillId="0" borderId="39" xfId="0" applyNumberFormat="1" applyFont="1" applyFill="1" applyBorder="1" applyAlignment="1">
      <alignment horizontal="right"/>
    </xf>
    <xf numFmtId="2" fontId="14" fillId="0" borderId="40" xfId="0" applyNumberFormat="1" applyFont="1" applyFill="1" applyBorder="1" applyAlignment="1">
      <alignment horizontal="right"/>
    </xf>
    <xf numFmtId="164" fontId="7" fillId="0" borderId="0" xfId="1" applyFont="1" applyFill="1" applyBorder="1"/>
    <xf numFmtId="0" fontId="8" fillId="0" borderId="0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Border="1"/>
    <xf numFmtId="164" fontId="13" fillId="0" borderId="0" xfId="1" applyFont="1" applyBorder="1" applyAlignment="1">
      <alignment horizontal="center"/>
    </xf>
    <xf numFmtId="164" fontId="7" fillId="0" borderId="0" xfId="1" applyFont="1" applyBorder="1"/>
    <xf numFmtId="0" fontId="7" fillId="0" borderId="0" xfId="0" applyFont="1" applyBorder="1"/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64" fontId="7" fillId="0" borderId="0" xfId="1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164" fontId="4" fillId="0" borderId="0" xfId="1" applyFont="1" applyBorder="1"/>
    <xf numFmtId="164" fontId="0" fillId="0" borderId="0" xfId="1" applyFont="1" applyBorder="1" applyAlignment="1">
      <alignment horizontal="center"/>
    </xf>
    <xf numFmtId="164" fontId="1" fillId="0" borderId="0" xfId="1" applyFont="1"/>
    <xf numFmtId="164" fontId="1" fillId="0" borderId="0" xfId="1" applyFont="1" applyBorder="1"/>
    <xf numFmtId="0" fontId="0" fillId="0" borderId="0" xfId="0" applyBorder="1" applyAlignment="1">
      <alignment horizontal="right"/>
    </xf>
    <xf numFmtId="0" fontId="13" fillId="0" borderId="0" xfId="0" applyFont="1" applyAlignment="1">
      <alignment horizontal="center"/>
    </xf>
    <xf numFmtId="0" fontId="1" fillId="0" borderId="49" xfId="2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0" fillId="0" borderId="0" xfId="1" applyFont="1" applyFill="1" applyBorder="1"/>
    <xf numFmtId="164" fontId="1" fillId="0" borderId="0" xfId="0" applyNumberFormat="1" applyFont="1" applyBorder="1"/>
    <xf numFmtId="0" fontId="7" fillId="0" borderId="0" xfId="0" applyFont="1" applyFill="1" applyBorder="1" applyAlignment="1">
      <alignment horizontal="center"/>
    </xf>
    <xf numFmtId="164" fontId="13" fillId="0" borderId="0" xfId="1" applyFont="1" applyFill="1" applyBorder="1" applyAlignment="1">
      <alignment horizontal="center"/>
    </xf>
    <xf numFmtId="4" fontId="10" fillId="0" borderId="29" xfId="2" applyNumberFormat="1" applyFont="1" applyBorder="1"/>
    <xf numFmtId="4" fontId="10" fillId="0" borderId="37" xfId="2" applyNumberFormat="1" applyFont="1" applyBorder="1"/>
    <xf numFmtId="164" fontId="0" fillId="0" borderId="0" xfId="0" applyNumberFormat="1" applyFill="1" applyBorder="1" applyAlignment="1">
      <alignment horizontal="center"/>
    </xf>
    <xf numFmtId="164" fontId="1" fillId="0" borderId="0" xfId="1"/>
    <xf numFmtId="164" fontId="0" fillId="0" borderId="5" xfId="1" applyFont="1" applyBorder="1"/>
    <xf numFmtId="164" fontId="4" fillId="0" borderId="0" xfId="1" applyFont="1" applyFill="1" applyBorder="1" applyAlignment="1">
      <alignment horizontal="center"/>
    </xf>
    <xf numFmtId="164" fontId="1" fillId="0" borderId="19" xfId="1" applyFont="1" applyBorder="1"/>
    <xf numFmtId="164" fontId="1" fillId="0" borderId="54" xfId="1" applyFont="1" applyBorder="1"/>
    <xf numFmtId="167" fontId="0" fillId="0" borderId="0" xfId="0" applyNumberFormat="1" applyBorder="1"/>
    <xf numFmtId="164" fontId="1" fillId="0" borderId="0" xfId="1" applyBorder="1"/>
    <xf numFmtId="164" fontId="1" fillId="0" borderId="0" xfId="1" applyFont="1" applyBorder="1" applyAlignment="1">
      <alignment horizontal="center"/>
    </xf>
    <xf numFmtId="0" fontId="15" fillId="0" borderId="0" xfId="2" quotePrefix="1" applyFont="1"/>
    <xf numFmtId="2" fontId="18" fillId="0" borderId="0" xfId="2" applyNumberFormat="1" applyFont="1" applyAlignment="1">
      <alignment horizontal="left"/>
    </xf>
    <xf numFmtId="0" fontId="7" fillId="0" borderId="0" xfId="2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left" vertical="center"/>
    </xf>
    <xf numFmtId="2" fontId="10" fillId="0" borderId="0" xfId="2" applyNumberFormat="1" applyFont="1" applyBorder="1" applyAlignment="1">
      <alignment vertical="center"/>
    </xf>
    <xf numFmtId="2" fontId="10" fillId="0" borderId="0" xfId="2" applyNumberFormat="1" applyFont="1" applyBorder="1" applyAlignment="1">
      <alignment horizontal="right" vertical="center"/>
    </xf>
    <xf numFmtId="2" fontId="19" fillId="0" borderId="0" xfId="2" applyNumberFormat="1" applyFont="1" applyBorder="1" applyAlignment="1">
      <alignment vertical="center"/>
    </xf>
    <xf numFmtId="164" fontId="0" fillId="0" borderId="0" xfId="1" applyFont="1" applyBorder="1" applyAlignment="1">
      <alignment horizontal="right"/>
    </xf>
    <xf numFmtId="164" fontId="4" fillId="0" borderId="0" xfId="1" applyFont="1" applyBorder="1" applyAlignment="1">
      <alignment horizontal="right"/>
    </xf>
    <xf numFmtId="164" fontId="0" fillId="0" borderId="54" xfId="0" applyNumberFormat="1" applyBorder="1"/>
    <xf numFmtId="2" fontId="20" fillId="0" borderId="0" xfId="2" applyNumberFormat="1" applyFont="1" applyBorder="1" applyAlignment="1">
      <alignment vertical="center"/>
    </xf>
    <xf numFmtId="164" fontId="0" fillId="0" borderId="0" xfId="1" applyFont="1" applyAlignment="1">
      <alignment horizontal="left"/>
    </xf>
    <xf numFmtId="164" fontId="15" fillId="0" borderId="0" xfId="1" applyFont="1" applyBorder="1" applyAlignment="1">
      <alignment horizontal="left"/>
    </xf>
    <xf numFmtId="164" fontId="0" fillId="0" borderId="5" xfId="0" applyNumberFormat="1" applyBorder="1" applyAlignment="1">
      <alignment vertical="center"/>
    </xf>
    <xf numFmtId="164" fontId="15" fillId="0" borderId="0" xfId="1" applyFont="1" applyFill="1" applyBorder="1"/>
    <xf numFmtId="14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vertical="center"/>
    </xf>
    <xf numFmtId="164" fontId="1" fillId="0" borderId="43" xfId="1" applyFont="1" applyFill="1" applyBorder="1"/>
    <xf numFmtId="164" fontId="1" fillId="0" borderId="26" xfId="1" applyFont="1" applyFill="1" applyBorder="1"/>
    <xf numFmtId="164" fontId="1" fillId="0" borderId="39" xfId="1" applyFont="1" applyBorder="1"/>
    <xf numFmtId="164" fontId="1" fillId="0" borderId="43" xfId="1" applyFont="1" applyBorder="1" applyAlignment="1">
      <alignment horizontal="left"/>
    </xf>
    <xf numFmtId="164" fontId="1" fillId="0" borderId="26" xfId="1" applyFont="1" applyBorder="1" applyAlignment="1">
      <alignment horizontal="left"/>
    </xf>
    <xf numFmtId="164" fontId="21" fillId="0" borderId="0" xfId="1" applyFont="1" applyFill="1" applyBorder="1"/>
    <xf numFmtId="2" fontId="14" fillId="0" borderId="52" xfId="0" applyNumberFormat="1" applyFont="1" applyFill="1" applyBorder="1" applyAlignment="1">
      <alignment horizontal="right"/>
    </xf>
    <xf numFmtId="0" fontId="1" fillId="0" borderId="51" xfId="2" applyFont="1" applyBorder="1" applyAlignment="1"/>
    <xf numFmtId="0" fontId="1" fillId="0" borderId="49" xfId="2" applyFont="1" applyBorder="1"/>
    <xf numFmtId="0" fontId="7" fillId="0" borderId="12" xfId="2" applyFont="1" applyBorder="1" applyAlignment="1">
      <alignment horizontal="center"/>
    </xf>
    <xf numFmtId="0" fontId="3" fillId="0" borderId="0" xfId="3" quotePrefix="1" applyFont="1" applyFill="1" applyBorder="1" applyAlignment="1">
      <alignment horizontal="center"/>
    </xf>
    <xf numFmtId="0" fontId="1" fillId="0" borderId="50" xfId="2" applyFont="1" applyBorder="1" applyAlignment="1"/>
    <xf numFmtId="164" fontId="24" fillId="0" borderId="0" xfId="0" applyNumberFormat="1" applyFont="1" applyBorder="1"/>
    <xf numFmtId="0" fontId="0" fillId="0" borderId="19" xfId="0" applyBorder="1"/>
    <xf numFmtId="49" fontId="1" fillId="0" borderId="0" xfId="0" applyNumberFormat="1" applyFont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25" fillId="0" borderId="0" xfId="0" applyFont="1"/>
    <xf numFmtId="164" fontId="0" fillId="0" borderId="11" xfId="0" applyNumberFormat="1" applyBorder="1" applyAlignment="1">
      <alignment horizontal="center"/>
    </xf>
    <xf numFmtId="0" fontId="1" fillId="0" borderId="14" xfId="2" applyFont="1" applyBorder="1" applyAlignment="1">
      <alignment horizontal="center"/>
    </xf>
    <xf numFmtId="0" fontId="1" fillId="0" borderId="45" xfId="2" applyFont="1" applyBorder="1" applyAlignment="1">
      <alignment horizontal="center"/>
    </xf>
    <xf numFmtId="2" fontId="1" fillId="0" borderId="50" xfId="2" applyNumberFormat="1" applyFont="1" applyBorder="1" applyAlignment="1"/>
    <xf numFmtId="2" fontId="1" fillId="0" borderId="19" xfId="2" applyNumberFormat="1" applyFont="1" applyBorder="1" applyAlignment="1"/>
    <xf numFmtId="2" fontId="1" fillId="0" borderId="59" xfId="2" applyNumberFormat="1" applyFont="1" applyBorder="1" applyAlignment="1"/>
    <xf numFmtId="2" fontId="1" fillId="0" borderId="51" xfId="2" applyNumberFormat="1" applyFont="1" applyBorder="1" applyAlignment="1"/>
    <xf numFmtId="2" fontId="1" fillId="0" borderId="53" xfId="2" applyNumberFormat="1" applyFont="1" applyBorder="1" applyAlignment="1"/>
    <xf numFmtId="2" fontId="1" fillId="0" borderId="58" xfId="2" applyNumberFormat="1" applyFont="1" applyBorder="1" applyAlignment="1"/>
    <xf numFmtId="164" fontId="26" fillId="0" borderId="0" xfId="0" applyNumberFormat="1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49" fontId="1" fillId="0" borderId="57" xfId="0" applyNumberFormat="1" applyFont="1" applyBorder="1" applyAlignment="1">
      <alignment horizontal="center"/>
    </xf>
    <xf numFmtId="14" fontId="0" fillId="0" borderId="19" xfId="0" applyNumberFormat="1" applyBorder="1" applyAlignment="1">
      <alignment horizontal="right"/>
    </xf>
    <xf numFmtId="164" fontId="0" fillId="0" borderId="57" xfId="0" applyNumberForma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1" applyFont="1" applyBorder="1" applyAlignment="1">
      <alignment horizontal="center"/>
    </xf>
    <xf numFmtId="0" fontId="25" fillId="0" borderId="0" xfId="0" applyFont="1" applyBorder="1"/>
    <xf numFmtId="0" fontId="0" fillId="0" borderId="0" xfId="0" applyBorder="1" applyAlignment="1">
      <alignment horizontal="left" indent="1"/>
    </xf>
    <xf numFmtId="4" fontId="0" fillId="0" borderId="0" xfId="0" applyNumberFormat="1" applyBorder="1"/>
    <xf numFmtId="166" fontId="0" fillId="0" borderId="0" xfId="0" applyNumberFormat="1" applyBorder="1" applyAlignment="1">
      <alignment horizontal="center"/>
    </xf>
    <xf numFmtId="166" fontId="0" fillId="0" borderId="0" xfId="1" applyNumberFormat="1" applyFont="1" applyBorder="1"/>
    <xf numFmtId="0" fontId="7" fillId="0" borderId="0" xfId="0" applyFont="1" applyBorder="1" applyAlignment="1">
      <alignment horizontal="left" indent="1"/>
    </xf>
    <xf numFmtId="4" fontId="0" fillId="0" borderId="0" xfId="0" applyNumberFormat="1" applyFill="1" applyBorder="1"/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center"/>
    </xf>
    <xf numFmtId="164" fontId="1" fillId="0" borderId="0" xfId="1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164" fontId="28" fillId="0" borderId="0" xfId="1" applyFont="1" applyBorder="1" applyAlignment="1">
      <alignment horizontal="left"/>
    </xf>
    <xf numFmtId="164" fontId="28" fillId="0" borderId="0" xfId="0" applyNumberFormat="1" applyFont="1" applyBorder="1"/>
    <xf numFmtId="164" fontId="16" fillId="0" borderId="0" xfId="0" applyNumberFormat="1" applyFont="1" applyBorder="1" applyAlignment="1">
      <alignment horizontal="center" vertical="center"/>
    </xf>
    <xf numFmtId="164" fontId="1" fillId="0" borderId="66" xfId="1" applyFont="1" applyBorder="1"/>
    <xf numFmtId="164" fontId="28" fillId="0" borderId="0" xfId="1" applyFont="1" applyBorder="1" applyAlignment="1">
      <alignment vertical="center"/>
    </xf>
    <xf numFmtId="164" fontId="29" fillId="0" borderId="0" xfId="1" applyFont="1" applyBorder="1" applyAlignment="1">
      <alignment horizontal="left"/>
    </xf>
    <xf numFmtId="164" fontId="28" fillId="0" borderId="0" xfId="1" applyFont="1" applyBorder="1"/>
    <xf numFmtId="49" fontId="1" fillId="0" borderId="19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19" xfId="0" applyBorder="1" applyAlignment="1">
      <alignment vertical="center"/>
    </xf>
    <xf numFmtId="0" fontId="17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6" fillId="0" borderId="0" xfId="1" applyFont="1" applyBorder="1" applyAlignment="1">
      <alignment horizontal="center"/>
    </xf>
    <xf numFmtId="17" fontId="1" fillId="0" borderId="0" xfId="0" quotePrefix="1" applyNumberFormat="1" applyFont="1" applyBorder="1" applyAlignment="1">
      <alignment horizontal="right"/>
    </xf>
    <xf numFmtId="0" fontId="1" fillId="0" borderId="17" xfId="2" applyFont="1" applyBorder="1" applyAlignment="1">
      <alignment horizontal="center"/>
    </xf>
    <xf numFmtId="14" fontId="1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0" fontId="1" fillId="0" borderId="48" xfId="2" applyFont="1" applyBorder="1" applyAlignment="1">
      <alignment horizontal="center"/>
    </xf>
    <xf numFmtId="0" fontId="1" fillId="0" borderId="15" xfId="2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19" xfId="0" applyBorder="1" applyAlignment="1">
      <alignment horizontal="center"/>
    </xf>
    <xf numFmtId="164" fontId="1" fillId="0" borderId="0" xfId="1" applyFont="1" applyBorder="1" applyAlignment="1">
      <alignment horizontal="left"/>
    </xf>
    <xf numFmtId="164" fontId="1" fillId="0" borderId="0" xfId="1" applyFont="1" applyBorder="1" applyAlignment="1">
      <alignment vertical="center"/>
    </xf>
    <xf numFmtId="164" fontId="1" fillId="0" borderId="0" xfId="1" applyFont="1" applyFill="1" applyBorder="1"/>
    <xf numFmtId="164" fontId="1" fillId="0" borderId="59" xfId="1" applyFont="1" applyBorder="1"/>
    <xf numFmtId="164" fontId="1" fillId="0" borderId="59" xfId="1" applyFont="1" applyFill="1" applyBorder="1" applyAlignment="1">
      <alignment horizontal="right"/>
    </xf>
    <xf numFmtId="164" fontId="1" fillId="0" borderId="63" xfId="1" applyFont="1" applyBorder="1"/>
    <xf numFmtId="164" fontId="1" fillId="0" borderId="63" xfId="1" applyFont="1" applyFill="1" applyBorder="1"/>
    <xf numFmtId="0" fontId="1" fillId="0" borderId="49" xfId="2" applyFont="1" applyBorder="1" applyAlignment="1"/>
    <xf numFmtId="2" fontId="1" fillId="0" borderId="0" xfId="2" applyNumberFormat="1"/>
    <xf numFmtId="0" fontId="1" fillId="0" borderId="44" xfId="2" applyFont="1" applyBorder="1" applyAlignment="1">
      <alignment horizontal="center"/>
    </xf>
    <xf numFmtId="0" fontId="7" fillId="0" borderId="0" xfId="2" applyFont="1" applyBorder="1" applyAlignment="1">
      <alignment horizontal="right" vertical="center"/>
    </xf>
    <xf numFmtId="0" fontId="1" fillId="0" borderId="0" xfId="2" applyFont="1" applyBorder="1" applyAlignment="1">
      <alignment horizontal="right" vertical="center"/>
    </xf>
    <xf numFmtId="2" fontId="6" fillId="0" borderId="0" xfId="2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1" fillId="0" borderId="0" xfId="1" applyFont="1" applyAlignment="1">
      <alignment horizontal="left"/>
    </xf>
    <xf numFmtId="49" fontId="1" fillId="0" borderId="19" xfId="0" applyNumberFormat="1" applyFont="1" applyBorder="1" applyAlignment="1">
      <alignment horizontal="right"/>
    </xf>
    <xf numFmtId="49" fontId="1" fillId="0" borderId="0" xfId="0" applyNumberFormat="1" applyFont="1" applyBorder="1"/>
    <xf numFmtId="164" fontId="1" fillId="0" borderId="42" xfId="1" applyFont="1" applyBorder="1"/>
    <xf numFmtId="164" fontId="1" fillId="0" borderId="59" xfId="1" applyFont="1" applyFill="1" applyBorder="1"/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0" fontId="8" fillId="0" borderId="19" xfId="0" applyFont="1" applyBorder="1"/>
    <xf numFmtId="164" fontId="0" fillId="0" borderId="19" xfId="0" applyNumberFormat="1" applyBorder="1" applyAlignment="1">
      <alignment vertical="center"/>
    </xf>
    <xf numFmtId="164" fontId="1" fillId="0" borderId="19" xfId="1" applyFont="1" applyBorder="1" applyAlignment="1">
      <alignment horizontal="right"/>
    </xf>
    <xf numFmtId="164" fontId="28" fillId="0" borderId="19" xfId="1" applyFont="1" applyBorder="1" applyAlignment="1">
      <alignment horizontal="left"/>
    </xf>
    <xf numFmtId="0" fontId="25" fillId="0" borderId="19" xfId="0" applyFont="1" applyBorder="1"/>
    <xf numFmtId="164" fontId="0" fillId="0" borderId="19" xfId="1" applyFon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4" fontId="1" fillId="0" borderId="57" xfId="1" applyFont="1" applyBorder="1"/>
    <xf numFmtId="0" fontId="0" fillId="0" borderId="0" xfId="0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2" fontId="14" fillId="0" borderId="26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center"/>
    </xf>
    <xf numFmtId="164" fontId="0" fillId="0" borderId="26" xfId="1" applyFont="1" applyBorder="1"/>
    <xf numFmtId="49" fontId="1" fillId="0" borderId="57" xfId="0" applyNumberFormat="1" applyFont="1" applyBorder="1" applyAlignment="1">
      <alignment horizontal="right"/>
    </xf>
    <xf numFmtId="164" fontId="0" fillId="0" borderId="57" xfId="0" applyNumberFormat="1" applyFill="1" applyBorder="1" applyAlignment="1">
      <alignment horizontal="right"/>
    </xf>
    <xf numFmtId="164" fontId="1" fillId="0" borderId="57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center"/>
    </xf>
    <xf numFmtId="0" fontId="0" fillId="0" borderId="57" xfId="0" applyBorder="1"/>
    <xf numFmtId="164" fontId="0" fillId="0" borderId="57" xfId="1" applyFont="1" applyBorder="1"/>
    <xf numFmtId="164" fontId="1" fillId="0" borderId="42" xfId="1" applyFont="1" applyFill="1" applyBorder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2" fontId="14" fillId="0" borderId="29" xfId="0" applyNumberFormat="1" applyFont="1" applyFill="1" applyBorder="1" applyAlignment="1">
      <alignment horizontal="right"/>
    </xf>
    <xf numFmtId="2" fontId="14" fillId="0" borderId="9" xfId="0" applyNumberFormat="1" applyFont="1" applyFill="1" applyBorder="1" applyAlignment="1">
      <alignment horizontal="right"/>
    </xf>
    <xf numFmtId="2" fontId="14" fillId="0" borderId="37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14" fontId="0" fillId="0" borderId="19" xfId="0" applyNumberFormat="1" applyBorder="1" applyAlignment="1">
      <alignment horizontal="right" vertical="center"/>
    </xf>
    <xf numFmtId="49" fontId="1" fillId="0" borderId="57" xfId="0" applyNumberFormat="1" applyFont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/>
    </xf>
    <xf numFmtId="14" fontId="0" fillId="0" borderId="0" xfId="0" applyNumberFormat="1" applyBorder="1" applyAlignment="1">
      <alignment horizontal="right" vertical="center"/>
    </xf>
    <xf numFmtId="164" fontId="0" fillId="0" borderId="57" xfId="0" applyNumberFormat="1" applyFill="1" applyBorder="1" applyAlignment="1">
      <alignment horizontal="right" vertical="center"/>
    </xf>
    <xf numFmtId="164" fontId="1" fillId="0" borderId="57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32" fillId="0" borderId="0" xfId="0" applyNumberFormat="1" applyFont="1"/>
    <xf numFmtId="0" fontId="1" fillId="0" borderId="48" xfId="2" applyFont="1" applyBorder="1"/>
    <xf numFmtId="15" fontId="10" fillId="0" borderId="56" xfId="2" applyNumberFormat="1" applyFont="1" applyBorder="1" applyAlignment="1">
      <alignment horizontal="center"/>
    </xf>
    <xf numFmtId="164" fontId="33" fillId="0" borderId="0" xfId="1" applyFont="1" applyBorder="1"/>
    <xf numFmtId="0" fontId="0" fillId="0" borderId="0" xfId="0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right" vertical="center"/>
    </xf>
    <xf numFmtId="14" fontId="1" fillId="0" borderId="19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right" vertical="center"/>
    </xf>
    <xf numFmtId="164" fontId="1" fillId="0" borderId="24" xfId="1" applyFont="1" applyBorder="1"/>
    <xf numFmtId="164" fontId="1" fillId="0" borderId="42" xfId="1" applyFont="1" applyFill="1" applyBorder="1" applyAlignment="1">
      <alignment horizontal="right"/>
    </xf>
    <xf numFmtId="164" fontId="1" fillId="0" borderId="24" xfId="1" applyFont="1" applyFill="1" applyBorder="1"/>
    <xf numFmtId="164" fontId="17" fillId="0" borderId="0" xfId="1" applyFont="1" applyBorder="1"/>
    <xf numFmtId="164" fontId="1" fillId="0" borderId="0" xfId="1" applyFont="1" applyBorder="1" applyAlignment="1">
      <alignment horizontal="left" indent="2"/>
    </xf>
    <xf numFmtId="164" fontId="1" fillId="0" borderId="0" xfId="0" applyNumberFormat="1" applyFont="1" applyBorder="1" applyAlignment="1">
      <alignment horizontal="left"/>
    </xf>
    <xf numFmtId="164" fontId="34" fillId="0" borderId="0" xfId="0" applyNumberFormat="1" applyFont="1" applyBorder="1" applyAlignment="1">
      <alignment horizontal="center"/>
    </xf>
    <xf numFmtId="164" fontId="29" fillId="0" borderId="59" xfId="1" applyFont="1" applyFill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9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0" fillId="0" borderId="19" xfId="0" applyNumberFormat="1" applyBorder="1"/>
    <xf numFmtId="164" fontId="27" fillId="0" borderId="19" xfId="0" applyNumberFormat="1" applyFont="1" applyFill="1" applyBorder="1" applyAlignment="1">
      <alignment horizontal="right"/>
    </xf>
    <xf numFmtId="164" fontId="29" fillId="0" borderId="0" xfId="1" applyFont="1" applyBorder="1"/>
    <xf numFmtId="0" fontId="0" fillId="0" borderId="0" xfId="0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0" fillId="0" borderId="0" xfId="1" applyFont="1" applyBorder="1" applyAlignment="1">
      <alignment horizontal="center"/>
    </xf>
    <xf numFmtId="168" fontId="1" fillId="0" borderId="0" xfId="1" applyNumberForma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164" fontId="36" fillId="0" borderId="0" xfId="1" applyFont="1" applyBorder="1"/>
    <xf numFmtId="0" fontId="35" fillId="0" borderId="0" xfId="0" applyFont="1" applyBorder="1"/>
    <xf numFmtId="0" fontId="1" fillId="0" borderId="0" xfId="0" applyFont="1" applyBorder="1" applyAlignment="1">
      <alignment horizontal="right"/>
    </xf>
    <xf numFmtId="0" fontId="35" fillId="0" borderId="0" xfId="0" applyFont="1" applyBorder="1" applyAlignment="1">
      <alignment horizontal="right"/>
    </xf>
    <xf numFmtId="164" fontId="31" fillId="0" borderId="0" xfId="1" applyFont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1" applyFont="1" applyBorder="1" applyAlignment="1">
      <alignment horizontal="center"/>
    </xf>
    <xf numFmtId="164" fontId="7" fillId="0" borderId="0" xfId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1" fillId="0" borderId="0" xfId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164" fontId="15" fillId="0" borderId="19" xfId="1" applyFont="1" applyBorder="1" applyAlignment="1">
      <alignment horizontal="left"/>
    </xf>
    <xf numFmtId="0" fontId="38" fillId="0" borderId="0" xfId="0" quotePrefix="1" applyFont="1" applyBorder="1" applyAlignment="1">
      <alignment horizontal="right" vertical="center"/>
    </xf>
    <xf numFmtId="0" fontId="36" fillId="0" borderId="0" xfId="0" quotePrefix="1" applyFont="1" applyBorder="1" applyAlignment="1">
      <alignment horizontal="right"/>
    </xf>
    <xf numFmtId="164" fontId="35" fillId="0" borderId="0" xfId="1" applyFont="1" applyBorder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0" fontId="0" fillId="0" borderId="0" xfId="0" applyBorder="1" applyAlignment="1"/>
    <xf numFmtId="164" fontId="7" fillId="0" borderId="0" xfId="0" applyNumberFormat="1" applyFont="1" applyBorder="1" applyAlignment="1">
      <alignment horizontal="center"/>
    </xf>
    <xf numFmtId="164" fontId="39" fillId="0" borderId="0" xfId="1" applyFont="1" applyBorder="1" applyAlignment="1">
      <alignment vertical="center"/>
    </xf>
    <xf numFmtId="49" fontId="1" fillId="0" borderId="19" xfId="0" applyNumberFormat="1" applyFont="1" applyBorder="1" applyAlignment="1">
      <alignment horizontal="center"/>
    </xf>
    <xf numFmtId="169" fontId="1" fillId="0" borderId="0" xfId="0" applyNumberFormat="1" applyFont="1" applyBorder="1" applyAlignment="1">
      <alignment horizontal="right"/>
    </xf>
    <xf numFmtId="169" fontId="1" fillId="0" borderId="0" xfId="0" applyNumberFormat="1" applyFont="1" applyBorder="1" applyAlignment="1">
      <alignment horizontal="right" vertical="center"/>
    </xf>
    <xf numFmtId="169" fontId="0" fillId="0" borderId="0" xfId="0" applyNumberForma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/>
    </xf>
    <xf numFmtId="169" fontId="1" fillId="0" borderId="19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3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38" fillId="0" borderId="0" xfId="1" quotePrefix="1" applyFont="1" applyBorder="1" applyAlignment="1">
      <alignment horizontal="right" vertical="center"/>
    </xf>
    <xf numFmtId="164" fontId="36" fillId="0" borderId="0" xfId="0" applyNumberFormat="1" applyFont="1"/>
    <xf numFmtId="0" fontId="1" fillId="0" borderId="28" xfId="2" applyFont="1" applyBorder="1" applyAlignment="1"/>
    <xf numFmtId="164" fontId="33" fillId="0" borderId="39" xfId="1" applyFont="1" applyBorder="1"/>
    <xf numFmtId="164" fontId="42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1" fillId="0" borderId="49" xfId="2" applyFont="1" applyBorder="1" applyAlignment="1">
      <alignment horizontal="left"/>
    </xf>
    <xf numFmtId="15" fontId="6" fillId="0" borderId="10" xfId="2" applyNumberFormat="1" applyFont="1" applyBorder="1" applyAlignment="1">
      <alignment horizontal="center"/>
    </xf>
    <xf numFmtId="0" fontId="10" fillId="0" borderId="45" xfId="2" applyFont="1" applyBorder="1" applyAlignment="1">
      <alignment horizontal="center"/>
    </xf>
    <xf numFmtId="2" fontId="10" fillId="0" borderId="45" xfId="2" applyNumberFormat="1" applyFont="1" applyBorder="1"/>
    <xf numFmtId="0" fontId="11" fillId="0" borderId="64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6" fillId="0" borderId="13" xfId="2" applyFont="1" applyBorder="1"/>
    <xf numFmtId="0" fontId="16" fillId="0" borderId="14" xfId="2" applyFont="1" applyBorder="1"/>
    <xf numFmtId="0" fontId="16" fillId="0" borderId="17" xfId="2" applyFont="1" applyBorder="1"/>
    <xf numFmtId="49" fontId="1" fillId="0" borderId="19" xfId="0" quotePrefix="1" applyNumberFormat="1" applyFont="1" applyBorder="1" applyAlignment="1">
      <alignment horizontal="center"/>
    </xf>
    <xf numFmtId="164" fontId="43" fillId="0" borderId="0" xfId="0" applyNumberFormat="1" applyFont="1"/>
    <xf numFmtId="49" fontId="1" fillId="0" borderId="0" xfId="0" quotePrefix="1" applyNumberFormat="1" applyFont="1" applyAlignment="1">
      <alignment horizontal="center"/>
    </xf>
    <xf numFmtId="2" fontId="1" fillId="0" borderId="0" xfId="0" applyNumberFormat="1" applyFont="1" applyBorder="1" applyAlignment="1">
      <alignment horizontal="left" vertical="center"/>
    </xf>
    <xf numFmtId="49" fontId="1" fillId="0" borderId="0" xfId="0" quotePrefix="1" applyNumberFormat="1" applyFont="1" applyBorder="1" applyAlignment="1">
      <alignment horizontal="center"/>
    </xf>
    <xf numFmtId="0" fontId="1" fillId="0" borderId="49" xfId="2" applyFont="1" applyBorder="1" applyAlignment="1">
      <alignment horizontal="left"/>
    </xf>
    <xf numFmtId="0" fontId="0" fillId="0" borderId="0" xfId="0" applyBorder="1" applyAlignment="1">
      <alignment horizontal="center"/>
    </xf>
    <xf numFmtId="2" fontId="14" fillId="0" borderId="7" xfId="0" applyNumberFormat="1" applyFont="1" applyFill="1" applyBorder="1" applyAlignment="1">
      <alignment horizontal="right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1" fillId="0" borderId="0" xfId="2" applyFont="1" applyBorder="1"/>
    <xf numFmtId="4" fontId="6" fillId="0" borderId="0" xfId="2" applyNumberFormat="1" applyFont="1" applyBorder="1"/>
    <xf numFmtId="0" fontId="6" fillId="0" borderId="14" xfId="2" applyFont="1" applyBorder="1"/>
    <xf numFmtId="0" fontId="6" fillId="0" borderId="15" xfId="2" applyFont="1" applyBorder="1"/>
    <xf numFmtId="0" fontId="6" fillId="0" borderId="22" xfId="2" applyFont="1" applyBorder="1"/>
    <xf numFmtId="164" fontId="29" fillId="0" borderId="0" xfId="1" applyFont="1" applyFill="1" applyBorder="1"/>
    <xf numFmtId="0" fontId="0" fillId="0" borderId="0" xfId="0" applyBorder="1" applyAlignment="1">
      <alignment horizontal="center"/>
    </xf>
    <xf numFmtId="0" fontId="44" fillId="0" borderId="0" xfId="2" quotePrefix="1" applyFont="1"/>
    <xf numFmtId="2" fontId="14" fillId="0" borderId="55" xfId="0" applyNumberFormat="1" applyFont="1" applyFill="1" applyBorder="1" applyAlignment="1">
      <alignment horizontal="right"/>
    </xf>
    <xf numFmtId="2" fontId="14" fillId="0" borderId="43" xfId="0" applyNumberFormat="1" applyFont="1" applyFill="1" applyBorder="1" applyAlignment="1">
      <alignment horizontal="right"/>
    </xf>
    <xf numFmtId="2" fontId="14" fillId="0" borderId="73" xfId="0" applyNumberFormat="1" applyFont="1" applyFill="1" applyBorder="1" applyAlignment="1">
      <alignment horizontal="right"/>
    </xf>
    <xf numFmtId="0" fontId="1" fillId="0" borderId="0" xfId="2" applyFont="1" applyBorder="1" applyAlignment="1">
      <alignment horizontal="center"/>
    </xf>
    <xf numFmtId="164" fontId="1" fillId="0" borderId="0" xfId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14" fillId="0" borderId="61" xfId="0" applyNumberFormat="1" applyFont="1" applyFill="1" applyBorder="1" applyAlignment="1">
      <alignment horizontal="right"/>
    </xf>
    <xf numFmtId="2" fontId="14" fillId="0" borderId="67" xfId="0" applyNumberFormat="1" applyFont="1" applyFill="1" applyBorder="1" applyAlignment="1">
      <alignment horizontal="right"/>
    </xf>
    <xf numFmtId="2" fontId="6" fillId="0" borderId="70" xfId="2" applyNumberFormat="1" applyFont="1" applyBorder="1" applyAlignment="1"/>
    <xf numFmtId="2" fontId="6" fillId="0" borderId="57" xfId="2" applyNumberFormat="1" applyFont="1" applyBorder="1" applyAlignment="1"/>
    <xf numFmtId="2" fontId="6" fillId="0" borderId="28" xfId="2" applyNumberFormat="1" applyFont="1" applyBorder="1" applyAlignment="1"/>
    <xf numFmtId="2" fontId="6" fillId="0" borderId="47" xfId="2" applyNumberFormat="1" applyFont="1" applyBorder="1" applyAlignment="1"/>
    <xf numFmtId="2" fontId="6" fillId="0" borderId="49" xfId="2" applyNumberFormat="1" applyFont="1" applyBorder="1" applyAlignment="1"/>
    <xf numFmtId="2" fontId="6" fillId="0" borderId="46" xfId="2" applyNumberFormat="1" applyFont="1" applyBorder="1" applyAlignment="1"/>
    <xf numFmtId="2" fontId="6" fillId="0" borderId="50" xfId="2" applyNumberFormat="1" applyFont="1" applyBorder="1" applyAlignment="1"/>
    <xf numFmtId="2" fontId="6" fillId="0" borderId="19" xfId="2" applyNumberFormat="1" applyFont="1" applyBorder="1" applyAlignment="1"/>
    <xf numFmtId="2" fontId="6" fillId="0" borderId="63" xfId="2" applyNumberFormat="1" applyFont="1" applyBorder="1" applyAlignment="1"/>
    <xf numFmtId="2" fontId="6" fillId="0" borderId="24" xfId="2" applyNumberFormat="1" applyFont="1" applyBorder="1" applyAlignment="1"/>
    <xf numFmtId="2" fontId="6" fillId="0" borderId="59" xfId="2" applyNumberFormat="1" applyFont="1" applyBorder="1" applyAlignment="1"/>
    <xf numFmtId="2" fontId="6" fillId="0" borderId="68" xfId="2" applyNumberFormat="1" applyFont="1" applyBorder="1" applyAlignment="1"/>
    <xf numFmtId="164" fontId="1" fillId="0" borderId="19" xfId="1" applyFont="1" applyBorder="1" applyAlignment="1">
      <alignment horizontal="left" indent="2"/>
    </xf>
    <xf numFmtId="164" fontId="1" fillId="0" borderId="19" xfId="0" applyNumberFormat="1" applyFont="1" applyBorder="1" applyAlignment="1">
      <alignment horizontal="left"/>
    </xf>
    <xf numFmtId="166" fontId="41" fillId="0" borderId="0" xfId="1" applyNumberFormat="1" applyFont="1" applyBorder="1" applyAlignment="1">
      <alignment vertical="center"/>
    </xf>
    <xf numFmtId="164" fontId="1" fillId="0" borderId="0" xfId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1" fillId="0" borderId="49" xfId="2" applyFont="1" applyBorder="1" applyAlignment="1">
      <alignment horizontal="left"/>
    </xf>
    <xf numFmtId="164" fontId="35" fillId="0" borderId="0" xfId="1" applyFont="1" applyBorder="1" applyAlignment="1">
      <alignment horizontal="left"/>
    </xf>
    <xf numFmtId="164" fontId="45" fillId="0" borderId="0" xfId="1" applyFont="1" applyBorder="1" applyAlignment="1">
      <alignment horizontal="left"/>
    </xf>
    <xf numFmtId="2" fontId="10" fillId="0" borderId="9" xfId="2" applyNumberFormat="1" applyFont="1" applyBorder="1"/>
    <xf numFmtId="0" fontId="10" fillId="0" borderId="30" xfId="2" applyFont="1" applyBorder="1" applyAlignment="1">
      <alignment horizontal="center"/>
    </xf>
    <xf numFmtId="0" fontId="6" fillId="0" borderId="50" xfId="2" applyFont="1" applyBorder="1" applyAlignment="1">
      <alignment horizontal="center"/>
    </xf>
    <xf numFmtId="0" fontId="6" fillId="0" borderId="56" xfId="2" applyFont="1" applyBorder="1" applyAlignment="1">
      <alignment horizontal="center"/>
    </xf>
    <xf numFmtId="0" fontId="6" fillId="0" borderId="51" xfId="2" applyFont="1" applyBorder="1" applyAlignment="1">
      <alignment horizontal="center"/>
    </xf>
    <xf numFmtId="0" fontId="10" fillId="0" borderId="65" xfId="2" applyFont="1" applyBorder="1" applyAlignment="1">
      <alignment horizontal="center"/>
    </xf>
    <xf numFmtId="15" fontId="6" fillId="0" borderId="62" xfId="2" applyNumberFormat="1" applyFont="1" applyBorder="1" applyAlignment="1">
      <alignment horizontal="center"/>
    </xf>
    <xf numFmtId="15" fontId="6" fillId="0" borderId="61" xfId="2" applyNumberFormat="1" applyFont="1" applyBorder="1" applyAlignment="1">
      <alignment horizontal="center"/>
    </xf>
    <xf numFmtId="15" fontId="10" fillId="0" borderId="31" xfId="2" applyNumberFormat="1" applyFont="1" applyBorder="1" applyAlignment="1">
      <alignment horizontal="center"/>
    </xf>
    <xf numFmtId="2" fontId="10" fillId="0" borderId="29" xfId="2" applyNumberFormat="1" applyFont="1" applyBorder="1"/>
    <xf numFmtId="2" fontId="10" fillId="0" borderId="37" xfId="2" applyNumberFormat="1" applyFont="1" applyBorder="1"/>
    <xf numFmtId="0" fontId="4" fillId="0" borderId="0" xfId="2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right"/>
    </xf>
    <xf numFmtId="0" fontId="28" fillId="0" borderId="0" xfId="0" applyFont="1" applyFill="1"/>
    <xf numFmtId="164" fontId="7" fillId="0" borderId="0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164" fontId="1" fillId="0" borderId="26" xfId="1" applyFont="1" applyFill="1" applyBorder="1" applyAlignment="1">
      <alignment vertical="center"/>
    </xf>
    <xf numFmtId="164" fontId="0" fillId="0" borderId="0" xfId="1" applyFont="1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15" fontId="6" fillId="0" borderId="41" xfId="2" applyNumberFormat="1" applyFont="1" applyBorder="1" applyAlignment="1">
      <alignment horizontal="center"/>
    </xf>
    <xf numFmtId="15" fontId="6" fillId="0" borderId="60" xfId="2" applyNumberFormat="1" applyFont="1" applyBorder="1" applyAlignment="1">
      <alignment horizontal="center"/>
    </xf>
    <xf numFmtId="15" fontId="6" fillId="0" borderId="74" xfId="2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6" fontId="17" fillId="0" borderId="0" xfId="0" applyNumberFormat="1" applyFont="1" applyBorder="1" applyAlignment="1">
      <alignment vertical="center"/>
    </xf>
    <xf numFmtId="0" fontId="0" fillId="0" borderId="0" xfId="0" applyFill="1"/>
    <xf numFmtId="164" fontId="0" fillId="0" borderId="0" xfId="1" applyFont="1" applyFill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0" fillId="3" borderId="0" xfId="0" applyFill="1"/>
    <xf numFmtId="164" fontId="0" fillId="3" borderId="0" xfId="1" applyFont="1" applyFill="1"/>
    <xf numFmtId="0" fontId="0" fillId="3" borderId="0" xfId="0" applyFill="1" applyBorder="1" applyAlignment="1">
      <alignment horizontal="right"/>
    </xf>
    <xf numFmtId="0" fontId="0" fillId="3" borderId="0" xfId="0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 applyBorder="1"/>
    <xf numFmtId="0" fontId="7" fillId="3" borderId="0" xfId="0" applyFont="1" applyFill="1" applyBorder="1"/>
    <xf numFmtId="164" fontId="0" fillId="3" borderId="0" xfId="1" applyFont="1" applyFill="1" applyBorder="1"/>
    <xf numFmtId="166" fontId="7" fillId="0" borderId="0" xfId="0" applyNumberFormat="1" applyFont="1" applyBorder="1" applyAlignment="1">
      <alignment vertical="center"/>
    </xf>
    <xf numFmtId="166" fontId="7" fillId="3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48" fillId="0" borderId="0" xfId="0" applyFont="1" applyAlignment="1">
      <alignment vertical="center"/>
    </xf>
    <xf numFmtId="2" fontId="14" fillId="0" borderId="21" xfId="0" applyNumberFormat="1" applyFont="1" applyFill="1" applyBorder="1" applyAlignment="1">
      <alignment horizontal="right"/>
    </xf>
    <xf numFmtId="2" fontId="14" fillId="0" borderId="18" xfId="0" applyNumberFormat="1" applyFont="1" applyFill="1" applyBorder="1" applyAlignment="1">
      <alignment horizontal="right"/>
    </xf>
    <xf numFmtId="2" fontId="14" fillId="0" borderId="6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23" fillId="0" borderId="45" xfId="2" applyNumberFormat="1" applyFont="1" applyBorder="1"/>
    <xf numFmtId="0" fontId="1" fillId="0" borderId="49" xfId="2" applyFont="1" applyBorder="1" applyAlignment="1">
      <alignment horizontal="left"/>
    </xf>
    <xf numFmtId="164" fontId="29" fillId="0" borderId="19" xfId="1" applyFont="1" applyFill="1" applyBorder="1"/>
    <xf numFmtId="49" fontId="1" fillId="0" borderId="19" xfId="0" applyNumberFormat="1" applyFont="1" applyBorder="1" applyAlignment="1">
      <alignment horizontal="left" vertical="center"/>
    </xf>
    <xf numFmtId="164" fontId="1" fillId="0" borderId="59" xfId="1" applyFont="1" applyFill="1" applyBorder="1" applyAlignment="1">
      <alignment vertical="center"/>
    </xf>
    <xf numFmtId="15" fontId="6" fillId="0" borderId="67" xfId="2" applyNumberFormat="1" applyFont="1" applyBorder="1" applyAlignment="1">
      <alignment horizontal="center"/>
    </xf>
    <xf numFmtId="164" fontId="49" fillId="0" borderId="19" xfId="0" applyNumberFormat="1" applyFont="1" applyBorder="1" applyAlignment="1">
      <alignment horizontal="left" indent="1"/>
    </xf>
    <xf numFmtId="0" fontId="0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0" fontId="0" fillId="3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49" fillId="0" borderId="19" xfId="0" applyNumberFormat="1" applyFont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left" vertical="center"/>
    </xf>
    <xf numFmtId="0" fontId="37" fillId="0" borderId="0" xfId="1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left" vertical="center"/>
    </xf>
    <xf numFmtId="0" fontId="0" fillId="0" borderId="0" xfId="1" applyNumberFormat="1" applyFont="1" applyBorder="1" applyAlignment="1">
      <alignment horizontal="left" vertical="center"/>
    </xf>
    <xf numFmtId="0" fontId="0" fillId="0" borderId="19" xfId="1" applyNumberFormat="1" applyFont="1" applyBorder="1" applyAlignment="1">
      <alignment horizontal="left" vertical="center"/>
    </xf>
    <xf numFmtId="0" fontId="0" fillId="0" borderId="19" xfId="0" applyNumberFormat="1" applyBorder="1" applyAlignment="1">
      <alignment horizontal="left" vertical="center"/>
    </xf>
    <xf numFmtId="0" fontId="37" fillId="0" borderId="19" xfId="1" applyNumberFormat="1" applyFont="1" applyBorder="1" applyAlignment="1">
      <alignment horizontal="left" vertical="center"/>
    </xf>
    <xf numFmtId="0" fontId="1" fillId="0" borderId="19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164" fontId="1" fillId="0" borderId="0" xfId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5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164" fontId="17" fillId="0" borderId="0" xfId="1" applyFont="1" applyFill="1" applyBorder="1" applyAlignment="1">
      <alignment horizontal="left" vertical="center"/>
    </xf>
    <xf numFmtId="164" fontId="17" fillId="0" borderId="0" xfId="1" applyFont="1" applyFill="1" applyBorder="1" applyAlignment="1">
      <alignment vertical="center"/>
    </xf>
    <xf numFmtId="164" fontId="40" fillId="0" borderId="0" xfId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 indent="2"/>
    </xf>
    <xf numFmtId="164" fontId="7" fillId="0" borderId="0" xfId="0" applyNumberFormat="1" applyFont="1" applyFill="1" applyBorder="1" applyAlignment="1">
      <alignment horizontal="center"/>
    </xf>
    <xf numFmtId="164" fontId="17" fillId="0" borderId="0" xfId="1" applyFont="1" applyFill="1" applyBorder="1" applyAlignment="1">
      <alignment horizontal="left" vertical="center" indent="1"/>
    </xf>
    <xf numFmtId="164" fontId="0" fillId="0" borderId="0" xfId="1" applyFont="1" applyFill="1" applyBorder="1" applyAlignment="1">
      <alignment horizontal="left" indent="2"/>
    </xf>
    <xf numFmtId="164" fontId="36" fillId="0" borderId="0" xfId="1" applyFont="1" applyFill="1" applyBorder="1"/>
    <xf numFmtId="164" fontId="46" fillId="0" borderId="0" xfId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left"/>
    </xf>
    <xf numFmtId="0" fontId="28" fillId="0" borderId="0" xfId="0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164" fontId="35" fillId="0" borderId="0" xfId="0" applyNumberFormat="1" applyFont="1"/>
    <xf numFmtId="166" fontId="50" fillId="0" borderId="0" xfId="1" applyNumberFormat="1" applyFont="1" applyFill="1" applyBorder="1"/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6" fontId="35" fillId="0" borderId="0" xfId="0" applyNumberFormat="1" applyFont="1" applyAlignment="1"/>
    <xf numFmtId="0" fontId="0" fillId="0" borderId="19" xfId="0" applyFill="1" applyBorder="1"/>
    <xf numFmtId="164" fontId="1" fillId="0" borderId="19" xfId="1" applyFont="1" applyFill="1" applyBorder="1"/>
    <xf numFmtId="164" fontId="0" fillId="0" borderId="19" xfId="0" applyNumberFormat="1" applyFill="1" applyBorder="1" applyAlignment="1">
      <alignment horizontal="center"/>
    </xf>
    <xf numFmtId="164" fontId="7" fillId="0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0" fontId="1" fillId="0" borderId="49" xfId="2" applyFont="1" applyBorder="1" applyAlignment="1">
      <alignment horizontal="left"/>
    </xf>
    <xf numFmtId="49" fontId="35" fillId="0" borderId="0" xfId="0" applyNumberFormat="1" applyFont="1" applyBorder="1" applyAlignment="1">
      <alignment horizontal="right" vertical="center"/>
    </xf>
    <xf numFmtId="164" fontId="1" fillId="0" borderId="0" xfId="1" applyFont="1" applyBorder="1" applyAlignment="1">
      <alignment horizontal="center" vertical="center"/>
    </xf>
    <xf numFmtId="0" fontId="1" fillId="0" borderId="49" xfId="2" applyFont="1" applyBorder="1" applyAlignment="1">
      <alignment horizontal="left"/>
    </xf>
    <xf numFmtId="0" fontId="1" fillId="0" borderId="51" xfId="2" applyFont="1" applyBorder="1" applyAlignment="1">
      <alignment horizontal="left"/>
    </xf>
    <xf numFmtId="0" fontId="10" fillId="0" borderId="0" xfId="0" applyFont="1" applyAlignment="1">
      <alignment horizontal="center"/>
    </xf>
    <xf numFmtId="164" fontId="13" fillId="0" borderId="0" xfId="1" applyFont="1" applyBorder="1" applyAlignment="1">
      <alignment horizontal="left"/>
    </xf>
    <xf numFmtId="164" fontId="13" fillId="0" borderId="0" xfId="1" applyFont="1" applyFill="1" applyBorder="1" applyAlignment="1">
      <alignment horizontal="left"/>
    </xf>
    <xf numFmtId="0" fontId="23" fillId="0" borderId="19" xfId="0" applyFont="1" applyBorder="1" applyAlignment="1">
      <alignment horizontal="right"/>
    </xf>
    <xf numFmtId="164" fontId="23" fillId="0" borderId="19" xfId="1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2" fontId="0" fillId="0" borderId="0" xfId="0" applyNumberFormat="1" applyAlignment="1">
      <alignment horizontal="right" indent="1"/>
    </xf>
    <xf numFmtId="165" fontId="0" fillId="0" borderId="0" xfId="5" applyFont="1" applyAlignment="1">
      <alignment horizontal="right" indent="1"/>
    </xf>
    <xf numFmtId="165" fontId="0" fillId="0" borderId="0" xfId="5" applyFont="1" applyAlignment="1">
      <alignment horizontal="right" indent="2"/>
    </xf>
    <xf numFmtId="0" fontId="53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center"/>
    </xf>
    <xf numFmtId="0" fontId="1" fillId="0" borderId="50" xfId="2" applyFont="1" applyBorder="1"/>
    <xf numFmtId="0" fontId="7" fillId="0" borderId="47" xfId="2" applyFont="1" applyBorder="1" applyAlignment="1">
      <alignment horizontal="center"/>
    </xf>
    <xf numFmtId="0" fontId="10" fillId="0" borderId="47" xfId="2" applyFont="1" applyBorder="1" applyAlignment="1">
      <alignment horizontal="center"/>
    </xf>
    <xf numFmtId="0" fontId="1" fillId="4" borderId="0" xfId="2" applyFill="1"/>
    <xf numFmtId="0" fontId="7" fillId="4" borderId="0" xfId="2" applyFont="1" applyFill="1" applyBorder="1" applyAlignment="1">
      <alignment horizontal="center"/>
    </xf>
    <xf numFmtId="0" fontId="7" fillId="4" borderId="0" xfId="2" applyFont="1" applyFill="1" applyBorder="1"/>
    <xf numFmtId="4" fontId="10" fillId="4" borderId="0" xfId="2" applyNumberFormat="1" applyFont="1" applyFill="1" applyBorder="1"/>
    <xf numFmtId="0" fontId="1" fillId="0" borderId="0" xfId="2" applyFont="1" applyBorder="1" applyAlignment="1">
      <alignment horizontal="left"/>
    </xf>
    <xf numFmtId="0" fontId="44" fillId="0" borderId="0" xfId="2" quotePrefix="1" applyFont="1" applyBorder="1"/>
    <xf numFmtId="0" fontId="1" fillId="0" borderId="51" xfId="2" applyFont="1" applyBorder="1" applyAlignment="1">
      <alignment horizontal="center"/>
    </xf>
    <xf numFmtId="0" fontId="1" fillId="0" borderId="15" xfId="2" applyFont="1" applyBorder="1" applyAlignment="1"/>
    <xf numFmtId="0" fontId="17" fillId="0" borderId="0" xfId="2" applyFont="1" applyBorder="1" applyAlignment="1">
      <alignment horizontal="right" indent="1"/>
    </xf>
    <xf numFmtId="165" fontId="2" fillId="0" borderId="52" xfId="5" applyFont="1" applyFill="1" applyBorder="1" applyAlignment="1">
      <alignment horizontal="right"/>
    </xf>
    <xf numFmtId="165" fontId="2" fillId="0" borderId="34" xfId="5" applyFont="1" applyFill="1" applyBorder="1" applyAlignment="1">
      <alignment horizontal="right"/>
    </xf>
    <xf numFmtId="165" fontId="2" fillId="0" borderId="75" xfId="5" applyFont="1" applyFill="1" applyBorder="1" applyAlignment="1">
      <alignment horizontal="right"/>
    </xf>
    <xf numFmtId="165" fontId="2" fillId="0" borderId="44" xfId="5" applyFont="1" applyFill="1" applyBorder="1" applyAlignment="1">
      <alignment horizontal="right"/>
    </xf>
    <xf numFmtId="165" fontId="2" fillId="0" borderId="13" xfId="5" applyFont="1" applyFill="1" applyBorder="1" applyAlignment="1">
      <alignment horizontal="right"/>
    </xf>
    <xf numFmtId="165" fontId="2" fillId="0" borderId="17" xfId="5" applyFont="1" applyFill="1" applyBorder="1" applyAlignment="1">
      <alignment horizontal="right"/>
    </xf>
    <xf numFmtId="165" fontId="2" fillId="0" borderId="69" xfId="5" applyFont="1" applyFill="1" applyBorder="1" applyAlignment="1">
      <alignment horizontal="right"/>
    </xf>
    <xf numFmtId="165" fontId="7" fillId="0" borderId="45" xfId="5" applyFont="1" applyBorder="1"/>
    <xf numFmtId="0" fontId="1" fillId="0" borderId="56" xfId="2" applyFont="1" applyBorder="1" applyAlignment="1"/>
    <xf numFmtId="165" fontId="2" fillId="0" borderId="14" xfId="5" applyFont="1" applyFill="1" applyBorder="1" applyAlignment="1">
      <alignment horizontal="right"/>
    </xf>
    <xf numFmtId="165" fontId="1" fillId="0" borderId="0" xfId="1" applyNumberFormat="1" applyFont="1" applyBorder="1" applyAlignment="1">
      <alignment vertical="center"/>
    </xf>
    <xf numFmtId="165" fontId="1" fillId="0" borderId="71" xfId="1" applyNumberFormat="1" applyFont="1" applyBorder="1" applyAlignment="1">
      <alignment vertical="center"/>
    </xf>
    <xf numFmtId="0" fontId="55" fillId="0" borderId="0" xfId="2" applyFont="1" applyBorder="1" applyAlignment="1">
      <alignment horizontal="left" vertical="center" indent="1"/>
    </xf>
    <xf numFmtId="0" fontId="55" fillId="0" borderId="0" xfId="2" applyFont="1" applyBorder="1" applyAlignment="1">
      <alignment horizontal="left" vertical="top" indent="1"/>
    </xf>
    <xf numFmtId="0" fontId="6" fillId="0" borderId="0" xfId="2" applyFont="1" applyBorder="1" applyAlignment="1">
      <alignment vertical="center"/>
    </xf>
    <xf numFmtId="4" fontId="10" fillId="0" borderId="0" xfId="2" applyNumberFormat="1" applyFont="1" applyBorder="1" applyAlignment="1">
      <alignment vertical="center"/>
    </xf>
    <xf numFmtId="2" fontId="18" fillId="0" borderId="0" xfId="2" applyNumberFormat="1" applyFont="1" applyAlignment="1">
      <alignment horizontal="left" vertical="center"/>
    </xf>
    <xf numFmtId="165" fontId="1" fillId="0" borderId="0" xfId="2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49" xfId="2" applyFont="1" applyBorder="1" applyAlignment="1">
      <alignment horizontal="left"/>
    </xf>
    <xf numFmtId="0" fontId="25" fillId="0" borderId="0" xfId="0" applyFont="1" applyAlignment="1">
      <alignment horizontal="left"/>
    </xf>
    <xf numFmtId="164" fontId="0" fillId="0" borderId="54" xfId="1" applyFont="1" applyBorder="1" applyAlignment="1">
      <alignment horizontal="center"/>
    </xf>
    <xf numFmtId="49" fontId="51" fillId="0" borderId="19" xfId="0" applyNumberFormat="1" applyFont="1" applyBorder="1" applyAlignment="1">
      <alignment horizontal="left"/>
    </xf>
    <xf numFmtId="0" fontId="1" fillId="0" borderId="19" xfId="2" applyFont="1" applyBorder="1"/>
    <xf numFmtId="0" fontId="1" fillId="0" borderId="46" xfId="2" applyFont="1" applyBorder="1"/>
    <xf numFmtId="0" fontId="1" fillId="0" borderId="46" xfId="2" applyFont="1" applyBorder="1" applyAlignment="1">
      <alignment horizontal="left"/>
    </xf>
    <xf numFmtId="0" fontId="1" fillId="0" borderId="58" xfId="2" applyFont="1" applyBorder="1" applyAlignment="1">
      <alignment horizontal="left"/>
    </xf>
    <xf numFmtId="2" fontId="17" fillId="0" borderId="0" xfId="2" applyNumberFormat="1" applyFont="1" applyBorder="1" applyAlignment="1">
      <alignment horizontal="right" vertical="center" indent="1"/>
    </xf>
    <xf numFmtId="164" fontId="7" fillId="0" borderId="11" xfId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7" fontId="56" fillId="0" borderId="0" xfId="0" applyNumberFormat="1" applyFont="1" applyBorder="1" applyAlignment="1">
      <alignment horizontal="center"/>
    </xf>
    <xf numFmtId="164" fontId="57" fillId="0" borderId="19" xfId="1" applyFont="1" applyBorder="1"/>
    <xf numFmtId="164" fontId="1" fillId="0" borderId="0" xfId="1" applyFont="1" applyBorder="1" applyAlignment="1">
      <alignment horizontal="center" vertical="center"/>
    </xf>
    <xf numFmtId="49" fontId="12" fillId="0" borderId="0" xfId="3" applyNumberFormat="1" applyFont="1" applyAlignment="1">
      <alignment horizontal="center"/>
    </xf>
    <xf numFmtId="0" fontId="1" fillId="0" borderId="49" xfId="2" applyFont="1" applyBorder="1" applyAlignment="1">
      <alignment horizontal="left"/>
    </xf>
    <xf numFmtId="0" fontId="1" fillId="0" borderId="51" xfId="2" applyFont="1" applyBorder="1" applyAlignment="1">
      <alignment horizontal="left"/>
    </xf>
    <xf numFmtId="164" fontId="17" fillId="0" borderId="0" xfId="0" applyNumberFormat="1" applyFont="1" applyBorder="1" applyAlignment="1">
      <alignment horizontal="right" vertical="center"/>
    </xf>
    <xf numFmtId="164" fontId="17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49" fontId="12" fillId="0" borderId="0" xfId="3" applyNumberFormat="1" applyFont="1" applyAlignment="1"/>
    <xf numFmtId="0" fontId="4" fillId="0" borderId="0" xfId="2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right"/>
    </xf>
    <xf numFmtId="2" fontId="60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 indent="1"/>
    </xf>
    <xf numFmtId="2" fontId="0" fillId="0" borderId="0" xfId="0" applyNumberFormat="1" applyBorder="1" applyAlignment="1">
      <alignment horizontal="right" vertical="center" indent="1"/>
    </xf>
    <xf numFmtId="2" fontId="0" fillId="0" borderId="0" xfId="0" applyNumberFormat="1" applyBorder="1" applyAlignment="1">
      <alignment horizontal="right" indent="1"/>
    </xf>
    <xf numFmtId="0" fontId="61" fillId="0" borderId="0" xfId="0" applyFont="1" applyFill="1"/>
    <xf numFmtId="164" fontId="61" fillId="0" borderId="0" xfId="1" applyFont="1" applyFill="1" applyBorder="1"/>
    <xf numFmtId="164" fontId="62" fillId="0" borderId="0" xfId="0" applyNumberFormat="1" applyFont="1" applyFill="1" applyBorder="1" applyAlignment="1">
      <alignment horizontal="center"/>
    </xf>
    <xf numFmtId="164" fontId="61" fillId="0" borderId="0" xfId="0" applyNumberFormat="1" applyFont="1" applyFill="1" applyBorder="1" applyAlignment="1">
      <alignment vertical="center"/>
    </xf>
    <xf numFmtId="164" fontId="61" fillId="0" borderId="0" xfId="1" applyFont="1" applyFill="1" applyBorder="1" applyAlignment="1">
      <alignment horizontal="right"/>
    </xf>
    <xf numFmtId="164" fontId="61" fillId="0" borderId="0" xfId="1" applyFont="1" applyFill="1" applyBorder="1" applyAlignment="1">
      <alignment horizontal="left"/>
    </xf>
    <xf numFmtId="0" fontId="61" fillId="0" borderId="0" xfId="0" applyNumberFormat="1" applyFont="1" applyFill="1" applyBorder="1" applyAlignment="1">
      <alignment horizontal="left" vertical="center"/>
    </xf>
    <xf numFmtId="0" fontId="61" fillId="0" borderId="0" xfId="0" applyFont="1" applyFill="1" applyBorder="1" applyAlignment="1">
      <alignment horizontal="center" vertical="center"/>
    </xf>
    <xf numFmtId="0" fontId="61" fillId="0" borderId="0" xfId="0" applyFont="1" applyFill="1" applyBorder="1"/>
    <xf numFmtId="0" fontId="63" fillId="0" borderId="0" xfId="0" applyFont="1" applyFill="1" applyBorder="1"/>
    <xf numFmtId="164" fontId="61" fillId="0" borderId="0" xfId="1" applyFont="1" applyFill="1" applyBorder="1" applyAlignment="1">
      <alignment horizontal="center"/>
    </xf>
    <xf numFmtId="166" fontId="61" fillId="0" borderId="0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left"/>
    </xf>
    <xf numFmtId="44" fontId="0" fillId="0" borderId="0" xfId="0" applyNumberFormat="1" applyBorder="1"/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right"/>
    </xf>
    <xf numFmtId="0" fontId="28" fillId="0" borderId="0" xfId="2" quotePrefix="1" applyFont="1"/>
    <xf numFmtId="164" fontId="1" fillId="0" borderId="0" xfId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2" fontId="35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164" fontId="7" fillId="0" borderId="65" xfId="0" applyNumberFormat="1" applyFont="1" applyBorder="1" applyAlignment="1">
      <alignment horizontal="center"/>
    </xf>
    <xf numFmtId="0" fontId="45" fillId="0" borderId="0" xfId="0" applyFont="1"/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64" fontId="33" fillId="0" borderId="43" xfId="1" applyFont="1" applyBorder="1"/>
    <xf numFmtId="166" fontId="35" fillId="0" borderId="0" xfId="0" applyNumberFormat="1" applyFont="1" applyBorder="1" applyAlignment="1">
      <alignment horizontal="right"/>
    </xf>
    <xf numFmtId="2" fontId="41" fillId="0" borderId="0" xfId="0" applyNumberFormat="1" applyFont="1" applyBorder="1" applyAlignment="1"/>
    <xf numFmtId="44" fontId="17" fillId="0" borderId="0" xfId="0" applyNumberFormat="1" applyFont="1" applyBorder="1" applyAlignment="1"/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33" fillId="0" borderId="26" xfId="1" applyFont="1" applyBorder="1"/>
    <xf numFmtId="164" fontId="1" fillId="0" borderId="43" xfId="1" applyFont="1" applyBorder="1"/>
    <xf numFmtId="164" fontId="57" fillId="0" borderId="0" xfId="1" applyFont="1" applyBorder="1"/>
    <xf numFmtId="164" fontId="1" fillId="0" borderId="19" xfId="1" applyFont="1" applyFill="1" applyBorder="1" applyAlignment="1">
      <alignment vertical="center"/>
    </xf>
    <xf numFmtId="164" fontId="1" fillId="0" borderId="0" xfId="1" applyFont="1" applyBorder="1" applyAlignment="1">
      <alignment horizontal="center" vertical="center"/>
    </xf>
    <xf numFmtId="49" fontId="12" fillId="0" borderId="0" xfId="3" applyNumberFormat="1" applyFont="1" applyAlignment="1">
      <alignment horizontal="center"/>
    </xf>
    <xf numFmtId="0" fontId="1" fillId="0" borderId="49" xfId="2" applyFont="1" applyBorder="1" applyAlignment="1">
      <alignment horizontal="left"/>
    </xf>
    <xf numFmtId="0" fontId="1" fillId="0" borderId="51" xfId="2" applyFont="1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1" fillId="0" borderId="45" xfId="2" applyFont="1" applyBorder="1" applyAlignment="1"/>
    <xf numFmtId="165" fontId="2" fillId="0" borderId="76" xfId="5" applyFont="1" applyFill="1" applyBorder="1" applyAlignment="1">
      <alignment horizontal="right"/>
    </xf>
    <xf numFmtId="0" fontId="1" fillId="0" borderId="14" xfId="2" applyFont="1" applyBorder="1" applyAlignment="1"/>
    <xf numFmtId="49" fontId="35" fillId="0" borderId="0" xfId="0" applyNumberFormat="1" applyFont="1" applyBorder="1" applyAlignment="1">
      <alignment horizontal="center"/>
    </xf>
    <xf numFmtId="164" fontId="65" fillId="0" borderId="0" xfId="1" applyFont="1" applyBorder="1"/>
    <xf numFmtId="164" fontId="39" fillId="0" borderId="0" xfId="1" applyFont="1" applyBorder="1" applyAlignment="1">
      <alignment horizontal="left"/>
    </xf>
    <xf numFmtId="164" fontId="35" fillId="0" borderId="0" xfId="1" applyFont="1" applyFill="1" applyBorder="1" applyAlignment="1">
      <alignment horizontal="right"/>
    </xf>
    <xf numFmtId="0" fontId="47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center"/>
    </xf>
    <xf numFmtId="164" fontId="17" fillId="0" borderId="0" xfId="0" applyNumberFormat="1" applyFont="1" applyFill="1" applyBorder="1" applyAlignment="1">
      <alignment horizontal="right"/>
    </xf>
    <xf numFmtId="164" fontId="17" fillId="0" borderId="0" xfId="1" applyFont="1" applyFill="1" applyBorder="1" applyAlignment="1">
      <alignment horizontal="left" vertical="center" indent="2"/>
    </xf>
    <xf numFmtId="164" fontId="17" fillId="0" borderId="0" xfId="0" applyNumberFormat="1" applyFont="1" applyFill="1" applyBorder="1" applyAlignment="1">
      <alignment horizontal="left" indent="1"/>
    </xf>
    <xf numFmtId="0" fontId="1" fillId="0" borderId="50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0" borderId="24" xfId="2" applyFont="1" applyBorder="1"/>
    <xf numFmtId="0" fontId="1" fillId="0" borderId="51" xfId="2" applyFont="1" applyBorder="1"/>
    <xf numFmtId="0" fontId="1" fillId="0" borderId="58" xfId="2" applyFont="1" applyBorder="1"/>
    <xf numFmtId="164" fontId="66" fillId="0" borderId="0" xfId="1" applyFont="1" applyBorder="1" applyAlignment="1">
      <alignment horizontal="left"/>
    </xf>
    <xf numFmtId="0" fontId="67" fillId="0" borderId="0" xfId="0" applyFont="1" applyFill="1" applyBorder="1" applyAlignment="1">
      <alignment horizontal="center" vertical="center"/>
    </xf>
    <xf numFmtId="49" fontId="12" fillId="0" borderId="0" xfId="3" applyNumberFormat="1" applyFont="1" applyAlignment="1">
      <alignment horizontal="center"/>
    </xf>
    <xf numFmtId="164" fontId="1" fillId="0" borderId="0" xfId="1" applyFont="1" applyBorder="1" applyAlignment="1">
      <alignment horizontal="center" vertical="center"/>
    </xf>
    <xf numFmtId="164" fontId="1" fillId="0" borderId="26" xfId="1" applyFont="1" applyBorder="1"/>
    <xf numFmtId="0" fontId="1" fillId="0" borderId="12" xfId="2" applyFont="1" applyBorder="1" applyAlignment="1">
      <alignment horizontal="center"/>
    </xf>
    <xf numFmtId="0" fontId="1" fillId="0" borderId="70" xfId="2" applyFont="1" applyBorder="1" applyAlignment="1">
      <alignment horizontal="center"/>
    </xf>
    <xf numFmtId="0" fontId="1" fillId="0" borderId="70" xfId="2" applyFont="1" applyBorder="1" applyAlignment="1">
      <alignment horizontal="left"/>
    </xf>
    <xf numFmtId="0" fontId="1" fillId="0" borderId="63" xfId="2" applyFont="1" applyBorder="1" applyAlignment="1">
      <alignment horizontal="left"/>
    </xf>
    <xf numFmtId="165" fontId="2" fillId="0" borderId="40" xfId="5" applyFont="1" applyFill="1" applyBorder="1" applyAlignment="1">
      <alignment horizontal="right"/>
    </xf>
    <xf numFmtId="0" fontId="1" fillId="0" borderId="53" xfId="2" applyFont="1" applyBorder="1"/>
    <xf numFmtId="164" fontId="68" fillId="0" borderId="0" xfId="1" applyFont="1" applyBorder="1"/>
    <xf numFmtId="2" fontId="59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66" fillId="0" borderId="0" xfId="0" applyNumberFormat="1" applyFont="1" applyFill="1" applyBorder="1" applyAlignment="1">
      <alignment vertical="center"/>
    </xf>
    <xf numFmtId="164" fontId="43" fillId="0" borderId="0" xfId="0" applyNumberFormat="1" applyFont="1" applyFill="1" applyBorder="1" applyAlignment="1">
      <alignment vertical="center"/>
    </xf>
    <xf numFmtId="49" fontId="35" fillId="0" borderId="0" xfId="0" quotePrefix="1" applyNumberFormat="1" applyFont="1" applyBorder="1" applyAlignment="1">
      <alignment horizontal="center"/>
    </xf>
    <xf numFmtId="0" fontId="61" fillId="0" borderId="19" xfId="0" applyFont="1" applyFill="1" applyBorder="1"/>
    <xf numFmtId="164" fontId="43" fillId="0" borderId="19" xfId="0" applyNumberFormat="1" applyFont="1" applyBorder="1"/>
    <xf numFmtId="164" fontId="69" fillId="0" borderId="0" xfId="1" applyFont="1" applyBorder="1" applyAlignment="1">
      <alignment horizontal="left"/>
    </xf>
    <xf numFmtId="164" fontId="35" fillId="0" borderId="0" xfId="0" applyNumberFormat="1" applyFont="1" applyFill="1" applyBorder="1" applyAlignment="1">
      <alignment vertical="center"/>
    </xf>
    <xf numFmtId="164" fontId="70" fillId="0" borderId="0" xfId="1" applyFont="1" applyBorder="1"/>
    <xf numFmtId="164" fontId="1" fillId="0" borderId="0" xfId="1" applyFont="1" applyBorder="1" applyAlignment="1">
      <alignment horizontal="center" vertical="center"/>
    </xf>
    <xf numFmtId="49" fontId="12" fillId="0" borderId="0" xfId="3" applyNumberFormat="1" applyFont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1" quotePrefix="1" applyFont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44" fontId="43" fillId="0" borderId="0" xfId="0" applyNumberFormat="1" applyFont="1" applyBorder="1" applyAlignment="1">
      <alignment horizontal="center" vertical="center"/>
    </xf>
    <xf numFmtId="164" fontId="1" fillId="0" borderId="0" xfId="1" quotePrefix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" fontId="59" fillId="0" borderId="0" xfId="0" applyNumberFormat="1" applyFont="1" applyAlignment="1">
      <alignment horizontal="right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35" fillId="0" borderId="19" xfId="0" applyNumberFormat="1" applyFont="1" applyBorder="1" applyAlignment="1">
      <alignment horizontal="center"/>
    </xf>
    <xf numFmtId="0" fontId="35" fillId="0" borderId="19" xfId="0" applyFont="1" applyBorder="1" applyAlignment="1">
      <alignment horizontal="right"/>
    </xf>
    <xf numFmtId="164" fontId="36" fillId="0" borderId="19" xfId="1" applyFont="1" applyBorder="1"/>
    <xf numFmtId="164" fontId="65" fillId="0" borderId="19" xfId="1" applyFont="1" applyBorder="1"/>
    <xf numFmtId="164" fontId="7" fillId="0" borderId="19" xfId="1" applyFont="1" applyBorder="1" applyAlignment="1">
      <alignment horizontal="center"/>
    </xf>
    <xf numFmtId="164" fontId="70" fillId="0" borderId="0" xfId="1" applyFont="1" applyFill="1" applyBorder="1"/>
    <xf numFmtId="49" fontId="12" fillId="0" borderId="0" xfId="3" applyNumberFormat="1" applyFont="1" applyAlignment="1">
      <alignment horizontal="center"/>
    </xf>
    <xf numFmtId="164" fontId="1" fillId="0" borderId="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66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7" fillId="0" borderId="0" xfId="0" applyFont="1" applyFill="1" applyBorder="1" applyAlignment="1">
      <alignment horizontal="center" vertical="center"/>
    </xf>
    <xf numFmtId="49" fontId="51" fillId="0" borderId="0" xfId="0" applyNumberFormat="1" applyFont="1" applyBorder="1" applyAlignment="1">
      <alignment horizontal="left"/>
    </xf>
    <xf numFmtId="164" fontId="1" fillId="0" borderId="0" xfId="1" applyFont="1" applyBorder="1" applyAlignment="1">
      <alignment horizontal="center" vertical="center"/>
    </xf>
    <xf numFmtId="49" fontId="12" fillId="0" borderId="0" xfId="3" applyNumberFormat="1" applyFont="1" applyAlignment="1">
      <alignment horizontal="center"/>
    </xf>
    <xf numFmtId="0" fontId="54" fillId="0" borderId="0" xfId="2" quotePrefix="1" applyFont="1" applyAlignment="1">
      <alignment horizontal="center" vertical="center"/>
    </xf>
    <xf numFmtId="0" fontId="1" fillId="0" borderId="0" xfId="2" applyFill="1"/>
    <xf numFmtId="4" fontId="10" fillId="0" borderId="0" xfId="2" applyNumberFormat="1" applyFont="1" applyFill="1" applyBorder="1"/>
    <xf numFmtId="0" fontId="0" fillId="0" borderId="0" xfId="0" applyBorder="1" applyAlignment="1">
      <alignment horizontal="center"/>
    </xf>
    <xf numFmtId="165" fontId="7" fillId="0" borderId="0" xfId="5" applyFont="1" applyBorder="1"/>
    <xf numFmtId="165" fontId="2" fillId="0" borderId="62" xfId="5" applyFont="1" applyFill="1" applyBorder="1" applyAlignment="1">
      <alignment horizontal="right"/>
    </xf>
    <xf numFmtId="165" fontId="2" fillId="0" borderId="61" xfId="5" applyFont="1" applyFill="1" applyBorder="1" applyAlignment="1">
      <alignment horizontal="right"/>
    </xf>
    <xf numFmtId="0" fontId="1" fillId="0" borderId="32" xfId="2" applyFont="1" applyBorder="1"/>
    <xf numFmtId="0" fontId="1" fillId="0" borderId="33" xfId="2" applyFont="1" applyBorder="1"/>
    <xf numFmtId="0" fontId="1" fillId="0" borderId="8" xfId="2" applyFont="1" applyBorder="1"/>
    <xf numFmtId="0" fontId="1" fillId="0" borderId="34" xfId="2" applyFont="1" applyBorder="1"/>
    <xf numFmtId="0" fontId="1" fillId="0" borderId="8" xfId="2" applyFont="1" applyBorder="1" applyAlignment="1"/>
    <xf numFmtId="0" fontId="1" fillId="0" borderId="34" xfId="2" applyFont="1" applyBorder="1" applyAlignment="1"/>
    <xf numFmtId="0" fontId="1" fillId="0" borderId="16" xfId="2" applyFont="1" applyBorder="1" applyAlignment="1"/>
    <xf numFmtId="0" fontId="1" fillId="0" borderId="36" xfId="2" applyFont="1" applyBorder="1" applyAlignment="1"/>
    <xf numFmtId="2" fontId="59" fillId="0" borderId="0" xfId="0" applyNumberFormat="1" applyFont="1" applyAlignment="1"/>
    <xf numFmtId="0" fontId="7" fillId="0" borderId="19" xfId="2" applyFont="1" applyFill="1" applyBorder="1" applyAlignment="1">
      <alignment horizontal="center"/>
    </xf>
    <xf numFmtId="0" fontId="7" fillId="0" borderId="19" xfId="2" applyFont="1" applyFill="1" applyBorder="1"/>
    <xf numFmtId="4" fontId="10" fillId="0" borderId="19" xfId="2" applyNumberFormat="1" applyFont="1" applyFill="1" applyBorder="1"/>
    <xf numFmtId="2" fontId="1" fillId="0" borderId="0" xfId="1" applyNumberForma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center"/>
    </xf>
    <xf numFmtId="169" fontId="1" fillId="0" borderId="19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center"/>
    </xf>
    <xf numFmtId="165" fontId="1" fillId="0" borderId="0" xfId="5" applyFont="1"/>
    <xf numFmtId="0" fontId="17" fillId="0" borderId="0" xfId="2" applyFont="1" applyAlignment="1">
      <alignment horizontal="left" indent="6"/>
    </xf>
    <xf numFmtId="165" fontId="1" fillId="0" borderId="43" xfId="2" applyNumberFormat="1" applyBorder="1"/>
    <xf numFmtId="165" fontId="1" fillId="0" borderId="11" xfId="2" applyNumberFormat="1" applyBorder="1"/>
    <xf numFmtId="0" fontId="10" fillId="0" borderId="11" xfId="2" applyFont="1" applyBorder="1" applyAlignment="1">
      <alignment horizontal="center"/>
    </xf>
    <xf numFmtId="0" fontId="1" fillId="0" borderId="0" xfId="2" applyFont="1" applyBorder="1" applyAlignment="1">
      <alignment horizontal="right"/>
    </xf>
    <xf numFmtId="0" fontId="4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59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1" fillId="0" borderId="19" xfId="1" applyFont="1" applyFill="1" applyBorder="1" applyAlignment="1">
      <alignment horizontal="left" indent="2"/>
    </xf>
    <xf numFmtId="164" fontId="35" fillId="0" borderId="19" xfId="1" applyFont="1" applyBorder="1"/>
    <xf numFmtId="164" fontId="69" fillId="0" borderId="19" xfId="1" applyFont="1" applyBorder="1" applyAlignment="1">
      <alignment horizontal="left"/>
    </xf>
    <xf numFmtId="164" fontId="1" fillId="0" borderId="19" xfId="1" applyFont="1" applyBorder="1" applyAlignment="1">
      <alignment horizontal="left"/>
    </xf>
    <xf numFmtId="0" fontId="0" fillId="0" borderId="19" xfId="0" applyBorder="1" applyAlignment="1">
      <alignment horizontal="left" vertical="center"/>
    </xf>
    <xf numFmtId="0" fontId="45" fillId="0" borderId="0" xfId="0" applyFont="1" applyBorder="1"/>
    <xf numFmtId="164" fontId="43" fillId="0" borderId="0" xfId="0" applyNumberFormat="1" applyFont="1" applyBorder="1"/>
    <xf numFmtId="164" fontId="36" fillId="0" borderId="19" xfId="1" applyFont="1" applyFill="1" applyBorder="1"/>
    <xf numFmtId="49" fontId="35" fillId="0" borderId="19" xfId="0" quotePrefix="1" applyNumberFormat="1" applyFont="1" applyBorder="1" applyAlignment="1">
      <alignment horizontal="center"/>
    </xf>
    <xf numFmtId="49" fontId="35" fillId="0" borderId="19" xfId="0" applyNumberFormat="1" applyFont="1" applyBorder="1" applyAlignment="1">
      <alignment horizontal="right" vertical="center"/>
    </xf>
    <xf numFmtId="164" fontId="29" fillId="0" borderId="19" xfId="1" applyFont="1" applyBorder="1"/>
    <xf numFmtId="164" fontId="35" fillId="0" borderId="19" xfId="0" applyNumberFormat="1" applyFont="1" applyBorder="1"/>
    <xf numFmtId="164" fontId="66" fillId="0" borderId="0" xfId="0" applyNumberFormat="1" applyFont="1"/>
    <xf numFmtId="0" fontId="1" fillId="0" borderId="0" xfId="0" applyFont="1" applyBorder="1" applyAlignment="1"/>
    <xf numFmtId="164" fontId="1" fillId="0" borderId="0" xfId="1" applyFont="1" applyBorder="1" applyAlignment="1">
      <alignment horizontal="center" vertical="center"/>
    </xf>
    <xf numFmtId="0" fontId="54" fillId="0" borderId="0" xfId="2" quotePrefix="1" applyFont="1" applyAlignment="1">
      <alignment horizontal="center" vertical="center"/>
    </xf>
    <xf numFmtId="165" fontId="1" fillId="0" borderId="0" xfId="5" applyFont="1" applyBorder="1"/>
    <xf numFmtId="165" fontId="1" fillId="0" borderId="0" xfId="2" applyNumberFormat="1" applyBorder="1"/>
    <xf numFmtId="0" fontId="17" fillId="0" borderId="0" xfId="2" applyFont="1" applyBorder="1" applyAlignment="1">
      <alignment horizontal="left" indent="6"/>
    </xf>
    <xf numFmtId="164" fontId="73" fillId="0" borderId="39" xfId="1" applyFont="1" applyBorder="1"/>
    <xf numFmtId="164" fontId="73" fillId="0" borderId="0" xfId="1" applyFont="1" applyBorder="1"/>
    <xf numFmtId="164" fontId="36" fillId="0" borderId="0" xfId="0" applyNumberFormat="1" applyFont="1" applyFill="1" applyBorder="1" applyAlignment="1">
      <alignment vertical="center"/>
    </xf>
    <xf numFmtId="164" fontId="35" fillId="0" borderId="0" xfId="1" quotePrefix="1" applyFont="1" applyBorder="1" applyAlignment="1">
      <alignment horizontal="right"/>
    </xf>
    <xf numFmtId="164" fontId="73" fillId="0" borderId="0" xfId="1" applyFont="1" applyFill="1" applyBorder="1"/>
    <xf numFmtId="0" fontId="1" fillId="0" borderId="24" xfId="2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2" fontId="59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center"/>
    </xf>
    <xf numFmtId="164" fontId="35" fillId="0" borderId="0" xfId="0" applyNumberFormat="1" applyFont="1" applyBorder="1"/>
    <xf numFmtId="164" fontId="1" fillId="0" borderId="19" xfId="0" applyNumberFormat="1" applyFont="1" applyFill="1" applyBorder="1" applyAlignment="1">
      <alignment vertical="center"/>
    </xf>
    <xf numFmtId="164" fontId="1" fillId="0" borderId="19" xfId="1" quotePrefix="1" applyFont="1" applyFill="1" applyBorder="1" applyAlignment="1">
      <alignment horizontal="right"/>
    </xf>
    <xf numFmtId="164" fontId="1" fillId="0" borderId="19" xfId="1" applyFont="1" applyFill="1" applyBorder="1" applyAlignment="1">
      <alignment horizontal="left"/>
    </xf>
    <xf numFmtId="0" fontId="61" fillId="0" borderId="19" xfId="0" applyNumberFormat="1" applyFont="1" applyFill="1" applyBorder="1" applyAlignment="1">
      <alignment horizontal="left" vertical="center"/>
    </xf>
    <xf numFmtId="0" fontId="61" fillId="0" borderId="19" xfId="0" applyFont="1" applyFill="1" applyBorder="1" applyAlignment="1">
      <alignment horizontal="center" vertical="center"/>
    </xf>
    <xf numFmtId="0" fontId="35" fillId="0" borderId="0" xfId="0" applyFont="1"/>
    <xf numFmtId="0" fontId="64" fillId="0" borderId="0" xfId="0" applyFont="1"/>
    <xf numFmtId="165" fontId="2" fillId="0" borderId="0" xfId="5" applyFont="1" applyFill="1" applyBorder="1" applyAlignment="1">
      <alignment horizontal="right"/>
    </xf>
    <xf numFmtId="0" fontId="1" fillId="0" borderId="5" xfId="2" applyFont="1" applyBorder="1" applyAlignment="1">
      <alignment horizontal="center"/>
    </xf>
    <xf numFmtId="0" fontId="1" fillId="0" borderId="5" xfId="2" applyFont="1" applyBorder="1"/>
    <xf numFmtId="165" fontId="2" fillId="0" borderId="5" xfId="5" applyFont="1" applyFill="1" applyBorder="1" applyAlignment="1">
      <alignment horizontal="right"/>
    </xf>
    <xf numFmtId="0" fontId="1" fillId="0" borderId="5" xfId="2" applyFont="1" applyBorder="1" applyAlignment="1">
      <alignment horizontal="left"/>
    </xf>
    <xf numFmtId="165" fontId="7" fillId="0" borderId="11" xfId="5" applyFont="1" applyBorder="1"/>
    <xf numFmtId="2" fontId="10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2" fontId="1" fillId="0" borderId="5" xfId="2" applyNumberFormat="1" applyFont="1" applyBorder="1" applyAlignment="1">
      <alignment horizontal="right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2" applyFont="1" applyFill="1" applyBorder="1" applyAlignment="1">
      <alignment horizontal="left"/>
    </xf>
    <xf numFmtId="0" fontId="17" fillId="0" borderId="19" xfId="2" applyFont="1" applyFill="1" applyBorder="1" applyAlignment="1">
      <alignment horizontal="left"/>
    </xf>
    <xf numFmtId="0" fontId="35" fillId="0" borderId="0" xfId="0" applyFont="1" applyAlignment="1">
      <alignment horizontal="left"/>
    </xf>
    <xf numFmtId="1" fontId="1" fillId="0" borderId="0" xfId="2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wrapText="1"/>
    </xf>
    <xf numFmtId="0" fontId="10" fillId="0" borderId="19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43" fontId="0" fillId="0" borderId="0" xfId="0" applyNumberFormat="1"/>
    <xf numFmtId="2" fontId="6" fillId="0" borderId="0" xfId="2" applyNumberFormat="1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1" fontId="17" fillId="0" borderId="0" xfId="2" applyNumberFormat="1" applyFont="1" applyBorder="1" applyAlignment="1">
      <alignment horizontal="center" vertical="center"/>
    </xf>
    <xf numFmtId="165" fontId="2" fillId="0" borderId="25" xfId="5" applyFont="1" applyFill="1" applyBorder="1" applyAlignment="1">
      <alignment horizontal="right"/>
    </xf>
    <xf numFmtId="43" fontId="0" fillId="0" borderId="46" xfId="0" applyNumberFormat="1" applyBorder="1"/>
    <xf numFmtId="165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164" fontId="40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9" fontId="12" fillId="0" borderId="0" xfId="3" applyNumberFormat="1" applyFont="1" applyAlignment="1">
      <alignment horizontal="center"/>
    </xf>
    <xf numFmtId="0" fontId="1" fillId="0" borderId="47" xfId="2" applyFont="1" applyBorder="1" applyAlignment="1">
      <alignment horizontal="center" vertical="center" wrapText="1"/>
    </xf>
    <xf numFmtId="0" fontId="5" fillId="0" borderId="47" xfId="3" applyFont="1" applyBorder="1" applyAlignment="1">
      <alignment horizontal="center" vertical="center" wrapText="1"/>
    </xf>
    <xf numFmtId="164" fontId="6" fillId="0" borderId="0" xfId="1" applyFont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164" fontId="6" fillId="0" borderId="71" xfId="1" applyFont="1" applyBorder="1" applyAlignment="1">
      <alignment horizontal="center" vertical="center"/>
    </xf>
    <xf numFmtId="164" fontId="6" fillId="0" borderId="57" xfId="1" applyFont="1" applyBorder="1" applyAlignment="1">
      <alignment horizontal="center" vertical="center"/>
    </xf>
    <xf numFmtId="164" fontId="6" fillId="0" borderId="25" xfId="1" applyFont="1" applyBorder="1" applyAlignment="1">
      <alignment horizontal="center" vertical="center"/>
    </xf>
    <xf numFmtId="164" fontId="6" fillId="0" borderId="24" xfId="1" applyFont="1" applyBorder="1" applyAlignment="1">
      <alignment horizontal="center" vertical="center"/>
    </xf>
    <xf numFmtId="0" fontId="54" fillId="0" borderId="0" xfId="2" quotePrefix="1" applyFont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49" fontId="58" fillId="0" borderId="0" xfId="3" applyNumberFormat="1" applyFont="1" applyAlignment="1">
      <alignment horizontal="center" vertical="center"/>
    </xf>
    <xf numFmtId="14" fontId="55" fillId="0" borderId="0" xfId="2" applyNumberFormat="1" applyFont="1" applyBorder="1" applyAlignment="1">
      <alignment horizontal="center" vertical="top"/>
    </xf>
    <xf numFmtId="0" fontId="55" fillId="0" borderId="0" xfId="2" applyFont="1" applyBorder="1" applyAlignment="1">
      <alignment horizontal="center" vertical="top"/>
    </xf>
    <xf numFmtId="0" fontId="71" fillId="0" borderId="0" xfId="2" applyFont="1" applyFill="1" applyAlignment="1">
      <alignment horizontal="center" vertical="center"/>
    </xf>
    <xf numFmtId="0" fontId="72" fillId="0" borderId="0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4" fontId="0" fillId="0" borderId="0" xfId="0" applyNumberFormat="1" applyBorder="1" applyAlignment="1">
      <alignment horizontal="center" vertical="center"/>
    </xf>
    <xf numFmtId="0" fontId="17" fillId="0" borderId="19" xfId="0" applyFont="1" applyBorder="1" applyAlignment="1">
      <alignment horizontal="left"/>
    </xf>
    <xf numFmtId="0" fontId="51" fillId="0" borderId="0" xfId="0" applyFont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10" fillId="0" borderId="0" xfId="0" quotePrefix="1" applyFont="1" applyBorder="1" applyAlignment="1">
      <alignment horizontal="center" wrapText="1"/>
    </xf>
    <xf numFmtId="0" fontId="10" fillId="0" borderId="19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72" xfId="0" applyNumberFormat="1" applyFont="1" applyBorder="1" applyAlignment="1">
      <alignment horizontal="center"/>
    </xf>
    <xf numFmtId="49" fontId="30" fillId="0" borderId="19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59" fillId="0" borderId="0" xfId="0" applyNumberFormat="1" applyFont="1" applyAlignment="1">
      <alignment horizontal="right"/>
    </xf>
    <xf numFmtId="0" fontId="0" fillId="0" borderId="0" xfId="0" applyBorder="1" applyAlignment="1">
      <alignment horizontal="center"/>
    </xf>
    <xf numFmtId="164" fontId="1" fillId="0" borderId="71" xfId="0" applyNumberFormat="1" applyFont="1" applyBorder="1" applyAlignment="1">
      <alignment horizontal="center"/>
    </xf>
    <xf numFmtId="164" fontId="7" fillId="0" borderId="71" xfId="0" applyNumberFormat="1" applyFont="1" applyBorder="1" applyAlignment="1">
      <alignment horizontal="center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9527</xdr:rowOff>
    </xdr:from>
    <xdr:to>
      <xdr:col>1</xdr:col>
      <xdr:colOff>19049</xdr:colOff>
      <xdr:row>37</xdr:row>
      <xdr:rowOff>133354</xdr:rowOff>
    </xdr:to>
    <xdr:sp macro="" textlink="">
      <xdr:nvSpPr>
        <xdr:cNvPr id="2" name="TextBox 1"/>
        <xdr:cNvSpPr txBox="1"/>
      </xdr:nvSpPr>
      <xdr:spPr>
        <a:xfrm rot="4938974">
          <a:off x="-576264" y="5624516"/>
          <a:ext cx="1743077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19049</xdr:colOff>
      <xdr:row>55</xdr:row>
      <xdr:rowOff>123827</xdr:rowOff>
    </xdr:to>
    <xdr:sp macro="" textlink="">
      <xdr:nvSpPr>
        <xdr:cNvPr id="3" name="TextBox 2"/>
        <xdr:cNvSpPr txBox="1"/>
      </xdr:nvSpPr>
      <xdr:spPr>
        <a:xfrm rot="4938974">
          <a:off x="-576264" y="8653464"/>
          <a:ext cx="1743077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9527</xdr:rowOff>
    </xdr:from>
    <xdr:to>
      <xdr:col>1</xdr:col>
      <xdr:colOff>19049</xdr:colOff>
      <xdr:row>12</xdr:row>
      <xdr:rowOff>133354</xdr:rowOff>
    </xdr:to>
    <xdr:sp macro="" textlink="">
      <xdr:nvSpPr>
        <xdr:cNvPr id="2" name="TextBox 1"/>
        <xdr:cNvSpPr txBox="1"/>
      </xdr:nvSpPr>
      <xdr:spPr>
        <a:xfrm rot="4938974">
          <a:off x="-576264" y="5624516"/>
          <a:ext cx="1743077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</xdr:col>
      <xdr:colOff>19049</xdr:colOff>
      <xdr:row>69</xdr:row>
      <xdr:rowOff>123827</xdr:rowOff>
    </xdr:to>
    <xdr:sp macro="" textlink="">
      <xdr:nvSpPr>
        <xdr:cNvPr id="3" name="TextBox 2"/>
        <xdr:cNvSpPr txBox="1"/>
      </xdr:nvSpPr>
      <xdr:spPr>
        <a:xfrm rot="4938974">
          <a:off x="-576264" y="8653464"/>
          <a:ext cx="1743077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19049</xdr:colOff>
      <xdr:row>31</xdr:row>
      <xdr:rowOff>123827</xdr:rowOff>
    </xdr:to>
    <xdr:sp macro="" textlink="">
      <xdr:nvSpPr>
        <xdr:cNvPr id="4" name="TextBox 3"/>
        <xdr:cNvSpPr txBox="1"/>
      </xdr:nvSpPr>
      <xdr:spPr>
        <a:xfrm rot="4938974">
          <a:off x="-576264" y="4071939"/>
          <a:ext cx="1743077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1</xdr:col>
      <xdr:colOff>19049</xdr:colOff>
      <xdr:row>50</xdr:row>
      <xdr:rowOff>123827</xdr:rowOff>
    </xdr:to>
    <xdr:sp macro="" textlink="">
      <xdr:nvSpPr>
        <xdr:cNvPr id="5" name="TextBox 4"/>
        <xdr:cNvSpPr txBox="1"/>
      </xdr:nvSpPr>
      <xdr:spPr>
        <a:xfrm rot="4938974">
          <a:off x="-576264" y="7110414"/>
          <a:ext cx="1743077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9527</xdr:rowOff>
    </xdr:from>
    <xdr:to>
      <xdr:col>1</xdr:col>
      <xdr:colOff>19049</xdr:colOff>
      <xdr:row>12</xdr:row>
      <xdr:rowOff>133354</xdr:rowOff>
    </xdr:to>
    <xdr:sp macro="" textlink="">
      <xdr:nvSpPr>
        <xdr:cNvPr id="2" name="TextBox 1"/>
        <xdr:cNvSpPr txBox="1"/>
      </xdr:nvSpPr>
      <xdr:spPr>
        <a:xfrm rot="4938974">
          <a:off x="-657226" y="1057278"/>
          <a:ext cx="1905002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19049</xdr:colOff>
      <xdr:row>93</xdr:row>
      <xdr:rowOff>0</xdr:rowOff>
    </xdr:to>
    <xdr:sp macro="" textlink="">
      <xdr:nvSpPr>
        <xdr:cNvPr id="3" name="TextBox 2"/>
        <xdr:cNvSpPr txBox="1"/>
      </xdr:nvSpPr>
      <xdr:spPr>
        <a:xfrm rot="4938974">
          <a:off x="-657226" y="10648951"/>
          <a:ext cx="1905002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19049</xdr:colOff>
      <xdr:row>31</xdr:row>
      <xdr:rowOff>123827</xdr:rowOff>
    </xdr:to>
    <xdr:sp macro="" textlink="">
      <xdr:nvSpPr>
        <xdr:cNvPr id="4" name="TextBox 3"/>
        <xdr:cNvSpPr txBox="1"/>
      </xdr:nvSpPr>
      <xdr:spPr>
        <a:xfrm rot="4938974">
          <a:off x="-657226" y="4248151"/>
          <a:ext cx="1905002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1</xdr:col>
      <xdr:colOff>19049</xdr:colOff>
      <xdr:row>50</xdr:row>
      <xdr:rowOff>123827</xdr:rowOff>
    </xdr:to>
    <xdr:sp macro="" textlink="">
      <xdr:nvSpPr>
        <xdr:cNvPr id="5" name="TextBox 4"/>
        <xdr:cNvSpPr txBox="1"/>
      </xdr:nvSpPr>
      <xdr:spPr>
        <a:xfrm rot="4938974">
          <a:off x="-657226" y="7448551"/>
          <a:ext cx="1905002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</xdr:col>
      <xdr:colOff>19049</xdr:colOff>
      <xdr:row>70</xdr:row>
      <xdr:rowOff>123827</xdr:rowOff>
    </xdr:to>
    <xdr:sp macro="" textlink="">
      <xdr:nvSpPr>
        <xdr:cNvPr id="6" name="TextBox 5"/>
        <xdr:cNvSpPr txBox="1"/>
      </xdr:nvSpPr>
      <xdr:spPr>
        <a:xfrm rot="4938974">
          <a:off x="-657226" y="10648951"/>
          <a:ext cx="1905002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19576</xdr:rowOff>
    </xdr:from>
    <xdr:to>
      <xdr:col>0</xdr:col>
      <xdr:colOff>440912</xdr:colOff>
      <xdr:row>8</xdr:row>
      <xdr:rowOff>76783</xdr:rowOff>
    </xdr:to>
    <xdr:sp macro="" textlink="">
      <xdr:nvSpPr>
        <xdr:cNvPr id="2" name="TextBox 1"/>
        <xdr:cNvSpPr txBox="1"/>
      </xdr:nvSpPr>
      <xdr:spPr>
        <a:xfrm rot="4938974">
          <a:off x="-374885" y="784986"/>
          <a:ext cx="1190682" cy="440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1</xdr:col>
      <xdr:colOff>19049</xdr:colOff>
      <xdr:row>91</xdr:row>
      <xdr:rowOff>0</xdr:rowOff>
    </xdr:to>
    <xdr:sp macro="" textlink="">
      <xdr:nvSpPr>
        <xdr:cNvPr id="3" name="TextBox 2"/>
        <xdr:cNvSpPr txBox="1"/>
      </xdr:nvSpPr>
      <xdr:spPr>
        <a:xfrm rot="4938974">
          <a:off x="-923925" y="14277975"/>
          <a:ext cx="2438400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7798</xdr:colOff>
      <xdr:row>24</xdr:row>
      <xdr:rowOff>9769</xdr:rowOff>
    </xdr:from>
    <xdr:to>
      <xdr:col>0</xdr:col>
      <xdr:colOff>445085</xdr:colOff>
      <xdr:row>30</xdr:row>
      <xdr:rowOff>138957</xdr:rowOff>
    </xdr:to>
    <xdr:sp macro="" textlink="">
      <xdr:nvSpPr>
        <xdr:cNvPr id="4" name="TextBox 3"/>
        <xdr:cNvSpPr txBox="1"/>
      </xdr:nvSpPr>
      <xdr:spPr>
        <a:xfrm rot="4938974">
          <a:off x="-404890" y="4499157"/>
          <a:ext cx="126266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</xdr:txBody>
    </xdr:sp>
    <xdr:clientData/>
  </xdr:twoCellAnchor>
  <xdr:twoCellAnchor>
    <xdr:from>
      <xdr:col>0</xdr:col>
      <xdr:colOff>7873</xdr:colOff>
      <xdr:row>46</xdr:row>
      <xdr:rowOff>9618</xdr:rowOff>
    </xdr:from>
    <xdr:to>
      <xdr:col>0</xdr:col>
      <xdr:colOff>447328</xdr:colOff>
      <xdr:row>53</xdr:row>
      <xdr:rowOff>10439</xdr:rowOff>
    </xdr:to>
    <xdr:sp macro="" textlink="">
      <xdr:nvSpPr>
        <xdr:cNvPr id="5" name="TextBox 4"/>
        <xdr:cNvSpPr txBox="1"/>
      </xdr:nvSpPr>
      <xdr:spPr>
        <a:xfrm rot="4938974">
          <a:off x="-420510" y="8200876"/>
          <a:ext cx="1296221" cy="4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</xdr:txBody>
    </xdr:sp>
    <xdr:clientData/>
  </xdr:twoCellAnchor>
  <xdr:twoCellAnchor>
    <xdr:from>
      <xdr:col>0</xdr:col>
      <xdr:colOff>3666</xdr:colOff>
      <xdr:row>68</xdr:row>
      <xdr:rowOff>5470</xdr:rowOff>
    </xdr:from>
    <xdr:to>
      <xdr:col>0</xdr:col>
      <xdr:colOff>509087</xdr:colOff>
      <xdr:row>74</xdr:row>
      <xdr:rowOff>91872</xdr:rowOff>
    </xdr:to>
    <xdr:sp macro="" textlink="">
      <xdr:nvSpPr>
        <xdr:cNvPr id="6" name="TextBox 5"/>
        <xdr:cNvSpPr txBox="1"/>
      </xdr:nvSpPr>
      <xdr:spPr>
        <a:xfrm rot="4938974">
          <a:off x="-353562" y="11811748"/>
          <a:ext cx="1219877" cy="505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4024</xdr:colOff>
      <xdr:row>2</xdr:row>
      <xdr:rowOff>19305</xdr:rowOff>
    </xdr:from>
    <xdr:to>
      <xdr:col>0</xdr:col>
      <xdr:colOff>444936</xdr:colOff>
      <xdr:row>8</xdr:row>
      <xdr:rowOff>136705</xdr:rowOff>
    </xdr:to>
    <xdr:sp macro="" textlink="">
      <xdr:nvSpPr>
        <xdr:cNvPr id="2" name="TextBox 1"/>
        <xdr:cNvSpPr txBox="1"/>
      </xdr:nvSpPr>
      <xdr:spPr>
        <a:xfrm rot="4938974">
          <a:off x="-400958" y="814812"/>
          <a:ext cx="1250875" cy="440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19049</xdr:colOff>
      <xdr:row>111</xdr:row>
      <xdr:rowOff>0</xdr:rowOff>
    </xdr:to>
    <xdr:sp macro="" textlink="">
      <xdr:nvSpPr>
        <xdr:cNvPr id="3" name="TextBox 2"/>
        <xdr:cNvSpPr txBox="1"/>
      </xdr:nvSpPr>
      <xdr:spPr>
        <a:xfrm rot="4938974">
          <a:off x="295275" y="15078075"/>
          <a:ext cx="0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7798</xdr:colOff>
      <xdr:row>24</xdr:row>
      <xdr:rowOff>9769</xdr:rowOff>
    </xdr:from>
    <xdr:to>
      <xdr:col>0</xdr:col>
      <xdr:colOff>445085</xdr:colOff>
      <xdr:row>30</xdr:row>
      <xdr:rowOff>138957</xdr:rowOff>
    </xdr:to>
    <xdr:sp macro="" textlink="">
      <xdr:nvSpPr>
        <xdr:cNvPr id="4" name="TextBox 3"/>
        <xdr:cNvSpPr txBox="1"/>
      </xdr:nvSpPr>
      <xdr:spPr>
        <a:xfrm rot="4938974">
          <a:off x="-404890" y="4499157"/>
          <a:ext cx="126266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</xdr:txBody>
    </xdr:sp>
    <xdr:clientData/>
  </xdr:twoCellAnchor>
  <xdr:twoCellAnchor>
    <xdr:from>
      <xdr:col>0</xdr:col>
      <xdr:colOff>7873</xdr:colOff>
      <xdr:row>46</xdr:row>
      <xdr:rowOff>9618</xdr:rowOff>
    </xdr:from>
    <xdr:to>
      <xdr:col>0</xdr:col>
      <xdr:colOff>447328</xdr:colOff>
      <xdr:row>53</xdr:row>
      <xdr:rowOff>10439</xdr:rowOff>
    </xdr:to>
    <xdr:sp macro="" textlink="">
      <xdr:nvSpPr>
        <xdr:cNvPr id="5" name="TextBox 4"/>
        <xdr:cNvSpPr txBox="1"/>
      </xdr:nvSpPr>
      <xdr:spPr>
        <a:xfrm rot="4938974">
          <a:off x="-420510" y="8200876"/>
          <a:ext cx="1296221" cy="4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</xdr:txBody>
    </xdr:sp>
    <xdr:clientData/>
  </xdr:twoCellAnchor>
  <xdr:twoCellAnchor>
    <xdr:from>
      <xdr:col>0</xdr:col>
      <xdr:colOff>3666</xdr:colOff>
      <xdr:row>90</xdr:row>
      <xdr:rowOff>5470</xdr:rowOff>
    </xdr:from>
    <xdr:to>
      <xdr:col>0</xdr:col>
      <xdr:colOff>509087</xdr:colOff>
      <xdr:row>96</xdr:row>
      <xdr:rowOff>91872</xdr:rowOff>
    </xdr:to>
    <xdr:sp macro="" textlink="">
      <xdr:nvSpPr>
        <xdr:cNvPr id="6" name="TextBox 5"/>
        <xdr:cNvSpPr txBox="1"/>
      </xdr:nvSpPr>
      <xdr:spPr>
        <a:xfrm rot="4938974">
          <a:off x="-353562" y="11811748"/>
          <a:ext cx="1219877" cy="505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439455</xdr:colOff>
      <xdr:row>75</xdr:row>
      <xdr:rowOff>821</xdr:rowOff>
    </xdr:to>
    <xdr:sp macro="" textlink="">
      <xdr:nvSpPr>
        <xdr:cNvPr id="7" name="TextBox 6"/>
        <xdr:cNvSpPr txBox="1"/>
      </xdr:nvSpPr>
      <xdr:spPr>
        <a:xfrm rot="4938974">
          <a:off x="-428383" y="11877433"/>
          <a:ext cx="1296221" cy="4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4024</xdr:colOff>
      <xdr:row>2</xdr:row>
      <xdr:rowOff>19305</xdr:rowOff>
    </xdr:from>
    <xdr:to>
      <xdr:col>0</xdr:col>
      <xdr:colOff>444936</xdr:colOff>
      <xdr:row>8</xdr:row>
      <xdr:rowOff>136705</xdr:rowOff>
    </xdr:to>
    <xdr:sp macro="" textlink="">
      <xdr:nvSpPr>
        <xdr:cNvPr id="2" name="TextBox 1"/>
        <xdr:cNvSpPr txBox="1"/>
      </xdr:nvSpPr>
      <xdr:spPr>
        <a:xfrm rot="4938974">
          <a:off x="-400958" y="814812"/>
          <a:ext cx="1250875" cy="440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1</xdr:col>
      <xdr:colOff>19049</xdr:colOff>
      <xdr:row>91</xdr:row>
      <xdr:rowOff>0</xdr:rowOff>
    </xdr:to>
    <xdr:sp macro="" textlink="">
      <xdr:nvSpPr>
        <xdr:cNvPr id="3" name="TextBox 2"/>
        <xdr:cNvSpPr txBox="1"/>
      </xdr:nvSpPr>
      <xdr:spPr>
        <a:xfrm rot="4938974">
          <a:off x="295275" y="18440400"/>
          <a:ext cx="0" cy="590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  <xdr:twoCellAnchor>
    <xdr:from>
      <xdr:col>0</xdr:col>
      <xdr:colOff>7798</xdr:colOff>
      <xdr:row>24</xdr:row>
      <xdr:rowOff>9769</xdr:rowOff>
    </xdr:from>
    <xdr:to>
      <xdr:col>0</xdr:col>
      <xdr:colOff>445085</xdr:colOff>
      <xdr:row>30</xdr:row>
      <xdr:rowOff>138957</xdr:rowOff>
    </xdr:to>
    <xdr:sp macro="" textlink="">
      <xdr:nvSpPr>
        <xdr:cNvPr id="4" name="TextBox 3"/>
        <xdr:cNvSpPr txBox="1"/>
      </xdr:nvSpPr>
      <xdr:spPr>
        <a:xfrm rot="4938974">
          <a:off x="-404890" y="4499157"/>
          <a:ext cx="126266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7873</xdr:colOff>
      <xdr:row>46</xdr:row>
      <xdr:rowOff>9618</xdr:rowOff>
    </xdr:from>
    <xdr:to>
      <xdr:col>0</xdr:col>
      <xdr:colOff>447328</xdr:colOff>
      <xdr:row>53</xdr:row>
      <xdr:rowOff>10439</xdr:rowOff>
    </xdr:to>
    <xdr:sp macro="" textlink="">
      <xdr:nvSpPr>
        <xdr:cNvPr id="5" name="TextBox 4"/>
        <xdr:cNvSpPr txBox="1"/>
      </xdr:nvSpPr>
      <xdr:spPr>
        <a:xfrm rot="4938974">
          <a:off x="-420510" y="8200876"/>
          <a:ext cx="1296221" cy="4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</xdr:txBody>
    </xdr:sp>
    <xdr:clientData/>
  </xdr:twoCellAnchor>
  <xdr:twoCellAnchor>
    <xdr:from>
      <xdr:col>0</xdr:col>
      <xdr:colOff>3666</xdr:colOff>
      <xdr:row>68</xdr:row>
      <xdr:rowOff>5470</xdr:rowOff>
    </xdr:from>
    <xdr:to>
      <xdr:col>0</xdr:col>
      <xdr:colOff>509087</xdr:colOff>
      <xdr:row>74</xdr:row>
      <xdr:rowOff>91872</xdr:rowOff>
    </xdr:to>
    <xdr:sp macro="" textlink="">
      <xdr:nvSpPr>
        <xdr:cNvPr id="6" name="TextBox 5"/>
        <xdr:cNvSpPr txBox="1"/>
      </xdr:nvSpPr>
      <xdr:spPr>
        <a:xfrm rot="4938974">
          <a:off x="-353562" y="15497923"/>
          <a:ext cx="1219877" cy="505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439455</xdr:colOff>
      <xdr:row>68</xdr:row>
      <xdr:rowOff>0</xdr:rowOff>
    </xdr:to>
    <xdr:sp macro="" textlink="">
      <xdr:nvSpPr>
        <xdr:cNvPr id="7" name="TextBox 6"/>
        <xdr:cNvSpPr txBox="1"/>
      </xdr:nvSpPr>
      <xdr:spPr>
        <a:xfrm rot="4938974">
          <a:off x="-428383" y="11877433"/>
          <a:ext cx="1296221" cy="4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437287</xdr:colOff>
      <xdr:row>11</xdr:row>
      <xdr:rowOff>52988</xdr:rowOff>
    </xdr:to>
    <xdr:sp macro="" textlink="">
      <xdr:nvSpPr>
        <xdr:cNvPr id="2" name="TextBox 1"/>
        <xdr:cNvSpPr txBox="1"/>
      </xdr:nvSpPr>
      <xdr:spPr>
        <a:xfrm rot="4938974">
          <a:off x="-412688" y="1241363"/>
          <a:ext cx="126266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437287</xdr:colOff>
      <xdr:row>31</xdr:row>
      <xdr:rowOff>0</xdr:rowOff>
    </xdr:to>
    <xdr:sp macro="" textlink="">
      <xdr:nvSpPr>
        <xdr:cNvPr id="3" name="TextBox 2"/>
        <xdr:cNvSpPr txBox="1"/>
      </xdr:nvSpPr>
      <xdr:spPr>
        <a:xfrm rot="4938974">
          <a:off x="-412688" y="4679888"/>
          <a:ext cx="126266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12105</xdr:colOff>
      <xdr:row>46</xdr:row>
      <xdr:rowOff>84912</xdr:rowOff>
    </xdr:from>
    <xdr:to>
      <xdr:col>0</xdr:col>
      <xdr:colOff>449392</xdr:colOff>
      <xdr:row>55</xdr:row>
      <xdr:rowOff>18356</xdr:rowOff>
    </xdr:to>
    <xdr:sp macro="" textlink="">
      <xdr:nvSpPr>
        <xdr:cNvPr id="4" name="TextBox 3"/>
        <xdr:cNvSpPr txBox="1"/>
      </xdr:nvSpPr>
      <xdr:spPr>
        <a:xfrm rot="4938974">
          <a:off x="-464636" y="8343578"/>
          <a:ext cx="139076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9837</xdr:colOff>
      <xdr:row>65</xdr:row>
      <xdr:rowOff>85064</xdr:rowOff>
    </xdr:from>
    <xdr:to>
      <xdr:col>0</xdr:col>
      <xdr:colOff>447124</xdr:colOff>
      <xdr:row>73</xdr:row>
      <xdr:rowOff>146495</xdr:rowOff>
    </xdr:to>
    <xdr:sp macro="" textlink="">
      <xdr:nvSpPr>
        <xdr:cNvPr id="5" name="TextBox 4"/>
        <xdr:cNvSpPr txBox="1"/>
      </xdr:nvSpPr>
      <xdr:spPr>
        <a:xfrm rot="4938974">
          <a:off x="-449935" y="11441436"/>
          <a:ext cx="135683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10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490822" y="896410"/>
          <a:ext cx="145122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30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557896" y="4087816"/>
          <a:ext cx="160607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39</xdr:row>
      <xdr:rowOff>82654</xdr:rowOff>
    </xdr:from>
    <xdr:to>
      <xdr:col>0</xdr:col>
      <xdr:colOff>483022</xdr:colOff>
      <xdr:row>52</xdr:row>
      <xdr:rowOff>0</xdr:rowOff>
    </xdr:to>
    <xdr:sp macro="" textlink="">
      <xdr:nvSpPr>
        <xdr:cNvPr id="4" name="TextBox 3"/>
        <xdr:cNvSpPr txBox="1"/>
      </xdr:nvSpPr>
      <xdr:spPr>
        <a:xfrm rot="4938974">
          <a:off x="-682537" y="7992776"/>
          <a:ext cx="189383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58</xdr:row>
      <xdr:rowOff>83990</xdr:rowOff>
    </xdr:from>
    <xdr:to>
      <xdr:col>0</xdr:col>
      <xdr:colOff>463120</xdr:colOff>
      <xdr:row>69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553581" y="10959929"/>
          <a:ext cx="159611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tty%20Cash%20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ages%20-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TY CASH"/>
      <sheetName val="Leon"/>
      <sheetName val="NOVEMBER '13"/>
      <sheetName val="OCTOBER '13"/>
      <sheetName val="SEPTEMBER '13"/>
      <sheetName val="AUGUST '13"/>
      <sheetName val="JULY '13"/>
      <sheetName val="JUNE '13"/>
      <sheetName val="MAY '13"/>
      <sheetName val="APRIL '13"/>
      <sheetName val="MARCH '13"/>
      <sheetName val="FEB '13"/>
      <sheetName val="JAN '13"/>
      <sheetName val="DEC '12"/>
      <sheetName val="NOV '12"/>
      <sheetName val="OCT '12"/>
      <sheetName val="SEP '12"/>
      <sheetName val="AUG '12"/>
      <sheetName val="JULY '12"/>
      <sheetName val="JUNE '12"/>
      <sheetName val="MAY '12"/>
      <sheetName val="APRIL '12"/>
      <sheetName val="MARCH '12"/>
      <sheetName val="FEBRUARY '12"/>
      <sheetName val="JANUARY '12"/>
      <sheetName val="DECEMBER '11"/>
      <sheetName val="NOVEMBER '11"/>
      <sheetName val="OCTOBER '11"/>
      <sheetName val="SEPTEMBER '11"/>
      <sheetName val="AUGUST '11"/>
      <sheetName val="JULY '11"/>
      <sheetName val="JUNE '11"/>
      <sheetName val="MAY '11"/>
      <sheetName val="APRIL '11"/>
      <sheetName val="MARCH '11"/>
      <sheetName val="FEBRUARY '11"/>
      <sheetName val="JANUARY '11"/>
      <sheetName val="DECEMBER '10"/>
      <sheetName val="NOVEMBER '10"/>
      <sheetName val="OCTOBER '10"/>
      <sheetName val="SEPTEMBER '10"/>
      <sheetName val="AUGUST '10"/>
      <sheetName val="JULY '10"/>
      <sheetName val="JUNE '10"/>
      <sheetName val="MAY '10"/>
      <sheetName val="APRIL '10"/>
      <sheetName val="MARCH '10"/>
      <sheetName val="FEBRUARY '10"/>
      <sheetName val="JANUARY '10"/>
      <sheetName val="DECEMBER '09"/>
      <sheetName val="NOVEMBER '09"/>
      <sheetName val="OCTOBER '09"/>
      <sheetName val="SEPTEMBER '09"/>
      <sheetName val="AUGUST '09"/>
      <sheetName val="JULY '09"/>
      <sheetName val="JUNE '09"/>
      <sheetName val="MAY '09"/>
      <sheetName val="APRIL '09"/>
      <sheetName val="MAR '09"/>
      <sheetName val="FEB '09"/>
      <sheetName val="JAN '09"/>
      <sheetName val="DECEMBER '08"/>
      <sheetName val="NOVEMBER '08"/>
      <sheetName val="OCTOBER '08"/>
      <sheetName val="SEPTEMBER '08"/>
      <sheetName val="AUGUST '08"/>
      <sheetName val="JULY '08"/>
      <sheetName val="JUNE '08"/>
      <sheetName val="MAY '08"/>
      <sheetName val="APRIL '08"/>
      <sheetName val="MAR '08"/>
      <sheetName val="FEB '08"/>
      <sheetName val="JAN '08"/>
      <sheetName val="DEC '07"/>
      <sheetName val="NOV '07"/>
      <sheetName val="OCT '07"/>
      <sheetName val="SEP '07"/>
      <sheetName val="AUG '07"/>
      <sheetName val="JULY '07"/>
      <sheetName val="JUNE '07"/>
      <sheetName val="MAY '07"/>
      <sheetName val="APR '07"/>
      <sheetName val="MAR '07"/>
      <sheetName val="FEB '07"/>
      <sheetName val="JAN '07"/>
      <sheetName val="DEC '06"/>
      <sheetName val="NOV '06"/>
      <sheetName val="OCT '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C30">
            <v>1374.56</v>
          </cell>
        </row>
      </sheetData>
      <sheetData sheetId="12">
        <row r="36">
          <cell r="C36">
            <v>4054.54</v>
          </cell>
        </row>
      </sheetData>
      <sheetData sheetId="13">
        <row r="33">
          <cell r="C33">
            <v>2055.16</v>
          </cell>
        </row>
      </sheetData>
      <sheetData sheetId="14">
        <row r="42">
          <cell r="C42">
            <v>5181.3499999999995</v>
          </cell>
        </row>
      </sheetData>
      <sheetData sheetId="15">
        <row r="59">
          <cell r="C59">
            <v>3275.87</v>
          </cell>
        </row>
      </sheetData>
      <sheetData sheetId="16">
        <row r="103">
          <cell r="C103">
            <v>1467.3999999999999</v>
          </cell>
        </row>
      </sheetData>
      <sheetData sheetId="17">
        <row r="81">
          <cell r="C81">
            <v>1022.35</v>
          </cell>
        </row>
      </sheetData>
      <sheetData sheetId="18">
        <row r="80">
          <cell r="C80">
            <v>937.75</v>
          </cell>
        </row>
        <row r="83">
          <cell r="C83">
            <v>164.55</v>
          </cell>
        </row>
      </sheetData>
      <sheetData sheetId="19">
        <row r="80">
          <cell r="C80">
            <v>703.69</v>
          </cell>
        </row>
        <row r="83">
          <cell r="C83">
            <v>297.06</v>
          </cell>
        </row>
      </sheetData>
      <sheetData sheetId="20">
        <row r="83">
          <cell r="C83">
            <v>413.26</v>
          </cell>
        </row>
        <row r="86">
          <cell r="C86">
            <v>575.76</v>
          </cell>
        </row>
      </sheetData>
      <sheetData sheetId="21">
        <row r="56">
          <cell r="C56">
            <v>255</v>
          </cell>
        </row>
      </sheetData>
      <sheetData sheetId="22">
        <row r="79">
          <cell r="C79">
            <v>214.92000000000002</v>
          </cell>
        </row>
      </sheetData>
      <sheetData sheetId="23">
        <row r="75">
          <cell r="C75">
            <v>962.94</v>
          </cell>
        </row>
      </sheetData>
      <sheetData sheetId="24">
        <row r="64">
          <cell r="C64">
            <v>84.11999999999999</v>
          </cell>
        </row>
        <row r="72">
          <cell r="C72">
            <v>1905.0500000000002</v>
          </cell>
        </row>
      </sheetData>
      <sheetData sheetId="25">
        <row r="77">
          <cell r="C77">
            <v>272.31</v>
          </cell>
        </row>
      </sheetData>
      <sheetData sheetId="26">
        <row r="105">
          <cell r="I105">
            <v>456.15</v>
          </cell>
        </row>
        <row r="139">
          <cell r="C139">
            <v>1565.6200000000001</v>
          </cell>
        </row>
      </sheetData>
      <sheetData sheetId="27">
        <row r="94">
          <cell r="C94">
            <v>818</v>
          </cell>
        </row>
        <row r="97">
          <cell r="C97">
            <v>125.29000000000002</v>
          </cell>
        </row>
      </sheetData>
      <sheetData sheetId="28">
        <row r="70">
          <cell r="C70">
            <v>284.16000000000003</v>
          </cell>
        </row>
      </sheetData>
      <sheetData sheetId="29">
        <row r="51">
          <cell r="C51">
            <v>1180.78</v>
          </cell>
        </row>
      </sheetData>
      <sheetData sheetId="30">
        <row r="37">
          <cell r="C37">
            <v>676.23</v>
          </cell>
        </row>
      </sheetData>
      <sheetData sheetId="31">
        <row r="63">
          <cell r="C63">
            <v>48.170000000000073</v>
          </cell>
        </row>
      </sheetData>
      <sheetData sheetId="32">
        <row r="68">
          <cell r="C68">
            <v>406.67</v>
          </cell>
        </row>
      </sheetData>
      <sheetData sheetId="33">
        <row r="38">
          <cell r="C38">
            <v>-50.260000000000076</v>
          </cell>
        </row>
        <row r="41">
          <cell r="C41">
            <v>480.06</v>
          </cell>
        </row>
      </sheetData>
      <sheetData sheetId="34">
        <row r="38">
          <cell r="C38">
            <v>555.73</v>
          </cell>
        </row>
        <row r="41">
          <cell r="C41">
            <v>523.64</v>
          </cell>
        </row>
      </sheetData>
      <sheetData sheetId="35">
        <row r="37">
          <cell r="C37">
            <v>854.44</v>
          </cell>
        </row>
        <row r="39">
          <cell r="C39">
            <v>-82.35</v>
          </cell>
        </row>
      </sheetData>
      <sheetData sheetId="36">
        <row r="36">
          <cell r="C36">
            <v>976.9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'10"/>
      <sheetName val="April '10"/>
      <sheetName val="May '10"/>
      <sheetName val="June '10"/>
      <sheetName val="July '10"/>
      <sheetName val="August '10"/>
      <sheetName val="September '10"/>
      <sheetName val="October '10"/>
      <sheetName val="November '10"/>
      <sheetName val="December '10"/>
      <sheetName val="January '11"/>
      <sheetName val="February '11"/>
      <sheetName val="Leave &amp; Bonus"/>
      <sheetName val="Increases '10"/>
      <sheetName val="IRP5"/>
      <sheetName val="SARS"/>
      <sheetName val="Leon"/>
      <sheetName val="Jean-Louis"/>
      <sheetName val="Joseph"/>
      <sheetName val="Madala"/>
      <sheetName val="Dora"/>
      <sheetName val="Henry"/>
      <sheetName val="Andrew"/>
      <sheetName val="Eric"/>
      <sheetName val="Nik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14">
          <cell r="O314">
            <v>-8946.957278481008</v>
          </cell>
        </row>
        <row r="316">
          <cell r="K316">
            <v>3653.3297920000032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81"/>
  <sheetViews>
    <sheetView workbookViewId="0">
      <selection activeCell="M56" sqref="M56"/>
    </sheetView>
  </sheetViews>
  <sheetFormatPr defaultColWidth="8.85546875" defaultRowHeight="12.75"/>
  <cols>
    <col min="1" max="1" width="7.85546875" style="24" customWidth="1"/>
    <col min="2" max="3" width="8.7109375" style="5" customWidth="1"/>
    <col min="4" max="4" width="6.85546875" style="5" customWidth="1"/>
    <col min="5" max="5" width="8.42578125" style="5" customWidth="1"/>
    <col min="6" max="6" width="8.7109375" style="5" customWidth="1"/>
    <col min="7" max="7" width="7.42578125" style="5" customWidth="1"/>
    <col min="8" max="8" width="7" style="5" customWidth="1"/>
    <col min="9" max="9" width="7.140625" style="5" customWidth="1"/>
    <col min="10" max="10" width="8.140625" style="5" customWidth="1"/>
    <col min="11" max="11" width="8.85546875" style="17" customWidth="1"/>
    <col min="12" max="12" width="10.42578125" style="5" customWidth="1"/>
    <col min="13" max="16384" width="8.85546875" style="5"/>
  </cols>
  <sheetData>
    <row r="1" spans="1:13" s="1" customFormat="1" ht="18">
      <c r="A1" s="935" t="s">
        <v>288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</row>
    <row r="2" spans="1:13" ht="30" customHeight="1" thickBot="1">
      <c r="A2" s="2"/>
      <c r="B2" s="147">
        <v>10</v>
      </c>
      <c r="C2" s="936" t="s">
        <v>292</v>
      </c>
      <c r="D2" s="937"/>
      <c r="E2" s="3"/>
      <c r="F2" s="4"/>
      <c r="G2" s="4"/>
      <c r="H2" s="4"/>
      <c r="I2" s="4"/>
      <c r="J2" s="4"/>
      <c r="K2" s="34"/>
      <c r="L2" s="4"/>
    </row>
    <row r="3" spans="1:13" s="6" customFormat="1" ht="13.5" thickBot="1">
      <c r="A3" s="49"/>
      <c r="B3" s="146" t="s">
        <v>1</v>
      </c>
      <c r="C3" s="50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38" t="s">
        <v>9</v>
      </c>
      <c r="K3" s="20" t="s">
        <v>10</v>
      </c>
    </row>
    <row r="4" spans="1:13">
      <c r="A4" s="207" t="s">
        <v>11</v>
      </c>
      <c r="B4" s="285" t="s">
        <v>12</v>
      </c>
      <c r="C4" s="66">
        <v>960</v>
      </c>
      <c r="D4" s="66">
        <v>0</v>
      </c>
      <c r="E4" s="66">
        <v>63.36</v>
      </c>
      <c r="F4" s="66">
        <v>896.64</v>
      </c>
      <c r="G4" s="66">
        <v>9.6</v>
      </c>
      <c r="H4" s="66">
        <v>0</v>
      </c>
      <c r="I4" s="66">
        <v>-50</v>
      </c>
      <c r="J4" s="66">
        <v>0</v>
      </c>
      <c r="K4" s="67">
        <v>937.04</v>
      </c>
      <c r="M4" s="67">
        <v>937.04</v>
      </c>
    </row>
    <row r="5" spans="1:13">
      <c r="A5" s="103" t="s">
        <v>13</v>
      </c>
      <c r="B5" s="145" t="s">
        <v>14</v>
      </c>
      <c r="C5" s="69">
        <v>891.6</v>
      </c>
      <c r="D5" s="69">
        <v>0</v>
      </c>
      <c r="E5" s="69">
        <v>58.85</v>
      </c>
      <c r="F5" s="69">
        <v>832.75</v>
      </c>
      <c r="G5" s="69">
        <v>8.92</v>
      </c>
      <c r="H5" s="69">
        <v>0</v>
      </c>
      <c r="I5" s="69">
        <v>50</v>
      </c>
      <c r="J5" s="69">
        <v>0</v>
      </c>
      <c r="K5" s="70">
        <v>773.84</v>
      </c>
      <c r="M5" s="70">
        <v>773.84</v>
      </c>
    </row>
    <row r="6" spans="1:13">
      <c r="A6" s="103" t="s">
        <v>104</v>
      </c>
      <c r="B6" s="145" t="s">
        <v>15</v>
      </c>
      <c r="C6" s="69">
        <v>646.4</v>
      </c>
      <c r="D6" s="69">
        <v>0</v>
      </c>
      <c r="E6" s="69">
        <v>42.66</v>
      </c>
      <c r="F6" s="69">
        <v>603.74</v>
      </c>
      <c r="G6" s="69">
        <v>6.46</v>
      </c>
      <c r="H6" s="69">
        <v>0</v>
      </c>
      <c r="I6" s="69">
        <v>50</v>
      </c>
      <c r="J6" s="69">
        <v>0</v>
      </c>
      <c r="K6" s="70">
        <v>547.27</v>
      </c>
      <c r="M6" s="70">
        <v>547.27</v>
      </c>
    </row>
    <row r="7" spans="1:13">
      <c r="A7" s="103" t="s">
        <v>26</v>
      </c>
      <c r="B7" s="145" t="s">
        <v>16</v>
      </c>
      <c r="C7" s="69">
        <v>2428</v>
      </c>
      <c r="D7" s="69">
        <v>0</v>
      </c>
      <c r="E7" s="69">
        <v>160.25</v>
      </c>
      <c r="F7" s="69">
        <v>2267.75</v>
      </c>
      <c r="G7" s="69">
        <v>24.28</v>
      </c>
      <c r="H7" s="69">
        <v>188</v>
      </c>
      <c r="I7" s="69">
        <v>600</v>
      </c>
      <c r="J7" s="69">
        <v>378.25</v>
      </c>
      <c r="K7" s="70">
        <v>1077.22</v>
      </c>
      <c r="L7" s="221"/>
      <c r="M7" s="70">
        <v>1077.22</v>
      </c>
    </row>
    <row r="8" spans="1:13">
      <c r="A8" s="103" t="s">
        <v>53</v>
      </c>
      <c r="B8" s="403" t="s">
        <v>52</v>
      </c>
      <c r="C8" s="69">
        <v>1290.4000000000001</v>
      </c>
      <c r="D8" s="69">
        <v>0</v>
      </c>
      <c r="E8" s="69">
        <v>0</v>
      </c>
      <c r="F8" s="69">
        <v>1290.4000000000001</v>
      </c>
      <c r="G8" s="69">
        <v>12.9</v>
      </c>
      <c r="H8" s="69">
        <v>12</v>
      </c>
      <c r="I8" s="69">
        <v>100</v>
      </c>
      <c r="J8" s="69">
        <v>0</v>
      </c>
      <c r="K8" s="70">
        <v>1165.5</v>
      </c>
      <c r="M8" s="70">
        <v>1165.2</v>
      </c>
    </row>
    <row r="9" spans="1:13">
      <c r="A9" s="103" t="s">
        <v>208</v>
      </c>
      <c r="B9" s="403" t="s">
        <v>207</v>
      </c>
      <c r="C9" s="69">
        <v>700</v>
      </c>
      <c r="D9" s="69">
        <v>0</v>
      </c>
      <c r="E9" s="69">
        <v>0</v>
      </c>
      <c r="F9" s="69">
        <v>700</v>
      </c>
      <c r="G9" s="69">
        <v>7</v>
      </c>
      <c r="H9" s="69">
        <v>0</v>
      </c>
      <c r="I9" s="69">
        <v>0</v>
      </c>
      <c r="J9" s="69">
        <v>0</v>
      </c>
      <c r="K9" s="70">
        <v>693</v>
      </c>
      <c r="M9" s="70">
        <v>600</v>
      </c>
    </row>
    <row r="10" spans="1:13">
      <c r="A10" s="103" t="s">
        <v>104</v>
      </c>
      <c r="B10" s="145" t="s">
        <v>54</v>
      </c>
      <c r="C10" s="69">
        <v>500</v>
      </c>
      <c r="D10" s="69">
        <v>0</v>
      </c>
      <c r="E10" s="69">
        <v>0</v>
      </c>
      <c r="F10" s="69">
        <v>500</v>
      </c>
      <c r="G10" s="69">
        <v>0</v>
      </c>
      <c r="H10" s="69">
        <v>0</v>
      </c>
      <c r="I10" s="69">
        <v>0</v>
      </c>
      <c r="J10" s="69">
        <v>0</v>
      </c>
      <c r="K10" s="70">
        <v>500</v>
      </c>
      <c r="M10" s="70">
        <v>500</v>
      </c>
    </row>
    <row r="11" spans="1:13">
      <c r="A11" s="199" t="s">
        <v>34</v>
      </c>
      <c r="B11" s="148" t="s">
        <v>48</v>
      </c>
      <c r="C11" s="157"/>
      <c r="D11" s="158"/>
      <c r="E11" s="158"/>
      <c r="F11" s="158"/>
      <c r="G11" s="158"/>
      <c r="H11" s="158"/>
      <c r="I11" s="158"/>
      <c r="J11" s="159"/>
      <c r="K11" s="143">
        <v>950</v>
      </c>
      <c r="M11" s="143">
        <v>950</v>
      </c>
    </row>
    <row r="12" spans="1:13" ht="13.5" thickBot="1">
      <c r="A12" s="208" t="s">
        <v>94</v>
      </c>
      <c r="B12" s="144" t="s">
        <v>95</v>
      </c>
      <c r="C12" s="160"/>
      <c r="D12" s="161"/>
      <c r="E12" s="161"/>
      <c r="F12" s="161"/>
      <c r="G12" s="161"/>
      <c r="H12" s="161"/>
      <c r="I12" s="161"/>
      <c r="J12" s="162"/>
      <c r="K12" s="79">
        <v>825</v>
      </c>
      <c r="M12" s="79">
        <v>825</v>
      </c>
    </row>
    <row r="13" spans="1:13" ht="13.5" thickBot="1">
      <c r="A13" s="21"/>
      <c r="B13" s="61" t="s">
        <v>0</v>
      </c>
      <c r="C13" s="109">
        <f t="shared" ref="C13:J13" si="0">SUM(C4:C10)</f>
        <v>7416.4</v>
      </c>
      <c r="D13" s="62">
        <f t="shared" si="0"/>
        <v>0</v>
      </c>
      <c r="E13" s="62">
        <f t="shared" si="0"/>
        <v>325.12</v>
      </c>
      <c r="F13" s="62">
        <f t="shared" si="0"/>
        <v>7091.2800000000007</v>
      </c>
      <c r="G13" s="62">
        <f t="shared" si="0"/>
        <v>69.16</v>
      </c>
      <c r="H13" s="62">
        <f t="shared" si="0"/>
        <v>200</v>
      </c>
      <c r="I13" s="62">
        <f t="shared" si="0"/>
        <v>750</v>
      </c>
      <c r="J13" s="62">
        <f t="shared" si="0"/>
        <v>378.25</v>
      </c>
      <c r="K13" s="110">
        <f>SUM(K4:K12)</f>
        <v>7468.87</v>
      </c>
    </row>
    <row r="14" spans="1:13" ht="7.5" customHeight="1">
      <c r="A14" s="21"/>
      <c r="B14" s="64"/>
      <c r="C14" s="28"/>
      <c r="D14" s="28"/>
      <c r="E14" s="28"/>
      <c r="F14" s="28"/>
      <c r="G14" s="28"/>
      <c r="H14" s="28"/>
      <c r="I14" s="28"/>
      <c r="J14" s="28"/>
      <c r="K14" s="76"/>
    </row>
    <row r="15" spans="1:13" ht="30" customHeight="1" thickBot="1">
      <c r="A15" s="2"/>
      <c r="B15" s="147">
        <v>11</v>
      </c>
      <c r="C15" s="936" t="s">
        <v>293</v>
      </c>
      <c r="D15" s="937"/>
      <c r="E15" s="3"/>
      <c r="F15" s="4"/>
      <c r="G15" s="4"/>
      <c r="H15" s="4"/>
      <c r="I15" s="4"/>
      <c r="J15" s="4"/>
      <c r="K15" s="34"/>
      <c r="L15" s="4"/>
    </row>
    <row r="16" spans="1:13" s="6" customFormat="1" ht="13.5" thickBot="1">
      <c r="A16" s="49"/>
      <c r="B16" s="146" t="s">
        <v>1</v>
      </c>
      <c r="C16" s="406" t="s">
        <v>2</v>
      </c>
      <c r="D16" s="407" t="s">
        <v>3</v>
      </c>
      <c r="E16" s="407" t="s">
        <v>4</v>
      </c>
      <c r="F16" s="407" t="s">
        <v>5</v>
      </c>
      <c r="G16" s="407" t="s">
        <v>6</v>
      </c>
      <c r="H16" s="407" t="s">
        <v>7</v>
      </c>
      <c r="I16" s="407" t="s">
        <v>8</v>
      </c>
      <c r="J16" s="407" t="s">
        <v>9</v>
      </c>
      <c r="K16" s="13" t="s">
        <v>10</v>
      </c>
    </row>
    <row r="17" spans="1:12">
      <c r="A17" s="207" t="s">
        <v>11</v>
      </c>
      <c r="B17" s="285" t="s">
        <v>12</v>
      </c>
      <c r="C17" s="405">
        <v>960</v>
      </c>
      <c r="D17" s="253">
        <v>0</v>
      </c>
      <c r="E17" s="253">
        <v>63.36</v>
      </c>
      <c r="F17" s="253">
        <v>896.64</v>
      </c>
      <c r="G17" s="253">
        <v>9.6</v>
      </c>
      <c r="H17" s="253">
        <v>0</v>
      </c>
      <c r="I17" s="253">
        <v>-50</v>
      </c>
      <c r="J17" s="253">
        <v>0</v>
      </c>
      <c r="K17" s="143">
        <v>937.04</v>
      </c>
    </row>
    <row r="18" spans="1:12">
      <c r="A18" s="103" t="s">
        <v>13</v>
      </c>
      <c r="B18" s="145" t="s">
        <v>14</v>
      </c>
      <c r="C18" s="68">
        <v>891.6</v>
      </c>
      <c r="D18" s="69">
        <v>0</v>
      </c>
      <c r="E18" s="69">
        <v>58.85</v>
      </c>
      <c r="F18" s="69">
        <v>832.75</v>
      </c>
      <c r="G18" s="69">
        <v>8.92</v>
      </c>
      <c r="H18" s="69">
        <v>0</v>
      </c>
      <c r="I18" s="69">
        <v>50</v>
      </c>
      <c r="J18" s="69">
        <v>0</v>
      </c>
      <c r="K18" s="70">
        <v>773.84</v>
      </c>
    </row>
    <row r="19" spans="1:12">
      <c r="A19" s="103" t="s">
        <v>104</v>
      </c>
      <c r="B19" s="145" t="s">
        <v>15</v>
      </c>
      <c r="C19" s="68">
        <v>646.4</v>
      </c>
      <c r="D19" s="69">
        <v>0</v>
      </c>
      <c r="E19" s="69">
        <v>42.66</v>
      </c>
      <c r="F19" s="69">
        <v>603.74</v>
      </c>
      <c r="G19" s="69">
        <v>6.46</v>
      </c>
      <c r="H19" s="69">
        <v>0</v>
      </c>
      <c r="I19" s="69">
        <v>-50</v>
      </c>
      <c r="J19" s="69">
        <v>0</v>
      </c>
      <c r="K19" s="70">
        <v>647.27</v>
      </c>
    </row>
    <row r="20" spans="1:12">
      <c r="A20" s="103" t="s">
        <v>26</v>
      </c>
      <c r="B20" s="145" t="s">
        <v>16</v>
      </c>
      <c r="C20" s="68">
        <v>2428</v>
      </c>
      <c r="D20" s="69">
        <v>0</v>
      </c>
      <c r="E20" s="69">
        <v>160.25</v>
      </c>
      <c r="F20" s="69">
        <v>2267.75</v>
      </c>
      <c r="G20" s="69">
        <v>24.28</v>
      </c>
      <c r="H20" s="69">
        <v>188</v>
      </c>
      <c r="I20" s="69">
        <v>600</v>
      </c>
      <c r="J20" s="69">
        <v>378.25</v>
      </c>
      <c r="K20" s="70">
        <v>1077.22</v>
      </c>
    </row>
    <row r="21" spans="1:12">
      <c r="A21" s="103" t="s">
        <v>53</v>
      </c>
      <c r="B21" s="389" t="s">
        <v>52</v>
      </c>
      <c r="C21" s="68">
        <v>1290.4000000000001</v>
      </c>
      <c r="D21" s="69">
        <v>0</v>
      </c>
      <c r="E21" s="69">
        <v>0</v>
      </c>
      <c r="F21" s="69">
        <v>1290.4000000000001</v>
      </c>
      <c r="G21" s="69">
        <v>12.9</v>
      </c>
      <c r="H21" s="69">
        <v>12</v>
      </c>
      <c r="I21" s="69">
        <v>100</v>
      </c>
      <c r="J21" s="69">
        <v>0</v>
      </c>
      <c r="K21" s="70">
        <v>1165.5</v>
      </c>
      <c r="L21" s="120"/>
    </row>
    <row r="22" spans="1:12">
      <c r="A22" s="103" t="s">
        <v>208</v>
      </c>
      <c r="B22" s="389" t="s">
        <v>207</v>
      </c>
      <c r="C22" s="68">
        <v>700</v>
      </c>
      <c r="D22" s="69">
        <v>0</v>
      </c>
      <c r="E22" s="69">
        <v>0</v>
      </c>
      <c r="F22" s="69">
        <v>700</v>
      </c>
      <c r="G22" s="69">
        <v>7</v>
      </c>
      <c r="H22" s="69">
        <v>0</v>
      </c>
      <c r="I22" s="69">
        <v>0</v>
      </c>
      <c r="J22" s="69">
        <v>0</v>
      </c>
      <c r="K22" s="70">
        <v>693</v>
      </c>
      <c r="L22" s="120"/>
    </row>
    <row r="23" spans="1:12">
      <c r="A23" s="103" t="s">
        <v>104</v>
      </c>
      <c r="B23" s="145" t="s">
        <v>54</v>
      </c>
      <c r="C23" s="68">
        <v>500</v>
      </c>
      <c r="D23" s="69">
        <v>0</v>
      </c>
      <c r="E23" s="69">
        <v>0</v>
      </c>
      <c r="F23" s="69">
        <v>500</v>
      </c>
      <c r="G23" s="69">
        <v>0</v>
      </c>
      <c r="H23" s="69">
        <v>0</v>
      </c>
      <c r="I23" s="69">
        <v>0</v>
      </c>
      <c r="J23" s="69">
        <v>0</v>
      </c>
      <c r="K23" s="70">
        <v>500</v>
      </c>
    </row>
    <row r="24" spans="1:12">
      <c r="A24" s="199" t="s">
        <v>34</v>
      </c>
      <c r="B24" s="148" t="s">
        <v>48</v>
      </c>
      <c r="C24" s="157"/>
      <c r="D24" s="158"/>
      <c r="E24" s="158"/>
      <c r="F24" s="158"/>
      <c r="G24" s="158"/>
      <c r="H24" s="158"/>
      <c r="I24" s="158"/>
      <c r="J24" s="159"/>
      <c r="K24" s="143">
        <v>950</v>
      </c>
    </row>
    <row r="25" spans="1:12" ht="13.5" thickBot="1">
      <c r="A25" s="208" t="s">
        <v>94</v>
      </c>
      <c r="B25" s="144" t="s">
        <v>95</v>
      </c>
      <c r="C25" s="160"/>
      <c r="D25" s="161"/>
      <c r="E25" s="161"/>
      <c r="F25" s="161"/>
      <c r="G25" s="161"/>
      <c r="H25" s="161"/>
      <c r="I25" s="161"/>
      <c r="J25" s="162"/>
      <c r="K25" s="79">
        <v>825</v>
      </c>
    </row>
    <row r="26" spans="1:12" ht="13.5" thickBot="1">
      <c r="A26" s="21"/>
      <c r="B26" s="61" t="s">
        <v>0</v>
      </c>
      <c r="C26" s="109">
        <f t="shared" ref="C26:J26" si="1">SUM(C17:C24)</f>
        <v>7416.4</v>
      </c>
      <c r="D26" s="62">
        <f t="shared" si="1"/>
        <v>0</v>
      </c>
      <c r="E26" s="62">
        <f t="shared" si="1"/>
        <v>325.12</v>
      </c>
      <c r="F26" s="62">
        <f t="shared" si="1"/>
        <v>7091.2800000000007</v>
      </c>
      <c r="G26" s="62">
        <f t="shared" si="1"/>
        <v>69.16</v>
      </c>
      <c r="H26" s="62">
        <f t="shared" si="1"/>
        <v>200</v>
      </c>
      <c r="I26" s="62">
        <f t="shared" si="1"/>
        <v>650</v>
      </c>
      <c r="J26" s="62">
        <f t="shared" si="1"/>
        <v>378.25</v>
      </c>
      <c r="K26" s="110">
        <f>SUM(K17:K25)</f>
        <v>7568.87</v>
      </c>
    </row>
    <row r="27" spans="1:12" ht="4.5" customHeight="1">
      <c r="A27" s="21"/>
      <c r="B27" s="64"/>
      <c r="C27" s="76"/>
      <c r="D27" s="76"/>
      <c r="E27" s="76"/>
      <c r="F27" s="76"/>
      <c r="G27" s="76"/>
      <c r="H27" s="76"/>
      <c r="I27" s="76"/>
      <c r="J27" s="76"/>
      <c r="K27" s="76"/>
    </row>
    <row r="28" spans="1:12">
      <c r="A28" s="21" t="s">
        <v>208</v>
      </c>
      <c r="B28" s="408" t="s">
        <v>311</v>
      </c>
      <c r="C28" s="76"/>
      <c r="D28" s="76"/>
      <c r="E28" s="76"/>
      <c r="F28" s="409">
        <f>K9-M9</f>
        <v>93</v>
      </c>
      <c r="G28" s="76"/>
      <c r="H28" s="76"/>
      <c r="I28" s="76"/>
      <c r="J28" s="76"/>
      <c r="K28" s="76"/>
    </row>
    <row r="29" spans="1:12" ht="3.75" customHeight="1">
      <c r="A29" s="21"/>
      <c r="B29" s="64"/>
      <c r="C29" s="28"/>
      <c r="D29" s="28"/>
      <c r="E29" s="28"/>
      <c r="F29" s="28"/>
      <c r="G29" s="28"/>
      <c r="H29" s="28"/>
      <c r="I29" s="28"/>
      <c r="J29" s="28"/>
      <c r="K29" s="76"/>
    </row>
    <row r="30" spans="1:12" ht="30" customHeight="1" thickBot="1">
      <c r="A30" s="2"/>
      <c r="B30" s="147">
        <v>12</v>
      </c>
      <c r="C30" s="936" t="s">
        <v>294</v>
      </c>
      <c r="D30" s="937"/>
      <c r="E30" s="3"/>
      <c r="F30" s="4"/>
      <c r="G30" s="4"/>
      <c r="H30" s="4"/>
      <c r="I30" s="4"/>
      <c r="J30" s="4"/>
      <c r="K30" s="34"/>
      <c r="L30" s="4"/>
    </row>
    <row r="31" spans="1:12" s="6" customFormat="1" ht="13.5" thickBot="1">
      <c r="A31" s="49"/>
      <c r="B31" s="146" t="s">
        <v>1</v>
      </c>
      <c r="C31" s="50" t="s">
        <v>2</v>
      </c>
      <c r="D31" s="38" t="s">
        <v>3</v>
      </c>
      <c r="E31" s="38" t="s">
        <v>4</v>
      </c>
      <c r="F31" s="38" t="s">
        <v>5</v>
      </c>
      <c r="G31" s="38" t="s">
        <v>6</v>
      </c>
      <c r="H31" s="38" t="s">
        <v>7</v>
      </c>
      <c r="I31" s="38" t="s">
        <v>8</v>
      </c>
      <c r="J31" s="38" t="s">
        <v>9</v>
      </c>
      <c r="K31" s="20" t="s">
        <v>10</v>
      </c>
    </row>
    <row r="32" spans="1:12">
      <c r="A32" s="207" t="s">
        <v>11</v>
      </c>
      <c r="B32" s="285" t="s">
        <v>12</v>
      </c>
      <c r="C32" s="65">
        <v>960</v>
      </c>
      <c r="D32" s="66">
        <v>0</v>
      </c>
      <c r="E32" s="66">
        <v>63.36</v>
      </c>
      <c r="F32" s="66">
        <v>896.64</v>
      </c>
      <c r="G32" s="66">
        <v>9.6</v>
      </c>
      <c r="H32" s="66">
        <v>0</v>
      </c>
      <c r="I32" s="66">
        <v>-50</v>
      </c>
      <c r="J32" s="66">
        <v>0</v>
      </c>
      <c r="K32" s="67">
        <v>937.04</v>
      </c>
    </row>
    <row r="33" spans="1:12">
      <c r="A33" s="103" t="s">
        <v>13</v>
      </c>
      <c r="B33" s="145" t="s">
        <v>14</v>
      </c>
      <c r="C33" s="68">
        <v>891.6</v>
      </c>
      <c r="D33" s="69">
        <v>0</v>
      </c>
      <c r="E33" s="69">
        <v>58.85</v>
      </c>
      <c r="F33" s="69">
        <v>832.75</v>
      </c>
      <c r="G33" s="69">
        <v>8.92</v>
      </c>
      <c r="H33" s="69">
        <v>0</v>
      </c>
      <c r="I33" s="69">
        <v>50</v>
      </c>
      <c r="J33" s="69">
        <v>0</v>
      </c>
      <c r="K33" s="70">
        <v>773.84</v>
      </c>
    </row>
    <row r="34" spans="1:12">
      <c r="A34" s="103" t="s">
        <v>104</v>
      </c>
      <c r="B34" s="145" t="s">
        <v>15</v>
      </c>
      <c r="C34" s="68">
        <v>646.4</v>
      </c>
      <c r="D34" s="69">
        <v>0</v>
      </c>
      <c r="E34" s="69">
        <v>42.66</v>
      </c>
      <c r="F34" s="69">
        <v>603.74</v>
      </c>
      <c r="G34" s="69">
        <v>6.46</v>
      </c>
      <c r="H34" s="69">
        <v>0</v>
      </c>
      <c r="I34" s="69">
        <v>50</v>
      </c>
      <c r="J34" s="69">
        <v>0</v>
      </c>
      <c r="K34" s="70">
        <v>547.27</v>
      </c>
    </row>
    <row r="35" spans="1:12">
      <c r="A35" s="103" t="s">
        <v>26</v>
      </c>
      <c r="B35" s="145" t="s">
        <v>16</v>
      </c>
      <c r="C35" s="68">
        <v>2428</v>
      </c>
      <c r="D35" s="69">
        <v>0</v>
      </c>
      <c r="E35" s="69">
        <v>160.25</v>
      </c>
      <c r="F35" s="69">
        <v>2267.75</v>
      </c>
      <c r="G35" s="69">
        <v>24.28</v>
      </c>
      <c r="H35" s="69">
        <v>188</v>
      </c>
      <c r="I35" s="69">
        <v>700</v>
      </c>
      <c r="J35" s="69">
        <v>378.25</v>
      </c>
      <c r="K35" s="70">
        <v>977.22</v>
      </c>
      <c r="L35" s="415"/>
    </row>
    <row r="36" spans="1:12">
      <c r="A36" s="103" t="s">
        <v>53</v>
      </c>
      <c r="B36" s="389" t="s">
        <v>52</v>
      </c>
      <c r="C36" s="68">
        <v>1290.4000000000001</v>
      </c>
      <c r="D36" s="69">
        <v>0</v>
      </c>
      <c r="E36" s="69">
        <v>0</v>
      </c>
      <c r="F36" s="69">
        <v>1290.4000000000001</v>
      </c>
      <c r="G36" s="69">
        <v>12.9</v>
      </c>
      <c r="H36" s="69">
        <v>12</v>
      </c>
      <c r="I36" s="69">
        <v>100</v>
      </c>
      <c r="J36" s="69">
        <v>0</v>
      </c>
      <c r="K36" s="70">
        <v>965.5</v>
      </c>
      <c r="L36" s="415"/>
    </row>
    <row r="37" spans="1:12">
      <c r="A37" s="103" t="s">
        <v>208</v>
      </c>
      <c r="B37" s="389" t="s">
        <v>207</v>
      </c>
      <c r="C37" s="68">
        <v>700</v>
      </c>
      <c r="D37" s="69">
        <v>0</v>
      </c>
      <c r="E37" s="69">
        <v>0</v>
      </c>
      <c r="F37" s="69">
        <v>700</v>
      </c>
      <c r="G37" s="69">
        <v>7</v>
      </c>
      <c r="H37" s="69">
        <v>0</v>
      </c>
      <c r="I37" s="69">
        <v>100</v>
      </c>
      <c r="J37" s="69">
        <v>0</v>
      </c>
      <c r="K37" s="70">
        <v>593</v>
      </c>
      <c r="L37" s="415"/>
    </row>
    <row r="38" spans="1:12">
      <c r="A38" s="103" t="s">
        <v>104</v>
      </c>
      <c r="B38" s="145" t="s">
        <v>54</v>
      </c>
      <c r="C38" s="68">
        <v>500</v>
      </c>
      <c r="D38" s="69">
        <v>0</v>
      </c>
      <c r="E38" s="69">
        <v>0</v>
      </c>
      <c r="F38" s="69">
        <v>500</v>
      </c>
      <c r="G38" s="69">
        <v>0</v>
      </c>
      <c r="H38" s="69">
        <v>0</v>
      </c>
      <c r="I38" s="69">
        <v>0</v>
      </c>
      <c r="J38" s="69">
        <v>0</v>
      </c>
      <c r="K38" s="70">
        <v>500</v>
      </c>
    </row>
    <row r="39" spans="1:12">
      <c r="A39" s="199" t="s">
        <v>34</v>
      </c>
      <c r="B39" s="148" t="s">
        <v>48</v>
      </c>
      <c r="C39" s="157"/>
      <c r="D39" s="158"/>
      <c r="E39" s="158"/>
      <c r="F39" s="158"/>
      <c r="G39" s="158"/>
      <c r="H39" s="158"/>
      <c r="I39" s="158"/>
      <c r="J39" s="159"/>
      <c r="K39" s="143">
        <v>950</v>
      </c>
    </row>
    <row r="40" spans="1:12" ht="13.5" thickBot="1">
      <c r="A40" s="208" t="s">
        <v>94</v>
      </c>
      <c r="B40" s="144" t="s">
        <v>95</v>
      </c>
      <c r="C40" s="160"/>
      <c r="D40" s="161"/>
      <c r="E40" s="161"/>
      <c r="F40" s="161"/>
      <c r="G40" s="161"/>
      <c r="H40" s="161"/>
      <c r="I40" s="161"/>
      <c r="J40" s="162"/>
      <c r="K40" s="79">
        <v>825</v>
      </c>
    </row>
    <row r="41" spans="1:12" ht="13.5" thickBot="1">
      <c r="A41" s="21"/>
      <c r="B41" s="61" t="s">
        <v>0</v>
      </c>
      <c r="C41" s="109">
        <f t="shared" ref="C41:J41" si="2">SUM(C32:C38)</f>
        <v>7416.4</v>
      </c>
      <c r="D41" s="62">
        <f t="shared" si="2"/>
        <v>0</v>
      </c>
      <c r="E41" s="62">
        <f t="shared" si="2"/>
        <v>325.12</v>
      </c>
      <c r="F41" s="62">
        <f t="shared" si="2"/>
        <v>7091.2800000000007</v>
      </c>
      <c r="G41" s="62">
        <f t="shared" si="2"/>
        <v>69.16</v>
      </c>
      <c r="H41" s="62">
        <f t="shared" si="2"/>
        <v>200</v>
      </c>
      <c r="I41" s="62">
        <f t="shared" si="2"/>
        <v>950</v>
      </c>
      <c r="J41" s="62">
        <f t="shared" si="2"/>
        <v>378.25</v>
      </c>
      <c r="K41" s="110">
        <f>SUM(K32:K40)</f>
        <v>7068.87</v>
      </c>
    </row>
    <row r="42" spans="1:12" ht="6.75" customHeight="1">
      <c r="A42" s="21"/>
      <c r="B42" s="64"/>
      <c r="C42" s="76"/>
      <c r="D42" s="76"/>
      <c r="E42" s="76"/>
      <c r="F42" s="76"/>
      <c r="G42" s="76"/>
      <c r="H42" s="76"/>
      <c r="I42" s="76"/>
      <c r="J42" s="76"/>
      <c r="K42" s="76"/>
    </row>
    <row r="43" spans="1:12">
      <c r="A43" s="419" t="s">
        <v>53</v>
      </c>
      <c r="B43" s="408" t="s">
        <v>317</v>
      </c>
      <c r="C43" s="409"/>
      <c r="D43" s="76">
        <v>200</v>
      </c>
      <c r="E43" s="409" t="s">
        <v>318</v>
      </c>
      <c r="F43" s="76"/>
      <c r="G43" s="76"/>
      <c r="H43" s="76"/>
      <c r="I43" s="76"/>
      <c r="J43" s="76"/>
      <c r="K43" s="76"/>
    </row>
    <row r="44" spans="1:12" ht="6.75" customHeight="1">
      <c r="A44" s="21"/>
      <c r="B44" s="64"/>
      <c r="C44" s="28"/>
      <c r="D44" s="28"/>
      <c r="E44" s="28"/>
      <c r="F44" s="28"/>
      <c r="G44" s="28"/>
      <c r="H44" s="28"/>
      <c r="I44" s="28"/>
      <c r="J44" s="28"/>
      <c r="K44" s="76"/>
    </row>
    <row r="45" spans="1:12" ht="30" customHeight="1" thickBot="1">
      <c r="A45" s="2"/>
      <c r="B45" s="147">
        <v>13</v>
      </c>
      <c r="C45" s="936" t="s">
        <v>295</v>
      </c>
      <c r="D45" s="937"/>
      <c r="E45" s="3"/>
      <c r="F45" s="4"/>
      <c r="G45" s="4"/>
      <c r="H45" s="4"/>
      <c r="I45" s="4"/>
      <c r="J45" s="4"/>
      <c r="K45" s="34"/>
      <c r="L45" s="4"/>
    </row>
    <row r="46" spans="1:12" s="6" customFormat="1" ht="13.5" thickBot="1">
      <c r="A46" s="49"/>
      <c r="B46" s="146" t="s">
        <v>1</v>
      </c>
      <c r="C46" s="50" t="s">
        <v>2</v>
      </c>
      <c r="D46" s="38" t="s">
        <v>3</v>
      </c>
      <c r="E46" s="38" t="s">
        <v>4</v>
      </c>
      <c r="F46" s="38" t="s">
        <v>5</v>
      </c>
      <c r="G46" s="38" t="s">
        <v>6</v>
      </c>
      <c r="H46" s="38" t="s">
        <v>7</v>
      </c>
      <c r="I46" s="38" t="s">
        <v>8</v>
      </c>
      <c r="J46" s="38" t="s">
        <v>9</v>
      </c>
      <c r="K46" s="20" t="s">
        <v>10</v>
      </c>
    </row>
    <row r="47" spans="1:12">
      <c r="A47" s="207" t="s">
        <v>11</v>
      </c>
      <c r="B47" s="285" t="s">
        <v>12</v>
      </c>
      <c r="C47" s="65">
        <v>960</v>
      </c>
      <c r="D47" s="66">
        <v>0</v>
      </c>
      <c r="E47" s="66">
        <v>63.36</v>
      </c>
      <c r="F47" s="66">
        <v>896.64</v>
      </c>
      <c r="G47" s="66">
        <v>9.6</v>
      </c>
      <c r="H47" s="66">
        <v>0</v>
      </c>
      <c r="I47" s="66">
        <v>-50</v>
      </c>
      <c r="J47" s="66">
        <v>0</v>
      </c>
      <c r="K47" s="67">
        <v>937.04</v>
      </c>
    </row>
    <row r="48" spans="1:12">
      <c r="A48" s="103" t="s">
        <v>13</v>
      </c>
      <c r="B48" s="145" t="s">
        <v>14</v>
      </c>
      <c r="C48" s="68">
        <v>891.6</v>
      </c>
      <c r="D48" s="69">
        <v>0</v>
      </c>
      <c r="E48" s="69">
        <v>58.85</v>
      </c>
      <c r="F48" s="69">
        <v>832.75</v>
      </c>
      <c r="G48" s="69">
        <v>8.92</v>
      </c>
      <c r="H48" s="69">
        <v>0</v>
      </c>
      <c r="I48" s="69">
        <v>50</v>
      </c>
      <c r="J48" s="69">
        <v>0</v>
      </c>
      <c r="K48" s="70">
        <v>773.84</v>
      </c>
    </row>
    <row r="49" spans="1:12">
      <c r="A49" s="103" t="s">
        <v>104</v>
      </c>
      <c r="B49" s="145" t="s">
        <v>15</v>
      </c>
      <c r="C49" s="68">
        <v>646.4</v>
      </c>
      <c r="D49" s="69">
        <v>0</v>
      </c>
      <c r="E49" s="69">
        <v>42.66</v>
      </c>
      <c r="F49" s="69">
        <v>603.74</v>
      </c>
      <c r="G49" s="69">
        <v>6.46</v>
      </c>
      <c r="H49" s="69">
        <v>0</v>
      </c>
      <c r="I49" s="69">
        <v>-50</v>
      </c>
      <c r="J49" s="69">
        <v>0</v>
      </c>
      <c r="K49" s="70">
        <v>647.27</v>
      </c>
    </row>
    <row r="50" spans="1:12">
      <c r="A50" s="103" t="s">
        <v>26</v>
      </c>
      <c r="B50" s="145" t="s">
        <v>16</v>
      </c>
      <c r="C50" s="68">
        <v>2428</v>
      </c>
      <c r="D50" s="69">
        <v>0</v>
      </c>
      <c r="E50" s="69">
        <v>160.25</v>
      </c>
      <c r="F50" s="69">
        <v>2267.75</v>
      </c>
      <c r="G50" s="69">
        <v>24.28</v>
      </c>
      <c r="H50" s="69">
        <v>188</v>
      </c>
      <c r="I50" s="69">
        <v>700</v>
      </c>
      <c r="J50" s="69">
        <v>378.25</v>
      </c>
      <c r="K50" s="70">
        <v>977.22</v>
      </c>
      <c r="L50" s="120"/>
    </row>
    <row r="51" spans="1:12">
      <c r="A51" s="103" t="s">
        <v>53</v>
      </c>
      <c r="B51" s="389" t="s">
        <v>52</v>
      </c>
      <c r="C51" s="68">
        <v>1290.4000000000001</v>
      </c>
      <c r="D51" s="69">
        <v>0</v>
      </c>
      <c r="E51" s="69">
        <v>0</v>
      </c>
      <c r="F51" s="69">
        <v>1290.4000000000001</v>
      </c>
      <c r="G51" s="69">
        <v>12.9</v>
      </c>
      <c r="H51" s="69">
        <v>12</v>
      </c>
      <c r="I51" s="69">
        <v>100</v>
      </c>
      <c r="J51" s="69">
        <v>0</v>
      </c>
      <c r="K51" s="70">
        <v>1165.5</v>
      </c>
      <c r="L51" s="120"/>
    </row>
    <row r="52" spans="1:12">
      <c r="A52" s="103" t="s">
        <v>208</v>
      </c>
      <c r="B52" s="389" t="s">
        <v>207</v>
      </c>
      <c r="C52" s="68">
        <v>700</v>
      </c>
      <c r="D52" s="69">
        <v>0</v>
      </c>
      <c r="E52" s="69">
        <v>0</v>
      </c>
      <c r="F52" s="69">
        <v>700</v>
      </c>
      <c r="G52" s="69">
        <v>7</v>
      </c>
      <c r="H52" s="69">
        <v>0</v>
      </c>
      <c r="I52" s="69">
        <v>100</v>
      </c>
      <c r="J52" s="69">
        <v>0</v>
      </c>
      <c r="K52" s="70">
        <v>593</v>
      </c>
      <c r="L52" s="120"/>
    </row>
    <row r="53" spans="1:12">
      <c r="A53" s="103" t="s">
        <v>104</v>
      </c>
      <c r="B53" s="145" t="s">
        <v>54</v>
      </c>
      <c r="C53" s="68">
        <v>500</v>
      </c>
      <c r="D53" s="69">
        <v>0</v>
      </c>
      <c r="E53" s="69">
        <v>0</v>
      </c>
      <c r="F53" s="69">
        <v>500</v>
      </c>
      <c r="G53" s="69">
        <v>0</v>
      </c>
      <c r="H53" s="69">
        <v>0</v>
      </c>
      <c r="I53" s="69">
        <v>0</v>
      </c>
      <c r="J53" s="69">
        <v>0</v>
      </c>
      <c r="K53" s="70">
        <v>500</v>
      </c>
    </row>
    <row r="54" spans="1:12">
      <c r="A54" s="199" t="s">
        <v>34</v>
      </c>
      <c r="B54" s="148" t="s">
        <v>48</v>
      </c>
      <c r="C54" s="434"/>
      <c r="D54" s="435"/>
      <c r="E54" s="435"/>
      <c r="F54" s="435"/>
      <c r="G54" s="435"/>
      <c r="H54" s="435"/>
      <c r="I54" s="435"/>
      <c r="J54" s="442"/>
      <c r="K54" s="432">
        <v>950</v>
      </c>
    </row>
    <row r="55" spans="1:12">
      <c r="A55" s="222" t="s">
        <v>142</v>
      </c>
      <c r="B55" s="220" t="s">
        <v>143</v>
      </c>
      <c r="C55" s="438"/>
      <c r="D55" s="439"/>
      <c r="E55" s="439"/>
      <c r="F55" s="439"/>
      <c r="G55" s="439"/>
      <c r="H55" s="439"/>
      <c r="I55" s="439"/>
      <c r="J55" s="443"/>
      <c r="K55" s="432">
        <v>150</v>
      </c>
    </row>
    <row r="56" spans="1:12">
      <c r="A56" s="155" t="s">
        <v>156</v>
      </c>
      <c r="B56" s="220" t="s">
        <v>143</v>
      </c>
      <c r="C56" s="440"/>
      <c r="D56" s="441"/>
      <c r="E56" s="441"/>
      <c r="F56" s="441"/>
      <c r="G56" s="441"/>
      <c r="H56" s="441"/>
      <c r="I56" s="441"/>
      <c r="J56" s="444"/>
      <c r="K56" s="432">
        <v>100</v>
      </c>
    </row>
    <row r="57" spans="1:12" ht="13.5" thickBot="1">
      <c r="A57" s="156" t="s">
        <v>94</v>
      </c>
      <c r="B57" s="375" t="s">
        <v>95</v>
      </c>
      <c r="C57" s="436"/>
      <c r="D57" s="437"/>
      <c r="E57" s="437"/>
      <c r="F57" s="437"/>
      <c r="G57" s="437"/>
      <c r="H57" s="437"/>
      <c r="I57" s="437"/>
      <c r="J57" s="445"/>
      <c r="K57" s="433">
        <v>825</v>
      </c>
    </row>
    <row r="58" spans="1:12" ht="13.5" thickBot="1">
      <c r="A58" s="21"/>
      <c r="B58" s="61" t="s">
        <v>0</v>
      </c>
      <c r="C58" s="109">
        <f t="shared" ref="C58:J58" si="3">SUM(C47:C54)</f>
        <v>7416.4</v>
      </c>
      <c r="D58" s="62">
        <f t="shared" si="3"/>
        <v>0</v>
      </c>
      <c r="E58" s="62">
        <f t="shared" si="3"/>
        <v>325.12</v>
      </c>
      <c r="F58" s="62">
        <f t="shared" si="3"/>
        <v>7091.2800000000007</v>
      </c>
      <c r="G58" s="62">
        <f t="shared" si="3"/>
        <v>69.16</v>
      </c>
      <c r="H58" s="62">
        <f t="shared" si="3"/>
        <v>200</v>
      </c>
      <c r="I58" s="62">
        <f t="shared" si="3"/>
        <v>850</v>
      </c>
      <c r="J58" s="62">
        <f t="shared" si="3"/>
        <v>378.25</v>
      </c>
      <c r="K58" s="110">
        <f>SUM(K47:K57)</f>
        <v>7618.87</v>
      </c>
    </row>
    <row r="59" spans="1:12">
      <c r="A59" s="21"/>
      <c r="B59" s="64"/>
      <c r="C59" s="28"/>
      <c r="D59" s="28"/>
      <c r="E59" s="28"/>
      <c r="F59" s="28"/>
      <c r="G59" s="28"/>
      <c r="H59" s="28"/>
      <c r="I59" s="28"/>
      <c r="J59" s="28"/>
      <c r="K59" s="76"/>
    </row>
    <row r="60" spans="1:12" ht="13.5" hidden="1" customHeight="1">
      <c r="A60" s="224"/>
      <c r="B60" s="122" t="s">
        <v>56</v>
      </c>
      <c r="C60" s="123" t="s">
        <v>57</v>
      </c>
      <c r="D60" s="388"/>
      <c r="E60" s="388"/>
      <c r="F60" s="938">
        <f>Nikki!E359</f>
        <v>7648.33</v>
      </c>
      <c r="G60" s="938"/>
      <c r="H60" s="225"/>
      <c r="I60" s="225"/>
      <c r="J60" s="100"/>
      <c r="K60" s="387"/>
      <c r="L60" s="121"/>
    </row>
    <row r="61" spans="1:12" ht="12.75" hidden="1" customHeight="1">
      <c r="A61" s="224"/>
      <c r="B61" s="122" t="s">
        <v>58</v>
      </c>
      <c r="C61" s="123" t="s">
        <v>172</v>
      </c>
      <c r="D61" s="388"/>
      <c r="E61" s="388"/>
      <c r="F61" s="938">
        <f>Nikki!E360</f>
        <v>910.59000000000015</v>
      </c>
      <c r="G61" s="938"/>
      <c r="H61" s="225"/>
      <c r="I61" s="225" t="s">
        <v>191</v>
      </c>
      <c r="J61" s="118"/>
      <c r="K61" s="387"/>
      <c r="L61" s="121"/>
    </row>
    <row r="62" spans="1:12" ht="12.75" hidden="1" customHeight="1">
      <c r="A62" s="224"/>
      <c r="B62" s="122" t="s">
        <v>58</v>
      </c>
      <c r="C62" s="123" t="s">
        <v>172</v>
      </c>
      <c r="D62" s="421"/>
      <c r="E62" s="421"/>
      <c r="F62" s="938">
        <f>Nikki!$P$365</f>
        <v>31.800000000000182</v>
      </c>
      <c r="G62" s="938"/>
      <c r="H62" s="225"/>
      <c r="I62" s="225" t="s">
        <v>322</v>
      </c>
      <c r="J62" s="118"/>
      <c r="K62" s="420"/>
      <c r="L62" s="121"/>
    </row>
    <row r="63" spans="1:12" ht="12.75" hidden="1" customHeight="1">
      <c r="A63" s="224"/>
      <c r="B63" s="122" t="s">
        <v>59</v>
      </c>
      <c r="C63" s="123" t="s">
        <v>60</v>
      </c>
      <c r="D63" s="388"/>
      <c r="E63" s="388"/>
      <c r="F63" s="938">
        <v>2500</v>
      </c>
      <c r="G63" s="938"/>
      <c r="H63" s="126"/>
      <c r="I63" s="44"/>
      <c r="J63" s="112"/>
      <c r="K63" s="387"/>
      <c r="L63" s="121"/>
    </row>
    <row r="64" spans="1:12" ht="12.75" hidden="1" customHeight="1">
      <c r="A64" s="224"/>
      <c r="B64" s="122" t="s">
        <v>59</v>
      </c>
      <c r="C64" s="123" t="s">
        <v>61</v>
      </c>
      <c r="D64" s="388"/>
      <c r="E64" s="388"/>
      <c r="F64" s="938">
        <v>268</v>
      </c>
      <c r="G64" s="938"/>
      <c r="H64" s="126"/>
      <c r="I64" s="125"/>
      <c r="J64" s="939"/>
      <c r="K64" s="939"/>
      <c r="L64" s="121"/>
    </row>
    <row r="65" spans="1:12" ht="12.75" hidden="1" customHeight="1">
      <c r="A65" s="224"/>
      <c r="B65" s="122" t="s">
        <v>62</v>
      </c>
      <c r="C65" s="123" t="s">
        <v>63</v>
      </c>
      <c r="D65" s="388"/>
      <c r="E65" s="388"/>
      <c r="F65" s="938">
        <v>601.12</v>
      </c>
      <c r="G65" s="938"/>
      <c r="H65" s="124"/>
      <c r="I65" s="125"/>
      <c r="J65" s="387"/>
      <c r="K65" s="387"/>
      <c r="L65" s="121"/>
    </row>
    <row r="66" spans="1:12" ht="12.75" hidden="1" customHeight="1">
      <c r="A66" s="224"/>
      <c r="B66" s="122" t="s">
        <v>62</v>
      </c>
      <c r="C66" s="123" t="s">
        <v>64</v>
      </c>
      <c r="D66" s="388"/>
      <c r="E66" s="388"/>
      <c r="F66" s="938">
        <v>383.94</v>
      </c>
      <c r="G66" s="938"/>
      <c r="H66" s="124"/>
      <c r="I66" s="125"/>
      <c r="J66" s="387"/>
      <c r="K66" s="387"/>
      <c r="L66" s="121"/>
    </row>
    <row r="67" spans="1:12" ht="12.75" hidden="1" customHeight="1">
      <c r="A67" s="224"/>
      <c r="B67" s="122" t="s">
        <v>62</v>
      </c>
      <c r="C67" s="123" t="s">
        <v>101</v>
      </c>
      <c r="D67" s="388"/>
      <c r="E67" s="388"/>
      <c r="F67" s="938">
        <v>550</v>
      </c>
      <c r="G67" s="938"/>
      <c r="H67" s="124"/>
      <c r="I67" s="125"/>
      <c r="J67" s="387"/>
      <c r="K67" s="387"/>
      <c r="L67" s="121"/>
    </row>
    <row r="68" spans="1:12" ht="12.75" hidden="1" customHeight="1">
      <c r="A68" s="224"/>
      <c r="B68" s="122"/>
      <c r="C68" s="123" t="s">
        <v>146</v>
      </c>
      <c r="D68" s="388"/>
      <c r="E68" s="388"/>
      <c r="F68" s="938">
        <v>2500</v>
      </c>
      <c r="G68" s="938"/>
      <c r="H68" s="225"/>
      <c r="I68" s="125"/>
      <c r="J68" s="387"/>
      <c r="K68" s="387"/>
      <c r="L68" s="121"/>
    </row>
    <row r="69" spans="1:12" ht="12.75" hidden="1" customHeight="1">
      <c r="A69" s="224"/>
      <c r="B69" s="122" t="s">
        <v>66</v>
      </c>
      <c r="C69" s="123" t="s">
        <v>67</v>
      </c>
      <c r="D69" s="388"/>
      <c r="E69" s="388"/>
      <c r="F69" s="938">
        <v>8000</v>
      </c>
      <c r="G69" s="938"/>
      <c r="H69" s="126"/>
      <c r="I69" s="125"/>
      <c r="J69" s="387"/>
      <c r="K69" s="387"/>
      <c r="L69" s="121"/>
    </row>
    <row r="70" spans="1:12" ht="12.75" hidden="1" customHeight="1">
      <c r="A70" s="224"/>
      <c r="B70" s="122" t="s">
        <v>65</v>
      </c>
      <c r="C70" s="123" t="s">
        <v>228</v>
      </c>
      <c r="D70" s="388"/>
      <c r="E70" s="388"/>
      <c r="F70" s="938">
        <v>1000</v>
      </c>
      <c r="G70" s="938"/>
      <c r="H70" s="126"/>
      <c r="I70" s="125"/>
      <c r="J70" s="387"/>
      <c r="K70" s="387"/>
      <c r="L70" s="121"/>
    </row>
    <row r="71" spans="1:12" ht="12.75" hidden="1" customHeight="1">
      <c r="A71" s="224"/>
      <c r="B71" s="122" t="s">
        <v>68</v>
      </c>
      <c r="C71" s="123" t="s">
        <v>69</v>
      </c>
      <c r="D71" s="388"/>
      <c r="E71" s="388"/>
      <c r="F71" s="938">
        <v>1200</v>
      </c>
      <c r="G71" s="938"/>
      <c r="H71" s="130"/>
      <c r="I71" s="125"/>
      <c r="J71" s="387"/>
      <c r="K71" s="387"/>
      <c r="L71" s="121"/>
    </row>
    <row r="72" spans="1:12" ht="12.75" hidden="1" customHeight="1">
      <c r="A72" s="224"/>
      <c r="B72" s="122" t="s">
        <v>68</v>
      </c>
      <c r="C72" s="123" t="s">
        <v>147</v>
      </c>
      <c r="D72" s="388"/>
      <c r="E72" s="388"/>
      <c r="F72" s="938">
        <f>120000*15%/12</f>
        <v>1500</v>
      </c>
      <c r="G72" s="938"/>
      <c r="H72" s="130"/>
      <c r="I72" s="125"/>
      <c r="J72" s="387"/>
      <c r="K72" s="387"/>
      <c r="L72" s="121"/>
    </row>
    <row r="73" spans="1:12" ht="12.75" hidden="1" customHeight="1">
      <c r="A73" s="224"/>
      <c r="B73" s="122" t="s">
        <v>81</v>
      </c>
      <c r="C73" s="123" t="s">
        <v>69</v>
      </c>
      <c r="D73" s="388"/>
      <c r="E73" s="388"/>
      <c r="F73" s="938">
        <v>1800</v>
      </c>
      <c r="G73" s="938"/>
      <c r="H73" s="130"/>
      <c r="I73" s="125"/>
      <c r="J73" s="387"/>
      <c r="K73" s="387"/>
      <c r="L73" s="121"/>
    </row>
    <row r="74" spans="1:12" ht="12.75" hidden="1" customHeight="1">
      <c r="A74" s="224"/>
      <c r="B74" s="122" t="s">
        <v>58</v>
      </c>
      <c r="C74" s="123" t="s">
        <v>148</v>
      </c>
      <c r="D74" s="388"/>
      <c r="E74" s="388"/>
      <c r="F74" s="938">
        <v>1012</v>
      </c>
      <c r="G74" s="938"/>
      <c r="H74" s="130"/>
      <c r="I74" s="125"/>
      <c r="J74" s="387"/>
      <c r="K74" s="387"/>
      <c r="L74" s="121"/>
    </row>
    <row r="75" spans="1:12" ht="12.75" hidden="1" customHeight="1">
      <c r="A75" s="224"/>
      <c r="B75" s="122" t="s">
        <v>272</v>
      </c>
      <c r="C75" s="123" t="s">
        <v>274</v>
      </c>
      <c r="D75" s="388"/>
      <c r="E75" s="388"/>
      <c r="F75" s="938">
        <v>500</v>
      </c>
      <c r="G75" s="938"/>
      <c r="H75" s="130"/>
      <c r="I75" s="125"/>
      <c r="J75" s="387"/>
      <c r="K75" s="387"/>
      <c r="L75" s="121"/>
    </row>
    <row r="76" spans="1:12" ht="12.75" hidden="1" customHeight="1">
      <c r="A76" s="224"/>
      <c r="B76" s="122" t="s">
        <v>273</v>
      </c>
      <c r="C76" s="123" t="s">
        <v>275</v>
      </c>
      <c r="D76" s="388"/>
      <c r="E76" s="388"/>
      <c r="F76" s="938">
        <v>500</v>
      </c>
      <c r="G76" s="938"/>
      <c r="H76" s="130"/>
      <c r="I76" s="125"/>
      <c r="J76" s="387"/>
      <c r="K76" s="387"/>
      <c r="L76" s="121"/>
    </row>
    <row r="77" spans="1:12" ht="12.75" hidden="1" customHeight="1">
      <c r="A77" s="224"/>
      <c r="B77" s="122" t="s">
        <v>70</v>
      </c>
      <c r="C77" s="123" t="s">
        <v>73</v>
      </c>
      <c r="D77" s="388"/>
      <c r="E77" s="388"/>
      <c r="F77" s="938">
        <v>0</v>
      </c>
      <c r="G77" s="938"/>
      <c r="H77" s="124"/>
      <c r="I77" s="125">
        <v>500</v>
      </c>
      <c r="J77" s="387"/>
      <c r="K77" s="387"/>
      <c r="L77" s="121"/>
    </row>
    <row r="78" spans="1:12" ht="12.75" hidden="1" customHeight="1">
      <c r="A78" s="224"/>
      <c r="B78" s="122" t="s">
        <v>71</v>
      </c>
      <c r="C78" s="123" t="s">
        <v>74</v>
      </c>
      <c r="D78" s="388"/>
      <c r="E78" s="388"/>
      <c r="F78" s="938">
        <v>0</v>
      </c>
      <c r="G78" s="938"/>
      <c r="H78" s="124"/>
      <c r="I78" s="125">
        <v>500</v>
      </c>
      <c r="J78" s="387"/>
      <c r="K78" s="387"/>
      <c r="L78" s="121"/>
    </row>
    <row r="79" spans="1:12" ht="12.75" hidden="1" customHeight="1">
      <c r="A79" s="224"/>
      <c r="B79" s="122" t="s">
        <v>72</v>
      </c>
      <c r="C79" s="123" t="s">
        <v>75</v>
      </c>
      <c r="D79" s="388"/>
      <c r="E79" s="388"/>
      <c r="F79" s="938">
        <v>0</v>
      </c>
      <c r="G79" s="938"/>
      <c r="H79" s="124"/>
      <c r="I79" s="125">
        <v>500</v>
      </c>
      <c r="J79" s="387"/>
      <c r="K79" s="387"/>
      <c r="L79" s="121"/>
    </row>
    <row r="80" spans="1:12" ht="12.75" hidden="1" customHeight="1">
      <c r="A80" s="224"/>
      <c r="B80" s="122" t="s">
        <v>59</v>
      </c>
      <c r="C80" s="123" t="s">
        <v>82</v>
      </c>
      <c r="D80" s="388"/>
      <c r="E80" s="388"/>
      <c r="F80" s="938">
        <v>11000</v>
      </c>
      <c r="G80" s="938"/>
      <c r="H80" s="124"/>
      <c r="I80" s="125"/>
      <c r="J80" s="387"/>
      <c r="K80" s="387"/>
      <c r="L80" s="121"/>
    </row>
    <row r="81" spans="1:12" ht="12.75" hidden="1" customHeight="1" thickBot="1">
      <c r="A81" s="224"/>
      <c r="B81" s="223" t="s">
        <v>102</v>
      </c>
      <c r="C81" s="123" t="s">
        <v>83</v>
      </c>
      <c r="D81" s="388"/>
      <c r="E81" s="388"/>
      <c r="F81" s="940">
        <v>11000</v>
      </c>
      <c r="G81" s="940"/>
      <c r="H81" s="124"/>
      <c r="I81" s="125"/>
      <c r="J81" s="387"/>
      <c r="K81" s="387"/>
      <c r="L81" s="121"/>
    </row>
    <row r="82" spans="1:12" ht="12.75" hidden="1" customHeight="1" thickTop="1">
      <c r="A82" s="122"/>
      <c r="B82" s="122"/>
      <c r="C82" s="123"/>
      <c r="D82" s="388"/>
      <c r="E82" s="388"/>
      <c r="F82" s="941">
        <f>SUM(F60:G81)</f>
        <v>52905.78</v>
      </c>
      <c r="G82" s="941"/>
      <c r="H82" s="124"/>
      <c r="I82" s="125"/>
      <c r="J82" s="939"/>
      <c r="K82" s="939"/>
      <c r="L82" s="121"/>
    </row>
    <row r="83" spans="1:12" ht="12.75" hidden="1" customHeight="1">
      <c r="A83" s="122"/>
      <c r="B83" s="122"/>
      <c r="C83" s="123"/>
      <c r="D83" s="388"/>
      <c r="E83" s="388"/>
      <c r="F83" s="942">
        <f>F82+K58</f>
        <v>60524.65</v>
      </c>
      <c r="G83" s="943"/>
      <c r="H83" s="124"/>
      <c r="I83" s="125"/>
      <c r="J83" s="939"/>
      <c r="K83" s="939"/>
      <c r="L83" s="121"/>
    </row>
    <row r="84" spans="1:12" hidden="1">
      <c r="A84" s="21"/>
      <c r="B84" s="64"/>
      <c r="C84" s="28"/>
      <c r="D84" s="28"/>
      <c r="E84" s="28"/>
      <c r="F84" s="28"/>
      <c r="G84" s="28"/>
      <c r="H84" s="28"/>
      <c r="I84" s="28"/>
      <c r="J84" s="28"/>
      <c r="K84" s="28"/>
    </row>
    <row r="85" spans="1:12" s="8" customFormat="1" ht="1.9" customHeight="1">
      <c r="A85" s="22"/>
      <c r="K85" s="35"/>
    </row>
    <row r="86" spans="1:12" s="9" customFormat="1" ht="16.149999999999999" customHeight="1">
      <c r="A86" s="23" t="s">
        <v>18</v>
      </c>
      <c r="K86" s="36"/>
    </row>
    <row r="87" spans="1:12" s="8" customFormat="1" ht="1.9" customHeight="1">
      <c r="A87" s="22"/>
      <c r="K87" s="35"/>
    </row>
    <row r="88" spans="1:12" ht="13.5" thickBot="1"/>
    <row r="89" spans="1:12" s="17" customFormat="1" thickBot="1">
      <c r="A89" s="455" t="s">
        <v>1</v>
      </c>
      <c r="B89" s="10" t="s">
        <v>2</v>
      </c>
      <c r="C89" s="11" t="s">
        <v>3</v>
      </c>
      <c r="D89" s="11" t="s">
        <v>4</v>
      </c>
      <c r="E89" s="11" t="s">
        <v>5</v>
      </c>
      <c r="F89" s="11" t="s">
        <v>6</v>
      </c>
      <c r="G89" s="11" t="s">
        <v>7</v>
      </c>
      <c r="H89" s="11" t="s">
        <v>8</v>
      </c>
      <c r="I89" s="11" t="s">
        <v>9</v>
      </c>
      <c r="J89" s="13" t="s">
        <v>10</v>
      </c>
      <c r="K89" s="459" t="s">
        <v>19</v>
      </c>
    </row>
    <row r="90" spans="1:12" s="15" customFormat="1" ht="12">
      <c r="A90" s="456" t="s">
        <v>12</v>
      </c>
      <c r="B90" s="65">
        <v>960</v>
      </c>
      <c r="C90" s="66">
        <v>0</v>
      </c>
      <c r="D90" s="66">
        <v>63.36</v>
      </c>
      <c r="E90" s="66">
        <v>896.64</v>
      </c>
      <c r="F90" s="66">
        <v>9.6</v>
      </c>
      <c r="G90" s="66">
        <v>0</v>
      </c>
      <c r="H90" s="66">
        <v>-50</v>
      </c>
      <c r="I90" s="66">
        <v>0</v>
      </c>
      <c r="J90" s="67">
        <v>937.04</v>
      </c>
      <c r="K90" s="460">
        <v>40974</v>
      </c>
    </row>
    <row r="91" spans="1:12" s="15" customFormat="1" ht="12">
      <c r="A91" s="456" t="s">
        <v>12</v>
      </c>
      <c r="B91" s="416">
        <v>960</v>
      </c>
      <c r="C91" s="417">
        <v>0</v>
      </c>
      <c r="D91" s="417">
        <v>63.36</v>
      </c>
      <c r="E91" s="417">
        <v>896.64</v>
      </c>
      <c r="F91" s="417">
        <v>9.6</v>
      </c>
      <c r="G91" s="417">
        <v>0</v>
      </c>
      <c r="H91" s="417">
        <v>-50</v>
      </c>
      <c r="I91" s="417">
        <v>0</v>
      </c>
      <c r="J91" s="418">
        <v>937.04</v>
      </c>
      <c r="K91" s="461">
        <v>40981</v>
      </c>
    </row>
    <row r="92" spans="1:12" s="15" customFormat="1" ht="12">
      <c r="A92" s="457" t="s">
        <v>12</v>
      </c>
      <c r="B92" s="80">
        <v>960</v>
      </c>
      <c r="C92" s="81">
        <v>0</v>
      </c>
      <c r="D92" s="81">
        <v>63.36</v>
      </c>
      <c r="E92" s="81">
        <v>896.64</v>
      </c>
      <c r="F92" s="81">
        <v>9.6</v>
      </c>
      <c r="G92" s="81">
        <v>0</v>
      </c>
      <c r="H92" s="81">
        <v>-50</v>
      </c>
      <c r="I92" s="81">
        <v>0</v>
      </c>
      <c r="J92" s="82">
        <v>937.04</v>
      </c>
      <c r="K92" s="461">
        <v>40988</v>
      </c>
    </row>
    <row r="93" spans="1:12" s="15" customFormat="1" thickBot="1">
      <c r="A93" s="458" t="s">
        <v>12</v>
      </c>
      <c r="B93" s="68">
        <v>960</v>
      </c>
      <c r="C93" s="69">
        <v>0</v>
      </c>
      <c r="D93" s="69">
        <v>63.36</v>
      </c>
      <c r="E93" s="69">
        <v>896.64</v>
      </c>
      <c r="F93" s="69">
        <v>9.6</v>
      </c>
      <c r="G93" s="69">
        <v>0</v>
      </c>
      <c r="H93" s="69">
        <v>-50</v>
      </c>
      <c r="I93" s="69">
        <v>0</v>
      </c>
      <c r="J93" s="70">
        <v>937.04</v>
      </c>
      <c r="K93" s="461">
        <v>40995</v>
      </c>
    </row>
    <row r="94" spans="1:12" s="15" customFormat="1" thickBot="1">
      <c r="A94" s="455" t="s">
        <v>0</v>
      </c>
      <c r="B94" s="463">
        <f t="shared" ref="B94:J94" si="4">SUM(B90:B93)</f>
        <v>3840</v>
      </c>
      <c r="C94" s="454">
        <f t="shared" si="4"/>
        <v>0</v>
      </c>
      <c r="D94" s="454">
        <f t="shared" si="4"/>
        <v>253.44</v>
      </c>
      <c r="E94" s="454">
        <f t="shared" si="4"/>
        <v>3586.56</v>
      </c>
      <c r="F94" s="454">
        <f t="shared" si="4"/>
        <v>38.4</v>
      </c>
      <c r="G94" s="454">
        <f t="shared" si="4"/>
        <v>0</v>
      </c>
      <c r="H94" s="454">
        <f t="shared" si="4"/>
        <v>-200</v>
      </c>
      <c r="I94" s="454">
        <f t="shared" si="4"/>
        <v>0</v>
      </c>
      <c r="J94" s="464">
        <f t="shared" si="4"/>
        <v>3748.16</v>
      </c>
      <c r="K94" s="462"/>
    </row>
    <row r="95" spans="1:12" s="15" customFormat="1" ht="8.1" customHeight="1" thickBot="1">
      <c r="A95" s="17"/>
      <c r="K95" s="17"/>
    </row>
    <row r="96" spans="1:12" s="17" customFormat="1" thickBot="1">
      <c r="A96" s="10" t="s">
        <v>1</v>
      </c>
      <c r="B96" s="11" t="s">
        <v>2</v>
      </c>
      <c r="C96" s="11" t="s">
        <v>3</v>
      </c>
      <c r="D96" s="11" t="s">
        <v>4</v>
      </c>
      <c r="E96" s="11" t="s">
        <v>5</v>
      </c>
      <c r="F96" s="11" t="s">
        <v>6</v>
      </c>
      <c r="G96" s="11" t="s">
        <v>7</v>
      </c>
      <c r="H96" s="11" t="s">
        <v>8</v>
      </c>
      <c r="I96" s="11" t="s">
        <v>9</v>
      </c>
      <c r="J96" s="12" t="s">
        <v>10</v>
      </c>
      <c r="K96" s="13" t="s">
        <v>19</v>
      </c>
    </row>
    <row r="97" spans="1:11" s="15" customFormat="1" ht="12">
      <c r="A97" s="25" t="s">
        <v>14</v>
      </c>
      <c r="B97" s="69">
        <v>891.6</v>
      </c>
      <c r="C97" s="69">
        <v>0</v>
      </c>
      <c r="D97" s="69">
        <v>58.85</v>
      </c>
      <c r="E97" s="69">
        <v>832.75</v>
      </c>
      <c r="F97" s="69">
        <v>8.92</v>
      </c>
      <c r="G97" s="69">
        <v>0</v>
      </c>
      <c r="H97" s="69">
        <v>50</v>
      </c>
      <c r="I97" s="69">
        <v>0</v>
      </c>
      <c r="J97" s="70">
        <v>773.84</v>
      </c>
      <c r="K97" s="31">
        <v>40974</v>
      </c>
    </row>
    <row r="98" spans="1:11" s="15" customFormat="1" ht="12">
      <c r="A98" s="26" t="s">
        <v>14</v>
      </c>
      <c r="B98" s="68">
        <v>891.6</v>
      </c>
      <c r="C98" s="69">
        <v>0</v>
      </c>
      <c r="D98" s="69">
        <v>58.85</v>
      </c>
      <c r="E98" s="69">
        <v>832.75</v>
      </c>
      <c r="F98" s="69">
        <v>8.92</v>
      </c>
      <c r="G98" s="69">
        <v>0</v>
      </c>
      <c r="H98" s="69">
        <v>50</v>
      </c>
      <c r="I98" s="69">
        <v>0</v>
      </c>
      <c r="J98" s="70">
        <v>773.84</v>
      </c>
      <c r="K98" s="32">
        <v>40981</v>
      </c>
    </row>
    <row r="99" spans="1:11" s="15" customFormat="1" ht="12">
      <c r="A99" s="26" t="s">
        <v>14</v>
      </c>
      <c r="B99" s="68">
        <v>891.6</v>
      </c>
      <c r="C99" s="69">
        <v>0</v>
      </c>
      <c r="D99" s="69">
        <v>58.85</v>
      </c>
      <c r="E99" s="69">
        <v>832.75</v>
      </c>
      <c r="F99" s="69">
        <v>8.92</v>
      </c>
      <c r="G99" s="69">
        <v>0</v>
      </c>
      <c r="H99" s="69">
        <v>50</v>
      </c>
      <c r="I99" s="69">
        <v>0</v>
      </c>
      <c r="J99" s="70">
        <v>773.84</v>
      </c>
      <c r="K99" s="32">
        <v>40988</v>
      </c>
    </row>
    <row r="100" spans="1:11" s="15" customFormat="1" thickBot="1">
      <c r="A100" s="26" t="s">
        <v>14</v>
      </c>
      <c r="B100" s="68">
        <v>891.6</v>
      </c>
      <c r="C100" s="69">
        <v>0</v>
      </c>
      <c r="D100" s="69">
        <v>58.85</v>
      </c>
      <c r="E100" s="69">
        <v>832.75</v>
      </c>
      <c r="F100" s="69">
        <v>8.92</v>
      </c>
      <c r="G100" s="69">
        <v>0</v>
      </c>
      <c r="H100" s="69">
        <v>50</v>
      </c>
      <c r="I100" s="69">
        <v>0</v>
      </c>
      <c r="J100" s="70">
        <v>773.84</v>
      </c>
      <c r="K100" s="32">
        <v>40995</v>
      </c>
    </row>
    <row r="101" spans="1:11" s="15" customFormat="1" thickBot="1">
      <c r="A101" s="10" t="s">
        <v>0</v>
      </c>
      <c r="B101" s="16">
        <f t="shared" ref="B101:J101" si="5">SUM(B97:B100)</f>
        <v>3566.4</v>
      </c>
      <c r="C101" s="16">
        <f t="shared" si="5"/>
        <v>0</v>
      </c>
      <c r="D101" s="16">
        <f t="shared" si="5"/>
        <v>235.4</v>
      </c>
      <c r="E101" s="16">
        <f t="shared" si="5"/>
        <v>3331</v>
      </c>
      <c r="F101" s="16">
        <f t="shared" si="5"/>
        <v>35.68</v>
      </c>
      <c r="G101" s="16">
        <f t="shared" si="5"/>
        <v>0</v>
      </c>
      <c r="H101" s="16">
        <f t="shared" si="5"/>
        <v>200</v>
      </c>
      <c r="I101" s="16">
        <f t="shared" si="5"/>
        <v>0</v>
      </c>
      <c r="J101" s="27">
        <f t="shared" si="5"/>
        <v>3095.36</v>
      </c>
      <c r="K101" s="30"/>
    </row>
    <row r="102" spans="1:11" s="15" customFormat="1" ht="8.1" customHeight="1" thickBot="1">
      <c r="A102" s="17"/>
      <c r="K102" s="17"/>
    </row>
    <row r="103" spans="1:11" s="17" customFormat="1" thickBot="1">
      <c r="A103" s="10" t="s">
        <v>1</v>
      </c>
      <c r="B103" s="11" t="s">
        <v>2</v>
      </c>
      <c r="C103" s="11" t="s">
        <v>3</v>
      </c>
      <c r="D103" s="11" t="s">
        <v>4</v>
      </c>
      <c r="E103" s="11" t="s">
        <v>5</v>
      </c>
      <c r="F103" s="11" t="s">
        <v>6</v>
      </c>
      <c r="G103" s="11" t="s">
        <v>7</v>
      </c>
      <c r="H103" s="11" t="s">
        <v>8</v>
      </c>
      <c r="I103" s="11" t="s">
        <v>9</v>
      </c>
      <c r="J103" s="12" t="s">
        <v>10</v>
      </c>
      <c r="K103" s="13" t="s">
        <v>19</v>
      </c>
    </row>
    <row r="104" spans="1:11" s="15" customFormat="1" ht="12">
      <c r="A104" s="26" t="s">
        <v>15</v>
      </c>
      <c r="B104" s="69">
        <v>646.4</v>
      </c>
      <c r="C104" s="69">
        <v>0</v>
      </c>
      <c r="D104" s="69">
        <v>42.66</v>
      </c>
      <c r="E104" s="69">
        <v>603.74</v>
      </c>
      <c r="F104" s="69">
        <v>6.46</v>
      </c>
      <c r="G104" s="69">
        <v>0</v>
      </c>
      <c r="H104" s="69">
        <v>50</v>
      </c>
      <c r="I104" s="69">
        <v>0</v>
      </c>
      <c r="J104" s="70">
        <v>547.27</v>
      </c>
      <c r="K104" s="31">
        <v>40974</v>
      </c>
    </row>
    <row r="105" spans="1:11" s="15" customFormat="1" ht="12">
      <c r="A105" s="26" t="s">
        <v>15</v>
      </c>
      <c r="B105" s="68">
        <v>646.4</v>
      </c>
      <c r="C105" s="69">
        <v>0</v>
      </c>
      <c r="D105" s="69">
        <v>42.66</v>
      </c>
      <c r="E105" s="69">
        <v>603.74</v>
      </c>
      <c r="F105" s="69">
        <v>6.46</v>
      </c>
      <c r="G105" s="69">
        <v>0</v>
      </c>
      <c r="H105" s="69">
        <v>-50</v>
      </c>
      <c r="I105" s="69">
        <v>0</v>
      </c>
      <c r="J105" s="70">
        <v>647.27</v>
      </c>
      <c r="K105" s="32">
        <v>40981</v>
      </c>
    </row>
    <row r="106" spans="1:11" s="15" customFormat="1" ht="12">
      <c r="A106" s="26" t="s">
        <v>15</v>
      </c>
      <c r="B106" s="68">
        <v>646.4</v>
      </c>
      <c r="C106" s="69">
        <v>0</v>
      </c>
      <c r="D106" s="69">
        <v>42.66</v>
      </c>
      <c r="E106" s="69">
        <v>603.74</v>
      </c>
      <c r="F106" s="69">
        <v>6.46</v>
      </c>
      <c r="G106" s="69">
        <v>0</v>
      </c>
      <c r="H106" s="69">
        <v>50</v>
      </c>
      <c r="I106" s="69">
        <v>0</v>
      </c>
      <c r="J106" s="70">
        <v>547.27</v>
      </c>
      <c r="K106" s="32">
        <v>40988</v>
      </c>
    </row>
    <row r="107" spans="1:11" s="15" customFormat="1" thickBot="1">
      <c r="A107" s="26" t="s">
        <v>15</v>
      </c>
      <c r="B107" s="68">
        <v>646.4</v>
      </c>
      <c r="C107" s="69">
        <v>0</v>
      </c>
      <c r="D107" s="69">
        <v>42.66</v>
      </c>
      <c r="E107" s="69">
        <v>603.74</v>
      </c>
      <c r="F107" s="69">
        <v>6.46</v>
      </c>
      <c r="G107" s="69">
        <v>0</v>
      </c>
      <c r="H107" s="69">
        <v>-50</v>
      </c>
      <c r="I107" s="69">
        <v>0</v>
      </c>
      <c r="J107" s="70">
        <v>647.27</v>
      </c>
      <c r="K107" s="32">
        <v>40995</v>
      </c>
    </row>
    <row r="108" spans="1:11" s="15" customFormat="1" thickBot="1">
      <c r="A108" s="10" t="s">
        <v>0</v>
      </c>
      <c r="B108" s="16">
        <f t="shared" ref="B108:J108" si="6">SUM(B104:B107)</f>
        <v>2585.6</v>
      </c>
      <c r="C108" s="16">
        <f t="shared" si="6"/>
        <v>0</v>
      </c>
      <c r="D108" s="16">
        <f t="shared" si="6"/>
        <v>170.64</v>
      </c>
      <c r="E108" s="16">
        <f t="shared" si="6"/>
        <v>2414.96</v>
      </c>
      <c r="F108" s="16">
        <f t="shared" si="6"/>
        <v>25.84</v>
      </c>
      <c r="G108" s="16">
        <f t="shared" si="6"/>
        <v>0</v>
      </c>
      <c r="H108" s="16">
        <f t="shared" si="6"/>
        <v>0</v>
      </c>
      <c r="I108" s="16">
        <f t="shared" si="6"/>
        <v>0</v>
      </c>
      <c r="J108" s="27">
        <f t="shared" si="6"/>
        <v>2389.08</v>
      </c>
      <c r="K108" s="30"/>
    </row>
    <row r="109" spans="1:11" s="15" customFormat="1" ht="8.1" customHeight="1" thickBot="1">
      <c r="A109" s="17"/>
      <c r="K109" s="17"/>
    </row>
    <row r="110" spans="1:11" s="17" customFormat="1" thickBot="1">
      <c r="A110" s="10" t="s">
        <v>1</v>
      </c>
      <c r="B110" s="11" t="s">
        <v>2</v>
      </c>
      <c r="C110" s="11" t="s">
        <v>3</v>
      </c>
      <c r="D110" s="11" t="s">
        <v>4</v>
      </c>
      <c r="E110" s="11" t="s">
        <v>5</v>
      </c>
      <c r="F110" s="11" t="s">
        <v>6</v>
      </c>
      <c r="G110" s="11" t="s">
        <v>7</v>
      </c>
      <c r="H110" s="11" t="s">
        <v>8</v>
      </c>
      <c r="I110" s="11" t="s">
        <v>9</v>
      </c>
      <c r="J110" s="12" t="s">
        <v>10</v>
      </c>
      <c r="K110" s="13" t="s">
        <v>19</v>
      </c>
    </row>
    <row r="111" spans="1:11" s="15" customFormat="1" ht="12">
      <c r="A111" s="26" t="s">
        <v>16</v>
      </c>
      <c r="B111" s="69">
        <v>2428</v>
      </c>
      <c r="C111" s="69">
        <v>0</v>
      </c>
      <c r="D111" s="69">
        <v>160.25</v>
      </c>
      <c r="E111" s="69">
        <v>2267.75</v>
      </c>
      <c r="F111" s="69">
        <v>24.28</v>
      </c>
      <c r="G111" s="69">
        <v>188</v>
      </c>
      <c r="H111" s="69">
        <v>600</v>
      </c>
      <c r="I111" s="69">
        <v>378.25</v>
      </c>
      <c r="J111" s="70">
        <v>1077.22</v>
      </c>
      <c r="K111" s="31">
        <v>40974</v>
      </c>
    </row>
    <row r="112" spans="1:11" s="15" customFormat="1" ht="12">
      <c r="A112" s="26" t="s">
        <v>16</v>
      </c>
      <c r="B112" s="68">
        <v>2428</v>
      </c>
      <c r="C112" s="69">
        <v>0</v>
      </c>
      <c r="D112" s="69">
        <v>160.25</v>
      </c>
      <c r="E112" s="69">
        <v>2267.75</v>
      </c>
      <c r="F112" s="69">
        <v>24.28</v>
      </c>
      <c r="G112" s="69">
        <v>188</v>
      </c>
      <c r="H112" s="69">
        <v>600</v>
      </c>
      <c r="I112" s="69">
        <v>378.25</v>
      </c>
      <c r="J112" s="70">
        <v>1077.22</v>
      </c>
      <c r="K112" s="32">
        <v>40981</v>
      </c>
    </row>
    <row r="113" spans="1:11" s="15" customFormat="1" ht="12">
      <c r="A113" s="26" t="s">
        <v>16</v>
      </c>
      <c r="B113" s="68">
        <v>2428</v>
      </c>
      <c r="C113" s="69">
        <v>0</v>
      </c>
      <c r="D113" s="69">
        <v>160.25</v>
      </c>
      <c r="E113" s="69">
        <v>2267.75</v>
      </c>
      <c r="F113" s="69">
        <v>24.28</v>
      </c>
      <c r="G113" s="69">
        <v>188</v>
      </c>
      <c r="H113" s="69">
        <v>700</v>
      </c>
      <c r="I113" s="69">
        <v>378.25</v>
      </c>
      <c r="J113" s="70">
        <v>977.22</v>
      </c>
      <c r="K113" s="32">
        <v>40988</v>
      </c>
    </row>
    <row r="114" spans="1:11" s="15" customFormat="1" thickBot="1">
      <c r="A114" s="26" t="s">
        <v>16</v>
      </c>
      <c r="B114" s="68">
        <v>2428</v>
      </c>
      <c r="C114" s="69">
        <v>0</v>
      </c>
      <c r="D114" s="69">
        <v>160.25</v>
      </c>
      <c r="E114" s="69">
        <v>2267.75</v>
      </c>
      <c r="F114" s="69">
        <v>24.28</v>
      </c>
      <c r="G114" s="69">
        <v>188</v>
      </c>
      <c r="H114" s="69">
        <v>700</v>
      </c>
      <c r="I114" s="69">
        <v>378.25</v>
      </c>
      <c r="J114" s="70">
        <v>977.22</v>
      </c>
      <c r="K114" s="32">
        <v>40995</v>
      </c>
    </row>
    <row r="115" spans="1:11" s="15" customFormat="1" thickBot="1">
      <c r="A115" s="10" t="s">
        <v>0</v>
      </c>
      <c r="B115" s="16">
        <f t="shared" ref="B115:J115" si="7">SUM(B111:B114)</f>
        <v>9712</v>
      </c>
      <c r="C115" s="16">
        <f t="shared" si="7"/>
        <v>0</v>
      </c>
      <c r="D115" s="16">
        <f t="shared" si="7"/>
        <v>641</v>
      </c>
      <c r="E115" s="16">
        <f t="shared" si="7"/>
        <v>9071</v>
      </c>
      <c r="F115" s="16">
        <f t="shared" si="7"/>
        <v>97.12</v>
      </c>
      <c r="G115" s="16">
        <f t="shared" si="7"/>
        <v>752</v>
      </c>
      <c r="H115" s="16">
        <f t="shared" si="7"/>
        <v>2600</v>
      </c>
      <c r="I115" s="16">
        <f t="shared" si="7"/>
        <v>1513</v>
      </c>
      <c r="J115" s="27">
        <f t="shared" si="7"/>
        <v>4108.88</v>
      </c>
      <c r="K115" s="30"/>
    </row>
    <row r="116" spans="1:11" s="15" customFormat="1" thickBot="1">
      <c r="A116" s="17"/>
      <c r="K116" s="17"/>
    </row>
    <row r="117" spans="1:11" s="17" customFormat="1" thickBot="1">
      <c r="A117" s="10" t="s">
        <v>1</v>
      </c>
      <c r="B117" s="11" t="s">
        <v>2</v>
      </c>
      <c r="C117" s="11" t="s">
        <v>3</v>
      </c>
      <c r="D117" s="11" t="s">
        <v>4</v>
      </c>
      <c r="E117" s="11" t="s">
        <v>5</v>
      </c>
      <c r="F117" s="11" t="s">
        <v>6</v>
      </c>
      <c r="G117" s="11" t="s">
        <v>7</v>
      </c>
      <c r="H117" s="11" t="s">
        <v>8</v>
      </c>
      <c r="I117" s="11" t="s">
        <v>9</v>
      </c>
      <c r="J117" s="12" t="s">
        <v>10</v>
      </c>
      <c r="K117" s="13" t="s">
        <v>19</v>
      </c>
    </row>
    <row r="118" spans="1:11" s="15" customFormat="1" ht="12">
      <c r="A118" s="26" t="s">
        <v>52</v>
      </c>
      <c r="B118" s="69">
        <v>1290.4000000000001</v>
      </c>
      <c r="C118" s="69">
        <v>0</v>
      </c>
      <c r="D118" s="69">
        <v>0</v>
      </c>
      <c r="E118" s="69">
        <v>1290.4000000000001</v>
      </c>
      <c r="F118" s="69">
        <v>12.9</v>
      </c>
      <c r="G118" s="69">
        <v>12</v>
      </c>
      <c r="H118" s="69">
        <v>100</v>
      </c>
      <c r="I118" s="69">
        <v>0</v>
      </c>
      <c r="J118" s="70">
        <v>1165.5</v>
      </c>
      <c r="K118" s="31">
        <v>40974</v>
      </c>
    </row>
    <row r="119" spans="1:11" s="15" customFormat="1" ht="12">
      <c r="A119" s="26" t="s">
        <v>52</v>
      </c>
      <c r="B119" s="68">
        <v>1290.4000000000001</v>
      </c>
      <c r="C119" s="69">
        <v>0</v>
      </c>
      <c r="D119" s="69">
        <v>0</v>
      </c>
      <c r="E119" s="69">
        <v>1290.4000000000001</v>
      </c>
      <c r="F119" s="69">
        <v>12.9</v>
      </c>
      <c r="G119" s="69">
        <v>12</v>
      </c>
      <c r="H119" s="69">
        <v>100</v>
      </c>
      <c r="I119" s="69">
        <v>0</v>
      </c>
      <c r="J119" s="70">
        <v>1165.5</v>
      </c>
      <c r="K119" s="32">
        <v>40981</v>
      </c>
    </row>
    <row r="120" spans="1:11" s="15" customFormat="1" ht="12">
      <c r="A120" s="26" t="s">
        <v>52</v>
      </c>
      <c r="B120" s="68">
        <v>1290.4000000000001</v>
      </c>
      <c r="C120" s="69">
        <v>0</v>
      </c>
      <c r="D120" s="69">
        <v>0</v>
      </c>
      <c r="E120" s="69">
        <v>1290.4000000000001</v>
      </c>
      <c r="F120" s="69">
        <v>12.9</v>
      </c>
      <c r="G120" s="69">
        <v>12</v>
      </c>
      <c r="H120" s="69">
        <v>100</v>
      </c>
      <c r="I120" s="69">
        <v>0</v>
      </c>
      <c r="J120" s="70">
        <v>1165.5</v>
      </c>
      <c r="K120" s="32">
        <v>40988</v>
      </c>
    </row>
    <row r="121" spans="1:11" s="15" customFormat="1" thickBot="1">
      <c r="A121" s="26" t="s">
        <v>52</v>
      </c>
      <c r="B121" s="68">
        <v>1290.4000000000001</v>
      </c>
      <c r="C121" s="69">
        <v>0</v>
      </c>
      <c r="D121" s="69">
        <v>0</v>
      </c>
      <c r="E121" s="69">
        <v>1290.4000000000001</v>
      </c>
      <c r="F121" s="69">
        <v>12.9</v>
      </c>
      <c r="G121" s="69">
        <v>12</v>
      </c>
      <c r="H121" s="69">
        <v>100</v>
      </c>
      <c r="I121" s="69">
        <v>0</v>
      </c>
      <c r="J121" s="70">
        <v>1165.5</v>
      </c>
      <c r="K121" s="32">
        <v>40995</v>
      </c>
    </row>
    <row r="122" spans="1:11" s="15" customFormat="1" thickBot="1">
      <c r="A122" s="10" t="s">
        <v>0</v>
      </c>
      <c r="B122" s="16">
        <f t="shared" ref="B122:J122" si="8">SUM(B118:B121)</f>
        <v>5161.6000000000004</v>
      </c>
      <c r="C122" s="16">
        <f t="shared" si="8"/>
        <v>0</v>
      </c>
      <c r="D122" s="16">
        <f t="shared" si="8"/>
        <v>0</v>
      </c>
      <c r="E122" s="16">
        <f t="shared" si="8"/>
        <v>5161.6000000000004</v>
      </c>
      <c r="F122" s="16">
        <f t="shared" si="8"/>
        <v>51.6</v>
      </c>
      <c r="G122" s="16">
        <f t="shared" si="8"/>
        <v>48</v>
      </c>
      <c r="H122" s="16">
        <f t="shared" si="8"/>
        <v>400</v>
      </c>
      <c r="I122" s="16">
        <f t="shared" si="8"/>
        <v>0</v>
      </c>
      <c r="J122" s="27">
        <f t="shared" si="8"/>
        <v>4662</v>
      </c>
      <c r="K122" s="30"/>
    </row>
    <row r="123" spans="1:11" s="15" customFormat="1" thickBot="1">
      <c r="A123" s="17"/>
      <c r="K123" s="17"/>
    </row>
    <row r="124" spans="1:11" s="17" customFormat="1" thickBot="1">
      <c r="A124" s="10" t="s">
        <v>1</v>
      </c>
      <c r="B124" s="11" t="s">
        <v>2</v>
      </c>
      <c r="C124" s="11" t="s">
        <v>3</v>
      </c>
      <c r="D124" s="11" t="s">
        <v>4</v>
      </c>
      <c r="E124" s="11" t="s">
        <v>5</v>
      </c>
      <c r="F124" s="11" t="s">
        <v>6</v>
      </c>
      <c r="G124" s="11" t="s">
        <v>7</v>
      </c>
      <c r="H124" s="11" t="s">
        <v>8</v>
      </c>
      <c r="I124" s="11" t="s">
        <v>9</v>
      </c>
      <c r="J124" s="12" t="s">
        <v>10</v>
      </c>
      <c r="K124" s="13" t="s">
        <v>19</v>
      </c>
    </row>
    <row r="125" spans="1:11" s="15" customFormat="1" ht="12">
      <c r="A125" s="26" t="s">
        <v>207</v>
      </c>
      <c r="B125" s="69">
        <v>700</v>
      </c>
      <c r="C125" s="69">
        <v>0</v>
      </c>
      <c r="D125" s="69">
        <v>0</v>
      </c>
      <c r="E125" s="69">
        <v>700</v>
      </c>
      <c r="F125" s="69">
        <v>7</v>
      </c>
      <c r="G125" s="69">
        <v>0</v>
      </c>
      <c r="H125" s="69">
        <v>0</v>
      </c>
      <c r="I125" s="69">
        <v>0</v>
      </c>
      <c r="J125" s="70">
        <v>693</v>
      </c>
      <c r="K125" s="31">
        <v>40974</v>
      </c>
    </row>
    <row r="126" spans="1:11" s="15" customFormat="1" ht="12">
      <c r="A126" s="26" t="s">
        <v>207</v>
      </c>
      <c r="B126" s="68">
        <v>700</v>
      </c>
      <c r="C126" s="69">
        <v>0</v>
      </c>
      <c r="D126" s="69">
        <v>0</v>
      </c>
      <c r="E126" s="69">
        <v>700</v>
      </c>
      <c r="F126" s="69">
        <v>7</v>
      </c>
      <c r="G126" s="69">
        <v>0</v>
      </c>
      <c r="H126" s="69">
        <v>0</v>
      </c>
      <c r="I126" s="69">
        <v>0</v>
      </c>
      <c r="J126" s="70">
        <v>693</v>
      </c>
      <c r="K126" s="32">
        <v>40981</v>
      </c>
    </row>
    <row r="127" spans="1:11" s="15" customFormat="1" ht="12">
      <c r="A127" s="26" t="s">
        <v>207</v>
      </c>
      <c r="B127" s="68">
        <v>700</v>
      </c>
      <c r="C127" s="69">
        <v>0</v>
      </c>
      <c r="D127" s="69">
        <v>0</v>
      </c>
      <c r="E127" s="69">
        <v>700</v>
      </c>
      <c r="F127" s="69">
        <v>7</v>
      </c>
      <c r="G127" s="69">
        <v>0</v>
      </c>
      <c r="H127" s="69">
        <v>100</v>
      </c>
      <c r="I127" s="69">
        <v>0</v>
      </c>
      <c r="J127" s="70">
        <v>593</v>
      </c>
      <c r="K127" s="32">
        <v>40988</v>
      </c>
    </row>
    <row r="128" spans="1:11" s="15" customFormat="1" thickBot="1">
      <c r="A128" s="26" t="s">
        <v>207</v>
      </c>
      <c r="B128" s="68">
        <v>700</v>
      </c>
      <c r="C128" s="69">
        <v>0</v>
      </c>
      <c r="D128" s="69">
        <v>0</v>
      </c>
      <c r="E128" s="69">
        <v>700</v>
      </c>
      <c r="F128" s="69">
        <v>7</v>
      </c>
      <c r="G128" s="69">
        <v>0</v>
      </c>
      <c r="H128" s="69">
        <v>100</v>
      </c>
      <c r="I128" s="69">
        <v>0</v>
      </c>
      <c r="J128" s="70">
        <v>593</v>
      </c>
      <c r="K128" s="32">
        <v>40995</v>
      </c>
    </row>
    <row r="129" spans="1:11" s="15" customFormat="1" thickBot="1">
      <c r="A129" s="10" t="s">
        <v>0</v>
      </c>
      <c r="B129" s="16">
        <f t="shared" ref="B129:J129" si="9">SUM(B125:B128)</f>
        <v>2800</v>
      </c>
      <c r="C129" s="16">
        <f t="shared" si="9"/>
        <v>0</v>
      </c>
      <c r="D129" s="16">
        <f t="shared" si="9"/>
        <v>0</v>
      </c>
      <c r="E129" s="16">
        <f t="shared" si="9"/>
        <v>2800</v>
      </c>
      <c r="F129" s="16">
        <f t="shared" si="9"/>
        <v>28</v>
      </c>
      <c r="G129" s="16">
        <f t="shared" si="9"/>
        <v>0</v>
      </c>
      <c r="H129" s="16">
        <f t="shared" si="9"/>
        <v>200</v>
      </c>
      <c r="I129" s="16">
        <f t="shared" si="9"/>
        <v>0</v>
      </c>
      <c r="J129" s="27">
        <f t="shared" si="9"/>
        <v>2572</v>
      </c>
      <c r="K129" s="30"/>
    </row>
    <row r="130" spans="1:11" s="15" customFormat="1" thickBot="1">
      <c r="A130" s="17"/>
      <c r="K130" s="17"/>
    </row>
    <row r="131" spans="1:11" s="17" customFormat="1" thickBot="1">
      <c r="A131" s="394" t="s">
        <v>1</v>
      </c>
      <c r="B131" s="393" t="s">
        <v>2</v>
      </c>
      <c r="C131" s="19" t="s">
        <v>3</v>
      </c>
      <c r="D131" s="19" t="s">
        <v>4</v>
      </c>
      <c r="E131" s="19" t="s">
        <v>5</v>
      </c>
      <c r="F131" s="19" t="s">
        <v>6</v>
      </c>
      <c r="G131" s="19" t="s">
        <v>7</v>
      </c>
      <c r="H131" s="19" t="s">
        <v>8</v>
      </c>
      <c r="I131" s="19" t="s">
        <v>9</v>
      </c>
      <c r="J131" s="96" t="s">
        <v>10</v>
      </c>
      <c r="K131" s="29" t="s">
        <v>19</v>
      </c>
    </row>
    <row r="132" spans="1:11">
      <c r="A132" s="395" t="s">
        <v>12</v>
      </c>
      <c r="B132" s="65">
        <v>960</v>
      </c>
      <c r="C132" s="66">
        <v>0</v>
      </c>
      <c r="D132" s="66">
        <v>63.36</v>
      </c>
      <c r="E132" s="66">
        <v>896.64</v>
      </c>
      <c r="F132" s="66">
        <v>9.6</v>
      </c>
      <c r="G132" s="66">
        <v>0</v>
      </c>
      <c r="H132" s="66">
        <v>-50</v>
      </c>
      <c r="I132" s="66">
        <v>0</v>
      </c>
      <c r="J132" s="67">
        <v>937.04</v>
      </c>
      <c r="K132" s="390">
        <v>40974</v>
      </c>
    </row>
    <row r="133" spans="1:11">
      <c r="A133" s="396" t="s">
        <v>14</v>
      </c>
      <c r="B133" s="68">
        <v>891.6</v>
      </c>
      <c r="C133" s="69">
        <v>0</v>
      </c>
      <c r="D133" s="69">
        <v>58.85</v>
      </c>
      <c r="E133" s="69">
        <v>832.75</v>
      </c>
      <c r="F133" s="69">
        <v>8.92</v>
      </c>
      <c r="G133" s="69">
        <v>0</v>
      </c>
      <c r="H133" s="69">
        <v>50</v>
      </c>
      <c r="I133" s="69">
        <v>0</v>
      </c>
      <c r="J133" s="70">
        <v>773.84</v>
      </c>
      <c r="K133" s="32">
        <v>40974</v>
      </c>
    </row>
    <row r="134" spans="1:11">
      <c r="A134" s="396" t="s">
        <v>15</v>
      </c>
      <c r="B134" s="68">
        <v>646.4</v>
      </c>
      <c r="C134" s="69">
        <v>0</v>
      </c>
      <c r="D134" s="69">
        <v>42.66</v>
      </c>
      <c r="E134" s="69">
        <v>603.74</v>
      </c>
      <c r="F134" s="69">
        <v>6.46</v>
      </c>
      <c r="G134" s="69">
        <v>0</v>
      </c>
      <c r="H134" s="69">
        <v>50</v>
      </c>
      <c r="I134" s="69">
        <v>0</v>
      </c>
      <c r="J134" s="70">
        <v>547.27</v>
      </c>
      <c r="K134" s="32">
        <v>40974</v>
      </c>
    </row>
    <row r="135" spans="1:11">
      <c r="A135" s="396" t="s">
        <v>16</v>
      </c>
      <c r="B135" s="68">
        <v>2428</v>
      </c>
      <c r="C135" s="69">
        <v>0</v>
      </c>
      <c r="D135" s="69">
        <v>160.25</v>
      </c>
      <c r="E135" s="69">
        <v>2267.75</v>
      </c>
      <c r="F135" s="69">
        <v>24.28</v>
      </c>
      <c r="G135" s="69">
        <v>188</v>
      </c>
      <c r="H135" s="69">
        <v>600</v>
      </c>
      <c r="I135" s="69">
        <v>378.25</v>
      </c>
      <c r="J135" s="70">
        <v>1077.22</v>
      </c>
      <c r="K135" s="32">
        <v>40974</v>
      </c>
    </row>
    <row r="136" spans="1:11">
      <c r="A136" s="410" t="s">
        <v>52</v>
      </c>
      <c r="B136" s="68">
        <v>1290.4000000000001</v>
      </c>
      <c r="C136" s="69">
        <v>0</v>
      </c>
      <c r="D136" s="69">
        <v>0</v>
      </c>
      <c r="E136" s="69">
        <v>1290.4000000000001</v>
      </c>
      <c r="F136" s="69">
        <v>12.9</v>
      </c>
      <c r="G136" s="69">
        <v>12</v>
      </c>
      <c r="H136" s="69">
        <v>100</v>
      </c>
      <c r="I136" s="69">
        <v>0</v>
      </c>
      <c r="J136" s="70">
        <v>1165.5</v>
      </c>
      <c r="K136" s="32">
        <v>40974</v>
      </c>
    </row>
    <row r="137" spans="1:11" ht="13.5" thickBot="1">
      <c r="A137" s="411" t="s">
        <v>207</v>
      </c>
      <c r="B137" s="77">
        <v>700</v>
      </c>
      <c r="C137" s="78">
        <v>0</v>
      </c>
      <c r="D137" s="78">
        <v>0</v>
      </c>
      <c r="E137" s="78">
        <v>700</v>
      </c>
      <c r="F137" s="78">
        <v>7</v>
      </c>
      <c r="G137" s="78">
        <v>0</v>
      </c>
      <c r="H137" s="78">
        <v>0</v>
      </c>
      <c r="I137" s="78">
        <v>0</v>
      </c>
      <c r="J137" s="79">
        <v>693</v>
      </c>
      <c r="K137" s="33">
        <v>40974</v>
      </c>
    </row>
    <row r="138" spans="1:11">
      <c r="A138" s="397" t="s">
        <v>12</v>
      </c>
      <c r="B138" s="65">
        <v>960</v>
      </c>
      <c r="C138" s="66">
        <v>0</v>
      </c>
      <c r="D138" s="66">
        <v>63.36</v>
      </c>
      <c r="E138" s="66">
        <v>896.64</v>
      </c>
      <c r="F138" s="66">
        <v>9.6</v>
      </c>
      <c r="G138" s="66">
        <v>0</v>
      </c>
      <c r="H138" s="66">
        <v>-50</v>
      </c>
      <c r="I138" s="66">
        <v>0</v>
      </c>
      <c r="J138" s="67">
        <v>937.04</v>
      </c>
      <c r="K138" s="37">
        <v>40981</v>
      </c>
    </row>
    <row r="139" spans="1:11">
      <c r="A139" s="396" t="s">
        <v>14</v>
      </c>
      <c r="B139" s="68">
        <v>891.6</v>
      </c>
      <c r="C139" s="69">
        <v>0</v>
      </c>
      <c r="D139" s="69">
        <v>58.85</v>
      </c>
      <c r="E139" s="69">
        <v>832.75</v>
      </c>
      <c r="F139" s="69">
        <v>8.92</v>
      </c>
      <c r="G139" s="69">
        <v>0</v>
      </c>
      <c r="H139" s="69">
        <v>50</v>
      </c>
      <c r="I139" s="69">
        <v>0</v>
      </c>
      <c r="J139" s="70">
        <v>773.84</v>
      </c>
      <c r="K139" s="32">
        <v>40981</v>
      </c>
    </row>
    <row r="140" spans="1:11">
      <c r="A140" s="396" t="s">
        <v>15</v>
      </c>
      <c r="B140" s="68">
        <v>646.4</v>
      </c>
      <c r="C140" s="69">
        <v>0</v>
      </c>
      <c r="D140" s="69">
        <v>42.66</v>
      </c>
      <c r="E140" s="69">
        <v>603.74</v>
      </c>
      <c r="F140" s="69">
        <v>6.46</v>
      </c>
      <c r="G140" s="69">
        <v>0</v>
      </c>
      <c r="H140" s="69">
        <v>-50</v>
      </c>
      <c r="I140" s="69">
        <v>0</v>
      </c>
      <c r="J140" s="70">
        <v>647.27</v>
      </c>
      <c r="K140" s="32">
        <v>40981</v>
      </c>
    </row>
    <row r="141" spans="1:11">
      <c r="A141" s="396" t="s">
        <v>16</v>
      </c>
      <c r="B141" s="68">
        <v>2428</v>
      </c>
      <c r="C141" s="69">
        <v>0</v>
      </c>
      <c r="D141" s="69">
        <v>160.25</v>
      </c>
      <c r="E141" s="69">
        <v>2267.75</v>
      </c>
      <c r="F141" s="69">
        <v>24.28</v>
      </c>
      <c r="G141" s="69">
        <v>188</v>
      </c>
      <c r="H141" s="69">
        <v>600</v>
      </c>
      <c r="I141" s="69">
        <v>378.25</v>
      </c>
      <c r="J141" s="70">
        <v>1077.22</v>
      </c>
      <c r="K141" s="32">
        <v>40981</v>
      </c>
    </row>
    <row r="142" spans="1:11">
      <c r="A142" s="410" t="s">
        <v>52</v>
      </c>
      <c r="B142" s="68">
        <v>1290.4000000000001</v>
      </c>
      <c r="C142" s="69">
        <v>0</v>
      </c>
      <c r="D142" s="69">
        <v>0</v>
      </c>
      <c r="E142" s="69">
        <v>1290.4000000000001</v>
      </c>
      <c r="F142" s="69">
        <v>12.9</v>
      </c>
      <c r="G142" s="69">
        <v>12</v>
      </c>
      <c r="H142" s="69">
        <v>100</v>
      </c>
      <c r="I142" s="69">
        <v>0</v>
      </c>
      <c r="J142" s="70">
        <v>1165.5</v>
      </c>
      <c r="K142" s="32">
        <v>40981</v>
      </c>
    </row>
    <row r="143" spans="1:11" ht="13.5" thickBot="1">
      <c r="A143" s="412" t="s">
        <v>207</v>
      </c>
      <c r="B143" s="77">
        <v>700</v>
      </c>
      <c r="C143" s="78">
        <v>0</v>
      </c>
      <c r="D143" s="78">
        <v>0</v>
      </c>
      <c r="E143" s="78">
        <v>700</v>
      </c>
      <c r="F143" s="78">
        <v>7</v>
      </c>
      <c r="G143" s="78">
        <v>0</v>
      </c>
      <c r="H143" s="78">
        <v>0</v>
      </c>
      <c r="I143" s="78">
        <v>0</v>
      </c>
      <c r="J143" s="79">
        <v>693</v>
      </c>
      <c r="K143" s="33">
        <v>40981</v>
      </c>
    </row>
    <row r="144" spans="1:11">
      <c r="A144" s="395" t="s">
        <v>12</v>
      </c>
      <c r="B144" s="65">
        <v>960</v>
      </c>
      <c r="C144" s="66">
        <v>0</v>
      </c>
      <c r="D144" s="66">
        <v>63.36</v>
      </c>
      <c r="E144" s="66">
        <v>896.64</v>
      </c>
      <c r="F144" s="66">
        <v>9.6</v>
      </c>
      <c r="G144" s="66">
        <v>0</v>
      </c>
      <c r="H144" s="66">
        <v>-50</v>
      </c>
      <c r="I144" s="66">
        <v>0</v>
      </c>
      <c r="J144" s="67">
        <v>937.04</v>
      </c>
      <c r="K144" s="31">
        <v>40988</v>
      </c>
    </row>
    <row r="145" spans="1:11">
      <c r="A145" s="396" t="s">
        <v>14</v>
      </c>
      <c r="B145" s="68">
        <v>891.6</v>
      </c>
      <c r="C145" s="69">
        <v>0</v>
      </c>
      <c r="D145" s="69">
        <v>58.85</v>
      </c>
      <c r="E145" s="69">
        <v>832.75</v>
      </c>
      <c r="F145" s="69">
        <v>8.92</v>
      </c>
      <c r="G145" s="69">
        <v>0</v>
      </c>
      <c r="H145" s="69">
        <v>50</v>
      </c>
      <c r="I145" s="69">
        <v>0</v>
      </c>
      <c r="J145" s="70">
        <v>773.84</v>
      </c>
      <c r="K145" s="32">
        <v>40988</v>
      </c>
    </row>
    <row r="146" spans="1:11">
      <c r="A146" s="396" t="s">
        <v>15</v>
      </c>
      <c r="B146" s="68">
        <v>646.4</v>
      </c>
      <c r="C146" s="69">
        <v>0</v>
      </c>
      <c r="D146" s="69">
        <v>42.66</v>
      </c>
      <c r="E146" s="69">
        <v>603.74</v>
      </c>
      <c r="F146" s="69">
        <v>6.46</v>
      </c>
      <c r="G146" s="69">
        <v>0</v>
      </c>
      <c r="H146" s="69">
        <v>50</v>
      </c>
      <c r="I146" s="69">
        <v>0</v>
      </c>
      <c r="J146" s="70">
        <v>547.27</v>
      </c>
      <c r="K146" s="32">
        <v>40988</v>
      </c>
    </row>
    <row r="147" spans="1:11">
      <c r="A147" s="396" t="s">
        <v>16</v>
      </c>
      <c r="B147" s="68">
        <v>2428</v>
      </c>
      <c r="C147" s="69">
        <v>0</v>
      </c>
      <c r="D147" s="69">
        <v>160.25</v>
      </c>
      <c r="E147" s="69">
        <v>2267.75</v>
      </c>
      <c r="F147" s="69">
        <v>24.28</v>
      </c>
      <c r="G147" s="69">
        <v>188</v>
      </c>
      <c r="H147" s="69">
        <v>700</v>
      </c>
      <c r="I147" s="69">
        <v>378.25</v>
      </c>
      <c r="J147" s="70">
        <v>977.22</v>
      </c>
      <c r="K147" s="32">
        <v>40988</v>
      </c>
    </row>
    <row r="148" spans="1:11">
      <c r="A148" s="410" t="s">
        <v>52</v>
      </c>
      <c r="B148" s="68">
        <v>1290.4000000000001</v>
      </c>
      <c r="C148" s="69">
        <v>0</v>
      </c>
      <c r="D148" s="69">
        <v>0</v>
      </c>
      <c r="E148" s="69">
        <v>1290.4000000000001</v>
      </c>
      <c r="F148" s="69">
        <v>12.9</v>
      </c>
      <c r="G148" s="69">
        <v>12</v>
      </c>
      <c r="H148" s="69">
        <v>100</v>
      </c>
      <c r="I148" s="69">
        <v>0</v>
      </c>
      <c r="J148" s="70">
        <v>1165.5</v>
      </c>
      <c r="K148" s="32">
        <v>40988</v>
      </c>
    </row>
    <row r="149" spans="1:11" ht="13.5" thickBot="1">
      <c r="A149" s="411" t="s">
        <v>207</v>
      </c>
      <c r="B149" s="68">
        <v>700</v>
      </c>
      <c r="C149" s="69">
        <v>0</v>
      </c>
      <c r="D149" s="69">
        <v>0</v>
      </c>
      <c r="E149" s="69">
        <v>700</v>
      </c>
      <c r="F149" s="69">
        <v>7</v>
      </c>
      <c r="G149" s="69">
        <v>0</v>
      </c>
      <c r="H149" s="69">
        <v>100</v>
      </c>
      <c r="I149" s="69">
        <v>0</v>
      </c>
      <c r="J149" s="70">
        <v>593</v>
      </c>
      <c r="K149" s="33">
        <v>40988</v>
      </c>
    </row>
    <row r="150" spans="1:11">
      <c r="A150" s="395" t="s">
        <v>12</v>
      </c>
      <c r="B150" s="65">
        <v>960</v>
      </c>
      <c r="C150" s="66">
        <v>0</v>
      </c>
      <c r="D150" s="66">
        <v>63.36</v>
      </c>
      <c r="E150" s="66">
        <v>896.64</v>
      </c>
      <c r="F150" s="66">
        <v>9.6</v>
      </c>
      <c r="G150" s="66">
        <v>0</v>
      </c>
      <c r="H150" s="66">
        <v>-50</v>
      </c>
      <c r="I150" s="66">
        <v>0</v>
      </c>
      <c r="J150" s="67">
        <v>937.04</v>
      </c>
      <c r="K150" s="31">
        <v>40995</v>
      </c>
    </row>
    <row r="151" spans="1:11">
      <c r="A151" s="396" t="s">
        <v>14</v>
      </c>
      <c r="B151" s="68">
        <v>891.6</v>
      </c>
      <c r="C151" s="69">
        <v>0</v>
      </c>
      <c r="D151" s="69">
        <v>58.85</v>
      </c>
      <c r="E151" s="69">
        <v>832.75</v>
      </c>
      <c r="F151" s="69">
        <v>8.92</v>
      </c>
      <c r="G151" s="69">
        <v>0</v>
      </c>
      <c r="H151" s="69">
        <v>50</v>
      </c>
      <c r="I151" s="69">
        <v>0</v>
      </c>
      <c r="J151" s="70">
        <v>773.84</v>
      </c>
      <c r="K151" s="32">
        <v>40995</v>
      </c>
    </row>
    <row r="152" spans="1:11">
      <c r="A152" s="396" t="s">
        <v>15</v>
      </c>
      <c r="B152" s="68">
        <v>646.4</v>
      </c>
      <c r="C152" s="69">
        <v>0</v>
      </c>
      <c r="D152" s="69">
        <v>42.66</v>
      </c>
      <c r="E152" s="69">
        <v>603.74</v>
      </c>
      <c r="F152" s="69">
        <v>6.46</v>
      </c>
      <c r="G152" s="69">
        <v>0</v>
      </c>
      <c r="H152" s="69">
        <v>-50</v>
      </c>
      <c r="I152" s="69">
        <v>0</v>
      </c>
      <c r="J152" s="70">
        <v>647.27</v>
      </c>
      <c r="K152" s="32">
        <v>40995</v>
      </c>
    </row>
    <row r="153" spans="1:11">
      <c r="A153" s="396" t="s">
        <v>16</v>
      </c>
      <c r="B153" s="68">
        <v>2428</v>
      </c>
      <c r="C153" s="69">
        <v>0</v>
      </c>
      <c r="D153" s="69">
        <v>160.25</v>
      </c>
      <c r="E153" s="69">
        <v>2267.75</v>
      </c>
      <c r="F153" s="69">
        <v>24.28</v>
      </c>
      <c r="G153" s="69">
        <v>188</v>
      </c>
      <c r="H153" s="69">
        <v>700</v>
      </c>
      <c r="I153" s="69">
        <v>378.25</v>
      </c>
      <c r="J153" s="70">
        <v>977.22</v>
      </c>
      <c r="K153" s="32">
        <v>40995</v>
      </c>
    </row>
    <row r="154" spans="1:11">
      <c r="A154" s="410" t="s">
        <v>52</v>
      </c>
      <c r="B154" s="68">
        <v>1290.4000000000001</v>
      </c>
      <c r="C154" s="69">
        <v>0</v>
      </c>
      <c r="D154" s="69">
        <v>0</v>
      </c>
      <c r="E154" s="69">
        <v>1290.4000000000001</v>
      </c>
      <c r="F154" s="69">
        <v>12.9</v>
      </c>
      <c r="G154" s="69">
        <v>12</v>
      </c>
      <c r="H154" s="69">
        <v>100</v>
      </c>
      <c r="I154" s="69">
        <v>0</v>
      </c>
      <c r="J154" s="70">
        <v>1165.5</v>
      </c>
      <c r="K154" s="32">
        <v>40995</v>
      </c>
    </row>
    <row r="155" spans="1:11" ht="13.5" thickBot="1">
      <c r="A155" s="411" t="s">
        <v>207</v>
      </c>
      <c r="B155" s="77">
        <v>700</v>
      </c>
      <c r="C155" s="78">
        <v>0</v>
      </c>
      <c r="D155" s="78">
        <v>0</v>
      </c>
      <c r="E155" s="78">
        <v>700</v>
      </c>
      <c r="F155" s="78">
        <v>7</v>
      </c>
      <c r="G155" s="78">
        <v>0</v>
      </c>
      <c r="H155" s="78">
        <v>100</v>
      </c>
      <c r="I155" s="78">
        <v>0</v>
      </c>
      <c r="J155" s="79">
        <v>593</v>
      </c>
      <c r="K155" s="33">
        <v>40995</v>
      </c>
    </row>
    <row r="156" spans="1:11" ht="13.5" thickBot="1">
      <c r="A156" s="391" t="s">
        <v>0</v>
      </c>
      <c r="B156" s="392">
        <f t="shared" ref="B156:J156" si="10">SUM(B132:B155)</f>
        <v>27665.600000000002</v>
      </c>
      <c r="C156" s="392">
        <f t="shared" si="10"/>
        <v>0</v>
      </c>
      <c r="D156" s="392">
        <f t="shared" si="10"/>
        <v>1300.48</v>
      </c>
      <c r="E156" s="392">
        <f t="shared" si="10"/>
        <v>26365.120000000006</v>
      </c>
      <c r="F156" s="392">
        <f t="shared" si="10"/>
        <v>276.64</v>
      </c>
      <c r="G156" s="392">
        <f t="shared" si="10"/>
        <v>800</v>
      </c>
      <c r="H156" s="392">
        <f t="shared" si="10"/>
        <v>3200</v>
      </c>
      <c r="I156" s="392">
        <f t="shared" si="10"/>
        <v>1513</v>
      </c>
      <c r="J156" s="392">
        <f t="shared" si="10"/>
        <v>20575.48</v>
      </c>
      <c r="K156" s="286"/>
    </row>
    <row r="157" spans="1:11">
      <c r="A157" s="17"/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1">
      <c r="A158" s="17"/>
      <c r="B158" s="54" t="s">
        <v>20</v>
      </c>
      <c r="C158" s="53">
        <f>E156-I156</f>
        <v>24852.120000000006</v>
      </c>
      <c r="D158" s="53"/>
      <c r="E158" s="55" t="s">
        <v>21</v>
      </c>
      <c r="F158" s="53">
        <f>G156</f>
        <v>800</v>
      </c>
      <c r="G158" s="15"/>
      <c r="H158" s="15"/>
      <c r="I158" s="15"/>
      <c r="J158" s="15"/>
    </row>
    <row r="159" spans="1:11" s="17" customFormat="1" ht="12">
      <c r="B159" s="54"/>
      <c r="C159" s="53"/>
      <c r="D159" s="53"/>
      <c r="E159" s="55"/>
      <c r="F159" s="53"/>
      <c r="G159" s="15"/>
      <c r="H159" s="15"/>
      <c r="I159" s="15"/>
      <c r="J159" s="15"/>
    </row>
    <row r="160" spans="1:11" s="15" customFormat="1" ht="12">
      <c r="A160" s="17"/>
      <c r="B160" s="54" t="s">
        <v>22</v>
      </c>
      <c r="C160" s="53">
        <f>C158</f>
        <v>24852.120000000006</v>
      </c>
      <c r="D160" s="53"/>
      <c r="E160" s="55" t="s">
        <v>23</v>
      </c>
      <c r="F160" s="53">
        <f>C160*1%</f>
        <v>248.52120000000008</v>
      </c>
      <c r="K160" s="17"/>
    </row>
    <row r="161" spans="1:11" s="15" customFormat="1" ht="12">
      <c r="A161" s="17"/>
      <c r="B161" s="54"/>
      <c r="C161" s="53"/>
      <c r="D161" s="53"/>
      <c r="E161" s="55"/>
      <c r="F161" s="53"/>
      <c r="K161" s="17"/>
    </row>
    <row r="162" spans="1:11" s="15" customFormat="1" ht="12">
      <c r="A162" s="17"/>
      <c r="B162" s="54" t="s">
        <v>24</v>
      </c>
      <c r="C162" s="53">
        <f>E156</f>
        <v>26365.120000000006</v>
      </c>
      <c r="D162" s="53"/>
      <c r="E162" s="55" t="s">
        <v>25</v>
      </c>
      <c r="F162" s="53">
        <f>C162*2%</f>
        <v>527.30240000000015</v>
      </c>
      <c r="K162" s="17"/>
    </row>
    <row r="163" spans="1:11" s="15" customFormat="1" thickBot="1">
      <c r="A163" s="17"/>
      <c r="B163" s="18"/>
      <c r="C163" s="53"/>
      <c r="D163" s="53"/>
      <c r="E163" s="55"/>
      <c r="F163" s="57"/>
      <c r="K163" s="17"/>
    </row>
    <row r="164" spans="1:11" s="15" customFormat="1" thickTop="1">
      <c r="A164" s="17"/>
      <c r="B164" s="18"/>
      <c r="C164" s="53"/>
      <c r="D164" s="53"/>
      <c r="E164" s="55" t="s">
        <v>0</v>
      </c>
      <c r="F164" s="56">
        <f>SUM(F158:F163)</f>
        <v>1575.8236000000002</v>
      </c>
      <c r="K164" s="17"/>
    </row>
    <row r="165" spans="1:11" s="15" customFormat="1" ht="12">
      <c r="A165" s="17"/>
      <c r="K165" s="17"/>
    </row>
    <row r="166" spans="1:11" s="15" customFormat="1" ht="12">
      <c r="A166" s="17"/>
      <c r="B166" s="14"/>
      <c r="K166" s="17"/>
    </row>
    <row r="167" spans="1:11" s="15" customFormat="1" ht="12">
      <c r="A167" s="17"/>
      <c r="B167" s="14"/>
      <c r="K167" s="17"/>
    </row>
    <row r="168" spans="1:11" s="15" customFormat="1" ht="12">
      <c r="A168" s="17"/>
      <c r="B168" s="14"/>
      <c r="K168" s="17"/>
    </row>
    <row r="169" spans="1:11" s="15" customFormat="1" ht="12">
      <c r="A169" s="17"/>
      <c r="B169" s="14"/>
      <c r="K169" s="17"/>
    </row>
    <row r="170" spans="1:11" s="15" customFormat="1" ht="12">
      <c r="A170" s="17"/>
      <c r="B170" s="14"/>
      <c r="K170" s="17"/>
    </row>
    <row r="171" spans="1:11" s="15" customFormat="1" ht="12">
      <c r="A171" s="17"/>
      <c r="B171" s="14"/>
      <c r="K171" s="17"/>
    </row>
    <row r="172" spans="1:11" s="15" customFormat="1" ht="12">
      <c r="A172" s="17"/>
      <c r="K172" s="17"/>
    </row>
    <row r="173" spans="1:11" s="15" customFormat="1" ht="12">
      <c r="A173" s="17"/>
      <c r="K173" s="17"/>
    </row>
    <row r="174" spans="1:11" s="15" customFormat="1" ht="12">
      <c r="A174" s="17"/>
      <c r="K174" s="17"/>
    </row>
    <row r="175" spans="1:11" s="15" customFormat="1" ht="12">
      <c r="A175" s="17"/>
      <c r="K175" s="17"/>
    </row>
    <row r="176" spans="1:11" s="15" customFormat="1" ht="12">
      <c r="A176" s="17"/>
      <c r="K176" s="17"/>
    </row>
    <row r="177" spans="1:11" s="15" customFormat="1" ht="12">
      <c r="A177" s="17"/>
      <c r="K177" s="17"/>
    </row>
    <row r="178" spans="1:11" s="15" customFormat="1">
      <c r="A178" s="24"/>
      <c r="B178" s="5"/>
      <c r="C178" s="5"/>
      <c r="D178" s="5"/>
      <c r="E178" s="5"/>
      <c r="F178" s="5"/>
      <c r="G178" s="5"/>
      <c r="H178" s="5"/>
      <c r="I178" s="5"/>
      <c r="J178" s="5"/>
      <c r="K178" s="17"/>
    </row>
    <row r="179" spans="1:11" s="15" customFormat="1">
      <c r="A179" s="24"/>
      <c r="B179" s="5"/>
      <c r="C179" s="5"/>
      <c r="D179" s="5"/>
      <c r="E179" s="5"/>
      <c r="F179" s="5"/>
      <c r="G179" s="5"/>
      <c r="H179" s="5"/>
      <c r="I179" s="5"/>
      <c r="J179" s="5"/>
      <c r="K179" s="17"/>
    </row>
    <row r="180" spans="1:11" s="15" customFormat="1">
      <c r="A180" s="24"/>
      <c r="B180" s="5"/>
      <c r="C180" s="5"/>
      <c r="D180" s="5"/>
      <c r="E180" s="5"/>
      <c r="F180" s="5"/>
      <c r="G180" s="5"/>
      <c r="H180" s="5"/>
      <c r="I180" s="5"/>
      <c r="J180" s="5"/>
      <c r="K180" s="17"/>
    </row>
    <row r="181" spans="1:11" s="15" customFormat="1">
      <c r="A181" s="24"/>
      <c r="B181" s="5"/>
      <c r="C181" s="5"/>
      <c r="D181" s="5"/>
      <c r="E181" s="5"/>
      <c r="F181" s="5"/>
      <c r="G181" s="5"/>
      <c r="H181" s="5"/>
      <c r="I181" s="5"/>
      <c r="J181" s="5"/>
      <c r="K181" s="17"/>
    </row>
  </sheetData>
  <mergeCells count="32">
    <mergeCell ref="J82:K82"/>
    <mergeCell ref="J83:K83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70:G70"/>
    <mergeCell ref="F71:G71"/>
    <mergeCell ref="F72:G72"/>
    <mergeCell ref="F73:G73"/>
    <mergeCell ref="F74:G74"/>
    <mergeCell ref="F65:G65"/>
    <mergeCell ref="F66:G66"/>
    <mergeCell ref="F67:G67"/>
    <mergeCell ref="F68:G68"/>
    <mergeCell ref="F69:G69"/>
    <mergeCell ref="F60:G60"/>
    <mergeCell ref="F61:G61"/>
    <mergeCell ref="F63:G63"/>
    <mergeCell ref="F64:G64"/>
    <mergeCell ref="J64:K64"/>
    <mergeCell ref="F62:G62"/>
    <mergeCell ref="A1:K1"/>
    <mergeCell ref="C2:D2"/>
    <mergeCell ref="C15:D15"/>
    <mergeCell ref="C30:D30"/>
    <mergeCell ref="C45:D45"/>
  </mergeCells>
  <phoneticPr fontId="1" type="noConversion"/>
  <printOptions horizontalCentered="1"/>
  <pageMargins left="0.74803149606299213" right="0.74803149606299213" top="0.51181102362204722" bottom="0.51181102362204722" header="0.31496062992125984" footer="0.31496062992125984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workbookViewId="0">
      <selection activeCell="D60" sqref="D60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2.28515625" style="5" customWidth="1"/>
    <col min="5" max="5" width="10.5703125" style="5" customWidth="1"/>
    <col min="6" max="6" width="7.42578125" style="5" customWidth="1"/>
    <col min="7" max="7" width="22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1:13" s="1" customFormat="1" ht="24" customHeight="1">
      <c r="A1" s="947" t="s">
        <v>518</v>
      </c>
      <c r="B1" s="947"/>
      <c r="C1" s="947"/>
      <c r="D1" s="947"/>
      <c r="E1" s="947"/>
      <c r="F1" s="947"/>
      <c r="G1" s="947"/>
      <c r="H1" s="947"/>
      <c r="I1" s="659"/>
      <c r="J1" s="659"/>
      <c r="K1" s="659"/>
      <c r="L1" s="659"/>
      <c r="M1" s="659"/>
    </row>
    <row r="2" spans="1:13" s="1" customFormat="1" ht="6.75" customHeight="1">
      <c r="A2" s="600"/>
      <c r="B2" s="601"/>
      <c r="C2" s="602"/>
      <c r="D2" s="602"/>
      <c r="E2" s="603"/>
      <c r="F2" s="603"/>
      <c r="G2" s="603"/>
      <c r="H2" s="814"/>
      <c r="I2" s="814"/>
      <c r="J2" s="814"/>
      <c r="K2" s="814"/>
      <c r="L2" s="814"/>
      <c r="M2" s="814"/>
    </row>
    <row r="3" spans="1:13" ht="19.5" customHeight="1">
      <c r="A3" s="944"/>
      <c r="B3" s="595" t="s">
        <v>419</v>
      </c>
      <c r="C3" s="621">
        <v>49</v>
      </c>
      <c r="D3" s="621"/>
      <c r="E3" s="76"/>
      <c r="F3" s="76"/>
      <c r="G3" s="76"/>
      <c r="H3" s="76"/>
      <c r="I3" s="76"/>
      <c r="J3" s="76"/>
      <c r="K3" s="76"/>
      <c r="L3" s="76"/>
      <c r="M3" s="5"/>
    </row>
    <row r="4" spans="1:13" ht="19.5" customHeight="1">
      <c r="A4" s="944"/>
      <c r="B4" s="595" t="s">
        <v>420</v>
      </c>
      <c r="C4" s="621">
        <v>40</v>
      </c>
      <c r="D4" s="621"/>
      <c r="E4" s="76"/>
      <c r="F4" s="76"/>
      <c r="G4" s="76"/>
      <c r="H4" s="76"/>
      <c r="I4" s="76"/>
      <c r="J4" s="76"/>
      <c r="K4" s="76"/>
      <c r="L4" s="76"/>
      <c r="M4" s="5"/>
    </row>
    <row r="5" spans="1:13" ht="19.5" customHeight="1">
      <c r="B5" s="595" t="s">
        <v>423</v>
      </c>
      <c r="C5" s="948">
        <v>41248</v>
      </c>
      <c r="D5" s="948"/>
      <c r="E5" s="76"/>
      <c r="F5" s="76"/>
      <c r="G5" s="76"/>
      <c r="H5" s="76"/>
      <c r="I5" s="76"/>
      <c r="J5" s="76"/>
      <c r="K5" s="76"/>
      <c r="L5" s="76"/>
      <c r="M5" s="5"/>
    </row>
    <row r="6" spans="1:13" ht="4.5" customHeight="1">
      <c r="B6" s="2"/>
      <c r="C6" s="147"/>
      <c r="D6" s="147"/>
      <c r="E6" s="945"/>
      <c r="F6" s="946"/>
      <c r="G6" s="3"/>
      <c r="H6" s="4"/>
      <c r="I6" s="4"/>
      <c r="J6" s="4"/>
      <c r="K6" s="4"/>
      <c r="L6" s="34"/>
      <c r="M6" s="4"/>
    </row>
    <row r="7" spans="1:13" s="6" customFormat="1" ht="13.5" thickBot="1">
      <c r="B7" s="596" t="s">
        <v>421</v>
      </c>
      <c r="C7" s="598" t="s">
        <v>1</v>
      </c>
      <c r="D7" s="598"/>
      <c r="E7" s="599" t="s">
        <v>10</v>
      </c>
      <c r="G7" s="660"/>
    </row>
    <row r="8" spans="1:13">
      <c r="B8" s="207" t="s">
        <v>477</v>
      </c>
      <c r="C8" s="145" t="s">
        <v>80</v>
      </c>
      <c r="D8" s="638"/>
      <c r="E8" s="609">
        <v>1872.84</v>
      </c>
      <c r="M8" s="5"/>
    </row>
    <row r="9" spans="1:13">
      <c r="B9" s="742" t="s">
        <v>11</v>
      </c>
      <c r="C9" s="597" t="s">
        <v>78</v>
      </c>
      <c r="D9" s="638"/>
      <c r="E9" s="609">
        <v>937.04</v>
      </c>
      <c r="M9" s="5"/>
    </row>
    <row r="10" spans="1:13">
      <c r="B10" s="103" t="s">
        <v>13</v>
      </c>
      <c r="C10" s="145" t="s">
        <v>76</v>
      </c>
      <c r="D10" s="639"/>
      <c r="E10" s="610">
        <v>873.83</v>
      </c>
      <c r="M10" s="5"/>
    </row>
    <row r="11" spans="1:13">
      <c r="B11" s="103" t="s">
        <v>471</v>
      </c>
      <c r="C11" s="145" t="s">
        <v>472</v>
      </c>
      <c r="D11" s="639"/>
      <c r="E11" s="610">
        <v>792</v>
      </c>
      <c r="M11" s="5"/>
    </row>
    <row r="12" spans="1:13">
      <c r="B12" s="103" t="s">
        <v>479</v>
      </c>
      <c r="C12" s="145" t="s">
        <v>478</v>
      </c>
      <c r="D12" s="639"/>
      <c r="E12" s="610">
        <v>792</v>
      </c>
      <c r="M12" s="5"/>
    </row>
    <row r="13" spans="1:13">
      <c r="B13" s="103" t="s">
        <v>447</v>
      </c>
      <c r="C13" s="145" t="s">
        <v>448</v>
      </c>
      <c r="D13" s="639"/>
      <c r="E13" s="610">
        <v>1192.03</v>
      </c>
      <c r="F13" s="415"/>
      <c r="M13" s="5"/>
    </row>
    <row r="14" spans="1:13">
      <c r="B14" s="103" t="s">
        <v>53</v>
      </c>
      <c r="C14" s="716" t="s">
        <v>77</v>
      </c>
      <c r="D14" s="640"/>
      <c r="E14" s="610">
        <v>1165.3399999999999</v>
      </c>
      <c r="F14" s="415"/>
      <c r="M14" s="5"/>
    </row>
    <row r="15" spans="1:13">
      <c r="B15" s="753" t="s">
        <v>208</v>
      </c>
      <c r="C15" s="754" t="s">
        <v>215</v>
      </c>
      <c r="D15" s="755"/>
      <c r="E15" s="756">
        <v>592</v>
      </c>
      <c r="F15" s="415"/>
      <c r="M15" s="5"/>
    </row>
    <row r="16" spans="1:13" ht="13.5" thickBot="1">
      <c r="B16" s="606" t="s">
        <v>104</v>
      </c>
      <c r="C16" s="745" t="s">
        <v>424</v>
      </c>
      <c r="D16" s="757"/>
      <c r="E16" s="611">
        <v>689.74</v>
      </c>
      <c r="M16" s="5"/>
    </row>
    <row r="17" spans="1:13" s="4" customFormat="1" ht="13.5" thickBot="1">
      <c r="B17" s="419"/>
      <c r="C17" s="604"/>
      <c r="D17" s="604"/>
      <c r="E17" s="612">
        <f>SUM(E8:E16)</f>
        <v>8906.82</v>
      </c>
      <c r="F17" s="605"/>
    </row>
    <row r="18" spans="1:13">
      <c r="B18" s="752" t="s">
        <v>104</v>
      </c>
      <c r="C18" s="285" t="s">
        <v>339</v>
      </c>
      <c r="D18" s="285"/>
      <c r="E18" s="613">
        <v>500</v>
      </c>
      <c r="M18" s="5"/>
    </row>
    <row r="19" spans="1:13">
      <c r="B19" s="155" t="s">
        <v>104</v>
      </c>
      <c r="C19" s="597" t="s">
        <v>481</v>
      </c>
      <c r="D19" s="597"/>
      <c r="E19" s="614">
        <v>500</v>
      </c>
      <c r="M19" s="5"/>
    </row>
    <row r="20" spans="1:13">
      <c r="B20" s="155" t="s">
        <v>34</v>
      </c>
      <c r="C20" s="220" t="s">
        <v>48</v>
      </c>
      <c r="D20" s="220"/>
      <c r="E20" s="618">
        <v>950</v>
      </c>
      <c r="M20" s="5"/>
    </row>
    <row r="21" spans="1:13" ht="13.5" thickBot="1">
      <c r="B21" s="208" t="s">
        <v>94</v>
      </c>
      <c r="C21" s="607" t="s">
        <v>95</v>
      </c>
      <c r="D21" s="607"/>
      <c r="E21" s="615">
        <f>3630/4</f>
        <v>907.5</v>
      </c>
      <c r="M21" s="5"/>
    </row>
    <row r="22" spans="1:13" ht="13.5" thickBot="1">
      <c r="B22" s="21"/>
      <c r="C22" s="608" t="s">
        <v>0</v>
      </c>
      <c r="D22" s="608"/>
      <c r="E22" s="616">
        <f>SUM(E17:E21)</f>
        <v>11764.32</v>
      </c>
      <c r="M22" s="5"/>
    </row>
    <row r="23" spans="1:13" ht="12.75" customHeight="1">
      <c r="B23" s="21"/>
      <c r="C23" s="64"/>
      <c r="D23" s="64"/>
      <c r="E23" s="76"/>
      <c r="F23" s="76"/>
      <c r="G23" s="76"/>
      <c r="H23" s="76"/>
      <c r="I23" s="76"/>
      <c r="J23" s="76"/>
      <c r="K23" s="76"/>
      <c r="L23" s="76"/>
      <c r="M23" s="76"/>
    </row>
    <row r="24" spans="1:13" s="600" customFormat="1" ht="6.75" customHeight="1">
      <c r="B24" s="601"/>
      <c r="C24" s="602"/>
      <c r="D24" s="602"/>
      <c r="E24" s="603"/>
      <c r="F24" s="603"/>
      <c r="G24" s="603"/>
      <c r="H24" s="603"/>
      <c r="I24" s="603"/>
      <c r="J24" s="603"/>
      <c r="K24" s="603"/>
      <c r="L24" s="603"/>
      <c r="M24" s="603"/>
    </row>
    <row r="25" spans="1:13" ht="19.5" customHeight="1">
      <c r="A25" s="944"/>
      <c r="B25" s="595" t="s">
        <v>419</v>
      </c>
      <c r="C25" s="621">
        <v>50</v>
      </c>
      <c r="D25" s="951" t="s">
        <v>530</v>
      </c>
      <c r="E25" s="951"/>
      <c r="F25" s="951"/>
      <c r="G25" s="951"/>
      <c r="H25" s="76"/>
      <c r="I25" s="76"/>
      <c r="J25" s="76"/>
      <c r="K25" s="76"/>
      <c r="L25" s="76"/>
      <c r="M25" s="5"/>
    </row>
    <row r="26" spans="1:13" ht="19.5" customHeight="1">
      <c r="A26" s="944"/>
      <c r="B26" s="595" t="s">
        <v>420</v>
      </c>
      <c r="C26" s="621">
        <v>41</v>
      </c>
      <c r="D26" s="621"/>
      <c r="E26" s="76"/>
      <c r="F26" s="76"/>
      <c r="G26" s="76"/>
      <c r="H26" s="76"/>
      <c r="I26" s="76"/>
      <c r="J26" s="76"/>
      <c r="K26" s="76"/>
      <c r="L26" s="76"/>
      <c r="M26" s="5"/>
    </row>
    <row r="27" spans="1:13" ht="19.5" customHeight="1">
      <c r="B27" s="595" t="s">
        <v>423</v>
      </c>
      <c r="C27" s="948">
        <v>41255</v>
      </c>
      <c r="D27" s="949"/>
      <c r="E27" s="76"/>
      <c r="F27" s="76"/>
      <c r="G27" s="76"/>
      <c r="H27" s="76"/>
      <c r="I27" s="76"/>
      <c r="J27" s="76"/>
      <c r="K27" s="76"/>
      <c r="L27" s="76"/>
      <c r="M27" s="5"/>
    </row>
    <row r="28" spans="1:13" ht="4.5" customHeight="1">
      <c r="B28" s="2"/>
      <c r="C28" s="147"/>
      <c r="D28" s="147"/>
      <c r="E28" s="945"/>
      <c r="F28" s="946"/>
      <c r="G28" s="3"/>
      <c r="H28" s="4"/>
      <c r="I28" s="4"/>
      <c r="J28" s="4"/>
      <c r="K28" s="4"/>
      <c r="L28" s="34"/>
      <c r="M28" s="4"/>
    </row>
    <row r="29" spans="1:13" s="6" customFormat="1" ht="13.5" thickBot="1">
      <c r="B29" s="596" t="s">
        <v>421</v>
      </c>
      <c r="C29" s="598" t="s">
        <v>1</v>
      </c>
      <c r="D29" s="598"/>
      <c r="E29" s="599" t="s">
        <v>10</v>
      </c>
    </row>
    <row r="30" spans="1:13">
      <c r="B30" s="207" t="s">
        <v>477</v>
      </c>
      <c r="C30" s="145" t="s">
        <v>80</v>
      </c>
      <c r="D30" s="638"/>
      <c r="E30" s="609">
        <v>13006.79</v>
      </c>
      <c r="M30" s="5"/>
    </row>
    <row r="31" spans="1:13">
      <c r="B31" s="742" t="s">
        <v>11</v>
      </c>
      <c r="C31" s="597" t="s">
        <v>78</v>
      </c>
      <c r="D31" s="638"/>
      <c r="E31" s="609">
        <v>7514.76</v>
      </c>
      <c r="M31" s="5"/>
    </row>
    <row r="32" spans="1:13">
      <c r="B32" s="103" t="s">
        <v>13</v>
      </c>
      <c r="C32" s="145" t="s">
        <v>76</v>
      </c>
      <c r="D32" s="639"/>
      <c r="E32" s="610">
        <v>6982.88</v>
      </c>
      <c r="M32" s="5"/>
    </row>
    <row r="33" spans="2:17">
      <c r="B33" s="103" t="s">
        <v>471</v>
      </c>
      <c r="C33" s="145" t="s">
        <v>472</v>
      </c>
      <c r="D33" s="639"/>
      <c r="E33" s="610">
        <v>2551.61</v>
      </c>
      <c r="F33" s="415"/>
      <c r="M33" s="5"/>
    </row>
    <row r="34" spans="2:17">
      <c r="B34" s="103" t="s">
        <v>479</v>
      </c>
      <c r="C34" s="145" t="s">
        <v>478</v>
      </c>
      <c r="D34" s="639"/>
      <c r="E34" s="610">
        <v>2479.4</v>
      </c>
      <c r="M34" s="5"/>
    </row>
    <row r="35" spans="2:17">
      <c r="B35" s="103" t="s">
        <v>447</v>
      </c>
      <c r="C35" s="145" t="s">
        <v>448</v>
      </c>
      <c r="D35" s="639"/>
      <c r="E35" s="610">
        <v>5445.56</v>
      </c>
      <c r="F35" s="415"/>
      <c r="M35" s="5"/>
    </row>
    <row r="36" spans="2:17">
      <c r="B36" s="103" t="s">
        <v>53</v>
      </c>
      <c r="C36" s="716" t="s">
        <v>77</v>
      </c>
      <c r="D36" s="640"/>
      <c r="E36" s="610">
        <v>7778.61</v>
      </c>
      <c r="F36" s="415"/>
      <c r="M36" s="5"/>
    </row>
    <row r="37" spans="2:17">
      <c r="B37" s="753" t="s">
        <v>208</v>
      </c>
      <c r="C37" s="754" t="s">
        <v>215</v>
      </c>
      <c r="D37" s="755"/>
      <c r="E37" s="756">
        <v>4754.91</v>
      </c>
      <c r="F37" s="415"/>
      <c r="M37" s="5"/>
    </row>
    <row r="38" spans="2:17" ht="13.5" thickBot="1">
      <c r="B38" s="606" t="s">
        <v>104</v>
      </c>
      <c r="C38" s="745" t="s">
        <v>424</v>
      </c>
      <c r="D38" s="757"/>
      <c r="E38" s="611">
        <v>5575.65</v>
      </c>
      <c r="G38" s="5" t="s">
        <v>490</v>
      </c>
      <c r="M38" s="5"/>
    </row>
    <row r="39" spans="2:17" s="4" customFormat="1" ht="13.5" thickBot="1">
      <c r="B39" s="419"/>
      <c r="C39" s="604"/>
      <c r="D39" s="604"/>
      <c r="E39" s="612">
        <f>SUM(E30:E38)</f>
        <v>56090.170000000006</v>
      </c>
      <c r="F39" s="605"/>
    </row>
    <row r="40" spans="2:17">
      <c r="B40" s="207" t="s">
        <v>104</v>
      </c>
      <c r="C40" s="822" t="s">
        <v>339</v>
      </c>
      <c r="D40" s="823"/>
      <c r="E40" s="820">
        <v>4000</v>
      </c>
      <c r="M40" s="5"/>
    </row>
    <row r="41" spans="2:17">
      <c r="B41" s="103" t="s">
        <v>104</v>
      </c>
      <c r="C41" s="824" t="s">
        <v>481</v>
      </c>
      <c r="D41" s="825"/>
      <c r="E41" s="821">
        <f>500+875</f>
        <v>1375</v>
      </c>
      <c r="M41" s="5"/>
    </row>
    <row r="42" spans="2:17">
      <c r="B42" s="103" t="s">
        <v>34</v>
      </c>
      <c r="C42" s="826" t="s">
        <v>48</v>
      </c>
      <c r="D42" s="827"/>
      <c r="E42" s="821">
        <f>950*4</f>
        <v>3800</v>
      </c>
      <c r="H42" s="4"/>
      <c r="I42" s="4"/>
      <c r="J42" s="4"/>
      <c r="K42" s="954"/>
      <c r="L42" s="954"/>
      <c r="M42" s="955"/>
      <c r="N42" s="952"/>
      <c r="O42" s="52"/>
      <c r="P42" s="4"/>
      <c r="Q42" s="4"/>
    </row>
    <row r="43" spans="2:17" ht="13.5" thickBot="1">
      <c r="B43" s="606" t="s">
        <v>94</v>
      </c>
      <c r="C43" s="828" t="s">
        <v>95</v>
      </c>
      <c r="D43" s="829"/>
      <c r="E43" s="615">
        <f>(3630/4)*4</f>
        <v>3630</v>
      </c>
      <c r="H43" s="4"/>
      <c r="I43" s="4"/>
      <c r="J43" s="4"/>
      <c r="K43" s="52"/>
      <c r="L43" s="52"/>
      <c r="M43" s="52"/>
      <c r="N43" s="52"/>
      <c r="O43" s="52"/>
      <c r="P43" s="4"/>
      <c r="Q43" s="4"/>
    </row>
    <row r="44" spans="2:17" ht="13.5" thickBot="1">
      <c r="B44" s="21"/>
      <c r="C44" s="608" t="s">
        <v>0</v>
      </c>
      <c r="D44" s="608"/>
      <c r="E44" s="616">
        <f>SUM(E39:E43)</f>
        <v>68895.170000000013</v>
      </c>
      <c r="H44" s="4"/>
      <c r="I44" s="4"/>
      <c r="J44" s="4"/>
      <c r="K44" s="952"/>
      <c r="L44" s="952"/>
      <c r="M44" s="834"/>
      <c r="N44" s="52"/>
      <c r="O44" s="52"/>
      <c r="P44" s="4"/>
      <c r="Q44" s="4"/>
    </row>
    <row r="45" spans="2:17">
      <c r="B45" s="21"/>
      <c r="C45" s="608"/>
      <c r="D45" s="608"/>
      <c r="E45" s="819"/>
      <c r="H45" s="4"/>
      <c r="I45" s="4"/>
      <c r="J45" s="4"/>
      <c r="K45" s="952"/>
      <c r="L45" s="952"/>
      <c r="M45" s="323"/>
      <c r="N45" s="52"/>
      <c r="O45" s="52"/>
      <c r="P45" s="4"/>
      <c r="Q45" s="4"/>
    </row>
    <row r="46" spans="2:17">
      <c r="B46" s="21" t="s">
        <v>62</v>
      </c>
      <c r="C46" s="604" t="s">
        <v>528</v>
      </c>
      <c r="D46" s="608"/>
      <c r="E46" s="819">
        <v>300</v>
      </c>
      <c r="H46" s="4"/>
      <c r="I46" s="4"/>
      <c r="J46" s="4"/>
      <c r="K46" s="52"/>
      <c r="L46" s="52"/>
      <c r="M46" s="324"/>
      <c r="N46" s="52"/>
      <c r="O46" s="52"/>
      <c r="P46" s="4"/>
      <c r="Q46" s="4"/>
    </row>
    <row r="47" spans="2:17">
      <c r="B47" s="21"/>
      <c r="C47" s="604" t="s">
        <v>531</v>
      </c>
      <c r="D47" s="608"/>
      <c r="E47" s="819">
        <v>1000</v>
      </c>
      <c r="H47" s="4"/>
      <c r="I47" s="4"/>
      <c r="J47" s="4"/>
      <c r="K47" s="52"/>
      <c r="L47" s="194"/>
      <c r="M47" s="953"/>
      <c r="N47" s="953"/>
      <c r="O47" s="52"/>
      <c r="P47" s="4"/>
      <c r="Q47" s="4"/>
    </row>
    <row r="48" spans="2:17">
      <c r="B48" s="21"/>
      <c r="C48" s="604"/>
      <c r="D48" s="608"/>
      <c r="E48" s="819"/>
      <c r="H48" s="4"/>
      <c r="I48" s="4"/>
      <c r="J48" s="4"/>
      <c r="K48" s="52"/>
      <c r="L48" s="52"/>
      <c r="M48" s="52"/>
      <c r="N48" s="52"/>
      <c r="O48" s="52"/>
      <c r="P48" s="4"/>
      <c r="Q48" s="4"/>
    </row>
    <row r="49" spans="1:17">
      <c r="B49" s="21"/>
      <c r="C49" s="608"/>
      <c r="D49" s="608"/>
      <c r="E49" s="819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s="600" customFormat="1" ht="6.75" customHeight="1">
      <c r="B50" s="601"/>
      <c r="C50" s="602"/>
      <c r="D50" s="602"/>
      <c r="E50" s="603"/>
      <c r="F50" s="603"/>
      <c r="G50" s="603"/>
      <c r="H50" s="603"/>
      <c r="I50" s="603"/>
      <c r="J50" s="603"/>
      <c r="K50" s="603"/>
      <c r="L50" s="603"/>
      <c r="M50" s="603"/>
    </row>
    <row r="51" spans="1:17" s="816" customFormat="1" ht="27.75" customHeight="1">
      <c r="A51" s="950" t="s">
        <v>520</v>
      </c>
      <c r="B51" s="950"/>
      <c r="C51" s="950"/>
      <c r="D51" s="950"/>
      <c r="E51" s="950"/>
      <c r="F51" s="950"/>
      <c r="G51" s="950"/>
      <c r="H51" s="817"/>
      <c r="I51" s="817"/>
      <c r="J51" s="817"/>
      <c r="K51" s="817"/>
      <c r="L51" s="817"/>
      <c r="M51" s="817"/>
    </row>
    <row r="52" spans="1:17" s="600" customFormat="1" ht="6.75" customHeight="1">
      <c r="B52" s="601"/>
      <c r="C52" s="602"/>
      <c r="D52" s="602"/>
      <c r="E52" s="603"/>
      <c r="F52" s="603"/>
      <c r="G52" s="603"/>
      <c r="H52" s="603"/>
      <c r="I52" s="603"/>
      <c r="J52" s="603"/>
      <c r="K52" s="603"/>
      <c r="L52" s="603"/>
      <c r="M52" s="603"/>
    </row>
    <row r="53" spans="1:17" s="816" customFormat="1" ht="12.75" customHeight="1">
      <c r="B53" s="831"/>
      <c r="C53" s="832"/>
      <c r="D53" s="832"/>
      <c r="E53" s="833"/>
      <c r="F53" s="817"/>
      <c r="G53" s="817"/>
      <c r="H53" s="817"/>
      <c r="I53" s="817"/>
      <c r="J53" s="817"/>
      <c r="K53" s="817"/>
      <c r="L53" s="817"/>
      <c r="M53" s="817"/>
    </row>
    <row r="54" spans="1:17">
      <c r="B54" s="199" t="s">
        <v>142</v>
      </c>
      <c r="C54" s="148" t="s">
        <v>426</v>
      </c>
      <c r="D54" s="148"/>
      <c r="E54" s="614">
        <v>150</v>
      </c>
      <c r="M54" s="5"/>
    </row>
    <row r="55" spans="1:17" ht="13.5" thickBot="1">
      <c r="B55" s="208" t="s">
        <v>156</v>
      </c>
      <c r="C55" s="144" t="s">
        <v>427</v>
      </c>
      <c r="D55" s="144"/>
      <c r="E55" s="615">
        <v>100</v>
      </c>
      <c r="M55" s="5"/>
    </row>
    <row r="56" spans="1:17" ht="13.5" thickBot="1">
      <c r="B56" s="21"/>
      <c r="C56" s="608" t="s">
        <v>0</v>
      </c>
      <c r="D56" s="608"/>
      <c r="E56" s="616">
        <f>SUM(E54:E55)</f>
        <v>250</v>
      </c>
      <c r="M56" s="5"/>
    </row>
    <row r="57" spans="1:17" ht="12.75" customHeight="1">
      <c r="B57" s="21"/>
      <c r="C57" s="64"/>
      <c r="D57" s="64"/>
      <c r="E57" s="76"/>
      <c r="F57" s="76"/>
      <c r="G57" s="76"/>
      <c r="H57" s="76"/>
      <c r="I57" s="76"/>
      <c r="J57" s="76"/>
      <c r="K57" s="76"/>
      <c r="L57" s="76"/>
      <c r="M57" s="76"/>
    </row>
    <row r="58" spans="1:17" s="7" customFormat="1" ht="13.15" customHeight="1">
      <c r="A58" s="122" t="s">
        <v>56</v>
      </c>
      <c r="B58" s="123" t="s">
        <v>57</v>
      </c>
      <c r="C58" s="123"/>
      <c r="D58" s="619">
        <f>Nikki!E582</f>
        <v>8502.7000000000007</v>
      </c>
      <c r="E58" s="619"/>
      <c r="F58" s="122"/>
      <c r="G58" s="123" t="s">
        <v>146</v>
      </c>
      <c r="H58" s="619">
        <v>2500</v>
      </c>
      <c r="I58" s="619"/>
      <c r="J58" s="624"/>
      <c r="K58" s="624"/>
      <c r="L58" s="624"/>
      <c r="M58" s="624"/>
    </row>
    <row r="59" spans="1:17" s="7" customFormat="1" ht="13.15" customHeight="1">
      <c r="A59" s="122" t="s">
        <v>58</v>
      </c>
      <c r="B59" s="123" t="s">
        <v>172</v>
      </c>
      <c r="C59" s="123"/>
      <c r="D59" s="619">
        <f>Nikki!E627</f>
        <v>2055.16</v>
      </c>
      <c r="E59" s="619"/>
      <c r="F59" s="122" t="s">
        <v>68</v>
      </c>
      <c r="G59" s="123" t="s">
        <v>69</v>
      </c>
      <c r="H59" s="619">
        <v>1200</v>
      </c>
      <c r="I59" s="624"/>
      <c r="J59" s="624"/>
      <c r="K59" s="624"/>
      <c r="L59" s="624"/>
      <c r="M59" s="624"/>
    </row>
    <row r="60" spans="1:17" s="7" customFormat="1" ht="13.15" customHeight="1">
      <c r="A60" s="122" t="s">
        <v>56</v>
      </c>
      <c r="B60" s="123" t="s">
        <v>462</v>
      </c>
      <c r="C60" s="123"/>
      <c r="D60" s="619">
        <v>250</v>
      </c>
      <c r="E60" s="619"/>
      <c r="F60" s="122" t="s">
        <v>68</v>
      </c>
      <c r="G60" s="123" t="s">
        <v>147</v>
      </c>
      <c r="H60" s="619">
        <f>120000*15%/12</f>
        <v>1500</v>
      </c>
      <c r="I60" s="624"/>
      <c r="J60" s="624"/>
      <c r="K60" s="624"/>
      <c r="L60" s="624"/>
      <c r="M60" s="624"/>
    </row>
    <row r="61" spans="1:17" s="7" customFormat="1" ht="13.15" customHeight="1">
      <c r="A61" s="122" t="s">
        <v>59</v>
      </c>
      <c r="B61" s="123" t="s">
        <v>60</v>
      </c>
      <c r="C61" s="123"/>
      <c r="D61" s="619">
        <v>2500</v>
      </c>
      <c r="E61" s="619"/>
      <c r="F61" s="122" t="s">
        <v>81</v>
      </c>
      <c r="G61" s="123" t="s">
        <v>69</v>
      </c>
      <c r="H61" s="619">
        <v>1800</v>
      </c>
      <c r="I61" s="813"/>
      <c r="J61" s="625"/>
    </row>
    <row r="62" spans="1:17" s="7" customFormat="1" ht="13.15" customHeight="1">
      <c r="A62" s="122" t="s">
        <v>59</v>
      </c>
      <c r="B62" s="123" t="s">
        <v>61</v>
      </c>
      <c r="C62" s="123"/>
      <c r="D62" s="619">
        <v>268</v>
      </c>
      <c r="E62" s="619"/>
      <c r="F62" s="122" t="s">
        <v>58</v>
      </c>
      <c r="G62" s="123" t="s">
        <v>148</v>
      </c>
      <c r="H62" s="619">
        <v>1012</v>
      </c>
      <c r="I62" s="813"/>
      <c r="J62" s="625"/>
    </row>
    <row r="63" spans="1:17" s="7" customFormat="1" ht="13.15" customHeight="1">
      <c r="A63" s="122" t="s">
        <v>62</v>
      </c>
      <c r="B63" s="123" t="s">
        <v>63</v>
      </c>
      <c r="C63" s="123"/>
      <c r="D63" s="619">
        <v>601.12</v>
      </c>
      <c r="E63" s="619"/>
      <c r="F63" s="122" t="s">
        <v>272</v>
      </c>
      <c r="G63" s="123" t="s">
        <v>274</v>
      </c>
      <c r="H63" s="619">
        <v>500</v>
      </c>
      <c r="I63" s="813"/>
      <c r="J63" s="625"/>
    </row>
    <row r="64" spans="1:17" s="7" customFormat="1" ht="13.15" customHeight="1">
      <c r="A64" s="122" t="s">
        <v>62</v>
      </c>
      <c r="B64" s="123" t="s">
        <v>64</v>
      </c>
      <c r="C64" s="123"/>
      <c r="D64" s="619">
        <v>383.94</v>
      </c>
      <c r="E64" s="619"/>
      <c r="F64" s="122" t="s">
        <v>273</v>
      </c>
      <c r="G64" s="123" t="s">
        <v>275</v>
      </c>
      <c r="H64" s="619">
        <v>500</v>
      </c>
      <c r="I64" s="214"/>
      <c r="J64" s="625"/>
    </row>
    <row r="65" spans="1:13" s="7" customFormat="1" ht="13.15" customHeight="1">
      <c r="A65" s="122" t="s">
        <v>62</v>
      </c>
      <c r="B65" s="123" t="s">
        <v>101</v>
      </c>
      <c r="C65" s="123"/>
      <c r="D65" s="619">
        <v>550</v>
      </c>
      <c r="E65" s="619"/>
      <c r="F65" s="122" t="s">
        <v>59</v>
      </c>
      <c r="G65" s="123" t="s">
        <v>82</v>
      </c>
      <c r="H65" s="619">
        <v>11000</v>
      </c>
      <c r="I65" s="813"/>
      <c r="J65" s="625"/>
    </row>
    <row r="66" spans="1:13" s="7" customFormat="1" ht="13.15" customHeight="1" thickBot="1">
      <c r="A66" s="122" t="s">
        <v>66</v>
      </c>
      <c r="B66" s="123" t="s">
        <v>67</v>
      </c>
      <c r="C66" s="619"/>
      <c r="D66" s="619">
        <v>8000</v>
      </c>
      <c r="E66" s="619"/>
      <c r="F66" s="223" t="s">
        <v>102</v>
      </c>
      <c r="G66" s="123" t="s">
        <v>83</v>
      </c>
      <c r="H66" s="620">
        <v>11000</v>
      </c>
      <c r="I66" s="813"/>
      <c r="J66" s="625"/>
    </row>
    <row r="67" spans="1:13" s="7" customFormat="1" ht="13.15" customHeight="1" thickTop="1" thickBot="1">
      <c r="A67" s="122" t="s">
        <v>65</v>
      </c>
      <c r="B67" s="123" t="s">
        <v>228</v>
      </c>
      <c r="C67" s="619"/>
      <c r="D67" s="619">
        <v>1000</v>
      </c>
      <c r="E67" s="619"/>
      <c r="F67" s="130"/>
      <c r="G67" s="123"/>
      <c r="H67" s="813">
        <f>SUM(H58:H66)+SUM(D58:D67)</f>
        <v>55122.92</v>
      </c>
      <c r="I67" s="813"/>
      <c r="J67" s="625"/>
    </row>
    <row r="68" spans="1:13" s="7" customFormat="1" ht="13.15" customHeight="1" thickBot="1">
      <c r="B68" s="122"/>
      <c r="C68" s="123"/>
      <c r="D68" s="123"/>
      <c r="E68" s="619"/>
      <c r="F68" s="130"/>
      <c r="G68" s="642" t="s">
        <v>17</v>
      </c>
      <c r="H68" s="643">
        <f>H67+E56</f>
        <v>55372.92</v>
      </c>
      <c r="I68" s="813"/>
      <c r="J68" s="625"/>
    </row>
    <row r="69" spans="1:13" s="7" customFormat="1" ht="13.15" customHeight="1">
      <c r="B69" s="122"/>
      <c r="C69" s="123"/>
      <c r="D69" s="123"/>
      <c r="E69" s="619"/>
      <c r="F69" s="124"/>
      <c r="G69" s="123"/>
      <c r="H69" s="813"/>
      <c r="I69" s="813"/>
      <c r="J69" s="625"/>
    </row>
    <row r="70" spans="1:13" s="7" customFormat="1" ht="13.15" customHeight="1">
      <c r="B70" s="122"/>
      <c r="C70" s="123"/>
      <c r="D70" s="123"/>
      <c r="E70" s="619"/>
      <c r="F70" s="130"/>
      <c r="G70" s="123"/>
      <c r="H70" s="813"/>
      <c r="I70" s="813"/>
      <c r="J70" s="625"/>
    </row>
    <row r="71" spans="1:13" s="7" customFormat="1" ht="13.15" customHeight="1">
      <c r="B71" s="122"/>
      <c r="C71" s="123"/>
      <c r="D71" s="123"/>
      <c r="E71" s="619"/>
      <c r="F71" s="130"/>
      <c r="G71" s="642"/>
      <c r="H71" s="686"/>
      <c r="I71" s="813"/>
      <c r="J71" s="625"/>
    </row>
    <row r="72" spans="1:13" s="7" customFormat="1" ht="13.15" customHeight="1">
      <c r="B72" s="122"/>
      <c r="C72" s="123"/>
      <c r="D72" s="123"/>
      <c r="E72" s="619"/>
      <c r="F72" s="124"/>
      <c r="G72" s="123"/>
      <c r="H72" s="813"/>
      <c r="I72" s="813"/>
      <c r="J72" s="625"/>
    </row>
    <row r="73" spans="1:13" s="7" customFormat="1" ht="13.15" customHeight="1">
      <c r="B73" s="122"/>
      <c r="C73" s="123"/>
      <c r="D73" s="15"/>
      <c r="E73" s="619"/>
      <c r="F73" s="15"/>
      <c r="G73" s="15"/>
      <c r="H73" s="15"/>
      <c r="I73" s="813"/>
      <c r="J73" s="625"/>
    </row>
    <row r="74" spans="1:13" s="7" customFormat="1" ht="13.15" customHeight="1">
      <c r="B74" s="122"/>
      <c r="C74" s="123"/>
      <c r="D74" s="14"/>
      <c r="E74" s="15"/>
      <c r="F74" s="15"/>
      <c r="G74" s="15"/>
      <c r="H74" s="15"/>
      <c r="I74" s="813"/>
      <c r="J74" s="625"/>
    </row>
    <row r="75" spans="1:13" s="7" customFormat="1" ht="13.15" customHeight="1">
      <c r="B75" s="122"/>
      <c r="C75" s="123"/>
      <c r="D75" s="14"/>
      <c r="E75" s="15"/>
      <c r="F75" s="15"/>
      <c r="G75" s="15"/>
      <c r="H75" s="15"/>
      <c r="I75" s="813"/>
      <c r="J75" s="625"/>
    </row>
    <row r="76" spans="1:13" s="15" customFormat="1" ht="12">
      <c r="B76" s="17"/>
      <c r="D76" s="14"/>
      <c r="M76" s="17"/>
    </row>
    <row r="77" spans="1:13" s="15" customFormat="1" ht="12">
      <c r="B77" s="17"/>
      <c r="C77" s="14"/>
      <c r="D77" s="14"/>
      <c r="M77" s="17"/>
    </row>
    <row r="78" spans="1:13" s="15" customFormat="1" ht="12">
      <c r="B78" s="17"/>
      <c r="C78" s="14"/>
      <c r="D78" s="14"/>
      <c r="M78" s="17"/>
    </row>
    <row r="79" spans="1:13" s="15" customFormat="1" ht="12">
      <c r="B79" s="17"/>
      <c r="C79" s="14"/>
      <c r="D79" s="14"/>
      <c r="M79" s="17"/>
    </row>
    <row r="80" spans="1:13" s="15" customFormat="1" ht="12">
      <c r="B80" s="17"/>
      <c r="C80" s="14"/>
      <c r="M80" s="17"/>
    </row>
    <row r="81" spans="2:13" s="15" customFormat="1" ht="12">
      <c r="B81" s="17"/>
      <c r="C81" s="14"/>
      <c r="M81" s="17"/>
    </row>
    <row r="82" spans="2:13" s="15" customFormat="1" ht="12">
      <c r="B82" s="17"/>
      <c r="C82" s="14"/>
      <c r="M82" s="17"/>
    </row>
    <row r="83" spans="2:13" s="15" customFormat="1" ht="12">
      <c r="B83" s="17"/>
      <c r="M83" s="17"/>
    </row>
    <row r="84" spans="2:13" s="15" customFormat="1" ht="12">
      <c r="B84" s="17"/>
      <c r="M84" s="17"/>
    </row>
    <row r="85" spans="2:13" s="15" customFormat="1" ht="12">
      <c r="B85" s="17"/>
      <c r="M85" s="17"/>
    </row>
    <row r="86" spans="2:13" s="15" customFormat="1">
      <c r="B86" s="17"/>
      <c r="D86" s="5"/>
      <c r="F86" s="5"/>
      <c r="G86" s="5"/>
      <c r="H86" s="5"/>
      <c r="M86" s="17"/>
    </row>
    <row r="87" spans="2:13" s="15" customFormat="1">
      <c r="B87" s="17"/>
      <c r="D87" s="5"/>
      <c r="E87" s="5"/>
      <c r="F87" s="5"/>
      <c r="G87" s="5"/>
      <c r="H87" s="5"/>
      <c r="M87" s="17"/>
    </row>
    <row r="88" spans="2:13" s="15" customFormat="1">
      <c r="B88" s="17"/>
      <c r="D88" s="5"/>
      <c r="E88" s="5"/>
      <c r="F88" s="5"/>
      <c r="G88" s="5"/>
      <c r="H88" s="5"/>
      <c r="M88" s="17"/>
    </row>
    <row r="89" spans="2:13" s="15" customFormat="1">
      <c r="B89" s="24"/>
      <c r="C89" s="5"/>
      <c r="D89" s="5"/>
      <c r="E89" s="5"/>
      <c r="F89" s="5"/>
      <c r="G89" s="5"/>
      <c r="H89" s="5"/>
      <c r="I89" s="5"/>
      <c r="J89" s="5"/>
      <c r="K89" s="5"/>
      <c r="L89" s="5"/>
      <c r="M89" s="17"/>
    </row>
    <row r="90" spans="2:13" s="15" customFormat="1">
      <c r="B90" s="24"/>
      <c r="C90" s="5"/>
      <c r="D90" s="5"/>
      <c r="E90" s="5"/>
      <c r="F90" s="5"/>
      <c r="G90" s="5"/>
      <c r="H90" s="5"/>
      <c r="I90" s="5"/>
      <c r="J90" s="5"/>
      <c r="K90" s="5"/>
      <c r="L90" s="5"/>
      <c r="M90" s="17"/>
    </row>
    <row r="91" spans="2:13" s="15" customFormat="1">
      <c r="B91" s="24"/>
      <c r="C91" s="5"/>
      <c r="D91" s="5"/>
      <c r="E91" s="5"/>
      <c r="F91" s="5"/>
      <c r="G91" s="5"/>
      <c r="H91" s="5"/>
      <c r="I91" s="5"/>
      <c r="J91" s="5"/>
      <c r="K91" s="5"/>
      <c r="L91" s="5"/>
      <c r="M91" s="17"/>
    </row>
    <row r="92" spans="2:13" s="15" customFormat="1">
      <c r="B92" s="24"/>
      <c r="C92" s="5"/>
      <c r="D92" s="5"/>
      <c r="E92" s="5"/>
      <c r="F92" s="5"/>
      <c r="G92" s="5"/>
      <c r="H92" s="5"/>
      <c r="I92" s="5"/>
      <c r="J92" s="5"/>
      <c r="K92" s="5"/>
      <c r="L92" s="5"/>
      <c r="M92" s="17"/>
    </row>
  </sheetData>
  <mergeCells count="14">
    <mergeCell ref="K45:L45"/>
    <mergeCell ref="M47:N47"/>
    <mergeCell ref="K42:L42"/>
    <mergeCell ref="M42:N42"/>
    <mergeCell ref="K44:L44"/>
    <mergeCell ref="A51:G51"/>
    <mergeCell ref="E28:F28"/>
    <mergeCell ref="C27:D27"/>
    <mergeCell ref="A1:H1"/>
    <mergeCell ref="A3:A4"/>
    <mergeCell ref="C5:D5"/>
    <mergeCell ref="E6:F6"/>
    <mergeCell ref="A25:A26"/>
    <mergeCell ref="D25:G25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workbookViewId="0">
      <selection activeCell="E74" sqref="E74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1:13" s="1" customFormat="1" ht="24" customHeight="1">
      <c r="A1" s="947" t="s">
        <v>521</v>
      </c>
      <c r="B1" s="947"/>
      <c r="C1" s="947"/>
      <c r="D1" s="947"/>
      <c r="E1" s="947"/>
      <c r="F1" s="947"/>
      <c r="G1" s="947"/>
      <c r="H1" s="947"/>
      <c r="I1" s="659"/>
      <c r="J1" s="659"/>
      <c r="K1" s="659"/>
      <c r="L1" s="659"/>
      <c r="M1" s="659"/>
    </row>
    <row r="2" spans="1:13" s="600" customFormat="1" ht="6.75" customHeight="1">
      <c r="B2" s="601"/>
      <c r="C2" s="602"/>
      <c r="D2" s="602"/>
      <c r="E2" s="603"/>
      <c r="F2" s="603"/>
      <c r="G2" s="603"/>
      <c r="H2" s="603"/>
      <c r="I2" s="603"/>
      <c r="J2" s="603"/>
      <c r="K2" s="603"/>
      <c r="L2" s="603"/>
      <c r="M2" s="603"/>
    </row>
    <row r="3" spans="1:13" s="816" customFormat="1" ht="27.75" customHeight="1">
      <c r="A3" s="950" t="s">
        <v>522</v>
      </c>
      <c r="B3" s="950"/>
      <c r="C3" s="950"/>
      <c r="D3" s="950"/>
      <c r="E3" s="950"/>
      <c r="F3" s="950"/>
      <c r="G3" s="950"/>
      <c r="H3" s="817"/>
      <c r="I3" s="817"/>
      <c r="J3" s="817"/>
      <c r="K3" s="817"/>
      <c r="L3" s="817"/>
      <c r="M3" s="817"/>
    </row>
    <row r="4" spans="1:13" s="600" customFormat="1" ht="6.75" customHeight="1">
      <c r="B4" s="601"/>
      <c r="C4" s="602"/>
      <c r="D4" s="602"/>
      <c r="E4" s="603"/>
      <c r="F4" s="603"/>
      <c r="G4" s="603"/>
      <c r="H4" s="603"/>
      <c r="I4" s="603"/>
      <c r="J4" s="603"/>
      <c r="K4" s="603"/>
      <c r="L4" s="603"/>
      <c r="M4" s="603"/>
    </row>
    <row r="5" spans="1:13" ht="19.5" customHeight="1">
      <c r="A5" s="815"/>
      <c r="B5" s="595" t="s">
        <v>420</v>
      </c>
      <c r="C5" s="621">
        <v>45</v>
      </c>
      <c r="D5" s="621"/>
      <c r="E5" s="76"/>
      <c r="F5" s="76"/>
      <c r="G5" s="76"/>
      <c r="H5" s="76"/>
      <c r="I5" s="76"/>
      <c r="J5" s="76"/>
      <c r="K5" s="76"/>
      <c r="L5" s="76"/>
      <c r="M5" s="5"/>
    </row>
    <row r="6" spans="1:13" ht="19.5" customHeight="1">
      <c r="B6" s="595" t="s">
        <v>423</v>
      </c>
      <c r="C6" s="948">
        <v>41283</v>
      </c>
      <c r="D6" s="949"/>
      <c r="E6" s="76"/>
      <c r="F6" s="76"/>
      <c r="G6" s="76"/>
      <c r="H6" s="76"/>
      <c r="I6" s="76"/>
      <c r="J6" s="76"/>
      <c r="K6" s="76"/>
      <c r="L6" s="76"/>
      <c r="M6" s="5"/>
    </row>
    <row r="7" spans="1:13" ht="4.5" customHeight="1" thickBot="1">
      <c r="B7" s="2"/>
      <c r="C7" s="147"/>
      <c r="D7" s="147"/>
      <c r="E7" s="945"/>
      <c r="F7" s="946"/>
      <c r="G7" s="3"/>
      <c r="H7" s="4"/>
      <c r="I7" s="4"/>
      <c r="J7" s="4"/>
      <c r="K7" s="4"/>
      <c r="L7" s="34"/>
      <c r="M7" s="4"/>
    </row>
    <row r="8" spans="1:13" s="6" customFormat="1" ht="13.5" thickBot="1">
      <c r="B8" s="596" t="s">
        <v>421</v>
      </c>
      <c r="C8" s="598" t="s">
        <v>1</v>
      </c>
      <c r="D8" s="598"/>
      <c r="E8" s="599" t="s">
        <v>10</v>
      </c>
      <c r="G8" s="14" t="s">
        <v>555</v>
      </c>
      <c r="H8" s="849" t="s">
        <v>0</v>
      </c>
    </row>
    <row r="9" spans="1:13">
      <c r="B9" s="207" t="s">
        <v>477</v>
      </c>
      <c r="C9" s="145" t="s">
        <v>80</v>
      </c>
      <c r="D9" s="638"/>
      <c r="E9" s="609">
        <v>1533.42</v>
      </c>
      <c r="G9" s="845">
        <f>888.8+350.41</f>
        <v>1239.21</v>
      </c>
      <c r="H9" s="847">
        <f t="shared" ref="H9:H17" si="0">SUM(E9:G9)</f>
        <v>2772.63</v>
      </c>
      <c r="M9" s="5"/>
    </row>
    <row r="10" spans="1:13">
      <c r="B10" s="742" t="s">
        <v>11</v>
      </c>
      <c r="C10" s="597" t="s">
        <v>78</v>
      </c>
      <c r="D10" s="638"/>
      <c r="E10" s="609">
        <v>937.04</v>
      </c>
      <c r="G10" s="845"/>
      <c r="H10" s="847">
        <f t="shared" si="0"/>
        <v>937.04</v>
      </c>
      <c r="M10" s="5"/>
    </row>
    <row r="11" spans="1:13">
      <c r="B11" s="103" t="s">
        <v>13</v>
      </c>
      <c r="C11" s="145" t="s">
        <v>76</v>
      </c>
      <c r="D11" s="639"/>
      <c r="E11" s="610">
        <v>873.83</v>
      </c>
      <c r="G11" s="845"/>
      <c r="H11" s="847">
        <f t="shared" si="0"/>
        <v>873.83</v>
      </c>
      <c r="M11" s="5"/>
    </row>
    <row r="12" spans="1:13">
      <c r="B12" s="103" t="s">
        <v>471</v>
      </c>
      <c r="C12" s="145" t="s">
        <v>472</v>
      </c>
      <c r="D12" s="639"/>
      <c r="E12" s="610">
        <v>475.2</v>
      </c>
      <c r="G12" s="845"/>
      <c r="H12" s="847">
        <f t="shared" si="0"/>
        <v>475.2</v>
      </c>
      <c r="M12" s="5"/>
    </row>
    <row r="13" spans="1:13">
      <c r="B13" s="103" t="s">
        <v>479</v>
      </c>
      <c r="C13" s="145" t="s">
        <v>478</v>
      </c>
      <c r="D13" s="639"/>
      <c r="E13" s="610">
        <v>475.2</v>
      </c>
      <c r="G13" s="845"/>
      <c r="H13" s="847">
        <f t="shared" si="0"/>
        <v>475.2</v>
      </c>
      <c r="M13" s="5"/>
    </row>
    <row r="14" spans="1:13">
      <c r="B14" s="103" t="s">
        <v>447</v>
      </c>
      <c r="C14" s="145" t="s">
        <v>448</v>
      </c>
      <c r="D14" s="639"/>
      <c r="E14" s="610">
        <v>1140.74</v>
      </c>
      <c r="F14" s="415"/>
      <c r="G14" s="845">
        <f>285-240</f>
        <v>45</v>
      </c>
      <c r="H14" s="847">
        <f t="shared" si="0"/>
        <v>1185.74</v>
      </c>
      <c r="M14" s="5"/>
    </row>
    <row r="15" spans="1:13">
      <c r="B15" s="103" t="s">
        <v>53</v>
      </c>
      <c r="C15" s="716" t="s">
        <v>77</v>
      </c>
      <c r="D15" s="640"/>
      <c r="E15" s="610">
        <v>1047.8800000000001</v>
      </c>
      <c r="F15" s="415"/>
      <c r="G15" s="845">
        <v>96.87</v>
      </c>
      <c r="H15" s="847">
        <f t="shared" si="0"/>
        <v>1144.75</v>
      </c>
      <c r="M15" s="5"/>
    </row>
    <row r="16" spans="1:13">
      <c r="B16" s="753" t="s">
        <v>208</v>
      </c>
      <c r="C16" s="754" t="s">
        <v>215</v>
      </c>
      <c r="D16" s="755"/>
      <c r="E16" s="756">
        <v>542</v>
      </c>
      <c r="F16" s="415"/>
      <c r="H16" s="847">
        <f t="shared" si="0"/>
        <v>542</v>
      </c>
      <c r="M16" s="5"/>
    </row>
    <row r="17" spans="1:13" ht="13.5" thickBot="1">
      <c r="B17" s="606" t="s">
        <v>104</v>
      </c>
      <c r="C17" s="745" t="s">
        <v>424</v>
      </c>
      <c r="D17" s="757"/>
      <c r="E17" s="611">
        <v>689.74</v>
      </c>
      <c r="G17" s="5" t="s">
        <v>490</v>
      </c>
      <c r="H17" s="847">
        <f t="shared" si="0"/>
        <v>689.74</v>
      </c>
      <c r="M17" s="5"/>
    </row>
    <row r="18" spans="1:13" s="4" customFormat="1" ht="13.5" thickBot="1">
      <c r="B18" s="419"/>
      <c r="C18" s="604"/>
      <c r="D18" s="604"/>
      <c r="E18" s="612">
        <f>SUM(E9:E17)</f>
        <v>7715.0499999999993</v>
      </c>
      <c r="F18" s="605"/>
      <c r="H18" s="847"/>
    </row>
    <row r="19" spans="1:13">
      <c r="B19" s="752" t="s">
        <v>104</v>
      </c>
      <c r="C19" s="285" t="s">
        <v>339</v>
      </c>
      <c r="D19" s="285"/>
      <c r="E19" s="613">
        <v>400</v>
      </c>
      <c r="H19" s="847">
        <f>SUM(E19:G19)</f>
        <v>400</v>
      </c>
      <c r="M19" s="5"/>
    </row>
    <row r="20" spans="1:13">
      <c r="B20" s="155" t="s">
        <v>34</v>
      </c>
      <c r="C20" s="220" t="s">
        <v>48</v>
      </c>
      <c r="D20" s="220"/>
      <c r="E20" s="618">
        <v>950</v>
      </c>
      <c r="H20" s="847">
        <f>SUM(E20:G20)</f>
        <v>950</v>
      </c>
      <c r="M20" s="5"/>
    </row>
    <row r="21" spans="1:13" ht="13.5" thickBot="1">
      <c r="B21" s="208" t="s">
        <v>94</v>
      </c>
      <c r="C21" s="607" t="s">
        <v>95</v>
      </c>
      <c r="D21" s="607"/>
      <c r="E21" s="615">
        <f>3630/4</f>
        <v>907.5</v>
      </c>
      <c r="H21" s="847">
        <f>SUM(E21:G21)</f>
        <v>907.5</v>
      </c>
      <c r="M21" s="5"/>
    </row>
    <row r="22" spans="1:13" ht="13.5" thickBot="1">
      <c r="B22" s="21"/>
      <c r="C22" s="608" t="s">
        <v>0</v>
      </c>
      <c r="D22" s="608"/>
      <c r="E22" s="616">
        <f>SUM(E18:E21)</f>
        <v>9972.5499999999993</v>
      </c>
      <c r="G22" s="846" t="s">
        <v>0</v>
      </c>
      <c r="H22" s="848">
        <f>SUM(H9:H21)</f>
        <v>11353.63</v>
      </c>
      <c r="M22" s="5"/>
    </row>
    <row r="23" spans="1:13" ht="12.75" customHeight="1">
      <c r="B23" s="21"/>
      <c r="C23" s="64"/>
      <c r="D23" s="64"/>
      <c r="E23" s="76"/>
      <c r="F23" s="76"/>
      <c r="G23" s="76"/>
      <c r="H23" s="76"/>
      <c r="I23" s="76"/>
      <c r="J23" s="76"/>
      <c r="K23" s="76"/>
      <c r="L23" s="76"/>
      <c r="M23" s="76"/>
    </row>
    <row r="24" spans="1:13" s="600" customFormat="1" ht="6.75" customHeight="1">
      <c r="B24" s="601"/>
      <c r="C24" s="602"/>
      <c r="D24" s="602"/>
      <c r="E24" s="603"/>
      <c r="F24" s="603"/>
      <c r="G24" s="603"/>
      <c r="H24" s="603"/>
      <c r="I24" s="603"/>
      <c r="J24" s="603"/>
      <c r="K24" s="603"/>
      <c r="L24" s="603"/>
      <c r="M24" s="603"/>
    </row>
    <row r="25" spans="1:13" ht="19.5" customHeight="1">
      <c r="A25" s="815"/>
      <c r="B25" s="595" t="s">
        <v>420</v>
      </c>
      <c r="C25" s="621">
        <v>46</v>
      </c>
      <c r="D25" s="621"/>
      <c r="E25" s="76"/>
      <c r="F25" s="76"/>
      <c r="G25" s="76"/>
      <c r="H25" s="76"/>
      <c r="I25" s="76"/>
      <c r="J25" s="76"/>
      <c r="K25" s="76"/>
      <c r="L25" s="76"/>
      <c r="M25" s="5"/>
    </row>
    <row r="26" spans="1:13" ht="19.5" customHeight="1">
      <c r="B26" s="595" t="s">
        <v>423</v>
      </c>
      <c r="C26" s="948">
        <v>41290</v>
      </c>
      <c r="D26" s="949"/>
      <c r="E26" s="76"/>
      <c r="F26" s="76"/>
      <c r="G26" s="76"/>
      <c r="H26" s="76"/>
      <c r="I26" s="76"/>
      <c r="J26" s="76"/>
      <c r="K26" s="76"/>
      <c r="L26" s="76"/>
      <c r="M26" s="5"/>
    </row>
    <row r="27" spans="1:13" ht="4.5" customHeight="1">
      <c r="B27" s="2"/>
      <c r="C27" s="147"/>
      <c r="D27" s="147"/>
      <c r="E27" s="945"/>
      <c r="F27" s="946"/>
      <c r="G27" s="3"/>
      <c r="H27" s="4"/>
      <c r="I27" s="4"/>
      <c r="J27" s="4"/>
      <c r="K27" s="4"/>
      <c r="L27" s="34"/>
      <c r="M27" s="4"/>
    </row>
    <row r="28" spans="1:13" s="6" customFormat="1" ht="13.5" thickBot="1">
      <c r="B28" s="596" t="s">
        <v>421</v>
      </c>
      <c r="C28" s="598" t="s">
        <v>1</v>
      </c>
      <c r="D28" s="598"/>
      <c r="E28" s="599" t="s">
        <v>10</v>
      </c>
    </row>
    <row r="29" spans="1:13">
      <c r="B29" s="207" t="s">
        <v>477</v>
      </c>
      <c r="C29" s="145" t="s">
        <v>80</v>
      </c>
      <c r="D29" s="638"/>
      <c r="E29" s="609">
        <v>1533.42</v>
      </c>
      <c r="M29" s="5"/>
    </row>
    <row r="30" spans="1:13">
      <c r="B30" s="742" t="s">
        <v>11</v>
      </c>
      <c r="C30" s="597" t="s">
        <v>78</v>
      </c>
      <c r="D30" s="638"/>
      <c r="E30" s="609">
        <v>937.04</v>
      </c>
      <c r="M30" s="5"/>
    </row>
    <row r="31" spans="1:13">
      <c r="B31" s="103" t="s">
        <v>13</v>
      </c>
      <c r="C31" s="145" t="s">
        <v>76</v>
      </c>
      <c r="D31" s="639"/>
      <c r="E31" s="610">
        <v>873.83</v>
      </c>
      <c r="M31" s="5"/>
    </row>
    <row r="32" spans="1:13">
      <c r="B32" s="103" t="s">
        <v>479</v>
      </c>
      <c r="C32" s="145" t="s">
        <v>478</v>
      </c>
      <c r="D32" s="639"/>
      <c r="E32" s="610">
        <v>792</v>
      </c>
      <c r="M32" s="5"/>
    </row>
    <row r="33" spans="1:13">
      <c r="B33" s="103" t="s">
        <v>447</v>
      </c>
      <c r="C33" s="145" t="s">
        <v>448</v>
      </c>
      <c r="D33" s="639"/>
      <c r="E33" s="610">
        <v>1191.98</v>
      </c>
      <c r="F33" s="415"/>
      <c r="M33" s="5"/>
    </row>
    <row r="34" spans="1:13">
      <c r="B34" s="103" t="s">
        <v>53</v>
      </c>
      <c r="C34" s="716" t="s">
        <v>77</v>
      </c>
      <c r="D34" s="640"/>
      <c r="E34" s="610">
        <v>1065.3</v>
      </c>
      <c r="F34" s="415"/>
      <c r="M34" s="5"/>
    </row>
    <row r="35" spans="1:13">
      <c r="B35" s="753" t="s">
        <v>208</v>
      </c>
      <c r="C35" s="754" t="s">
        <v>215</v>
      </c>
      <c r="D35" s="755"/>
      <c r="E35" s="756">
        <v>542</v>
      </c>
      <c r="F35" s="415"/>
      <c r="M35" s="5"/>
    </row>
    <row r="36" spans="1:13" ht="13.5" thickBot="1">
      <c r="B36" s="606" t="s">
        <v>104</v>
      </c>
      <c r="C36" s="745" t="s">
        <v>424</v>
      </c>
      <c r="D36" s="757"/>
      <c r="E36" s="611">
        <v>689.74</v>
      </c>
      <c r="M36" s="5"/>
    </row>
    <row r="37" spans="1:13" s="4" customFormat="1" ht="13.5" thickBot="1">
      <c r="B37" s="419"/>
      <c r="C37" s="604"/>
      <c r="D37" s="604"/>
      <c r="E37" s="612">
        <f>SUM(E29:E36)</f>
        <v>7625.31</v>
      </c>
      <c r="F37" s="605"/>
    </row>
    <row r="38" spans="1:13">
      <c r="B38" s="752" t="s">
        <v>104</v>
      </c>
      <c r="C38" s="285" t="s">
        <v>339</v>
      </c>
      <c r="D38" s="285"/>
      <c r="E38" s="613">
        <v>500</v>
      </c>
      <c r="M38" s="5"/>
    </row>
    <row r="39" spans="1:13">
      <c r="B39" s="155" t="s">
        <v>34</v>
      </c>
      <c r="C39" s="220" t="s">
        <v>48</v>
      </c>
      <c r="D39" s="220"/>
      <c r="E39" s="618">
        <v>950</v>
      </c>
      <c r="M39" s="5"/>
    </row>
    <row r="40" spans="1:13" ht="13.5" thickBot="1">
      <c r="B40" s="208" t="s">
        <v>94</v>
      </c>
      <c r="C40" s="607" t="s">
        <v>95</v>
      </c>
      <c r="D40" s="607"/>
      <c r="E40" s="615">
        <f>3630/4</f>
        <v>907.5</v>
      </c>
      <c r="M40" s="5"/>
    </row>
    <row r="41" spans="1:13" ht="13.5" thickBot="1">
      <c r="B41" s="21"/>
      <c r="C41" s="608" t="s">
        <v>0</v>
      </c>
      <c r="D41" s="608"/>
      <c r="E41" s="616">
        <f>SUM(E37:E40)</f>
        <v>9982.8100000000013</v>
      </c>
      <c r="M41" s="5"/>
    </row>
    <row r="42" spans="1:13">
      <c r="B42" s="21"/>
      <c r="C42" s="608"/>
      <c r="D42" s="608"/>
      <c r="E42" s="819"/>
      <c r="M42" s="5"/>
    </row>
    <row r="43" spans="1:13">
      <c r="B43" s="21"/>
      <c r="C43" s="608"/>
      <c r="D43" s="850" t="s">
        <v>562</v>
      </c>
      <c r="E43" s="819">
        <v>1000</v>
      </c>
      <c r="M43" s="5"/>
    </row>
    <row r="44" spans="1:13">
      <c r="B44" s="21"/>
      <c r="C44" s="604" t="s">
        <v>563</v>
      </c>
      <c r="D44" s="850"/>
      <c r="E44" s="819">
        <v>200</v>
      </c>
      <c r="M44" s="5"/>
    </row>
    <row r="45" spans="1:13">
      <c r="B45" s="21"/>
      <c r="C45" s="604" t="s">
        <v>564</v>
      </c>
      <c r="D45" s="850"/>
      <c r="E45" s="819">
        <v>100</v>
      </c>
      <c r="M45" s="5"/>
    </row>
    <row r="46" spans="1:13" ht="12.75" customHeight="1">
      <c r="B46" s="21"/>
      <c r="C46" s="64"/>
      <c r="D46" s="64"/>
      <c r="E46" s="76"/>
      <c r="F46" s="76"/>
      <c r="G46" s="76"/>
      <c r="H46" s="76"/>
      <c r="I46" s="76"/>
      <c r="J46" s="76"/>
      <c r="K46" s="76"/>
      <c r="L46" s="76"/>
      <c r="M46" s="76"/>
    </row>
    <row r="47" spans="1:13" s="600" customFormat="1" ht="6.75" customHeight="1">
      <c r="B47" s="601"/>
      <c r="C47" s="602"/>
      <c r="D47" s="602"/>
      <c r="E47" s="603"/>
      <c r="F47" s="603"/>
      <c r="G47" s="603"/>
      <c r="H47" s="603"/>
      <c r="I47" s="603"/>
      <c r="J47" s="603"/>
      <c r="K47" s="603"/>
      <c r="L47" s="603"/>
      <c r="M47" s="603"/>
    </row>
    <row r="48" spans="1:13" ht="19.5" customHeight="1">
      <c r="A48" s="815"/>
      <c r="B48" s="595" t="s">
        <v>420</v>
      </c>
      <c r="C48" s="621">
        <v>47</v>
      </c>
      <c r="D48" s="621"/>
      <c r="E48" s="76"/>
      <c r="F48" s="76"/>
      <c r="G48" s="76"/>
      <c r="H48" s="76"/>
      <c r="I48" s="76"/>
      <c r="J48" s="76"/>
      <c r="K48" s="76"/>
      <c r="L48" s="76"/>
      <c r="M48" s="5"/>
    </row>
    <row r="49" spans="2:13" ht="19.5" customHeight="1">
      <c r="B49" s="595" t="s">
        <v>423</v>
      </c>
      <c r="C49" s="948">
        <v>41297</v>
      </c>
      <c r="D49" s="949"/>
      <c r="E49" s="76"/>
      <c r="F49" s="76"/>
      <c r="G49" s="76"/>
      <c r="H49" s="76"/>
      <c r="I49" s="76"/>
      <c r="J49" s="76"/>
      <c r="K49" s="76"/>
      <c r="L49" s="76"/>
      <c r="M49" s="5"/>
    </row>
    <row r="50" spans="2:13" ht="4.5" customHeight="1">
      <c r="B50" s="2"/>
      <c r="C50" s="147"/>
      <c r="D50" s="147"/>
      <c r="E50" s="945"/>
      <c r="F50" s="946"/>
      <c r="G50" s="3"/>
      <c r="H50" s="4"/>
      <c r="I50" s="4"/>
      <c r="J50" s="4"/>
      <c r="K50" s="4"/>
      <c r="L50" s="34"/>
      <c r="M50" s="4"/>
    </row>
    <row r="51" spans="2:13" s="6" customFormat="1" ht="13.5" thickBot="1">
      <c r="B51" s="596" t="s">
        <v>421</v>
      </c>
      <c r="C51" s="598" t="s">
        <v>1</v>
      </c>
      <c r="D51" s="598"/>
      <c r="E51" s="599" t="s">
        <v>10</v>
      </c>
    </row>
    <row r="52" spans="2:13">
      <c r="B52" s="207" t="s">
        <v>477</v>
      </c>
      <c r="C52" s="145" t="s">
        <v>80</v>
      </c>
      <c r="D52" s="638"/>
      <c r="E52" s="609">
        <v>1533.42</v>
      </c>
      <c r="M52" s="5"/>
    </row>
    <row r="53" spans="2:13">
      <c r="B53" s="742" t="s">
        <v>11</v>
      </c>
      <c r="C53" s="597" t="s">
        <v>78</v>
      </c>
      <c r="D53" s="638"/>
      <c r="E53" s="609">
        <v>937.04</v>
      </c>
      <c r="M53" s="5"/>
    </row>
    <row r="54" spans="2:13">
      <c r="B54" s="103" t="s">
        <v>13</v>
      </c>
      <c r="C54" s="145" t="s">
        <v>76</v>
      </c>
      <c r="D54" s="639"/>
      <c r="E54" s="610">
        <v>873.83</v>
      </c>
      <c r="M54" s="5"/>
    </row>
    <row r="55" spans="2:13">
      <c r="B55" s="103" t="s">
        <v>479</v>
      </c>
      <c r="C55" s="145" t="s">
        <v>478</v>
      </c>
      <c r="D55" s="639"/>
      <c r="E55" s="610">
        <v>792</v>
      </c>
      <c r="M55" s="5"/>
    </row>
    <row r="56" spans="2:13">
      <c r="B56" s="103" t="s">
        <v>447</v>
      </c>
      <c r="C56" s="145" t="s">
        <v>448</v>
      </c>
      <c r="D56" s="639"/>
      <c r="E56" s="610">
        <v>1191.98</v>
      </c>
      <c r="F56" s="415"/>
      <c r="M56" s="5"/>
    </row>
    <row r="57" spans="2:13">
      <c r="B57" s="103" t="s">
        <v>53</v>
      </c>
      <c r="C57" s="716" t="s">
        <v>77</v>
      </c>
      <c r="D57" s="640"/>
      <c r="E57" s="610">
        <v>1065.42</v>
      </c>
      <c r="F57" s="415"/>
      <c r="M57" s="5"/>
    </row>
    <row r="58" spans="2:13">
      <c r="B58" s="753" t="s">
        <v>208</v>
      </c>
      <c r="C58" s="754" t="s">
        <v>215</v>
      </c>
      <c r="D58" s="755"/>
      <c r="E58" s="756">
        <v>542</v>
      </c>
      <c r="F58" s="415"/>
      <c r="M58" s="5"/>
    </row>
    <row r="59" spans="2:13" ht="13.5" thickBot="1">
      <c r="B59" s="606" t="s">
        <v>104</v>
      </c>
      <c r="C59" s="745" t="s">
        <v>424</v>
      </c>
      <c r="D59" s="757"/>
      <c r="E59" s="611">
        <v>652.24</v>
      </c>
      <c r="M59" s="5"/>
    </row>
    <row r="60" spans="2:13" s="4" customFormat="1" ht="13.5" thickBot="1">
      <c r="B60" s="419"/>
      <c r="C60" s="604"/>
      <c r="D60" s="604"/>
      <c r="E60" s="612">
        <f>SUM(E52:E59)</f>
        <v>7587.93</v>
      </c>
      <c r="F60" s="605"/>
    </row>
    <row r="61" spans="2:13">
      <c r="B61" s="752" t="s">
        <v>104</v>
      </c>
      <c r="C61" s="285" t="s">
        <v>339</v>
      </c>
      <c r="D61" s="285"/>
      <c r="E61" s="613">
        <v>500</v>
      </c>
      <c r="M61" s="5"/>
    </row>
    <row r="62" spans="2:13">
      <c r="B62" s="155" t="s">
        <v>34</v>
      </c>
      <c r="C62" s="220" t="s">
        <v>48</v>
      </c>
      <c r="D62" s="220"/>
      <c r="E62" s="618">
        <v>950</v>
      </c>
      <c r="M62" s="5"/>
    </row>
    <row r="63" spans="2:13" ht="13.5" thickBot="1">
      <c r="B63" s="208" t="s">
        <v>94</v>
      </c>
      <c r="C63" s="607" t="s">
        <v>95</v>
      </c>
      <c r="D63" s="607"/>
      <c r="E63" s="615">
        <f>3630/4</f>
        <v>907.5</v>
      </c>
      <c r="M63" s="5"/>
    </row>
    <row r="64" spans="2:13" ht="13.5" thickBot="1">
      <c r="B64" s="21"/>
      <c r="C64" s="608" t="s">
        <v>0</v>
      </c>
      <c r="D64" s="608"/>
      <c r="E64" s="616">
        <f>SUM(E60:E63)</f>
        <v>9945.43</v>
      </c>
      <c r="M64" s="5"/>
    </row>
    <row r="65" spans="1:13" ht="12.75" customHeight="1">
      <c r="B65" s="21"/>
      <c r="C65" s="64"/>
      <c r="D65" s="64"/>
      <c r="E65" s="76"/>
      <c r="F65" s="76"/>
      <c r="G65" s="76"/>
      <c r="H65" s="76"/>
      <c r="I65" s="76"/>
      <c r="J65" s="76"/>
      <c r="K65" s="76"/>
      <c r="L65" s="76"/>
      <c r="M65" s="76"/>
    </row>
    <row r="66" spans="1:13" s="600" customFormat="1" ht="6.75" customHeight="1">
      <c r="B66" s="601"/>
      <c r="C66" s="602"/>
      <c r="D66" s="602"/>
      <c r="E66" s="603"/>
      <c r="F66" s="603"/>
      <c r="G66" s="603"/>
      <c r="H66" s="603"/>
      <c r="I66" s="603"/>
      <c r="J66" s="603"/>
      <c r="K66" s="603"/>
      <c r="L66" s="603"/>
      <c r="M66" s="603"/>
    </row>
    <row r="67" spans="1:13" ht="19.5" customHeight="1">
      <c r="A67" s="815"/>
      <c r="B67" s="595" t="s">
        <v>420</v>
      </c>
      <c r="C67" s="621">
        <v>48</v>
      </c>
      <c r="D67" s="621"/>
      <c r="E67" s="76"/>
      <c r="F67" s="76"/>
      <c r="G67" s="76"/>
      <c r="H67" s="76"/>
      <c r="I67" s="76"/>
      <c r="J67" s="76"/>
      <c r="K67" s="76"/>
      <c r="L67" s="76"/>
      <c r="M67" s="5"/>
    </row>
    <row r="68" spans="1:13" ht="19.5" customHeight="1">
      <c r="B68" s="595" t="s">
        <v>423</v>
      </c>
      <c r="C68" s="948">
        <v>41304</v>
      </c>
      <c r="D68" s="949"/>
      <c r="E68" s="76"/>
      <c r="F68" s="76"/>
      <c r="G68" s="76"/>
      <c r="H68" s="76"/>
      <c r="I68" s="76"/>
      <c r="J68" s="76"/>
      <c r="K68" s="76"/>
      <c r="L68" s="76"/>
      <c r="M68" s="5"/>
    </row>
    <row r="69" spans="1:13" ht="4.5" customHeight="1">
      <c r="B69" s="2"/>
      <c r="C69" s="147"/>
      <c r="D69" s="147"/>
      <c r="E69" s="945"/>
      <c r="F69" s="946"/>
      <c r="G69" s="3"/>
      <c r="H69" s="4"/>
      <c r="I69" s="4"/>
      <c r="J69" s="4"/>
      <c r="K69" s="4"/>
      <c r="L69" s="34"/>
      <c r="M69" s="4"/>
    </row>
    <row r="70" spans="1:13" s="6" customFormat="1" ht="13.5" thickBot="1">
      <c r="B70" s="596" t="s">
        <v>421</v>
      </c>
      <c r="C70" s="598" t="s">
        <v>1</v>
      </c>
      <c r="D70" s="598"/>
      <c r="E70" s="599" t="s">
        <v>10</v>
      </c>
    </row>
    <row r="71" spans="1:13">
      <c r="B71" s="207" t="s">
        <v>477</v>
      </c>
      <c r="C71" s="145" t="s">
        <v>80</v>
      </c>
      <c r="D71" s="638"/>
      <c r="E71" s="609">
        <v>2484.1</v>
      </c>
      <c r="F71" s="684"/>
      <c r="G71" s="684"/>
      <c r="M71" s="5"/>
    </row>
    <row r="72" spans="1:13">
      <c r="B72" s="742" t="s">
        <v>11</v>
      </c>
      <c r="C72" s="597" t="s">
        <v>78</v>
      </c>
      <c r="D72" s="638"/>
      <c r="E72" s="609">
        <v>937.04</v>
      </c>
      <c r="M72" s="5"/>
    </row>
    <row r="73" spans="1:13">
      <c r="B73" s="103" t="s">
        <v>13</v>
      </c>
      <c r="C73" s="145" t="s">
        <v>76</v>
      </c>
      <c r="D73" s="639"/>
      <c r="E73" s="610">
        <v>873.83</v>
      </c>
      <c r="M73" s="5"/>
    </row>
    <row r="74" spans="1:13">
      <c r="B74" s="103" t="s">
        <v>479</v>
      </c>
      <c r="C74" s="145" t="s">
        <v>478</v>
      </c>
      <c r="D74" s="639"/>
      <c r="E74" s="610">
        <v>792</v>
      </c>
      <c r="M74" s="5"/>
    </row>
    <row r="75" spans="1:13">
      <c r="B75" s="103" t="s">
        <v>447</v>
      </c>
      <c r="C75" s="145" t="s">
        <v>448</v>
      </c>
      <c r="D75" s="639"/>
      <c r="E75" s="610">
        <v>991.99</v>
      </c>
      <c r="F75" s="415"/>
      <c r="M75" s="5"/>
    </row>
    <row r="76" spans="1:13">
      <c r="B76" s="103" t="s">
        <v>53</v>
      </c>
      <c r="C76" s="716" t="s">
        <v>77</v>
      </c>
      <c r="D76" s="640"/>
      <c r="E76" s="610">
        <v>1165.3800000000001</v>
      </c>
      <c r="F76" s="415"/>
      <c r="G76" s="684"/>
      <c r="M76" s="5"/>
    </row>
    <row r="77" spans="1:13">
      <c r="B77" s="753" t="s">
        <v>208</v>
      </c>
      <c r="C77" s="754" t="s">
        <v>215</v>
      </c>
      <c r="D77" s="755"/>
      <c r="E77" s="756">
        <v>542</v>
      </c>
      <c r="F77" s="415"/>
      <c r="M77" s="5"/>
    </row>
    <row r="78" spans="1:13" ht="13.5" thickBot="1">
      <c r="B78" s="606" t="s">
        <v>104</v>
      </c>
      <c r="C78" s="745" t="s">
        <v>424</v>
      </c>
      <c r="D78" s="757"/>
      <c r="E78" s="611">
        <v>652.24</v>
      </c>
      <c r="M78" s="5"/>
    </row>
    <row r="79" spans="1:13" s="4" customFormat="1" ht="13.5" thickBot="1">
      <c r="B79" s="419"/>
      <c r="C79" s="604"/>
      <c r="D79" s="604"/>
      <c r="E79" s="612">
        <f>SUM(E71:E78)</f>
        <v>8438.58</v>
      </c>
      <c r="F79" s="605"/>
    </row>
    <row r="80" spans="1:13">
      <c r="B80" s="752" t="s">
        <v>104</v>
      </c>
      <c r="C80" s="285" t="s">
        <v>339</v>
      </c>
      <c r="D80" s="285"/>
      <c r="E80" s="613">
        <v>500</v>
      </c>
      <c r="M80" s="5"/>
    </row>
    <row r="81" spans="1:13">
      <c r="B81" s="155"/>
      <c r="C81" s="597" t="s">
        <v>567</v>
      </c>
      <c r="D81" s="597"/>
      <c r="E81" s="614">
        <v>1000</v>
      </c>
      <c r="M81" s="5"/>
    </row>
    <row r="82" spans="1:13">
      <c r="B82" s="199" t="s">
        <v>142</v>
      </c>
      <c r="C82" s="148" t="s">
        <v>426</v>
      </c>
      <c r="D82" s="148"/>
      <c r="E82" s="614">
        <v>200</v>
      </c>
      <c r="M82" s="5"/>
    </row>
    <row r="83" spans="1:13" ht="13.5" thickBot="1">
      <c r="B83" s="208" t="s">
        <v>156</v>
      </c>
      <c r="C83" s="144" t="s">
        <v>427</v>
      </c>
      <c r="D83" s="144"/>
      <c r="E83" s="615">
        <v>100</v>
      </c>
      <c r="M83" s="5"/>
    </row>
    <row r="84" spans="1:13" ht="13.5" thickBot="1">
      <c r="B84" s="21"/>
      <c r="C84" s="608" t="s">
        <v>0</v>
      </c>
      <c r="D84" s="608"/>
      <c r="E84" s="616">
        <f>SUM(E79:E83)</f>
        <v>10238.58</v>
      </c>
      <c r="M84" s="5"/>
    </row>
    <row r="85" spans="1:13" ht="12.75" customHeight="1">
      <c r="B85" s="21"/>
      <c r="C85" s="64"/>
      <c r="D85" s="64"/>
      <c r="E85" s="76"/>
      <c r="F85" s="76"/>
      <c r="G85" s="76"/>
      <c r="H85" s="76"/>
      <c r="I85" s="76"/>
      <c r="J85" s="76"/>
      <c r="K85" s="76"/>
      <c r="L85" s="76"/>
      <c r="M85" s="76"/>
    </row>
    <row r="86" spans="1:13" s="7" customFormat="1" ht="13.15" customHeight="1">
      <c r="A86" s="122" t="s">
        <v>56</v>
      </c>
      <c r="B86" s="123" t="s">
        <v>57</v>
      </c>
      <c r="C86" s="123"/>
      <c r="D86" s="619">
        <f>Nikki!E582</f>
        <v>8502.7000000000007</v>
      </c>
      <c r="E86" s="619"/>
      <c r="F86" s="122"/>
      <c r="G86" s="123" t="s">
        <v>146</v>
      </c>
      <c r="H86" s="619">
        <v>2500</v>
      </c>
      <c r="I86" s="619"/>
      <c r="J86" s="624"/>
      <c r="K86" s="624"/>
      <c r="L86" s="624"/>
      <c r="M86" s="624"/>
    </row>
    <row r="87" spans="1:13" s="7" customFormat="1" ht="13.15" customHeight="1">
      <c r="A87" s="122" t="s">
        <v>58</v>
      </c>
      <c r="B87" s="123" t="s">
        <v>172</v>
      </c>
      <c r="C87" s="123"/>
      <c r="D87" s="619">
        <f>Nikki!E655</f>
        <v>4054.54</v>
      </c>
      <c r="E87" s="619"/>
      <c r="F87" s="122" t="s">
        <v>68</v>
      </c>
      <c r="G87" s="123" t="s">
        <v>69</v>
      </c>
      <c r="H87" s="619">
        <v>1200</v>
      </c>
      <c r="I87" s="624"/>
      <c r="J87" s="624"/>
      <c r="K87" s="624"/>
      <c r="L87" s="624"/>
      <c r="M87" s="624"/>
    </row>
    <row r="88" spans="1:13" s="7" customFormat="1" ht="13.15" customHeight="1">
      <c r="A88" s="122" t="s">
        <v>56</v>
      </c>
      <c r="B88" s="123" t="s">
        <v>462</v>
      </c>
      <c r="C88" s="123"/>
      <c r="D88" s="619">
        <v>250</v>
      </c>
      <c r="E88" s="619"/>
      <c r="F88" s="122" t="s">
        <v>68</v>
      </c>
      <c r="G88" s="123" t="s">
        <v>147</v>
      </c>
      <c r="H88" s="619">
        <f>120000*15%/12</f>
        <v>1500</v>
      </c>
      <c r="I88" s="624"/>
      <c r="J88" s="624"/>
      <c r="K88" s="624"/>
      <c r="L88" s="624"/>
      <c r="M88" s="624"/>
    </row>
    <row r="89" spans="1:13" s="7" customFormat="1" ht="13.15" customHeight="1">
      <c r="A89" s="122" t="s">
        <v>59</v>
      </c>
      <c r="B89" s="123" t="s">
        <v>60</v>
      </c>
      <c r="C89" s="123"/>
      <c r="D89" s="619">
        <v>2500</v>
      </c>
      <c r="E89" s="619"/>
      <c r="F89" s="122" t="s">
        <v>81</v>
      </c>
      <c r="G89" s="123" t="s">
        <v>69</v>
      </c>
      <c r="H89" s="619">
        <v>1800</v>
      </c>
      <c r="I89" s="813"/>
      <c r="J89" s="625"/>
    </row>
    <row r="90" spans="1:13" s="7" customFormat="1" ht="13.15" customHeight="1">
      <c r="A90" s="122" t="s">
        <v>59</v>
      </c>
      <c r="B90" s="123" t="s">
        <v>61</v>
      </c>
      <c r="C90" s="123"/>
      <c r="D90" s="619">
        <v>268</v>
      </c>
      <c r="E90" s="619"/>
      <c r="F90" s="122" t="s">
        <v>58</v>
      </c>
      <c r="G90" s="123" t="s">
        <v>148</v>
      </c>
      <c r="H90" s="619">
        <v>1012</v>
      </c>
      <c r="I90" s="813"/>
      <c r="J90" s="625"/>
    </row>
    <row r="91" spans="1:13" s="7" customFormat="1" ht="13.15" customHeight="1">
      <c r="A91" s="122" t="s">
        <v>62</v>
      </c>
      <c r="B91" s="123" t="s">
        <v>63</v>
      </c>
      <c r="C91" s="123"/>
      <c r="D91" s="619">
        <v>601.12</v>
      </c>
      <c r="E91" s="619"/>
      <c r="F91" s="122" t="s">
        <v>272</v>
      </c>
      <c r="G91" s="123" t="s">
        <v>274</v>
      </c>
      <c r="H91" s="619">
        <v>500</v>
      </c>
      <c r="I91" s="813"/>
      <c r="J91" s="625"/>
    </row>
    <row r="92" spans="1:13" s="7" customFormat="1" ht="13.15" customHeight="1">
      <c r="A92" s="122" t="s">
        <v>62</v>
      </c>
      <c r="B92" s="123" t="s">
        <v>64</v>
      </c>
      <c r="C92" s="123"/>
      <c r="D92" s="619">
        <v>383.94</v>
      </c>
      <c r="E92" s="619"/>
      <c r="F92" s="122" t="s">
        <v>273</v>
      </c>
      <c r="G92" s="123" t="s">
        <v>275</v>
      </c>
      <c r="H92" s="619">
        <v>500</v>
      </c>
      <c r="I92" s="214"/>
      <c r="J92" s="625"/>
    </row>
    <row r="93" spans="1:13" s="7" customFormat="1" ht="13.15" customHeight="1">
      <c r="A93" s="122" t="s">
        <v>62</v>
      </c>
      <c r="B93" s="123" t="s">
        <v>101</v>
      </c>
      <c r="C93" s="123"/>
      <c r="D93" s="619">
        <v>550</v>
      </c>
      <c r="E93" s="619"/>
      <c r="F93" s="122"/>
      <c r="G93" s="123" t="s">
        <v>561</v>
      </c>
      <c r="H93" s="619">
        <v>1000</v>
      </c>
      <c r="I93" s="813"/>
      <c r="J93" s="625"/>
    </row>
    <row r="94" spans="1:13" s="7" customFormat="1" ht="13.15" customHeight="1">
      <c r="A94" s="122" t="s">
        <v>66</v>
      </c>
      <c r="B94" s="123" t="s">
        <v>67</v>
      </c>
      <c r="C94" s="619"/>
      <c r="D94" s="619">
        <v>8000</v>
      </c>
      <c r="E94" s="619"/>
      <c r="F94" s="122" t="s">
        <v>59</v>
      </c>
      <c r="G94" s="123" t="s">
        <v>82</v>
      </c>
      <c r="H94" s="619">
        <v>11000</v>
      </c>
      <c r="I94" s="813"/>
      <c r="J94" s="625"/>
    </row>
    <row r="95" spans="1:13" s="7" customFormat="1" ht="13.15" customHeight="1" thickBot="1">
      <c r="A95" s="122" t="s">
        <v>65</v>
      </c>
      <c r="B95" s="123" t="s">
        <v>228</v>
      </c>
      <c r="C95" s="619"/>
      <c r="D95" s="619">
        <v>1000</v>
      </c>
      <c r="E95" s="619"/>
      <c r="F95" s="223" t="s">
        <v>102</v>
      </c>
      <c r="G95" s="123" t="s">
        <v>83</v>
      </c>
      <c r="H95" s="620">
        <v>11000</v>
      </c>
      <c r="I95" s="813"/>
      <c r="J95" s="625"/>
    </row>
    <row r="96" spans="1:13" s="7" customFormat="1" ht="13.15" customHeight="1" thickTop="1" thickBot="1">
      <c r="B96" s="122"/>
      <c r="C96" s="123"/>
      <c r="D96" s="123"/>
      <c r="E96" s="619"/>
      <c r="F96" s="130"/>
      <c r="G96" s="123"/>
      <c r="H96" s="813">
        <f>SUM(H86:H95)+SUM(D86:D95)</f>
        <v>58122.3</v>
      </c>
      <c r="I96" s="813"/>
      <c r="J96" s="625"/>
    </row>
    <row r="97" spans="2:13" s="7" customFormat="1" ht="13.15" customHeight="1" thickBot="1">
      <c r="B97" s="122"/>
      <c r="C97" s="123"/>
      <c r="D97" s="123"/>
      <c r="E97" s="619"/>
      <c r="F97" s="130"/>
      <c r="G97" s="642" t="s">
        <v>17</v>
      </c>
      <c r="H97" s="643">
        <f>H96+E84</f>
        <v>68360.88</v>
      </c>
      <c r="I97" s="813"/>
      <c r="J97" s="625"/>
    </row>
    <row r="98" spans="2:13" s="7" customFormat="1" ht="13.15" customHeight="1">
      <c r="B98" s="122"/>
      <c r="C98" s="123"/>
      <c r="D98" s="123"/>
      <c r="E98" s="619"/>
      <c r="F98" s="124"/>
      <c r="G98" s="123"/>
      <c r="H98" s="813"/>
      <c r="I98" s="813"/>
      <c r="J98" s="625"/>
    </row>
    <row r="99" spans="2:13" s="7" customFormat="1" ht="13.15" customHeight="1">
      <c r="B99" s="122"/>
      <c r="C99" s="123"/>
      <c r="D99" s="123"/>
      <c r="E99" s="619"/>
      <c r="F99" s="130"/>
      <c r="G99" s="123"/>
      <c r="H99" s="813"/>
      <c r="I99" s="813"/>
      <c r="J99" s="625"/>
    </row>
    <row r="100" spans="2:13" s="7" customFormat="1" ht="13.15" customHeight="1">
      <c r="B100" s="122"/>
      <c r="C100" s="123"/>
      <c r="D100" s="123"/>
      <c r="E100" s="619"/>
      <c r="F100" s="130"/>
      <c r="G100" s="642"/>
      <c r="H100" s="686"/>
      <c r="I100" s="813"/>
      <c r="J100" s="625"/>
    </row>
    <row r="101" spans="2:13" s="7" customFormat="1" ht="13.15" customHeight="1">
      <c r="B101" s="122"/>
      <c r="C101" s="123"/>
      <c r="D101" s="15"/>
      <c r="E101" s="619"/>
      <c r="F101" s="124"/>
      <c r="G101" s="123"/>
      <c r="H101" s="813"/>
      <c r="I101" s="813"/>
      <c r="J101" s="625"/>
    </row>
    <row r="102" spans="2:13" s="7" customFormat="1" ht="13.15" customHeight="1">
      <c r="B102" s="122"/>
      <c r="C102" s="123"/>
      <c r="D102" s="14"/>
      <c r="E102" s="619"/>
      <c r="F102" s="15"/>
      <c r="G102" s="15"/>
      <c r="H102" s="15"/>
      <c r="I102" s="813"/>
      <c r="J102" s="625"/>
    </row>
    <row r="103" spans="2:13" s="7" customFormat="1" ht="13.15" customHeight="1">
      <c r="B103" s="122"/>
      <c r="C103" s="123"/>
      <c r="D103" s="14"/>
      <c r="E103" s="15"/>
      <c r="F103" s="15"/>
      <c r="G103" s="15"/>
      <c r="H103" s="15"/>
      <c r="I103" s="813"/>
      <c r="J103" s="625"/>
    </row>
    <row r="104" spans="2:13" s="15" customFormat="1" ht="12">
      <c r="B104" s="17"/>
      <c r="D104" s="14"/>
      <c r="M104" s="17"/>
    </row>
    <row r="105" spans="2:13" s="15" customFormat="1" ht="12">
      <c r="B105" s="17"/>
      <c r="C105" s="14"/>
      <c r="D105" s="14"/>
      <c r="M105" s="17"/>
    </row>
    <row r="106" spans="2:13" s="15" customFormat="1" ht="12">
      <c r="B106" s="17"/>
      <c r="C106" s="14"/>
      <c r="D106" s="14"/>
      <c r="M106" s="17"/>
    </row>
    <row r="107" spans="2:13" s="15" customFormat="1" ht="12">
      <c r="B107" s="17"/>
      <c r="C107" s="14"/>
      <c r="D107" s="14"/>
      <c r="M107" s="17"/>
    </row>
    <row r="108" spans="2:13" s="15" customFormat="1" ht="12">
      <c r="B108" s="17"/>
      <c r="C108" s="14"/>
      <c r="M108" s="17"/>
    </row>
    <row r="109" spans="2:13" s="15" customFormat="1" ht="12">
      <c r="B109" s="17"/>
      <c r="C109" s="14"/>
      <c r="M109" s="17"/>
    </row>
    <row r="110" spans="2:13" s="15" customFormat="1" ht="12">
      <c r="B110" s="17"/>
      <c r="C110" s="14"/>
      <c r="M110" s="17"/>
    </row>
    <row r="111" spans="2:13" s="15" customFormat="1" ht="12">
      <c r="B111" s="17"/>
      <c r="M111" s="17"/>
    </row>
    <row r="112" spans="2:13" s="15" customFormat="1" ht="12">
      <c r="B112" s="17"/>
      <c r="M112" s="17"/>
    </row>
    <row r="113" spans="2:13" s="15" customFormat="1" ht="12">
      <c r="B113" s="17"/>
      <c r="M113" s="17"/>
    </row>
    <row r="114" spans="2:13" s="15" customFormat="1">
      <c r="B114" s="17"/>
      <c r="D114" s="5"/>
      <c r="M114" s="17"/>
    </row>
    <row r="115" spans="2:13" s="15" customFormat="1">
      <c r="B115" s="17"/>
      <c r="D115" s="5"/>
      <c r="F115" s="5"/>
      <c r="G115" s="5"/>
      <c r="H115" s="5"/>
      <c r="M115" s="17"/>
    </row>
    <row r="116" spans="2:13" s="15" customFormat="1">
      <c r="B116" s="17"/>
      <c r="D116" s="5"/>
      <c r="E116" s="5"/>
      <c r="F116" s="5"/>
      <c r="G116" s="5"/>
      <c r="H116" s="5"/>
      <c r="M116" s="17"/>
    </row>
    <row r="117" spans="2:13" s="15" customFormat="1">
      <c r="B117" s="2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7"/>
    </row>
    <row r="118" spans="2:13" s="15" customFormat="1">
      <c r="B118" s="2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7"/>
    </row>
    <row r="119" spans="2:13" s="15" customFormat="1">
      <c r="B119" s="2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7"/>
    </row>
    <row r="120" spans="2:13" s="15" customFormat="1">
      <c r="B120" s="2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7"/>
    </row>
  </sheetData>
  <mergeCells count="10">
    <mergeCell ref="A1:H1"/>
    <mergeCell ref="C6:D6"/>
    <mergeCell ref="C68:D68"/>
    <mergeCell ref="A3:G3"/>
    <mergeCell ref="E69:F69"/>
    <mergeCell ref="C49:D49"/>
    <mergeCell ref="E50:F50"/>
    <mergeCell ref="E7:F7"/>
    <mergeCell ref="C26:D26"/>
    <mergeCell ref="E27:F27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opLeftCell="A58" workbookViewId="0">
      <selection activeCell="E74" sqref="E74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1:13" s="1" customFormat="1" ht="24" customHeight="1">
      <c r="A1" s="947" t="s">
        <v>565</v>
      </c>
      <c r="B1" s="947"/>
      <c r="C1" s="947"/>
      <c r="D1" s="947"/>
      <c r="E1" s="947"/>
      <c r="F1" s="947"/>
      <c r="G1" s="947"/>
      <c r="H1" s="947"/>
      <c r="I1" s="659"/>
      <c r="J1" s="659"/>
      <c r="K1" s="659"/>
      <c r="L1" s="659"/>
      <c r="M1" s="659"/>
    </row>
    <row r="2" spans="1:13" s="600" customFormat="1" ht="6.75" customHeight="1">
      <c r="B2" s="601"/>
      <c r="C2" s="602"/>
      <c r="D2" s="602"/>
      <c r="E2" s="603"/>
      <c r="F2" s="603"/>
      <c r="G2" s="603"/>
      <c r="H2" s="603"/>
      <c r="I2" s="603"/>
      <c r="J2" s="603"/>
      <c r="K2" s="603"/>
      <c r="L2" s="603"/>
      <c r="M2" s="603"/>
    </row>
    <row r="3" spans="1:13" ht="19.5" customHeight="1">
      <c r="A3" s="876"/>
      <c r="B3" s="595" t="s">
        <v>420</v>
      </c>
      <c r="C3" s="621">
        <v>49</v>
      </c>
      <c r="D3" s="621"/>
      <c r="E3" s="76"/>
      <c r="F3" s="76"/>
      <c r="G3" s="76"/>
      <c r="H3" s="76"/>
      <c r="I3" s="76"/>
      <c r="J3" s="76"/>
      <c r="K3" s="76"/>
      <c r="L3" s="76"/>
      <c r="M3" s="5"/>
    </row>
    <row r="4" spans="1:13" ht="19.5" customHeight="1">
      <c r="B4" s="595" t="s">
        <v>423</v>
      </c>
      <c r="C4" s="948">
        <v>41311</v>
      </c>
      <c r="D4" s="949"/>
      <c r="E4" s="76"/>
      <c r="F4" s="76"/>
      <c r="G4" s="76"/>
      <c r="H4" s="76"/>
      <c r="I4" s="76"/>
      <c r="J4" s="76"/>
      <c r="K4" s="76"/>
      <c r="L4" s="76"/>
      <c r="M4" s="5"/>
    </row>
    <row r="5" spans="1:13" ht="4.5" customHeight="1">
      <c r="B5" s="2"/>
      <c r="C5" s="147"/>
      <c r="D5" s="147"/>
      <c r="E5" s="945"/>
      <c r="F5" s="946"/>
      <c r="G5" s="3"/>
      <c r="H5" s="4"/>
      <c r="I5" s="4"/>
      <c r="J5" s="4"/>
      <c r="K5" s="4"/>
      <c r="L5" s="34"/>
      <c r="M5" s="4"/>
    </row>
    <row r="6" spans="1:13" s="6" customFormat="1" ht="13.5" thickBot="1">
      <c r="B6" s="596" t="s">
        <v>421</v>
      </c>
      <c r="C6" s="598" t="s">
        <v>1</v>
      </c>
      <c r="D6" s="598"/>
      <c r="E6" s="599" t="s">
        <v>10</v>
      </c>
      <c r="G6" s="596"/>
      <c r="H6" s="596"/>
      <c r="I6" s="465"/>
      <c r="J6" s="465"/>
    </row>
    <row r="7" spans="1:13">
      <c r="B7" s="207" t="s">
        <v>477</v>
      </c>
      <c r="C7" s="145" t="s">
        <v>80</v>
      </c>
      <c r="D7" s="638"/>
      <c r="E7" s="609">
        <v>1360.33</v>
      </c>
      <c r="G7" s="877"/>
      <c r="H7" s="878"/>
      <c r="I7" s="4"/>
      <c r="J7" s="4"/>
      <c r="M7" s="5"/>
    </row>
    <row r="8" spans="1:13">
      <c r="B8" s="742" t="s">
        <v>11</v>
      </c>
      <c r="C8" s="597" t="s">
        <v>78</v>
      </c>
      <c r="D8" s="638"/>
      <c r="E8" s="609">
        <v>937.04</v>
      </c>
      <c r="G8" s="877"/>
      <c r="H8" s="878"/>
      <c r="I8" s="4"/>
      <c r="J8" s="4"/>
      <c r="M8" s="5"/>
    </row>
    <row r="9" spans="1:13">
      <c r="B9" s="103" t="s">
        <v>13</v>
      </c>
      <c r="C9" s="145" t="s">
        <v>76</v>
      </c>
      <c r="D9" s="639"/>
      <c r="E9" s="610">
        <v>873.83</v>
      </c>
      <c r="G9" s="877"/>
      <c r="H9" s="878"/>
      <c r="I9" s="4"/>
      <c r="J9" s="4"/>
      <c r="M9" s="5"/>
    </row>
    <row r="10" spans="1:13">
      <c r="B10" s="103" t="s">
        <v>479</v>
      </c>
      <c r="C10" s="145" t="s">
        <v>478</v>
      </c>
      <c r="D10" s="639"/>
      <c r="E10" s="610">
        <v>792</v>
      </c>
      <c r="G10" s="877"/>
      <c r="H10" s="878"/>
      <c r="I10" s="4"/>
      <c r="J10" s="4"/>
      <c r="M10" s="5"/>
    </row>
    <row r="11" spans="1:13">
      <c r="B11" s="103" t="s">
        <v>447</v>
      </c>
      <c r="C11" s="145" t="s">
        <v>448</v>
      </c>
      <c r="D11" s="639"/>
      <c r="E11" s="610">
        <v>992.01</v>
      </c>
      <c r="F11" s="415"/>
      <c r="G11" s="877"/>
      <c r="H11" s="878"/>
      <c r="I11" s="4"/>
      <c r="J11" s="4"/>
      <c r="M11" s="5"/>
    </row>
    <row r="12" spans="1:13">
      <c r="B12" s="103" t="s">
        <v>53</v>
      </c>
      <c r="C12" s="716" t="s">
        <v>77</v>
      </c>
      <c r="D12" s="640"/>
      <c r="E12" s="610">
        <v>1065.3499999999999</v>
      </c>
      <c r="F12" s="415"/>
      <c r="G12" s="877"/>
      <c r="H12" s="878"/>
      <c r="I12" s="4"/>
      <c r="J12" s="4"/>
      <c r="M12" s="5"/>
    </row>
    <row r="13" spans="1:13">
      <c r="B13" s="753" t="s">
        <v>208</v>
      </c>
      <c r="C13" s="754" t="s">
        <v>215</v>
      </c>
      <c r="D13" s="755"/>
      <c r="E13" s="756">
        <v>542</v>
      </c>
      <c r="F13" s="415"/>
      <c r="G13" s="4"/>
      <c r="H13" s="878"/>
      <c r="I13" s="4"/>
      <c r="J13" s="4"/>
      <c r="M13" s="5"/>
    </row>
    <row r="14" spans="1:13" ht="13.5" thickBot="1">
      <c r="B14" s="606" t="s">
        <v>104</v>
      </c>
      <c r="C14" s="745" t="s">
        <v>424</v>
      </c>
      <c r="D14" s="757"/>
      <c r="E14" s="611">
        <v>652.24</v>
      </c>
      <c r="G14" s="4"/>
      <c r="H14" s="878"/>
      <c r="I14" s="4"/>
      <c r="J14" s="4"/>
      <c r="M14" s="5"/>
    </row>
    <row r="15" spans="1:13" s="4" customFormat="1" ht="13.5" thickBot="1">
      <c r="B15" s="419"/>
      <c r="C15" s="604"/>
      <c r="D15" s="604"/>
      <c r="E15" s="612">
        <f>SUM(E7:E14)</f>
        <v>7214.7999999999993</v>
      </c>
      <c r="F15" s="605"/>
      <c r="H15" s="878"/>
    </row>
    <row r="16" spans="1:13">
      <c r="B16" s="752" t="s">
        <v>104</v>
      </c>
      <c r="C16" s="285" t="s">
        <v>339</v>
      </c>
      <c r="D16" s="285"/>
      <c r="E16" s="613">
        <v>500</v>
      </c>
      <c r="G16" s="4"/>
      <c r="H16" s="878"/>
      <c r="I16" s="4"/>
      <c r="J16" s="4"/>
      <c r="M16" s="5"/>
    </row>
    <row r="17" spans="1:13">
      <c r="B17" s="155" t="s">
        <v>34</v>
      </c>
      <c r="C17" s="220" t="s">
        <v>48</v>
      </c>
      <c r="D17" s="220"/>
      <c r="E17" s="618">
        <v>950</v>
      </c>
      <c r="G17" s="4"/>
      <c r="H17" s="878"/>
      <c r="I17" s="4"/>
      <c r="J17" s="4"/>
      <c r="M17" s="5"/>
    </row>
    <row r="18" spans="1:13" ht="13.5" thickBot="1">
      <c r="B18" s="208" t="s">
        <v>94</v>
      </c>
      <c r="C18" s="607" t="s">
        <v>95</v>
      </c>
      <c r="D18" s="607"/>
      <c r="E18" s="615">
        <f>3630/4</f>
        <v>907.5</v>
      </c>
      <c r="G18" s="4"/>
      <c r="H18" s="878"/>
      <c r="I18" s="4"/>
      <c r="J18" s="4"/>
      <c r="M18" s="5"/>
    </row>
    <row r="19" spans="1:13" ht="13.5" thickBot="1">
      <c r="B19" s="21"/>
      <c r="C19" s="608" t="s">
        <v>0</v>
      </c>
      <c r="D19" s="608"/>
      <c r="E19" s="616">
        <f>SUM(E15:E18)</f>
        <v>9572.2999999999993</v>
      </c>
      <c r="G19" s="879"/>
      <c r="H19" s="878"/>
      <c r="I19" s="4"/>
      <c r="J19" s="4"/>
      <c r="M19" s="5"/>
    </row>
    <row r="20" spans="1:13" ht="12.75" customHeight="1">
      <c r="B20" s="21"/>
      <c r="C20" s="64"/>
      <c r="D20" s="64"/>
      <c r="E20" s="76"/>
      <c r="F20" s="76"/>
      <c r="G20" s="76"/>
      <c r="H20" s="76"/>
      <c r="I20" s="76"/>
      <c r="J20" s="76"/>
      <c r="K20" s="76"/>
      <c r="L20" s="76"/>
      <c r="M20" s="76"/>
    </row>
    <row r="21" spans="1:13" s="600" customFormat="1" ht="6.75" customHeight="1">
      <c r="B21" s="601"/>
      <c r="C21" s="602"/>
      <c r="D21" s="602"/>
      <c r="E21" s="603"/>
      <c r="F21" s="603"/>
      <c r="G21" s="603"/>
      <c r="H21" s="603"/>
      <c r="I21" s="603"/>
      <c r="J21" s="603"/>
      <c r="K21" s="603"/>
      <c r="L21" s="603"/>
      <c r="M21" s="603"/>
    </row>
    <row r="22" spans="1:13" ht="19.5" customHeight="1">
      <c r="A22" s="876"/>
      <c r="B22" s="595" t="s">
        <v>420</v>
      </c>
      <c r="C22" s="621">
        <v>50</v>
      </c>
      <c r="D22" s="621"/>
      <c r="E22" s="76"/>
      <c r="F22" s="76"/>
      <c r="G22" s="76"/>
      <c r="H22" s="76"/>
      <c r="I22" s="76"/>
      <c r="J22" s="76"/>
      <c r="K22" s="76"/>
      <c r="L22" s="76"/>
      <c r="M22" s="5"/>
    </row>
    <row r="23" spans="1:13" ht="19.5" customHeight="1">
      <c r="B23" s="595" t="s">
        <v>423</v>
      </c>
      <c r="C23" s="948">
        <v>41290</v>
      </c>
      <c r="D23" s="949"/>
      <c r="E23" s="76"/>
      <c r="F23" s="76"/>
      <c r="G23" s="76"/>
      <c r="H23" s="76"/>
      <c r="I23" s="76"/>
      <c r="J23" s="76"/>
      <c r="K23" s="76"/>
      <c r="L23" s="76"/>
      <c r="M23" s="5"/>
    </row>
    <row r="24" spans="1:13" ht="4.5" customHeight="1">
      <c r="B24" s="2"/>
      <c r="C24" s="147"/>
      <c r="D24" s="147"/>
      <c r="E24" s="945"/>
      <c r="F24" s="946"/>
      <c r="G24" s="3"/>
      <c r="H24" s="4"/>
      <c r="I24" s="4"/>
      <c r="J24" s="4"/>
      <c r="K24" s="4"/>
      <c r="L24" s="34"/>
      <c r="M24" s="4"/>
    </row>
    <row r="25" spans="1:13" s="6" customFormat="1" ht="13.5" thickBot="1">
      <c r="B25" s="596" t="s">
        <v>421</v>
      </c>
      <c r="C25" s="598" t="s">
        <v>1</v>
      </c>
      <c r="D25" s="598"/>
      <c r="E25" s="599" t="s">
        <v>10</v>
      </c>
      <c r="G25" s="465"/>
      <c r="H25" s="465"/>
      <c r="I25" s="465"/>
      <c r="J25" s="465"/>
    </row>
    <row r="26" spans="1:13">
      <c r="B26" s="207" t="s">
        <v>477</v>
      </c>
      <c r="C26" s="145" t="s">
        <v>80</v>
      </c>
      <c r="D26" s="638"/>
      <c r="E26" s="609">
        <v>1360.46</v>
      </c>
      <c r="M26" s="5"/>
    </row>
    <row r="27" spans="1:13">
      <c r="B27" s="742" t="s">
        <v>11</v>
      </c>
      <c r="C27" s="597" t="s">
        <v>78</v>
      </c>
      <c r="D27" s="638"/>
      <c r="E27" s="609">
        <v>937.04</v>
      </c>
      <c r="M27" s="5"/>
    </row>
    <row r="28" spans="1:13">
      <c r="B28" s="103" t="s">
        <v>13</v>
      </c>
      <c r="C28" s="145" t="s">
        <v>76</v>
      </c>
      <c r="D28" s="639"/>
      <c r="E28" s="610">
        <v>873.83</v>
      </c>
      <c r="M28" s="5"/>
    </row>
    <row r="29" spans="1:13">
      <c r="B29" s="103" t="s">
        <v>479</v>
      </c>
      <c r="C29" s="145" t="s">
        <v>478</v>
      </c>
      <c r="D29" s="639"/>
      <c r="E29" s="610">
        <v>792</v>
      </c>
      <c r="M29" s="5"/>
    </row>
    <row r="30" spans="1:13">
      <c r="B30" s="103" t="s">
        <v>447</v>
      </c>
      <c r="C30" s="145" t="s">
        <v>448</v>
      </c>
      <c r="D30" s="639"/>
      <c r="E30" s="610">
        <v>991.9</v>
      </c>
      <c r="F30" s="415"/>
      <c r="M30" s="5"/>
    </row>
    <row r="31" spans="1:13">
      <c r="B31" s="103" t="s">
        <v>53</v>
      </c>
      <c r="C31" s="716" t="s">
        <v>77</v>
      </c>
      <c r="D31" s="640"/>
      <c r="E31" s="610">
        <v>1065.31</v>
      </c>
      <c r="F31" s="415"/>
      <c r="M31" s="5"/>
    </row>
    <row r="32" spans="1:13">
      <c r="B32" s="753" t="s">
        <v>208</v>
      </c>
      <c r="C32" s="754" t="s">
        <v>215</v>
      </c>
      <c r="D32" s="755"/>
      <c r="E32" s="756">
        <v>542</v>
      </c>
      <c r="F32" s="415"/>
      <c r="M32" s="5"/>
    </row>
    <row r="33" spans="1:13" ht="13.5" thickBot="1">
      <c r="B33" s="606" t="s">
        <v>104</v>
      </c>
      <c r="C33" s="745" t="s">
        <v>424</v>
      </c>
      <c r="D33" s="757"/>
      <c r="E33" s="611">
        <v>652.24</v>
      </c>
      <c r="M33" s="5"/>
    </row>
    <row r="34" spans="1:13" s="4" customFormat="1" ht="13.5" thickBot="1">
      <c r="B34" s="419"/>
      <c r="C34" s="604"/>
      <c r="D34" s="604"/>
      <c r="E34" s="612">
        <f>SUM(E26:E33)</f>
        <v>7214.7799999999988</v>
      </c>
      <c r="F34" s="605"/>
    </row>
    <row r="35" spans="1:13">
      <c r="B35" s="752" t="s">
        <v>104</v>
      </c>
      <c r="C35" s="285" t="s">
        <v>339</v>
      </c>
      <c r="D35" s="285"/>
      <c r="E35" s="613">
        <v>500</v>
      </c>
      <c r="M35" s="5"/>
    </row>
    <row r="36" spans="1:13">
      <c r="B36" s="155" t="s">
        <v>34</v>
      </c>
      <c r="C36" s="220" t="s">
        <v>48</v>
      </c>
      <c r="D36" s="220"/>
      <c r="E36" s="618">
        <v>950</v>
      </c>
      <c r="M36" s="5"/>
    </row>
    <row r="37" spans="1:13" ht="13.5" thickBot="1">
      <c r="B37" s="208" t="s">
        <v>94</v>
      </c>
      <c r="C37" s="607" t="s">
        <v>95</v>
      </c>
      <c r="D37" s="607"/>
      <c r="E37" s="615">
        <f>3630/4</f>
        <v>907.5</v>
      </c>
      <c r="M37" s="5"/>
    </row>
    <row r="38" spans="1:13" ht="13.5" thickBot="1">
      <c r="B38" s="21"/>
      <c r="C38" s="608" t="s">
        <v>0</v>
      </c>
      <c r="D38" s="608"/>
      <c r="E38" s="616">
        <f>SUM(E34:E37)</f>
        <v>9572.2799999999988</v>
      </c>
      <c r="M38" s="5"/>
    </row>
    <row r="39" spans="1:13">
      <c r="B39" s="21"/>
      <c r="C39" s="608"/>
      <c r="D39" s="608"/>
      <c r="E39" s="819"/>
      <c r="M39" s="5"/>
    </row>
    <row r="40" spans="1:13" s="600" customFormat="1" ht="6.75" customHeight="1">
      <c r="B40" s="601"/>
      <c r="C40" s="602"/>
      <c r="D40" s="602"/>
      <c r="E40" s="603"/>
      <c r="F40" s="603"/>
      <c r="G40" s="603"/>
      <c r="H40" s="603"/>
      <c r="I40" s="603"/>
      <c r="J40" s="603"/>
      <c r="K40" s="603"/>
      <c r="L40" s="603"/>
      <c r="M40" s="603"/>
    </row>
    <row r="41" spans="1:13" ht="19.5" customHeight="1">
      <c r="A41" s="876"/>
      <c r="B41" s="595" t="s">
        <v>420</v>
      </c>
      <c r="C41" s="621">
        <v>51</v>
      </c>
      <c r="D41" s="621"/>
      <c r="E41" s="76"/>
      <c r="F41" s="76"/>
      <c r="G41" s="76"/>
      <c r="H41" s="76"/>
      <c r="I41" s="76"/>
      <c r="J41" s="76"/>
      <c r="K41" s="76"/>
      <c r="L41" s="76"/>
      <c r="M41" s="5"/>
    </row>
    <row r="42" spans="1:13" ht="19.5" customHeight="1">
      <c r="B42" s="595" t="s">
        <v>423</v>
      </c>
      <c r="C42" s="948">
        <v>41297</v>
      </c>
      <c r="D42" s="948"/>
      <c r="E42" s="76"/>
      <c r="F42" s="76"/>
      <c r="G42" s="76"/>
      <c r="H42" s="76"/>
      <c r="I42" s="76"/>
      <c r="J42" s="76"/>
      <c r="K42" s="76"/>
      <c r="L42" s="76"/>
      <c r="M42" s="5"/>
    </row>
    <row r="43" spans="1:13" ht="4.5" customHeight="1">
      <c r="B43" s="2"/>
      <c r="C43" s="147"/>
      <c r="D43" s="147"/>
      <c r="E43" s="945"/>
      <c r="F43" s="945"/>
      <c r="G43" s="3"/>
      <c r="H43" s="4"/>
      <c r="I43" s="4"/>
      <c r="J43" s="4"/>
      <c r="K43" s="4"/>
      <c r="L43" s="34"/>
      <c r="M43" s="4"/>
    </row>
    <row r="44" spans="1:13" s="6" customFormat="1" ht="13.5" thickBot="1">
      <c r="B44" s="596" t="s">
        <v>421</v>
      </c>
      <c r="C44" s="598" t="s">
        <v>1</v>
      </c>
      <c r="D44" s="598"/>
      <c r="E44" s="599" t="s">
        <v>10</v>
      </c>
    </row>
    <row r="45" spans="1:13">
      <c r="B45" s="207" t="s">
        <v>477</v>
      </c>
      <c r="C45" s="145" t="s">
        <v>80</v>
      </c>
      <c r="D45" s="638"/>
      <c r="E45" s="609">
        <v>1360.6</v>
      </c>
      <c r="M45" s="5"/>
    </row>
    <row r="46" spans="1:13">
      <c r="B46" s="742" t="s">
        <v>575</v>
      </c>
      <c r="C46" s="597" t="s">
        <v>424</v>
      </c>
      <c r="D46" s="638"/>
      <c r="E46" s="609">
        <v>652.24</v>
      </c>
      <c r="M46" s="5"/>
    </row>
    <row r="47" spans="1:13">
      <c r="B47" s="742" t="s">
        <v>11</v>
      </c>
      <c r="C47" s="597" t="s">
        <v>78</v>
      </c>
      <c r="D47" s="638"/>
      <c r="E47" s="609">
        <v>937.04</v>
      </c>
      <c r="M47" s="5"/>
    </row>
    <row r="48" spans="1:13">
      <c r="B48" s="103" t="s">
        <v>13</v>
      </c>
      <c r="C48" s="145" t="s">
        <v>76</v>
      </c>
      <c r="D48" s="639"/>
      <c r="E48" s="610">
        <v>873.83</v>
      </c>
      <c r="M48" s="5"/>
    </row>
    <row r="49" spans="1:13">
      <c r="B49" s="103" t="s">
        <v>479</v>
      </c>
      <c r="C49" s="145" t="s">
        <v>478</v>
      </c>
      <c r="D49" s="639"/>
      <c r="E49" s="610">
        <v>792</v>
      </c>
      <c r="M49" s="5"/>
    </row>
    <row r="50" spans="1:13">
      <c r="B50" s="103" t="s">
        <v>447</v>
      </c>
      <c r="C50" s="145" t="s">
        <v>448</v>
      </c>
      <c r="D50" s="639"/>
      <c r="E50" s="610">
        <v>992.18</v>
      </c>
      <c r="F50" s="415"/>
      <c r="M50" s="5"/>
    </row>
    <row r="51" spans="1:13">
      <c r="B51" s="103" t="s">
        <v>53</v>
      </c>
      <c r="C51" s="716" t="s">
        <v>77</v>
      </c>
      <c r="D51" s="640"/>
      <c r="E51" s="610">
        <v>1114.31</v>
      </c>
      <c r="F51" s="415"/>
      <c r="M51" s="5"/>
    </row>
    <row r="52" spans="1:13" ht="13.5" thickBot="1">
      <c r="B52" s="606" t="s">
        <v>208</v>
      </c>
      <c r="C52" s="717" t="s">
        <v>215</v>
      </c>
      <c r="D52" s="641"/>
      <c r="E52" s="611">
        <v>542</v>
      </c>
      <c r="F52" s="415"/>
      <c r="M52" s="5"/>
    </row>
    <row r="53" spans="1:13" s="4" customFormat="1" ht="13.5" thickBot="1">
      <c r="B53" s="419"/>
      <c r="C53" s="604"/>
      <c r="D53" s="604"/>
      <c r="E53" s="612">
        <f>SUM(E45:E52)</f>
        <v>7264.2000000000007</v>
      </c>
      <c r="F53" s="605"/>
    </row>
    <row r="54" spans="1:13">
      <c r="B54" s="752" t="s">
        <v>575</v>
      </c>
      <c r="C54" s="285" t="s">
        <v>339</v>
      </c>
      <c r="D54" s="285"/>
      <c r="E54" s="613">
        <v>500</v>
      </c>
      <c r="M54" s="5"/>
    </row>
    <row r="55" spans="1:13">
      <c r="B55" s="155" t="s">
        <v>34</v>
      </c>
      <c r="C55" s="220" t="s">
        <v>48</v>
      </c>
      <c r="D55" s="220"/>
      <c r="E55" s="618">
        <v>950</v>
      </c>
      <c r="M55" s="5"/>
    </row>
    <row r="56" spans="1:13" ht="13.5" thickBot="1">
      <c r="B56" s="208" t="s">
        <v>94</v>
      </c>
      <c r="C56" s="607" t="s">
        <v>95</v>
      </c>
      <c r="D56" s="607"/>
      <c r="E56" s="615">
        <f>3630/4</f>
        <v>907.5</v>
      </c>
      <c r="M56" s="5"/>
    </row>
    <row r="57" spans="1:13" ht="13.5" thickBot="1">
      <c r="B57" s="21"/>
      <c r="C57" s="608" t="s">
        <v>0</v>
      </c>
      <c r="D57" s="608"/>
      <c r="E57" s="616">
        <f>SUM(E53:E56)</f>
        <v>9621.7000000000007</v>
      </c>
      <c r="M57" s="5"/>
    </row>
    <row r="58" spans="1:13" ht="12.75" customHeight="1">
      <c r="B58" s="21"/>
      <c r="C58" s="64"/>
      <c r="D58" s="64"/>
      <c r="E58" s="76"/>
      <c r="F58" s="76"/>
      <c r="G58" s="76"/>
      <c r="H58" s="76"/>
      <c r="I58" s="76"/>
      <c r="J58" s="76"/>
      <c r="K58" s="76"/>
      <c r="L58" s="76"/>
      <c r="M58" s="76"/>
    </row>
    <row r="59" spans="1:13" s="600" customFormat="1" ht="6.75" customHeight="1">
      <c r="B59" s="601"/>
      <c r="C59" s="602"/>
      <c r="D59" s="602"/>
      <c r="E59" s="603"/>
      <c r="F59" s="603"/>
      <c r="G59" s="603"/>
      <c r="H59" s="603"/>
      <c r="I59" s="603"/>
      <c r="J59" s="603"/>
      <c r="K59" s="603"/>
      <c r="L59" s="603"/>
      <c r="M59" s="603"/>
    </row>
    <row r="60" spans="1:13" ht="19.5" customHeight="1">
      <c r="A60" s="876"/>
      <c r="B60" s="595" t="s">
        <v>420</v>
      </c>
      <c r="C60" s="621">
        <v>52</v>
      </c>
      <c r="D60" s="621"/>
      <c r="E60" s="76"/>
      <c r="F60" s="76"/>
      <c r="G60" s="76"/>
      <c r="H60" s="76"/>
      <c r="I60" s="76"/>
      <c r="J60" s="76"/>
      <c r="K60" s="76"/>
      <c r="L60" s="76"/>
      <c r="M60" s="5"/>
    </row>
    <row r="61" spans="1:13" ht="19.5" customHeight="1">
      <c r="B61" s="595" t="s">
        <v>423</v>
      </c>
      <c r="C61" s="948">
        <v>41332</v>
      </c>
      <c r="D61" s="949"/>
      <c r="E61" s="76"/>
      <c r="F61" s="76"/>
      <c r="G61" s="76"/>
      <c r="H61" s="76"/>
      <c r="I61" s="76"/>
      <c r="J61" s="76"/>
      <c r="K61" s="76"/>
      <c r="L61" s="76"/>
      <c r="M61" s="5"/>
    </row>
    <row r="62" spans="1:13" ht="4.5" customHeight="1">
      <c r="B62" s="2"/>
      <c r="C62" s="147"/>
      <c r="D62" s="147"/>
      <c r="E62" s="945"/>
      <c r="F62" s="946"/>
      <c r="G62" s="3"/>
      <c r="H62" s="4"/>
      <c r="I62" s="4"/>
      <c r="J62" s="4"/>
      <c r="K62" s="4"/>
      <c r="L62" s="34"/>
      <c r="M62" s="4"/>
    </row>
    <row r="63" spans="1:13" s="6" customFormat="1" ht="13.5" thickBot="1">
      <c r="B63" s="596" t="s">
        <v>421</v>
      </c>
      <c r="C63" s="598" t="s">
        <v>1</v>
      </c>
      <c r="D63" s="598"/>
      <c r="E63" s="599" t="s">
        <v>10</v>
      </c>
    </row>
    <row r="64" spans="1:13">
      <c r="B64" s="207" t="s">
        <v>477</v>
      </c>
      <c r="C64" s="145" t="s">
        <v>80</v>
      </c>
      <c r="D64" s="638"/>
      <c r="E64" s="609">
        <v>1360.51</v>
      </c>
      <c r="F64" s="684"/>
      <c r="G64" s="684"/>
      <c r="M64" s="5"/>
    </row>
    <row r="65" spans="2:13">
      <c r="B65" s="742" t="s">
        <v>575</v>
      </c>
      <c r="C65" s="597" t="s">
        <v>424</v>
      </c>
      <c r="D65" s="638"/>
      <c r="E65" s="609">
        <v>652.24</v>
      </c>
      <c r="F65" s="684"/>
      <c r="G65" s="684"/>
      <c r="M65" s="5"/>
    </row>
    <row r="66" spans="2:13">
      <c r="B66" s="742" t="s">
        <v>11</v>
      </c>
      <c r="C66" s="597" t="s">
        <v>78</v>
      </c>
      <c r="D66" s="638"/>
      <c r="E66" s="609">
        <v>937.04</v>
      </c>
      <c r="M66" s="5"/>
    </row>
    <row r="67" spans="2:13">
      <c r="B67" s="103" t="s">
        <v>13</v>
      </c>
      <c r="C67" s="145" t="s">
        <v>76</v>
      </c>
      <c r="D67" s="639"/>
      <c r="E67" s="610">
        <v>873.83</v>
      </c>
      <c r="M67" s="5"/>
    </row>
    <row r="68" spans="2:13">
      <c r="B68" s="103" t="s">
        <v>479</v>
      </c>
      <c r="C68" s="145" t="s">
        <v>478</v>
      </c>
      <c r="D68" s="639"/>
      <c r="E68" s="610">
        <v>792</v>
      </c>
      <c r="M68" s="5"/>
    </row>
    <row r="69" spans="2:13">
      <c r="B69" s="103" t="s">
        <v>447</v>
      </c>
      <c r="C69" s="145" t="s">
        <v>448</v>
      </c>
      <c r="D69" s="639"/>
      <c r="E69" s="610">
        <v>992</v>
      </c>
      <c r="F69" s="415"/>
      <c r="M69" s="5"/>
    </row>
    <row r="70" spans="2:13">
      <c r="B70" s="103" t="s">
        <v>53</v>
      </c>
      <c r="C70" s="716" t="s">
        <v>77</v>
      </c>
      <c r="D70" s="885"/>
      <c r="E70" s="610">
        <v>1065.3900000000001</v>
      </c>
      <c r="F70" s="415"/>
      <c r="G70" s="684"/>
      <c r="M70" s="5"/>
    </row>
    <row r="71" spans="2:13" ht="13.5" thickBot="1">
      <c r="B71" s="606" t="s">
        <v>208</v>
      </c>
      <c r="C71" s="717" t="s">
        <v>215</v>
      </c>
      <c r="D71" s="641"/>
      <c r="E71" s="611">
        <v>542</v>
      </c>
      <c r="F71" s="415"/>
      <c r="M71" s="5"/>
    </row>
    <row r="72" spans="2:13" s="4" customFormat="1" ht="13.5" thickBot="1">
      <c r="B72" s="419"/>
      <c r="C72" s="604"/>
      <c r="D72" s="604"/>
      <c r="E72" s="612">
        <f>SUM(E64:E71)</f>
        <v>7215.01</v>
      </c>
      <c r="F72" s="605"/>
    </row>
    <row r="73" spans="2:13">
      <c r="B73" s="752" t="s">
        <v>575</v>
      </c>
      <c r="C73" s="285" t="s">
        <v>339</v>
      </c>
      <c r="D73" s="285"/>
      <c r="E73" s="613">
        <v>500</v>
      </c>
      <c r="M73" s="5"/>
    </row>
    <row r="74" spans="2:13">
      <c r="B74" s="155"/>
      <c r="C74" s="597" t="s">
        <v>567</v>
      </c>
      <c r="D74" s="597"/>
      <c r="E74" s="614">
        <v>1000</v>
      </c>
      <c r="M74" s="5"/>
    </row>
    <row r="75" spans="2:13">
      <c r="B75" s="155" t="s">
        <v>34</v>
      </c>
      <c r="C75" s="220" t="s">
        <v>48</v>
      </c>
      <c r="D75" s="220"/>
      <c r="E75" s="618">
        <v>950</v>
      </c>
      <c r="M75" s="5"/>
    </row>
    <row r="76" spans="2:13">
      <c r="B76" s="155" t="s">
        <v>94</v>
      </c>
      <c r="C76" s="722" t="s">
        <v>95</v>
      </c>
      <c r="D76" s="722"/>
      <c r="E76" s="618">
        <f>3630/4</f>
        <v>907.5</v>
      </c>
      <c r="M76" s="5"/>
    </row>
    <row r="77" spans="2:13">
      <c r="B77" s="199" t="s">
        <v>142</v>
      </c>
      <c r="C77" s="148" t="s">
        <v>426</v>
      </c>
      <c r="D77" s="148"/>
      <c r="E77" s="614">
        <v>200</v>
      </c>
      <c r="M77" s="5"/>
    </row>
    <row r="78" spans="2:13" ht="13.5" thickBot="1">
      <c r="B78" s="208" t="s">
        <v>156</v>
      </c>
      <c r="C78" s="144" t="s">
        <v>427</v>
      </c>
      <c r="D78" s="144"/>
      <c r="E78" s="615">
        <v>100</v>
      </c>
      <c r="M78" s="5"/>
    </row>
    <row r="79" spans="2:13" ht="13.5" thickBot="1">
      <c r="B79" s="21"/>
      <c r="C79" s="608" t="s">
        <v>0</v>
      </c>
      <c r="D79" s="608"/>
      <c r="E79" s="616">
        <f>SUM(E72:E78)</f>
        <v>10872.51</v>
      </c>
      <c r="M79" s="5"/>
    </row>
    <row r="80" spans="2:13" ht="12.75" customHeight="1">
      <c r="B80" s="21"/>
      <c r="C80" s="64"/>
      <c r="D80" s="64"/>
      <c r="E80" s="76"/>
      <c r="F80" s="76"/>
      <c r="G80" s="76"/>
      <c r="H80" s="76"/>
      <c r="I80" s="76"/>
      <c r="J80" s="76"/>
      <c r="K80" s="76"/>
      <c r="L80" s="76"/>
      <c r="M80" s="76"/>
    </row>
    <row r="81" spans="1:13" s="7" customFormat="1" ht="13.15" customHeight="1">
      <c r="A81" s="122" t="s">
        <v>56</v>
      </c>
      <c r="B81" s="123" t="s">
        <v>57</v>
      </c>
      <c r="C81" s="123"/>
      <c r="D81" s="619">
        <f>Nikki!E685</f>
        <v>8348.08</v>
      </c>
      <c r="E81" s="619"/>
      <c r="F81" s="122"/>
      <c r="G81" s="123" t="s">
        <v>146</v>
      </c>
      <c r="H81" s="619">
        <v>2500</v>
      </c>
      <c r="I81" s="619"/>
      <c r="J81" s="624"/>
      <c r="K81" s="624"/>
      <c r="L81" s="624"/>
      <c r="M81" s="624"/>
    </row>
    <row r="82" spans="1:13" s="7" customFormat="1" ht="13.15" customHeight="1">
      <c r="A82" s="122" t="s">
        <v>58</v>
      </c>
      <c r="B82" s="123" t="s">
        <v>172</v>
      </c>
      <c r="C82" s="123"/>
      <c r="D82" s="619">
        <f>Nikki!E686</f>
        <v>1374.56</v>
      </c>
      <c r="E82" s="619"/>
      <c r="F82" s="122" t="s">
        <v>68</v>
      </c>
      <c r="G82" s="123" t="s">
        <v>69</v>
      </c>
      <c r="H82" s="619">
        <v>1200</v>
      </c>
      <c r="I82" s="624"/>
      <c r="J82" s="624"/>
      <c r="K82" s="624"/>
      <c r="L82" s="624"/>
      <c r="M82" s="624"/>
    </row>
    <row r="83" spans="1:13" s="7" customFormat="1" ht="13.15" customHeight="1">
      <c r="A83" s="122" t="s">
        <v>56</v>
      </c>
      <c r="B83" s="123" t="s">
        <v>462</v>
      </c>
      <c r="C83" s="123"/>
      <c r="D83" s="619">
        <v>250</v>
      </c>
      <c r="E83" s="619"/>
      <c r="F83" s="122" t="s">
        <v>68</v>
      </c>
      <c r="G83" s="123" t="s">
        <v>147</v>
      </c>
      <c r="H83" s="619">
        <f>120000*15%/12</f>
        <v>1500</v>
      </c>
      <c r="I83" s="624"/>
      <c r="J83" s="624"/>
      <c r="K83" s="624"/>
      <c r="L83" s="624"/>
      <c r="M83" s="624"/>
    </row>
    <row r="84" spans="1:13" s="7" customFormat="1" ht="13.15" customHeight="1">
      <c r="A84" s="122" t="s">
        <v>59</v>
      </c>
      <c r="B84" s="123" t="s">
        <v>60</v>
      </c>
      <c r="C84" s="123"/>
      <c r="D84" s="619">
        <v>2500</v>
      </c>
      <c r="E84" s="619"/>
      <c r="F84" s="122" t="s">
        <v>81</v>
      </c>
      <c r="G84" s="123" t="s">
        <v>69</v>
      </c>
      <c r="H84" s="619">
        <v>1800</v>
      </c>
      <c r="I84" s="875"/>
      <c r="J84" s="625"/>
    </row>
    <row r="85" spans="1:13" s="7" customFormat="1" ht="13.15" customHeight="1">
      <c r="A85" s="122" t="s">
        <v>59</v>
      </c>
      <c r="B85" s="123" t="s">
        <v>61</v>
      </c>
      <c r="C85" s="123"/>
      <c r="D85" s="619">
        <v>268</v>
      </c>
      <c r="E85" s="619"/>
      <c r="F85" s="122" t="s">
        <v>58</v>
      </c>
      <c r="G85" s="123" t="s">
        <v>148</v>
      </c>
      <c r="H85" s="619">
        <v>1012</v>
      </c>
      <c r="I85" s="875"/>
      <c r="J85" s="625"/>
    </row>
    <row r="86" spans="1:13" s="7" customFormat="1" ht="13.15" customHeight="1">
      <c r="A86" s="122" t="s">
        <v>62</v>
      </c>
      <c r="B86" s="123" t="s">
        <v>63</v>
      </c>
      <c r="C86" s="123"/>
      <c r="D86" s="619">
        <v>601.12</v>
      </c>
      <c r="E86" s="619"/>
      <c r="F86" s="122" t="s">
        <v>272</v>
      </c>
      <c r="G86" s="123" t="s">
        <v>274</v>
      </c>
      <c r="H86" s="619">
        <v>500</v>
      </c>
      <c r="I86" s="875"/>
      <c r="J86" s="625"/>
    </row>
    <row r="87" spans="1:13" s="7" customFormat="1" ht="13.15" customHeight="1">
      <c r="A87" s="122" t="s">
        <v>62</v>
      </c>
      <c r="B87" s="123" t="s">
        <v>64</v>
      </c>
      <c r="C87" s="123"/>
      <c r="D87" s="619">
        <v>383.94</v>
      </c>
      <c r="E87" s="619"/>
      <c r="F87" s="122" t="s">
        <v>273</v>
      </c>
      <c r="G87" s="123" t="s">
        <v>275</v>
      </c>
      <c r="H87" s="619">
        <v>500</v>
      </c>
      <c r="I87" s="214"/>
      <c r="J87" s="625"/>
    </row>
    <row r="88" spans="1:13" s="7" customFormat="1" ht="13.15" customHeight="1">
      <c r="A88" s="122" t="s">
        <v>62</v>
      </c>
      <c r="B88" s="123" t="s">
        <v>101</v>
      </c>
      <c r="C88" s="123"/>
      <c r="D88" s="619">
        <v>550</v>
      </c>
      <c r="E88" s="619"/>
      <c r="F88" s="122"/>
      <c r="G88" s="123" t="s">
        <v>561</v>
      </c>
      <c r="H88" s="619">
        <v>1000</v>
      </c>
      <c r="I88" s="875"/>
      <c r="J88" s="625"/>
    </row>
    <row r="89" spans="1:13" s="7" customFormat="1" ht="13.15" customHeight="1">
      <c r="A89" s="122" t="s">
        <v>66</v>
      </c>
      <c r="B89" s="123" t="s">
        <v>67</v>
      </c>
      <c r="C89" s="619"/>
      <c r="D89" s="619">
        <v>8000</v>
      </c>
      <c r="E89" s="619"/>
      <c r="F89" s="122" t="s">
        <v>59</v>
      </c>
      <c r="G89" s="123" t="s">
        <v>82</v>
      </c>
      <c r="H89" s="619">
        <v>11000</v>
      </c>
      <c r="I89" s="875"/>
      <c r="J89" s="625"/>
    </row>
    <row r="90" spans="1:13" s="7" customFormat="1" ht="13.15" customHeight="1" thickBot="1">
      <c r="A90" s="122" t="s">
        <v>65</v>
      </c>
      <c r="B90" s="123" t="s">
        <v>228</v>
      </c>
      <c r="C90" s="619"/>
      <c r="D90" s="619">
        <v>1000</v>
      </c>
      <c r="E90" s="619"/>
      <c r="F90" s="223" t="s">
        <v>102</v>
      </c>
      <c r="G90" s="123" t="s">
        <v>83</v>
      </c>
      <c r="H90" s="620">
        <v>11000</v>
      </c>
      <c r="I90" s="875"/>
      <c r="J90" s="625"/>
    </row>
    <row r="91" spans="1:13" s="7" customFormat="1" ht="13.15" customHeight="1" thickTop="1" thickBot="1">
      <c r="B91" s="122"/>
      <c r="C91" s="123"/>
      <c r="D91" s="123"/>
      <c r="E91" s="619"/>
      <c r="F91" s="130"/>
      <c r="G91" s="123"/>
      <c r="H91" s="875">
        <f>SUM(H81:H90)+SUM(D81:D90)</f>
        <v>55287.7</v>
      </c>
      <c r="I91" s="875"/>
      <c r="J91" s="625"/>
    </row>
    <row r="92" spans="1:13" s="7" customFormat="1" ht="13.15" customHeight="1" thickBot="1">
      <c r="B92" s="122"/>
      <c r="C92" s="123"/>
      <c r="D92" s="123"/>
      <c r="E92" s="619"/>
      <c r="F92" s="130"/>
      <c r="G92" s="642" t="s">
        <v>17</v>
      </c>
      <c r="H92" s="643">
        <f>H91+E79</f>
        <v>66160.209999999992</v>
      </c>
      <c r="I92" s="875"/>
      <c r="J92" s="625"/>
    </row>
    <row r="93" spans="1:13" s="7" customFormat="1" ht="13.15" customHeight="1">
      <c r="B93" s="122"/>
      <c r="C93" s="123"/>
      <c r="D93" s="123"/>
      <c r="E93" s="619"/>
      <c r="F93" s="124"/>
      <c r="G93" s="123"/>
      <c r="H93" s="875"/>
      <c r="I93" s="875"/>
      <c r="J93" s="625"/>
    </row>
    <row r="94" spans="1:13" s="7" customFormat="1" ht="13.15" customHeight="1">
      <c r="B94" s="122"/>
      <c r="C94" s="123"/>
      <c r="D94" s="123"/>
      <c r="E94" s="619"/>
      <c r="F94" s="130"/>
      <c r="G94" s="123"/>
      <c r="H94" s="875"/>
      <c r="I94" s="875"/>
      <c r="J94" s="625"/>
    </row>
    <row r="95" spans="1:13" s="7" customFormat="1" ht="13.15" customHeight="1">
      <c r="B95" s="122"/>
      <c r="C95" s="123"/>
      <c r="D95" s="123"/>
      <c r="E95" s="619"/>
      <c r="F95" s="130"/>
      <c r="G95" s="642"/>
      <c r="H95" s="686"/>
      <c r="I95" s="875"/>
      <c r="J95" s="625"/>
    </row>
    <row r="96" spans="1:13" s="7" customFormat="1" ht="13.15" customHeight="1">
      <c r="B96" s="122"/>
      <c r="C96" s="123"/>
      <c r="D96" s="15"/>
      <c r="E96" s="619"/>
      <c r="F96" s="124"/>
      <c r="G96" s="123"/>
      <c r="H96" s="875"/>
      <c r="I96" s="875"/>
      <c r="J96" s="625"/>
    </row>
    <row r="97" spans="2:13" s="7" customFormat="1" ht="13.15" customHeight="1">
      <c r="B97" s="122"/>
      <c r="C97" s="123"/>
      <c r="D97" s="14"/>
      <c r="E97" s="619"/>
      <c r="F97" s="15"/>
      <c r="G97" s="15"/>
      <c r="H97" s="15"/>
      <c r="I97" s="875"/>
      <c r="J97" s="625"/>
    </row>
    <row r="98" spans="2:13" s="7" customFormat="1" ht="13.15" customHeight="1">
      <c r="B98" s="122"/>
      <c r="C98" s="123"/>
      <c r="D98" s="14"/>
      <c r="E98" s="15"/>
      <c r="F98" s="15"/>
      <c r="G98" s="15"/>
      <c r="H98" s="15"/>
      <c r="I98" s="875"/>
      <c r="J98" s="625"/>
    </row>
    <row r="99" spans="2:13" s="15" customFormat="1" ht="12">
      <c r="B99" s="17"/>
      <c r="D99" s="14"/>
      <c r="M99" s="17"/>
    </row>
    <row r="100" spans="2:13" s="15" customFormat="1" ht="12">
      <c r="B100" s="17"/>
      <c r="C100" s="14"/>
      <c r="D100" s="14"/>
      <c r="M100" s="17"/>
    </row>
    <row r="101" spans="2:13" s="15" customFormat="1" ht="12">
      <c r="B101" s="17"/>
      <c r="C101" s="14"/>
      <c r="D101" s="14"/>
      <c r="M101" s="17"/>
    </row>
    <row r="102" spans="2:13" s="15" customFormat="1" ht="12">
      <c r="B102" s="17"/>
      <c r="C102" s="14"/>
      <c r="D102" s="14"/>
      <c r="M102" s="17"/>
    </row>
    <row r="103" spans="2:13" s="15" customFormat="1" ht="12">
      <c r="B103" s="17"/>
      <c r="C103" s="14"/>
      <c r="M103" s="17"/>
    </row>
    <row r="104" spans="2:13" s="15" customFormat="1" ht="12">
      <c r="B104" s="17"/>
      <c r="C104" s="14"/>
      <c r="M104" s="17"/>
    </row>
    <row r="105" spans="2:13" s="15" customFormat="1" ht="12">
      <c r="B105" s="17"/>
      <c r="C105" s="14"/>
      <c r="M105" s="17"/>
    </row>
    <row r="106" spans="2:13" s="15" customFormat="1" ht="12">
      <c r="B106" s="17"/>
      <c r="M106" s="17"/>
    </row>
    <row r="107" spans="2:13" s="15" customFormat="1" ht="12">
      <c r="B107" s="17"/>
      <c r="M107" s="17"/>
    </row>
    <row r="108" spans="2:13" s="15" customFormat="1" ht="12">
      <c r="B108" s="17"/>
      <c r="M108" s="17"/>
    </row>
    <row r="109" spans="2:13" s="15" customFormat="1">
      <c r="B109" s="17"/>
      <c r="D109" s="5"/>
      <c r="M109" s="17"/>
    </row>
    <row r="110" spans="2:13" s="15" customFormat="1">
      <c r="B110" s="17"/>
      <c r="D110" s="5"/>
      <c r="F110" s="5"/>
      <c r="G110" s="5"/>
      <c r="H110" s="5"/>
      <c r="M110" s="17"/>
    </row>
    <row r="111" spans="2:13" s="15" customFormat="1">
      <c r="B111" s="17"/>
      <c r="D111" s="5"/>
      <c r="E111" s="5"/>
      <c r="F111" s="5"/>
      <c r="G111" s="5"/>
      <c r="H111" s="5"/>
      <c r="M111" s="17"/>
    </row>
    <row r="112" spans="2:13" s="15" customFormat="1">
      <c r="B112" s="2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7"/>
    </row>
    <row r="113" spans="2:13" s="15" customFormat="1">
      <c r="B113" s="2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7"/>
    </row>
    <row r="114" spans="2:13" s="15" customFormat="1">
      <c r="B114" s="2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7"/>
    </row>
    <row r="115" spans="2:13" s="15" customFormat="1">
      <c r="B115" s="2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7"/>
    </row>
  </sheetData>
  <mergeCells count="9">
    <mergeCell ref="C42:D42"/>
    <mergeCell ref="E43:F43"/>
    <mergeCell ref="C61:D61"/>
    <mergeCell ref="E62:F62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27" sqref="L27"/>
    </sheetView>
  </sheetViews>
  <sheetFormatPr defaultRowHeight="12.75"/>
  <cols>
    <col min="1" max="1" width="2" customWidth="1"/>
    <col min="2" max="2" width="6.28515625" customWidth="1"/>
    <col min="4" max="4" width="11.140625" customWidth="1"/>
    <col min="5" max="5" width="8.140625" style="912" customWidth="1"/>
    <col min="6" max="6" width="9.42578125" customWidth="1"/>
    <col min="7" max="7" width="10" customWidth="1"/>
    <col min="8" max="8" width="2.7109375" customWidth="1"/>
    <col min="9" max="9" width="9.5703125" customWidth="1"/>
    <col min="10" max="10" width="11" customWidth="1"/>
    <col min="11" max="11" width="10.7109375" style="330" customWidth="1"/>
    <col min="12" max="12" width="10.7109375" customWidth="1"/>
  </cols>
  <sheetData>
    <row r="1" spans="1:13" ht="18.75">
      <c r="A1" s="902" t="s">
        <v>578</v>
      </c>
      <c r="B1" s="902"/>
    </row>
    <row r="2" spans="1:13" s="585" customFormat="1" ht="21.95" customHeight="1">
      <c r="A2" s="956" t="s">
        <v>581</v>
      </c>
      <c r="B2" s="956"/>
      <c r="C2" s="962"/>
      <c r="D2" s="962"/>
      <c r="E2" s="909" t="s">
        <v>580</v>
      </c>
      <c r="F2" s="585" t="s">
        <v>10</v>
      </c>
      <c r="G2" s="585" t="s">
        <v>0</v>
      </c>
      <c r="I2" s="920" t="s">
        <v>579</v>
      </c>
      <c r="J2" s="921" t="s">
        <v>582</v>
      </c>
      <c r="K2" s="922" t="s">
        <v>586</v>
      </c>
    </row>
    <row r="3" spans="1:13">
      <c r="B3" s="904" t="s">
        <v>477</v>
      </c>
      <c r="C3" s="905" t="s">
        <v>80</v>
      </c>
      <c r="D3" s="905"/>
      <c r="E3" s="913">
        <f>950+(150+100)/4</f>
        <v>1012.5</v>
      </c>
      <c r="F3" s="906">
        <v>1360.6</v>
      </c>
      <c r="G3" s="906">
        <f t="shared" ref="G3:G11" si="0">SUM(E3:F3)</f>
        <v>2373.1</v>
      </c>
      <c r="H3" s="903"/>
      <c r="I3" s="910">
        <v>41030</v>
      </c>
      <c r="J3" s="914">
        <v>0.13</v>
      </c>
      <c r="K3" s="901" t="s">
        <v>587</v>
      </c>
    </row>
    <row r="4" spans="1:13">
      <c r="B4" s="904" t="s">
        <v>575</v>
      </c>
      <c r="C4" s="905" t="s">
        <v>424</v>
      </c>
      <c r="D4" s="905"/>
      <c r="E4" s="913"/>
      <c r="F4" s="906">
        <v>752.24</v>
      </c>
      <c r="G4" s="906">
        <f t="shared" si="0"/>
        <v>752.24</v>
      </c>
      <c r="H4" s="903"/>
      <c r="I4" s="910">
        <v>41091</v>
      </c>
      <c r="J4" s="914"/>
      <c r="K4"/>
    </row>
    <row r="5" spans="1:13">
      <c r="B5" s="904" t="s">
        <v>11</v>
      </c>
      <c r="C5" s="905" t="s">
        <v>78</v>
      </c>
      <c r="D5" s="905"/>
      <c r="E5" s="913"/>
      <c r="F5" s="906">
        <v>937.04</v>
      </c>
      <c r="G5" s="906">
        <f t="shared" si="0"/>
        <v>937.04</v>
      </c>
      <c r="H5" s="903"/>
      <c r="I5" s="910">
        <v>40575</v>
      </c>
      <c r="J5" s="914">
        <v>0.2</v>
      </c>
      <c r="K5"/>
    </row>
    <row r="6" spans="1:13">
      <c r="B6" s="904" t="s">
        <v>13</v>
      </c>
      <c r="C6" s="905" t="s">
        <v>76</v>
      </c>
      <c r="D6" s="905"/>
      <c r="E6" s="913"/>
      <c r="F6" s="906">
        <v>873.83</v>
      </c>
      <c r="G6" s="906">
        <f t="shared" si="0"/>
        <v>873.83</v>
      </c>
      <c r="H6" s="903"/>
      <c r="I6" s="910">
        <v>40575</v>
      </c>
      <c r="J6" s="914">
        <v>0.25</v>
      </c>
      <c r="K6"/>
    </row>
    <row r="7" spans="1:13">
      <c r="B7" s="904" t="s">
        <v>479</v>
      </c>
      <c r="C7" s="905" t="s">
        <v>478</v>
      </c>
      <c r="D7" s="905"/>
      <c r="E7" s="913"/>
      <c r="F7" s="906">
        <v>792</v>
      </c>
      <c r="G7" s="906">
        <f t="shared" si="0"/>
        <v>792</v>
      </c>
      <c r="H7" s="903"/>
      <c r="I7" s="911" t="s">
        <v>38</v>
      </c>
      <c r="J7" s="915" t="s">
        <v>38</v>
      </c>
      <c r="K7"/>
    </row>
    <row r="8" spans="1:13">
      <c r="B8" s="904" t="s">
        <v>447</v>
      </c>
      <c r="C8" s="905" t="s">
        <v>448</v>
      </c>
      <c r="D8" s="905"/>
      <c r="E8" s="913"/>
      <c r="F8" s="906">
        <v>1188</v>
      </c>
      <c r="G8" s="906">
        <f t="shared" si="0"/>
        <v>1188</v>
      </c>
      <c r="H8" s="903"/>
      <c r="I8" s="911" t="s">
        <v>38</v>
      </c>
      <c r="J8" s="918"/>
      <c r="K8" s="918" t="s">
        <v>585</v>
      </c>
    </row>
    <row r="9" spans="1:13">
      <c r="B9" s="904" t="s">
        <v>53</v>
      </c>
      <c r="C9" s="907" t="s">
        <v>77</v>
      </c>
      <c r="D9" s="907"/>
      <c r="E9" s="913">
        <v>907.5</v>
      </c>
      <c r="F9" s="906">
        <v>1165.31</v>
      </c>
      <c r="G9" s="906">
        <f t="shared" si="0"/>
        <v>2072.81</v>
      </c>
      <c r="H9" s="903"/>
      <c r="I9" s="910">
        <v>40575</v>
      </c>
      <c r="J9" s="914">
        <v>0.15</v>
      </c>
      <c r="K9"/>
    </row>
    <row r="10" spans="1:13">
      <c r="B10" s="904" t="s">
        <v>208</v>
      </c>
      <c r="C10" s="907" t="s">
        <v>215</v>
      </c>
      <c r="D10" s="907"/>
      <c r="E10" s="913">
        <f>1000/4</f>
        <v>250</v>
      </c>
      <c r="F10" s="906">
        <f>792-250</f>
        <v>542</v>
      </c>
      <c r="G10" s="906">
        <f t="shared" si="0"/>
        <v>792</v>
      </c>
      <c r="H10" s="903"/>
      <c r="I10" s="911" t="s">
        <v>38</v>
      </c>
      <c r="J10" s="915" t="s">
        <v>38</v>
      </c>
      <c r="K10"/>
    </row>
    <row r="11" spans="1:13" ht="13.5" thickBot="1">
      <c r="B11" s="904" t="s">
        <v>575</v>
      </c>
      <c r="C11" s="905" t="s">
        <v>339</v>
      </c>
      <c r="D11" s="905"/>
      <c r="E11" s="913"/>
      <c r="F11" s="906">
        <v>500</v>
      </c>
      <c r="G11" s="906">
        <f t="shared" si="0"/>
        <v>500</v>
      </c>
      <c r="H11" s="903"/>
      <c r="I11" s="910">
        <v>40575</v>
      </c>
      <c r="J11" s="914">
        <v>0.25</v>
      </c>
      <c r="K11"/>
    </row>
    <row r="12" spans="1:13" ht="13.5" thickBot="1">
      <c r="B12" s="21"/>
      <c r="C12" s="608"/>
      <c r="D12" s="608"/>
      <c r="E12" s="608"/>
      <c r="F12" s="608" t="s">
        <v>584</v>
      </c>
      <c r="G12" s="908">
        <f>SUM(G3:G11)</f>
        <v>10281.02</v>
      </c>
      <c r="H12" s="819"/>
      <c r="J12" s="330"/>
      <c r="K12"/>
    </row>
    <row r="13" spans="1:13">
      <c r="B13" s="21"/>
      <c r="C13" s="608"/>
      <c r="D13" s="608"/>
      <c r="E13" s="608"/>
      <c r="F13" s="608"/>
      <c r="G13" s="819"/>
      <c r="H13" s="819"/>
      <c r="J13" s="330"/>
      <c r="K13"/>
    </row>
    <row r="14" spans="1:13">
      <c r="E14" s="958" t="s">
        <v>588</v>
      </c>
      <c r="F14" s="960" t="s">
        <v>582</v>
      </c>
      <c r="G14" s="958" t="s">
        <v>589</v>
      </c>
      <c r="K14" s="957" t="s">
        <v>590</v>
      </c>
      <c r="L14" s="957"/>
    </row>
    <row r="15" spans="1:13" ht="10.5" customHeight="1">
      <c r="A15" s="917" t="s">
        <v>583</v>
      </c>
      <c r="B15" s="916"/>
      <c r="E15" s="959"/>
      <c r="F15" s="961"/>
      <c r="G15" s="959"/>
      <c r="H15" s="925"/>
      <c r="I15" s="585" t="s">
        <v>10</v>
      </c>
      <c r="J15" s="585" t="s">
        <v>0</v>
      </c>
      <c r="K15" s="922" t="s">
        <v>591</v>
      </c>
      <c r="L15" s="921" t="s">
        <v>592</v>
      </c>
      <c r="M15" s="330"/>
    </row>
    <row r="16" spans="1:13">
      <c r="B16" s="904" t="s">
        <v>477</v>
      </c>
      <c r="C16" s="905" t="s">
        <v>80</v>
      </c>
      <c r="D16" s="905"/>
      <c r="E16" s="924">
        <v>69</v>
      </c>
      <c r="F16" s="926">
        <v>8</v>
      </c>
      <c r="G16" s="919">
        <f t="shared" ref="G16:G24" si="1">E16+E16*(F16/100)</f>
        <v>74.52</v>
      </c>
      <c r="H16" s="919"/>
      <c r="I16" s="906">
        <v>1528.63</v>
      </c>
      <c r="J16" s="906">
        <f t="shared" ref="J16:J24" si="2">I16+E3</f>
        <v>2541.13</v>
      </c>
      <c r="K16" s="903">
        <f t="shared" ref="K16:K24" si="3">I16-F3</f>
        <v>168.0300000000002</v>
      </c>
      <c r="L16" s="923">
        <f t="shared" ref="L16:L24" si="4">K16*4</f>
        <v>672.1200000000008</v>
      </c>
      <c r="M16" s="330"/>
    </row>
    <row r="17" spans="2:14">
      <c r="B17" s="904" t="s">
        <v>575</v>
      </c>
      <c r="C17" s="905" t="s">
        <v>424</v>
      </c>
      <c r="D17" s="905"/>
      <c r="E17" s="924">
        <v>19</v>
      </c>
      <c r="F17" s="926">
        <v>8</v>
      </c>
      <c r="G17" s="919">
        <f t="shared" si="1"/>
        <v>20.52</v>
      </c>
      <c r="H17" s="919"/>
      <c r="I17" s="906">
        <v>826.16</v>
      </c>
      <c r="J17" s="906">
        <f t="shared" si="2"/>
        <v>826.16</v>
      </c>
      <c r="K17" s="927">
        <f t="shared" si="3"/>
        <v>73.919999999999959</v>
      </c>
      <c r="L17" s="928">
        <f t="shared" si="4"/>
        <v>295.67999999999984</v>
      </c>
      <c r="M17" s="330"/>
    </row>
    <row r="18" spans="2:14">
      <c r="B18" s="904" t="s">
        <v>11</v>
      </c>
      <c r="C18" s="905" t="s">
        <v>78</v>
      </c>
      <c r="D18" s="905"/>
      <c r="E18" s="924">
        <v>24</v>
      </c>
      <c r="F18" s="926">
        <v>15</v>
      </c>
      <c r="G18" s="919">
        <f t="shared" si="1"/>
        <v>27.6</v>
      </c>
      <c r="H18" s="919"/>
      <c r="I18" s="906">
        <v>1084.8800000000001</v>
      </c>
      <c r="J18" s="906">
        <f t="shared" si="2"/>
        <v>1084.8800000000001</v>
      </c>
      <c r="K18" s="903">
        <f t="shared" si="3"/>
        <v>147.84000000000015</v>
      </c>
      <c r="L18" s="923">
        <f t="shared" si="4"/>
        <v>591.36000000000058</v>
      </c>
      <c r="M18" s="330"/>
    </row>
    <row r="19" spans="2:14">
      <c r="B19" s="904" t="s">
        <v>13</v>
      </c>
      <c r="C19" s="905" t="s">
        <v>76</v>
      </c>
      <c r="D19" s="905"/>
      <c r="E19" s="924">
        <v>22.29</v>
      </c>
      <c r="F19" s="926">
        <v>15</v>
      </c>
      <c r="G19" s="919">
        <f t="shared" si="1"/>
        <v>25.633499999999998</v>
      </c>
      <c r="H19" s="919"/>
      <c r="I19" s="906">
        <v>1010.96</v>
      </c>
      <c r="J19" s="906">
        <f t="shared" si="2"/>
        <v>1010.96</v>
      </c>
      <c r="K19" s="927">
        <f t="shared" si="3"/>
        <v>137.13</v>
      </c>
      <c r="L19" s="928">
        <f t="shared" si="4"/>
        <v>548.52</v>
      </c>
      <c r="M19" s="330"/>
    </row>
    <row r="20" spans="2:14">
      <c r="B20" s="904" t="s">
        <v>479</v>
      </c>
      <c r="C20" s="905" t="s">
        <v>478</v>
      </c>
      <c r="D20" s="905"/>
      <c r="E20" s="924">
        <v>20</v>
      </c>
      <c r="F20" s="926">
        <v>15</v>
      </c>
      <c r="G20" s="919">
        <f t="shared" si="1"/>
        <v>23</v>
      </c>
      <c r="H20" s="919"/>
      <c r="I20" s="906">
        <v>910.8</v>
      </c>
      <c r="J20" s="906">
        <f t="shared" si="2"/>
        <v>910.8</v>
      </c>
      <c r="K20" s="903">
        <f t="shared" si="3"/>
        <v>118.79999999999995</v>
      </c>
      <c r="L20" s="923">
        <f t="shared" si="4"/>
        <v>475.19999999999982</v>
      </c>
      <c r="M20" s="330"/>
    </row>
    <row r="21" spans="2:14">
      <c r="B21" s="904" t="s">
        <v>447</v>
      </c>
      <c r="C21" s="905" t="s">
        <v>448</v>
      </c>
      <c r="D21" s="905"/>
      <c r="E21" s="924">
        <v>30</v>
      </c>
      <c r="F21" s="926">
        <v>8</v>
      </c>
      <c r="G21" s="919">
        <f t="shared" si="1"/>
        <v>32.4</v>
      </c>
      <c r="H21" s="919"/>
      <c r="I21" s="906">
        <v>1256.71</v>
      </c>
      <c r="J21" s="906">
        <f t="shared" si="2"/>
        <v>1256.71</v>
      </c>
      <c r="K21" s="927">
        <f t="shared" si="3"/>
        <v>68.710000000000036</v>
      </c>
      <c r="L21" s="928">
        <f t="shared" si="4"/>
        <v>274.84000000000015</v>
      </c>
      <c r="M21" s="330"/>
    </row>
    <row r="22" spans="2:14">
      <c r="B22" s="904" t="s">
        <v>53</v>
      </c>
      <c r="C22" s="907" t="s">
        <v>77</v>
      </c>
      <c r="D22" s="907"/>
      <c r="E22" s="924">
        <v>32.29</v>
      </c>
      <c r="F22" s="926">
        <v>15</v>
      </c>
      <c r="G22" s="919">
        <f t="shared" si="1"/>
        <v>37.133499999999998</v>
      </c>
      <c r="H22" s="919"/>
      <c r="I22" s="906">
        <v>1318.02</v>
      </c>
      <c r="J22" s="906">
        <f t="shared" si="2"/>
        <v>2225.52</v>
      </c>
      <c r="K22" s="903">
        <f t="shared" si="3"/>
        <v>152.71000000000004</v>
      </c>
      <c r="L22" s="923">
        <f t="shared" si="4"/>
        <v>610.84000000000015</v>
      </c>
      <c r="M22" s="330"/>
    </row>
    <row r="23" spans="2:14">
      <c r="B23" s="904" t="s">
        <v>208</v>
      </c>
      <c r="C23" s="907" t="s">
        <v>215</v>
      </c>
      <c r="D23" s="907"/>
      <c r="E23" s="924">
        <v>20</v>
      </c>
      <c r="F23" s="926">
        <v>15</v>
      </c>
      <c r="G23" s="919">
        <f t="shared" si="1"/>
        <v>23</v>
      </c>
      <c r="H23" s="919"/>
      <c r="I23" s="906">
        <v>660.8</v>
      </c>
      <c r="J23" s="906">
        <f t="shared" si="2"/>
        <v>910.8</v>
      </c>
      <c r="K23" s="927">
        <f t="shared" si="3"/>
        <v>118.79999999999995</v>
      </c>
      <c r="L23" s="928">
        <f t="shared" si="4"/>
        <v>475.19999999999982</v>
      </c>
      <c r="M23" s="330"/>
    </row>
    <row r="24" spans="2:14" ht="13.5" thickBot="1">
      <c r="B24" s="904" t="s">
        <v>575</v>
      </c>
      <c r="C24" s="905" t="s">
        <v>339</v>
      </c>
      <c r="D24" s="905"/>
      <c r="E24" s="924">
        <v>12.5</v>
      </c>
      <c r="F24" s="926">
        <v>10</v>
      </c>
      <c r="G24" s="919">
        <f t="shared" si="1"/>
        <v>13.75</v>
      </c>
      <c r="H24" s="919"/>
      <c r="I24" s="906">
        <f>G24*40</f>
        <v>550</v>
      </c>
      <c r="J24" s="906">
        <f t="shared" si="2"/>
        <v>550</v>
      </c>
      <c r="K24" s="927">
        <f t="shared" si="3"/>
        <v>50</v>
      </c>
      <c r="L24" s="928">
        <f t="shared" si="4"/>
        <v>200</v>
      </c>
      <c r="M24" s="330"/>
    </row>
    <row r="25" spans="2:14" ht="13.5" thickBot="1">
      <c r="B25" s="21"/>
      <c r="C25" s="608"/>
      <c r="D25" s="608"/>
      <c r="E25" s="608"/>
      <c r="F25" s="608"/>
      <c r="G25" s="608"/>
      <c r="H25" s="608"/>
      <c r="I25" s="608" t="s">
        <v>584</v>
      </c>
      <c r="J25" s="908">
        <f>SUM(J16:J24)</f>
        <v>11316.96</v>
      </c>
      <c r="K25" s="819"/>
      <c r="L25" s="923"/>
      <c r="N25" s="330"/>
    </row>
    <row r="26" spans="2:14">
      <c r="J26" s="923">
        <f>J25-G12</f>
        <v>1035.9399999999987</v>
      </c>
      <c r="K26" s="929">
        <f>SUM(K16:K24)</f>
        <v>1035.9400000000003</v>
      </c>
      <c r="L26" s="923">
        <f>SUM(L16:L25)</f>
        <v>4143.7600000000011</v>
      </c>
    </row>
  </sheetData>
  <mergeCells count="6">
    <mergeCell ref="A2:B2"/>
    <mergeCell ref="K14:L14"/>
    <mergeCell ref="E14:E15"/>
    <mergeCell ref="F14:F15"/>
    <mergeCell ref="G14:G15"/>
    <mergeCell ref="C2:D2"/>
  </mergeCells>
  <pageMargins left="0.25" right="0.25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R849"/>
  <sheetViews>
    <sheetView workbookViewId="0">
      <selection activeCell="C20" sqref="C20"/>
    </sheetView>
  </sheetViews>
  <sheetFormatPr defaultRowHeight="12.75"/>
  <cols>
    <col min="1" max="1" width="2.28515625" customWidth="1"/>
    <col min="2" max="2" width="3.28515625" customWidth="1"/>
    <col min="3" max="3" width="11.5703125" customWidth="1"/>
    <col min="4" max="4" width="3.42578125" customWidth="1"/>
    <col min="5" max="5" width="8.42578125" style="40" customWidth="1"/>
    <col min="6" max="6" width="3.5703125" style="40" customWidth="1"/>
    <col min="7" max="7" width="3.140625" customWidth="1"/>
    <col min="8" max="8" width="11" customWidth="1"/>
    <col min="9" max="9" width="2.85546875" style="102" customWidth="1"/>
    <col min="10" max="10" width="7.85546875" customWidth="1"/>
    <col min="11" max="13" width="11.7109375" customWidth="1"/>
    <col min="14" max="14" width="4.42578125" customWidth="1"/>
    <col min="15" max="15" width="2.85546875" customWidth="1"/>
    <col min="16" max="16" width="3" customWidth="1"/>
    <col min="17" max="17" width="11.42578125" customWidth="1"/>
    <col min="18" max="18" width="3.5703125" style="72" customWidth="1"/>
    <col min="19" max="19" width="7.28515625" customWidth="1"/>
  </cols>
  <sheetData>
    <row r="1" spans="1:18">
      <c r="A1" s="45" t="s">
        <v>78</v>
      </c>
    </row>
    <row r="2" spans="1:18">
      <c r="F2" s="73"/>
      <c r="R2"/>
    </row>
    <row r="3" spans="1:18">
      <c r="F3" s="73"/>
      <c r="R3"/>
    </row>
    <row r="4" spans="1:18">
      <c r="F4" s="73"/>
      <c r="R4"/>
    </row>
    <row r="5" spans="1:18">
      <c r="F5" s="73"/>
      <c r="R5"/>
    </row>
    <row r="6" spans="1:18">
      <c r="F6" s="73"/>
      <c r="R6"/>
    </row>
    <row r="7" spans="1:18">
      <c r="F7" s="73"/>
      <c r="R7"/>
    </row>
    <row r="8" spans="1:18">
      <c r="F8" s="73"/>
      <c r="R8"/>
    </row>
    <row r="9" spans="1:18">
      <c r="F9" s="73"/>
      <c r="R9"/>
    </row>
    <row r="10" spans="1:18">
      <c r="F10" s="73"/>
      <c r="R10"/>
    </row>
    <row r="11" spans="1:18">
      <c r="F11" s="73"/>
      <c r="R11"/>
    </row>
    <row r="12" spans="1:18">
      <c r="F12" s="73"/>
      <c r="R12"/>
    </row>
    <row r="13" spans="1:18">
      <c r="F13" s="73"/>
      <c r="R13"/>
    </row>
    <row r="14" spans="1:18">
      <c r="F14" s="73"/>
      <c r="R14"/>
    </row>
    <row r="15" spans="1:18">
      <c r="F15" s="73"/>
      <c r="R15"/>
    </row>
    <row r="16" spans="1:18">
      <c r="F16" s="73"/>
      <c r="R16"/>
    </row>
    <row r="17" spans="6:18">
      <c r="F17" s="73"/>
      <c r="R17"/>
    </row>
    <row r="18" spans="6:18">
      <c r="F18" s="73"/>
      <c r="R18"/>
    </row>
    <row r="19" spans="6:18">
      <c r="F19" s="73"/>
      <c r="R19"/>
    </row>
    <row r="20" spans="6:18">
      <c r="F20" s="73"/>
      <c r="R20"/>
    </row>
    <row r="21" spans="6:18">
      <c r="F21" s="73"/>
      <c r="R21"/>
    </row>
    <row r="22" spans="6:18">
      <c r="F22" s="73"/>
      <c r="R22"/>
    </row>
    <row r="23" spans="6:18">
      <c r="F23" s="73"/>
      <c r="R23"/>
    </row>
    <row r="24" spans="6:18">
      <c r="F24" s="73"/>
      <c r="R24"/>
    </row>
    <row r="25" spans="6:18">
      <c r="F25" s="73"/>
      <c r="R25"/>
    </row>
    <row r="26" spans="6:18">
      <c r="F26" s="73"/>
      <c r="R26"/>
    </row>
    <row r="27" spans="6:18">
      <c r="F27" s="73"/>
      <c r="R27"/>
    </row>
    <row r="28" spans="6:18">
      <c r="F28" s="73"/>
      <c r="R28"/>
    </row>
    <row r="29" spans="6:18">
      <c r="F29" s="73"/>
      <c r="R29"/>
    </row>
    <row r="30" spans="6:18">
      <c r="F30" s="73"/>
      <c r="R30"/>
    </row>
    <row r="31" spans="6:18">
      <c r="F31" s="73"/>
      <c r="R31"/>
    </row>
    <row r="32" spans="6:18">
      <c r="F32" s="73"/>
      <c r="R32"/>
    </row>
    <row r="33" spans="6:18">
      <c r="F33" s="73"/>
      <c r="R33"/>
    </row>
    <row r="34" spans="6:18">
      <c r="F34" s="73"/>
      <c r="R34"/>
    </row>
    <row r="35" spans="6:18">
      <c r="F35" s="73"/>
      <c r="R35"/>
    </row>
    <row r="36" spans="6:18">
      <c r="F36" s="73"/>
      <c r="R36"/>
    </row>
    <row r="37" spans="6:18">
      <c r="F37" s="73"/>
      <c r="R37"/>
    </row>
    <row r="38" spans="6:18">
      <c r="F38" s="73"/>
      <c r="R38"/>
    </row>
    <row r="39" spans="6:18">
      <c r="F39" s="73"/>
      <c r="R39"/>
    </row>
    <row r="40" spans="6:18">
      <c r="F40" s="73"/>
      <c r="R40"/>
    </row>
    <row r="41" spans="6:18">
      <c r="F41" s="73"/>
      <c r="R41"/>
    </row>
    <row r="42" spans="6:18">
      <c r="F42" s="73"/>
      <c r="R42"/>
    </row>
    <row r="43" spans="6:18">
      <c r="F43" s="73"/>
      <c r="R43"/>
    </row>
    <row r="44" spans="6:18">
      <c r="F44" s="73"/>
      <c r="R44"/>
    </row>
    <row r="45" spans="6:18">
      <c r="F45" s="73"/>
      <c r="R45"/>
    </row>
    <row r="46" spans="6:18">
      <c r="F46" s="73"/>
      <c r="R46"/>
    </row>
    <row r="47" spans="6:18">
      <c r="F47" s="73"/>
      <c r="R47"/>
    </row>
    <row r="48" spans="6:18">
      <c r="F48" s="73"/>
      <c r="R48"/>
    </row>
    <row r="49" spans="6:18">
      <c r="F49" s="73"/>
      <c r="R49"/>
    </row>
    <row r="50" spans="6:18">
      <c r="F50" s="73"/>
      <c r="R50"/>
    </row>
    <row r="51" spans="6:18">
      <c r="F51" s="73"/>
      <c r="R51"/>
    </row>
    <row r="52" spans="6:18">
      <c r="F52" s="73"/>
      <c r="R52"/>
    </row>
    <row r="53" spans="6:18">
      <c r="F53" s="73"/>
      <c r="R53"/>
    </row>
    <row r="54" spans="6:18">
      <c r="F54" s="73"/>
      <c r="R54"/>
    </row>
    <row r="55" spans="6:18">
      <c r="F55" s="73"/>
      <c r="R55"/>
    </row>
    <row r="56" spans="6:18">
      <c r="F56" s="73"/>
      <c r="R56"/>
    </row>
    <row r="57" spans="6:18">
      <c r="F57" s="73"/>
      <c r="R57"/>
    </row>
    <row r="58" spans="6:18">
      <c r="F58" s="73"/>
      <c r="R58"/>
    </row>
    <row r="59" spans="6:18">
      <c r="F59" s="73"/>
      <c r="R59"/>
    </row>
    <row r="60" spans="6:18">
      <c r="F60" s="73"/>
      <c r="R60"/>
    </row>
    <row r="61" spans="6:18">
      <c r="F61" s="73"/>
      <c r="R61"/>
    </row>
    <row r="62" spans="6:18">
      <c r="F62" s="73"/>
      <c r="R62"/>
    </row>
    <row r="63" spans="6:18">
      <c r="F63" s="73"/>
      <c r="R63"/>
    </row>
    <row r="64" spans="6:18">
      <c r="F64" s="73"/>
      <c r="R64"/>
    </row>
    <row r="65" spans="6:18">
      <c r="F65" s="73"/>
      <c r="R65"/>
    </row>
    <row r="66" spans="6:18">
      <c r="F66" s="73"/>
      <c r="R66"/>
    </row>
    <row r="67" spans="6:18">
      <c r="F67" s="73"/>
      <c r="R67"/>
    </row>
    <row r="68" spans="6:18">
      <c r="F68" s="73"/>
      <c r="R68"/>
    </row>
    <row r="69" spans="6:18">
      <c r="F69" s="73"/>
      <c r="R69"/>
    </row>
    <row r="70" spans="6:18">
      <c r="F70" s="73"/>
      <c r="R70"/>
    </row>
    <row r="71" spans="6:18">
      <c r="F71" s="73"/>
      <c r="R71"/>
    </row>
    <row r="72" spans="6:18">
      <c r="F72" s="73"/>
      <c r="R72"/>
    </row>
    <row r="73" spans="6:18">
      <c r="F73" s="73"/>
      <c r="R73"/>
    </row>
    <row r="74" spans="6:18">
      <c r="F74" s="73"/>
      <c r="R74"/>
    </row>
    <row r="75" spans="6:18">
      <c r="F75" s="73"/>
      <c r="R75"/>
    </row>
    <row r="76" spans="6:18">
      <c r="F76" s="73"/>
      <c r="R76"/>
    </row>
    <row r="77" spans="6:18">
      <c r="F77" s="73"/>
      <c r="R77"/>
    </row>
    <row r="78" spans="6:18">
      <c r="F78" s="73"/>
      <c r="R78"/>
    </row>
    <row r="79" spans="6:18">
      <c r="F79" s="73"/>
      <c r="R79"/>
    </row>
    <row r="80" spans="6:18">
      <c r="F80" s="73"/>
      <c r="R80"/>
    </row>
    <row r="81" spans="6:18">
      <c r="F81" s="73"/>
      <c r="R81"/>
    </row>
    <row r="82" spans="6:18">
      <c r="F82" s="73"/>
      <c r="R82"/>
    </row>
    <row r="83" spans="6:18">
      <c r="F83" s="73"/>
      <c r="R83"/>
    </row>
    <row r="84" spans="6:18">
      <c r="F84" s="73"/>
      <c r="R84"/>
    </row>
    <row r="85" spans="6:18">
      <c r="F85" s="73"/>
      <c r="R85"/>
    </row>
    <row r="86" spans="6:18">
      <c r="F86" s="73"/>
      <c r="R86"/>
    </row>
    <row r="87" spans="6:18">
      <c r="F87" s="73"/>
      <c r="R87"/>
    </row>
    <row r="88" spans="6:18">
      <c r="F88" s="73"/>
      <c r="R88"/>
    </row>
    <row r="89" spans="6:18">
      <c r="F89" s="73"/>
      <c r="R89"/>
    </row>
    <row r="90" spans="6:18">
      <c r="F90" s="73"/>
      <c r="R90"/>
    </row>
    <row r="91" spans="6:18">
      <c r="F91" s="73"/>
      <c r="R91"/>
    </row>
    <row r="92" spans="6:18">
      <c r="F92" s="73"/>
      <c r="R92"/>
    </row>
    <row r="93" spans="6:18">
      <c r="F93" s="73"/>
      <c r="R93"/>
    </row>
    <row r="94" spans="6:18">
      <c r="F94" s="73"/>
      <c r="R94"/>
    </row>
    <row r="95" spans="6:18">
      <c r="F95" s="73"/>
      <c r="R95"/>
    </row>
    <row r="96" spans="6:18">
      <c r="F96" s="73"/>
      <c r="R96"/>
    </row>
    <row r="97" spans="6:18">
      <c r="F97" s="73"/>
      <c r="R97"/>
    </row>
    <row r="98" spans="6:18">
      <c r="F98" s="73"/>
      <c r="R98"/>
    </row>
    <row r="99" spans="6:18">
      <c r="F99" s="73"/>
      <c r="R99"/>
    </row>
    <row r="100" spans="6:18">
      <c r="F100" s="73"/>
      <c r="R100"/>
    </row>
    <row r="101" spans="6:18">
      <c r="F101" s="73"/>
      <c r="R101"/>
    </row>
    <row r="102" spans="6:18">
      <c r="F102" s="73"/>
      <c r="R102"/>
    </row>
    <row r="103" spans="6:18">
      <c r="F103" s="73"/>
      <c r="R103"/>
    </row>
    <row r="104" spans="6:18">
      <c r="F104" s="73"/>
      <c r="R104"/>
    </row>
    <row r="105" spans="6:18">
      <c r="F105" s="73"/>
      <c r="R105"/>
    </row>
    <row r="106" spans="6:18">
      <c r="F106" s="73"/>
      <c r="R106"/>
    </row>
    <row r="107" spans="6:18">
      <c r="F107" s="73"/>
      <c r="R107"/>
    </row>
    <row r="108" spans="6:18">
      <c r="F108" s="73"/>
      <c r="R108"/>
    </row>
    <row r="109" spans="6:18">
      <c r="F109" s="73"/>
      <c r="R109"/>
    </row>
    <row r="110" spans="6:18">
      <c r="F110" s="73"/>
      <c r="R110"/>
    </row>
    <row r="111" spans="6:18">
      <c r="F111" s="73"/>
      <c r="R111"/>
    </row>
    <row r="112" spans="6:18">
      <c r="F112" s="73"/>
      <c r="R112"/>
    </row>
    <row r="113" spans="6:18">
      <c r="F113" s="73"/>
      <c r="R113"/>
    </row>
    <row r="114" spans="6:18">
      <c r="F114" s="73"/>
      <c r="R114"/>
    </row>
    <row r="115" spans="6:18">
      <c r="F115" s="73"/>
      <c r="R115"/>
    </row>
    <row r="116" spans="6:18">
      <c r="F116" s="73"/>
      <c r="R116"/>
    </row>
    <row r="117" spans="6:18">
      <c r="F117" s="73"/>
      <c r="R117"/>
    </row>
    <row r="118" spans="6:18">
      <c r="F118" s="73"/>
      <c r="R118"/>
    </row>
    <row r="119" spans="6:18">
      <c r="F119" s="73"/>
      <c r="R119"/>
    </row>
    <row r="120" spans="6:18">
      <c r="F120" s="73"/>
      <c r="R120"/>
    </row>
    <row r="121" spans="6:18">
      <c r="F121" s="73"/>
      <c r="R121"/>
    </row>
    <row r="122" spans="6:18">
      <c r="F122" s="73"/>
      <c r="R122"/>
    </row>
    <row r="123" spans="6:18">
      <c r="F123" s="73"/>
      <c r="R123"/>
    </row>
    <row r="124" spans="6:18">
      <c r="F124" s="73"/>
      <c r="R124"/>
    </row>
    <row r="125" spans="6:18">
      <c r="F125" s="73"/>
      <c r="R125"/>
    </row>
    <row r="126" spans="6:18">
      <c r="F126" s="73"/>
      <c r="R126"/>
    </row>
    <row r="127" spans="6:18">
      <c r="F127" s="73"/>
      <c r="R127"/>
    </row>
    <row r="128" spans="6:18">
      <c r="F128" s="73"/>
      <c r="R128"/>
    </row>
    <row r="129" spans="6:18">
      <c r="F129" s="73"/>
      <c r="R129"/>
    </row>
    <row r="130" spans="6:18">
      <c r="F130" s="73"/>
      <c r="R130"/>
    </row>
    <row r="131" spans="6:18">
      <c r="F131" s="73"/>
      <c r="R131"/>
    </row>
    <row r="132" spans="6:18">
      <c r="F132" s="73"/>
      <c r="R132"/>
    </row>
    <row r="133" spans="6:18">
      <c r="F133" s="73"/>
      <c r="R133"/>
    </row>
    <row r="134" spans="6:18">
      <c r="F134" s="73"/>
      <c r="R134"/>
    </row>
    <row r="135" spans="6:18">
      <c r="F135" s="73"/>
      <c r="R135"/>
    </row>
    <row r="136" spans="6:18">
      <c r="F136" s="73"/>
      <c r="R136"/>
    </row>
    <row r="137" spans="6:18">
      <c r="F137" s="73"/>
      <c r="R137"/>
    </row>
    <row r="138" spans="6:18">
      <c r="F138" s="73"/>
      <c r="R138"/>
    </row>
    <row r="139" spans="6:18">
      <c r="F139" s="73"/>
      <c r="R139"/>
    </row>
    <row r="140" spans="6:18">
      <c r="F140" s="73"/>
      <c r="R140"/>
    </row>
    <row r="141" spans="6:18">
      <c r="F141" s="73"/>
      <c r="R141"/>
    </row>
    <row r="142" spans="6:18">
      <c r="F142" s="73"/>
      <c r="R142"/>
    </row>
    <row r="143" spans="6:18">
      <c r="F143" s="73"/>
      <c r="R143"/>
    </row>
    <row r="144" spans="6:18">
      <c r="F144" s="73"/>
      <c r="R144"/>
    </row>
    <row r="145" spans="6:18">
      <c r="F145" s="73"/>
      <c r="R145"/>
    </row>
    <row r="146" spans="6:18">
      <c r="F146" s="73"/>
      <c r="R146"/>
    </row>
    <row r="147" spans="6:18">
      <c r="F147" s="73"/>
      <c r="R147"/>
    </row>
    <row r="148" spans="6:18">
      <c r="F148" s="73"/>
      <c r="R148"/>
    </row>
    <row r="149" spans="6:18">
      <c r="F149" s="73"/>
      <c r="R149"/>
    </row>
    <row r="150" spans="6:18">
      <c r="F150" s="73"/>
      <c r="R150"/>
    </row>
    <row r="151" spans="6:18">
      <c r="F151" s="73"/>
      <c r="R151"/>
    </row>
    <row r="152" spans="6:18">
      <c r="F152" s="73"/>
      <c r="R152"/>
    </row>
    <row r="153" spans="6:18">
      <c r="F153" s="73"/>
      <c r="R153"/>
    </row>
    <row r="154" spans="6:18">
      <c r="F154" s="73"/>
      <c r="R154"/>
    </row>
    <row r="155" spans="6:18">
      <c r="F155" s="73"/>
      <c r="R155"/>
    </row>
    <row r="156" spans="6:18">
      <c r="F156" s="73"/>
      <c r="R156"/>
    </row>
    <row r="157" spans="6:18">
      <c r="F157" s="73"/>
      <c r="R157"/>
    </row>
    <row r="158" spans="6:18">
      <c r="F158" s="73"/>
      <c r="R158"/>
    </row>
    <row r="159" spans="6:18">
      <c r="F159" s="73"/>
      <c r="R159"/>
    </row>
    <row r="160" spans="6:18">
      <c r="F160" s="73"/>
      <c r="R160"/>
    </row>
    <row r="161" spans="6:18">
      <c r="F161" s="73"/>
      <c r="R161"/>
    </row>
    <row r="162" spans="6:18">
      <c r="F162" s="73"/>
      <c r="R162"/>
    </row>
    <row r="163" spans="6:18">
      <c r="F163" s="73"/>
      <c r="R163"/>
    </row>
    <row r="164" spans="6:18">
      <c r="F164" s="73"/>
      <c r="R164"/>
    </row>
    <row r="165" spans="6:18">
      <c r="F165" s="73"/>
      <c r="R165"/>
    </row>
    <row r="166" spans="6:18">
      <c r="F166" s="73"/>
      <c r="R166"/>
    </row>
    <row r="167" spans="6:18">
      <c r="F167" s="73"/>
      <c r="R167"/>
    </row>
    <row r="168" spans="6:18">
      <c r="F168" s="73"/>
      <c r="R168"/>
    </row>
    <row r="169" spans="6:18">
      <c r="F169" s="73"/>
      <c r="R169"/>
    </row>
    <row r="170" spans="6:18">
      <c r="F170" s="73"/>
      <c r="R170"/>
    </row>
    <row r="171" spans="6:18">
      <c r="F171" s="73"/>
      <c r="R171"/>
    </row>
    <row r="172" spans="6:18">
      <c r="F172" s="73"/>
      <c r="R172"/>
    </row>
    <row r="173" spans="6:18">
      <c r="F173" s="73"/>
      <c r="R173"/>
    </row>
    <row r="174" spans="6:18">
      <c r="F174" s="73"/>
      <c r="R174"/>
    </row>
    <row r="175" spans="6:18">
      <c r="F175" s="73"/>
      <c r="R175"/>
    </row>
    <row r="176" spans="6:18">
      <c r="F176" s="73"/>
      <c r="R176"/>
    </row>
    <row r="177" spans="6:18">
      <c r="F177" s="73"/>
      <c r="R177"/>
    </row>
    <row r="178" spans="6:18">
      <c r="F178" s="73"/>
      <c r="R178"/>
    </row>
    <row r="179" spans="6:18">
      <c r="F179" s="73"/>
      <c r="R179"/>
    </row>
    <row r="180" spans="6:18">
      <c r="F180" s="73"/>
      <c r="R180"/>
    </row>
    <row r="181" spans="6:18">
      <c r="F181" s="73"/>
      <c r="R181"/>
    </row>
    <row r="182" spans="6:18">
      <c r="F182" s="73"/>
      <c r="R182"/>
    </row>
    <row r="183" spans="6:18">
      <c r="F183" s="73"/>
      <c r="R183"/>
    </row>
    <row r="184" spans="6:18">
      <c r="F184" s="73"/>
      <c r="R184"/>
    </row>
    <row r="185" spans="6:18">
      <c r="F185" s="73"/>
      <c r="R185"/>
    </row>
    <row r="186" spans="6:18">
      <c r="F186" s="73"/>
      <c r="R186"/>
    </row>
    <row r="187" spans="6:18">
      <c r="F187" s="73"/>
      <c r="R187"/>
    </row>
    <row r="188" spans="6:18">
      <c r="F188" s="73"/>
      <c r="R188"/>
    </row>
    <row r="189" spans="6:18">
      <c r="F189" s="73"/>
      <c r="R189"/>
    </row>
    <row r="190" spans="6:18">
      <c r="F190" s="73"/>
      <c r="R190"/>
    </row>
    <row r="191" spans="6:18">
      <c r="F191" s="73"/>
      <c r="R191"/>
    </row>
    <row r="192" spans="6:18">
      <c r="F192" s="73"/>
      <c r="R192"/>
    </row>
    <row r="193" spans="6:18">
      <c r="F193" s="73"/>
      <c r="R193"/>
    </row>
    <row r="194" spans="6:18">
      <c r="F194" s="73"/>
      <c r="R194"/>
    </row>
    <row r="195" spans="6:18">
      <c r="F195" s="73"/>
      <c r="R195"/>
    </row>
    <row r="196" spans="6:18">
      <c r="F196" s="73"/>
      <c r="R196"/>
    </row>
    <row r="197" spans="6:18">
      <c r="F197" s="73"/>
      <c r="R197"/>
    </row>
    <row r="198" spans="6:18">
      <c r="F198" s="73"/>
      <c r="R198"/>
    </row>
    <row r="199" spans="6:18">
      <c r="F199" s="73"/>
      <c r="R199"/>
    </row>
    <row r="200" spans="6:18">
      <c r="F200" s="73"/>
      <c r="R200"/>
    </row>
    <row r="201" spans="6:18">
      <c r="F201" s="73"/>
      <c r="R201"/>
    </row>
    <row r="202" spans="6:18">
      <c r="F202" s="73"/>
      <c r="R202"/>
    </row>
    <row r="203" spans="6:18">
      <c r="F203" s="73"/>
      <c r="R203"/>
    </row>
    <row r="204" spans="6:18">
      <c r="F204" s="73"/>
      <c r="R204"/>
    </row>
    <row r="205" spans="6:18">
      <c r="F205" s="73"/>
      <c r="R205"/>
    </row>
    <row r="206" spans="6:18">
      <c r="F206" s="73"/>
      <c r="R206"/>
    </row>
    <row r="207" spans="6:18">
      <c r="F207" s="73"/>
      <c r="R207"/>
    </row>
    <row r="208" spans="6:18">
      <c r="F208" s="73"/>
      <c r="R208"/>
    </row>
    <row r="209" spans="6:18">
      <c r="F209" s="73"/>
      <c r="R209"/>
    </row>
    <row r="210" spans="6:18">
      <c r="F210" s="73"/>
      <c r="R210"/>
    </row>
    <row r="211" spans="6:18">
      <c r="F211" s="73"/>
      <c r="R211"/>
    </row>
    <row r="212" spans="6:18">
      <c r="F212" s="73"/>
      <c r="R212"/>
    </row>
    <row r="213" spans="6:18">
      <c r="F213" s="73"/>
      <c r="R213"/>
    </row>
    <row r="214" spans="6:18">
      <c r="F214" s="73"/>
      <c r="R214"/>
    </row>
    <row r="215" spans="6:18">
      <c r="F215" s="73"/>
      <c r="R215"/>
    </row>
    <row r="216" spans="6:18">
      <c r="F216" s="73"/>
      <c r="R216"/>
    </row>
    <row r="217" spans="6:18">
      <c r="F217" s="73"/>
      <c r="R217"/>
    </row>
    <row r="218" spans="6:18">
      <c r="F218" s="73"/>
      <c r="R218"/>
    </row>
    <row r="219" spans="6:18">
      <c r="F219" s="73"/>
      <c r="R219"/>
    </row>
    <row r="220" spans="6:18">
      <c r="F220" s="73"/>
      <c r="R220"/>
    </row>
    <row r="221" spans="6:18">
      <c r="F221" s="73"/>
      <c r="R221"/>
    </row>
    <row r="222" spans="6:18">
      <c r="F222" s="73"/>
      <c r="R222"/>
    </row>
    <row r="223" spans="6:18">
      <c r="F223" s="73"/>
      <c r="R223"/>
    </row>
    <row r="224" spans="6:18">
      <c r="F224" s="73"/>
      <c r="R224"/>
    </row>
    <row r="225" spans="6:18">
      <c r="F225" s="73"/>
      <c r="R225"/>
    </row>
    <row r="226" spans="6:18">
      <c r="F226" s="73"/>
      <c r="R226"/>
    </row>
    <row r="227" spans="6:18">
      <c r="F227" s="73"/>
      <c r="R227"/>
    </row>
    <row r="228" spans="6:18">
      <c r="F228" s="73"/>
      <c r="R228"/>
    </row>
    <row r="229" spans="6:18">
      <c r="F229" s="73"/>
      <c r="R229"/>
    </row>
    <row r="230" spans="6:18">
      <c r="F230" s="73"/>
      <c r="R230"/>
    </row>
    <row r="231" spans="6:18">
      <c r="F231" s="73"/>
      <c r="R231"/>
    </row>
    <row r="232" spans="6:18">
      <c r="F232" s="73"/>
      <c r="R232"/>
    </row>
    <row r="233" spans="6:18">
      <c r="F233" s="73"/>
      <c r="R233"/>
    </row>
    <row r="234" spans="6:18">
      <c r="F234" s="73"/>
      <c r="R234"/>
    </row>
    <row r="235" spans="6:18">
      <c r="F235" s="73"/>
      <c r="R235"/>
    </row>
    <row r="236" spans="6:18">
      <c r="F236" s="73"/>
      <c r="R236"/>
    </row>
    <row r="237" spans="6:18">
      <c r="F237" s="73"/>
      <c r="R237"/>
    </row>
    <row r="238" spans="6:18">
      <c r="F238" s="73"/>
      <c r="R238"/>
    </row>
    <row r="239" spans="6:18">
      <c r="F239" s="73"/>
      <c r="R239"/>
    </row>
    <row r="240" spans="6:18">
      <c r="F240" s="73"/>
      <c r="R240"/>
    </row>
    <row r="241" spans="6:18">
      <c r="F241" s="73"/>
      <c r="R241"/>
    </row>
    <row r="242" spans="6:18">
      <c r="F242" s="73"/>
      <c r="R242"/>
    </row>
    <row r="243" spans="6:18">
      <c r="F243" s="73"/>
      <c r="R243"/>
    </row>
    <row r="244" spans="6:18">
      <c r="F244" s="73"/>
      <c r="R244"/>
    </row>
    <row r="245" spans="6:18">
      <c r="F245" s="73"/>
      <c r="R245"/>
    </row>
    <row r="246" spans="6:18">
      <c r="F246" s="73"/>
      <c r="R246"/>
    </row>
    <row r="247" spans="6:18">
      <c r="F247" s="73"/>
      <c r="R247"/>
    </row>
    <row r="248" spans="6:18">
      <c r="F248" s="73"/>
      <c r="R248"/>
    </row>
    <row r="249" spans="6:18">
      <c r="F249" s="73"/>
      <c r="R249"/>
    </row>
    <row r="250" spans="6:18">
      <c r="F250" s="73"/>
      <c r="R250"/>
    </row>
    <row r="251" spans="6:18">
      <c r="F251" s="73"/>
      <c r="R251"/>
    </row>
    <row r="252" spans="6:18">
      <c r="F252" s="73"/>
      <c r="R252"/>
    </row>
    <row r="253" spans="6:18">
      <c r="F253" s="73"/>
      <c r="R253"/>
    </row>
    <row r="254" spans="6:18">
      <c r="F254" s="73"/>
      <c r="R254"/>
    </row>
    <row r="255" spans="6:18">
      <c r="F255" s="73"/>
      <c r="R255"/>
    </row>
    <row r="256" spans="6:18">
      <c r="F256" s="73"/>
      <c r="R256"/>
    </row>
    <row r="257" spans="6:18">
      <c r="F257" s="73"/>
      <c r="R257"/>
    </row>
    <row r="258" spans="6:18">
      <c r="F258" s="73"/>
      <c r="R258"/>
    </row>
    <row r="259" spans="6:18">
      <c r="F259" s="73"/>
      <c r="R259"/>
    </row>
    <row r="260" spans="6:18">
      <c r="F260" s="73"/>
      <c r="R260"/>
    </row>
    <row r="261" spans="6:18">
      <c r="F261" s="73"/>
      <c r="R261"/>
    </row>
    <row r="262" spans="6:18">
      <c r="F262" s="73"/>
      <c r="R262"/>
    </row>
    <row r="263" spans="6:18">
      <c r="F263" s="73"/>
      <c r="R263"/>
    </row>
    <row r="264" spans="6:18">
      <c r="F264" s="73"/>
      <c r="R264"/>
    </row>
    <row r="265" spans="6:18">
      <c r="F265" s="73"/>
      <c r="R265"/>
    </row>
    <row r="266" spans="6:18">
      <c r="F266" s="73"/>
      <c r="R266"/>
    </row>
    <row r="267" spans="6:18">
      <c r="F267" s="73"/>
      <c r="R267"/>
    </row>
    <row r="268" spans="6:18">
      <c r="F268" s="73"/>
      <c r="R268"/>
    </row>
    <row r="269" spans="6:18">
      <c r="F269" s="73"/>
      <c r="R269"/>
    </row>
    <row r="270" spans="6:18">
      <c r="F270" s="73"/>
      <c r="R270"/>
    </row>
    <row r="271" spans="6:18">
      <c r="F271" s="73"/>
      <c r="R271"/>
    </row>
    <row r="272" spans="6:18">
      <c r="F272" s="73"/>
      <c r="R272"/>
    </row>
    <row r="273" spans="6:18">
      <c r="F273" s="73"/>
      <c r="R273"/>
    </row>
    <row r="274" spans="6:18">
      <c r="F274" s="73"/>
      <c r="R274"/>
    </row>
    <row r="275" spans="6:18">
      <c r="F275" s="73"/>
      <c r="R275"/>
    </row>
    <row r="276" spans="6:18">
      <c r="F276" s="73"/>
      <c r="R276"/>
    </row>
    <row r="277" spans="6:18">
      <c r="F277" s="73"/>
      <c r="R277"/>
    </row>
    <row r="278" spans="6:18">
      <c r="F278" s="73"/>
      <c r="R278"/>
    </row>
    <row r="279" spans="6:18">
      <c r="F279" s="73"/>
      <c r="R279"/>
    </row>
    <row r="280" spans="6:18">
      <c r="F280" s="73"/>
      <c r="R280"/>
    </row>
    <row r="281" spans="6:18">
      <c r="F281" s="73"/>
      <c r="R281"/>
    </row>
    <row r="282" spans="6:18">
      <c r="F282" s="73"/>
      <c r="R282"/>
    </row>
    <row r="283" spans="6:18">
      <c r="F283" s="73"/>
      <c r="R283"/>
    </row>
    <row r="284" spans="6:18">
      <c r="F284" s="73"/>
      <c r="R284"/>
    </row>
    <row r="285" spans="6:18">
      <c r="F285" s="73"/>
      <c r="R285"/>
    </row>
    <row r="286" spans="6:18">
      <c r="F286" s="73"/>
      <c r="R286"/>
    </row>
    <row r="287" spans="6:18">
      <c r="F287" s="73"/>
      <c r="R287"/>
    </row>
    <row r="288" spans="6:18">
      <c r="F288" s="73"/>
      <c r="R288"/>
    </row>
    <row r="289" spans="6:18">
      <c r="F289" s="73"/>
      <c r="R289"/>
    </row>
    <row r="290" spans="6:18">
      <c r="F290" s="73"/>
      <c r="R290"/>
    </row>
    <row r="291" spans="6:18">
      <c r="F291" s="73"/>
      <c r="R291"/>
    </row>
    <row r="292" spans="6:18">
      <c r="F292" s="73"/>
      <c r="R292"/>
    </row>
    <row r="293" spans="6:18">
      <c r="F293" s="73"/>
      <c r="R293"/>
    </row>
    <row r="294" spans="6:18">
      <c r="F294" s="73"/>
      <c r="R294"/>
    </row>
    <row r="295" spans="6:18">
      <c r="F295" s="73"/>
      <c r="R295"/>
    </row>
    <row r="296" spans="6:18">
      <c r="F296" s="73"/>
      <c r="R296"/>
    </row>
    <row r="297" spans="6:18">
      <c r="F297" s="73"/>
      <c r="R297"/>
    </row>
    <row r="298" spans="6:18">
      <c r="F298" s="73"/>
      <c r="R298"/>
    </row>
    <row r="299" spans="6:18">
      <c r="F299" s="73"/>
      <c r="R299"/>
    </row>
    <row r="300" spans="6:18">
      <c r="F300" s="73"/>
      <c r="R300"/>
    </row>
    <row r="301" spans="6:18">
      <c r="F301" s="73"/>
      <c r="R301"/>
    </row>
    <row r="302" spans="6:18">
      <c r="F302" s="73"/>
      <c r="R302"/>
    </row>
    <row r="303" spans="6:18">
      <c r="F303" s="73"/>
      <c r="R303"/>
    </row>
    <row r="304" spans="6:18">
      <c r="F304" s="73"/>
      <c r="R304"/>
    </row>
    <row r="305" spans="6:18">
      <c r="F305" s="73"/>
      <c r="R305"/>
    </row>
    <row r="306" spans="6:18">
      <c r="F306" s="73"/>
      <c r="R306"/>
    </row>
    <row r="307" spans="6:18">
      <c r="F307" s="73"/>
      <c r="R307"/>
    </row>
    <row r="308" spans="6:18">
      <c r="F308" s="73"/>
      <c r="R308"/>
    </row>
    <row r="309" spans="6:18">
      <c r="F309" s="73"/>
      <c r="R309"/>
    </row>
    <row r="310" spans="6:18">
      <c r="F310" s="73"/>
      <c r="R310"/>
    </row>
    <row r="311" spans="6:18">
      <c r="F311" s="73"/>
      <c r="R311"/>
    </row>
    <row r="312" spans="6:18">
      <c r="F312" s="73"/>
      <c r="R312"/>
    </row>
    <row r="313" spans="6:18">
      <c r="F313" s="73"/>
      <c r="R313"/>
    </row>
    <row r="314" spans="6:18">
      <c r="F314" s="73"/>
      <c r="R314"/>
    </row>
    <row r="315" spans="6:18">
      <c r="F315" s="73"/>
      <c r="R315"/>
    </row>
    <row r="316" spans="6:18">
      <c r="F316" s="73"/>
      <c r="R316"/>
    </row>
    <row r="317" spans="6:18">
      <c r="F317" s="73"/>
      <c r="R317"/>
    </row>
    <row r="318" spans="6:18">
      <c r="F318" s="73"/>
      <c r="R318"/>
    </row>
    <row r="319" spans="6:18">
      <c r="F319" s="73"/>
      <c r="R319"/>
    </row>
    <row r="320" spans="6:18">
      <c r="F320" s="73"/>
      <c r="R320"/>
    </row>
    <row r="321" spans="6:18">
      <c r="F321" s="73"/>
      <c r="R321"/>
    </row>
    <row r="322" spans="6:18">
      <c r="F322" s="73"/>
      <c r="R322"/>
    </row>
    <row r="323" spans="6:18">
      <c r="F323" s="73"/>
      <c r="R323"/>
    </row>
    <row r="324" spans="6:18">
      <c r="F324" s="73"/>
      <c r="R324"/>
    </row>
    <row r="325" spans="6:18">
      <c r="F325" s="73"/>
      <c r="R325"/>
    </row>
    <row r="326" spans="6:18">
      <c r="F326" s="73"/>
      <c r="R326"/>
    </row>
    <row r="327" spans="6:18">
      <c r="F327" s="73"/>
      <c r="R327"/>
    </row>
    <row r="328" spans="6:18">
      <c r="F328" s="73"/>
      <c r="R328"/>
    </row>
    <row r="329" spans="6:18">
      <c r="F329" s="73"/>
      <c r="R329"/>
    </row>
    <row r="330" spans="6:18">
      <c r="F330" s="73"/>
      <c r="R330"/>
    </row>
    <row r="331" spans="6:18">
      <c r="F331" s="73"/>
      <c r="R331"/>
    </row>
    <row r="332" spans="6:18">
      <c r="F332" s="73"/>
      <c r="R332"/>
    </row>
    <row r="333" spans="6:18">
      <c r="F333" s="73"/>
      <c r="R333"/>
    </row>
    <row r="334" spans="6:18">
      <c r="F334" s="73"/>
      <c r="R334"/>
    </row>
    <row r="335" spans="6:18">
      <c r="F335" s="73"/>
      <c r="R335"/>
    </row>
    <row r="336" spans="6:18">
      <c r="F336" s="73"/>
      <c r="R336"/>
    </row>
    <row r="337" spans="6:18">
      <c r="F337" s="73"/>
      <c r="R337"/>
    </row>
    <row r="338" spans="6:18">
      <c r="F338" s="73"/>
      <c r="R338"/>
    </row>
    <row r="339" spans="6:18">
      <c r="F339" s="73"/>
      <c r="R339"/>
    </row>
    <row r="340" spans="6:18">
      <c r="F340" s="73"/>
      <c r="R340"/>
    </row>
    <row r="341" spans="6:18">
      <c r="F341" s="73"/>
      <c r="R341"/>
    </row>
    <row r="342" spans="6:18">
      <c r="F342" s="73"/>
      <c r="R342"/>
    </row>
    <row r="343" spans="6:18">
      <c r="F343" s="73"/>
      <c r="R343"/>
    </row>
    <row r="344" spans="6:18">
      <c r="F344" s="73"/>
      <c r="R344"/>
    </row>
    <row r="345" spans="6:18">
      <c r="F345" s="73"/>
      <c r="R345"/>
    </row>
    <row r="346" spans="6:18">
      <c r="F346" s="73"/>
      <c r="R346"/>
    </row>
    <row r="347" spans="6:18">
      <c r="F347" s="73"/>
      <c r="R347"/>
    </row>
    <row r="348" spans="6:18">
      <c r="F348" s="73"/>
      <c r="R348"/>
    </row>
    <row r="349" spans="6:18">
      <c r="F349" s="73"/>
      <c r="R349"/>
    </row>
    <row r="350" spans="6:18">
      <c r="F350" s="73"/>
      <c r="R350"/>
    </row>
    <row r="351" spans="6:18">
      <c r="F351" s="73"/>
      <c r="R351"/>
    </row>
    <row r="352" spans="6:18">
      <c r="F352" s="73"/>
      <c r="R352"/>
    </row>
    <row r="353" spans="6:18">
      <c r="F353" s="73"/>
      <c r="R353"/>
    </row>
    <row r="354" spans="6:18">
      <c r="F354" s="73"/>
      <c r="R354"/>
    </row>
    <row r="355" spans="6:18">
      <c r="F355" s="73"/>
      <c r="R355"/>
    </row>
    <row r="356" spans="6:18">
      <c r="F356" s="73"/>
      <c r="R356"/>
    </row>
    <row r="357" spans="6:18">
      <c r="F357" s="73"/>
      <c r="R357"/>
    </row>
    <row r="358" spans="6:18">
      <c r="F358" s="73"/>
      <c r="R358"/>
    </row>
    <row r="359" spans="6:18">
      <c r="F359" s="73"/>
      <c r="R359"/>
    </row>
    <row r="360" spans="6:18">
      <c r="F360" s="73"/>
      <c r="R360"/>
    </row>
    <row r="361" spans="6:18">
      <c r="F361" s="73"/>
      <c r="R361"/>
    </row>
    <row r="362" spans="6:18">
      <c r="F362" s="73"/>
      <c r="R362"/>
    </row>
    <row r="363" spans="6:18">
      <c r="F363" s="73"/>
      <c r="R363"/>
    </row>
    <row r="364" spans="6:18">
      <c r="F364" s="73"/>
      <c r="R364"/>
    </row>
    <row r="365" spans="6:18">
      <c r="F365" s="73"/>
      <c r="R365"/>
    </row>
    <row r="366" spans="6:18">
      <c r="F366" s="73"/>
      <c r="R366"/>
    </row>
    <row r="367" spans="6:18">
      <c r="F367" s="73"/>
      <c r="R367"/>
    </row>
    <row r="368" spans="6:18">
      <c r="F368" s="73"/>
      <c r="R368"/>
    </row>
    <row r="369" spans="6:18">
      <c r="F369" s="73"/>
      <c r="R369"/>
    </row>
    <row r="370" spans="6:18">
      <c r="F370" s="73"/>
      <c r="R370"/>
    </row>
    <row r="371" spans="6:18">
      <c r="F371" s="73"/>
      <c r="R371"/>
    </row>
    <row r="372" spans="6:18">
      <c r="F372" s="73"/>
      <c r="R372"/>
    </row>
    <row r="373" spans="6:18">
      <c r="F373" s="73"/>
      <c r="R373"/>
    </row>
    <row r="374" spans="6:18">
      <c r="F374" s="73"/>
      <c r="R374"/>
    </row>
    <row r="375" spans="6:18">
      <c r="F375" s="73"/>
      <c r="R375"/>
    </row>
    <row r="376" spans="6:18">
      <c r="F376" s="73"/>
      <c r="R376"/>
    </row>
    <row r="377" spans="6:18">
      <c r="F377" s="73"/>
      <c r="R377"/>
    </row>
    <row r="378" spans="6:18">
      <c r="F378" s="73"/>
      <c r="R378"/>
    </row>
    <row r="379" spans="6:18">
      <c r="F379" s="73"/>
      <c r="R379"/>
    </row>
    <row r="380" spans="6:18">
      <c r="F380" s="73"/>
      <c r="R380"/>
    </row>
    <row r="381" spans="6:18">
      <c r="F381" s="73"/>
      <c r="R381"/>
    </row>
    <row r="382" spans="6:18">
      <c r="F382" s="73"/>
      <c r="R382"/>
    </row>
    <row r="383" spans="6:18">
      <c r="F383" s="73"/>
      <c r="R383"/>
    </row>
    <row r="384" spans="6:18">
      <c r="F384" s="73"/>
      <c r="R384"/>
    </row>
    <row r="385" spans="6:18">
      <c r="F385" s="73"/>
      <c r="R385"/>
    </row>
    <row r="386" spans="6:18">
      <c r="F386" s="73"/>
      <c r="R386"/>
    </row>
    <row r="387" spans="6:18">
      <c r="F387" s="73"/>
      <c r="R387"/>
    </row>
    <row r="388" spans="6:18">
      <c r="F388" s="73"/>
      <c r="R388"/>
    </row>
    <row r="389" spans="6:18">
      <c r="F389" s="73"/>
      <c r="R389"/>
    </row>
    <row r="390" spans="6:18">
      <c r="F390" s="73"/>
      <c r="R390"/>
    </row>
    <row r="391" spans="6:18">
      <c r="F391" s="73"/>
      <c r="R391"/>
    </row>
    <row r="392" spans="6:18">
      <c r="F392" s="73"/>
      <c r="R392"/>
    </row>
    <row r="393" spans="6:18">
      <c r="F393" s="73"/>
      <c r="R393"/>
    </row>
    <row r="394" spans="6:18">
      <c r="F394" s="73"/>
      <c r="R394"/>
    </row>
    <row r="395" spans="6:18">
      <c r="F395" s="73"/>
      <c r="R395"/>
    </row>
    <row r="396" spans="6:18">
      <c r="F396" s="73"/>
      <c r="R396"/>
    </row>
    <row r="397" spans="6:18">
      <c r="F397" s="73"/>
      <c r="R397"/>
    </row>
    <row r="398" spans="6:18">
      <c r="F398" s="73"/>
      <c r="R398"/>
    </row>
    <row r="399" spans="6:18">
      <c r="F399" s="73"/>
      <c r="R399"/>
    </row>
    <row r="400" spans="6:18">
      <c r="F400" s="73"/>
      <c r="R400"/>
    </row>
    <row r="401" spans="6:18">
      <c r="F401" s="73"/>
      <c r="R401"/>
    </row>
    <row r="402" spans="6:18">
      <c r="F402" s="73"/>
      <c r="R402"/>
    </row>
    <row r="403" spans="6:18">
      <c r="F403" s="73"/>
      <c r="R403"/>
    </row>
    <row r="404" spans="6:18">
      <c r="F404" s="73"/>
      <c r="R404"/>
    </row>
    <row r="405" spans="6:18">
      <c r="F405" s="73"/>
      <c r="R405"/>
    </row>
    <row r="406" spans="6:18">
      <c r="F406" s="73"/>
      <c r="R406"/>
    </row>
    <row r="407" spans="6:18">
      <c r="F407" s="73"/>
      <c r="R407"/>
    </row>
    <row r="408" spans="6:18">
      <c r="F408" s="73"/>
      <c r="R408"/>
    </row>
    <row r="409" spans="6:18">
      <c r="F409" s="73"/>
      <c r="R409"/>
    </row>
    <row r="410" spans="6:18">
      <c r="F410" s="73"/>
      <c r="R410"/>
    </row>
    <row r="411" spans="6:18">
      <c r="F411" s="73"/>
      <c r="R411"/>
    </row>
    <row r="412" spans="6:18">
      <c r="F412" s="73"/>
      <c r="R412"/>
    </row>
    <row r="413" spans="6:18">
      <c r="F413" s="73"/>
      <c r="R413"/>
    </row>
    <row r="414" spans="6:18">
      <c r="F414" s="73"/>
      <c r="R414"/>
    </row>
    <row r="415" spans="6:18">
      <c r="F415" s="73"/>
      <c r="R415"/>
    </row>
    <row r="416" spans="6:18">
      <c r="F416" s="73"/>
      <c r="R416"/>
    </row>
    <row r="417" spans="6:18">
      <c r="F417" s="73"/>
      <c r="R417"/>
    </row>
    <row r="418" spans="6:18">
      <c r="F418" s="73"/>
      <c r="R418"/>
    </row>
    <row r="419" spans="6:18">
      <c r="F419" s="73"/>
      <c r="R419"/>
    </row>
    <row r="420" spans="6:18">
      <c r="F420" s="73"/>
      <c r="R420"/>
    </row>
    <row r="421" spans="6:18">
      <c r="F421" s="73"/>
      <c r="R421"/>
    </row>
    <row r="422" spans="6:18">
      <c r="F422" s="73"/>
      <c r="R422"/>
    </row>
    <row r="423" spans="6:18">
      <c r="F423" s="73"/>
      <c r="R423"/>
    </row>
    <row r="424" spans="6:18">
      <c r="F424" s="73"/>
      <c r="R424"/>
    </row>
    <row r="425" spans="6:18">
      <c r="F425" s="73"/>
      <c r="R425"/>
    </row>
    <row r="426" spans="6:18">
      <c r="F426" s="73"/>
      <c r="R426"/>
    </row>
    <row r="427" spans="6:18">
      <c r="F427" s="73"/>
      <c r="R427"/>
    </row>
    <row r="428" spans="6:18">
      <c r="F428" s="73"/>
      <c r="R428"/>
    </row>
    <row r="429" spans="6:18">
      <c r="F429" s="73"/>
      <c r="R429"/>
    </row>
    <row r="430" spans="6:18">
      <c r="F430" s="73"/>
      <c r="R430"/>
    </row>
    <row r="431" spans="6:18">
      <c r="F431" s="73"/>
      <c r="R431"/>
    </row>
    <row r="432" spans="6:18">
      <c r="F432" s="73"/>
      <c r="R432"/>
    </row>
    <row r="433" spans="6:18">
      <c r="F433" s="73"/>
      <c r="R433"/>
    </row>
    <row r="434" spans="6:18">
      <c r="F434" s="73"/>
      <c r="R434"/>
    </row>
    <row r="435" spans="6:18">
      <c r="F435" s="73"/>
      <c r="R435"/>
    </row>
    <row r="436" spans="6:18">
      <c r="F436" s="73"/>
      <c r="R436"/>
    </row>
    <row r="437" spans="6:18">
      <c r="F437" s="73"/>
      <c r="R437"/>
    </row>
    <row r="438" spans="6:18">
      <c r="F438" s="73"/>
      <c r="R438"/>
    </row>
    <row r="439" spans="6:18">
      <c r="F439" s="73"/>
      <c r="R439"/>
    </row>
    <row r="440" spans="6:18">
      <c r="F440" s="73"/>
      <c r="R440"/>
    </row>
    <row r="441" spans="6:18">
      <c r="F441" s="73"/>
      <c r="R441"/>
    </row>
    <row r="442" spans="6:18">
      <c r="F442" s="73"/>
      <c r="R442"/>
    </row>
    <row r="443" spans="6:18">
      <c r="F443" s="73"/>
      <c r="R443"/>
    </row>
    <row r="444" spans="6:18">
      <c r="F444" s="73"/>
      <c r="R444"/>
    </row>
    <row r="445" spans="6:18">
      <c r="F445" s="73"/>
      <c r="R445"/>
    </row>
    <row r="446" spans="6:18">
      <c r="F446" s="73"/>
      <c r="R446"/>
    </row>
    <row r="447" spans="6:18">
      <c r="F447" s="73"/>
      <c r="R447"/>
    </row>
    <row r="448" spans="6:18">
      <c r="F448" s="73"/>
      <c r="R448"/>
    </row>
    <row r="449" spans="6:18">
      <c r="F449" s="73"/>
      <c r="R449"/>
    </row>
    <row r="450" spans="6:18">
      <c r="F450" s="73"/>
      <c r="R450"/>
    </row>
    <row r="451" spans="6:18">
      <c r="F451" s="73"/>
      <c r="R451"/>
    </row>
    <row r="452" spans="6:18">
      <c r="F452" s="73"/>
      <c r="R452"/>
    </row>
    <row r="453" spans="6:18">
      <c r="F453" s="73"/>
      <c r="R453"/>
    </row>
    <row r="454" spans="6:18">
      <c r="F454" s="73"/>
      <c r="R454"/>
    </row>
    <row r="455" spans="6:18">
      <c r="F455" s="73"/>
      <c r="R455"/>
    </row>
    <row r="456" spans="6:18">
      <c r="F456" s="73"/>
      <c r="R456"/>
    </row>
    <row r="457" spans="6:18">
      <c r="F457" s="73"/>
      <c r="R457"/>
    </row>
    <row r="458" spans="6:18">
      <c r="F458" s="73"/>
      <c r="R458"/>
    </row>
    <row r="459" spans="6:18">
      <c r="F459" s="73"/>
      <c r="R459"/>
    </row>
    <row r="460" spans="6:18">
      <c r="F460" s="73"/>
      <c r="R460"/>
    </row>
    <row r="461" spans="6:18">
      <c r="F461" s="73"/>
      <c r="R461"/>
    </row>
    <row r="462" spans="6:18">
      <c r="F462" s="73"/>
      <c r="R462"/>
    </row>
    <row r="463" spans="6:18">
      <c r="F463" s="73"/>
      <c r="R463"/>
    </row>
    <row r="464" spans="6:18">
      <c r="F464" s="73"/>
      <c r="R464"/>
    </row>
    <row r="465" spans="6:18">
      <c r="F465" s="73"/>
      <c r="R465"/>
    </row>
    <row r="466" spans="6:18">
      <c r="F466" s="73"/>
      <c r="R466"/>
    </row>
    <row r="467" spans="6:18">
      <c r="F467" s="73"/>
      <c r="R467"/>
    </row>
    <row r="468" spans="6:18">
      <c r="F468" s="73"/>
      <c r="R468"/>
    </row>
    <row r="469" spans="6:18">
      <c r="F469" s="73"/>
      <c r="R469"/>
    </row>
    <row r="470" spans="6:18">
      <c r="F470" s="73"/>
      <c r="R470"/>
    </row>
    <row r="471" spans="6:18">
      <c r="F471" s="73"/>
      <c r="R471"/>
    </row>
    <row r="472" spans="6:18">
      <c r="F472" s="73"/>
      <c r="R472"/>
    </row>
    <row r="473" spans="6:18">
      <c r="F473" s="73"/>
      <c r="R473"/>
    </row>
    <row r="474" spans="6:18">
      <c r="F474" s="73"/>
      <c r="R474"/>
    </row>
    <row r="475" spans="6:18">
      <c r="F475" s="73"/>
      <c r="R475"/>
    </row>
    <row r="476" spans="6:18">
      <c r="F476" s="73"/>
      <c r="R476"/>
    </row>
    <row r="477" spans="6:18">
      <c r="F477" s="73"/>
      <c r="R477"/>
    </row>
    <row r="478" spans="6:18">
      <c r="F478" s="73"/>
      <c r="R478"/>
    </row>
    <row r="479" spans="6:18">
      <c r="F479" s="73"/>
      <c r="R479"/>
    </row>
    <row r="480" spans="6:18">
      <c r="F480" s="73"/>
      <c r="R480"/>
    </row>
    <row r="481" spans="6:18">
      <c r="F481" s="73"/>
      <c r="R481"/>
    </row>
    <row r="482" spans="6:18">
      <c r="F482" s="73"/>
      <c r="R482"/>
    </row>
    <row r="483" spans="6:18">
      <c r="F483" s="73"/>
      <c r="R483"/>
    </row>
    <row r="484" spans="6:18">
      <c r="F484" s="73"/>
      <c r="R484"/>
    </row>
    <row r="485" spans="6:18">
      <c r="F485" s="73"/>
      <c r="R485"/>
    </row>
    <row r="486" spans="6:18">
      <c r="F486" s="73"/>
      <c r="R486"/>
    </row>
    <row r="487" spans="6:18">
      <c r="F487" s="73"/>
      <c r="R487"/>
    </row>
    <row r="488" spans="6:18">
      <c r="F488" s="73"/>
      <c r="R488"/>
    </row>
    <row r="489" spans="6:18">
      <c r="F489" s="73"/>
      <c r="R489"/>
    </row>
    <row r="490" spans="6:18">
      <c r="F490" s="73"/>
      <c r="R490"/>
    </row>
    <row r="491" spans="6:18">
      <c r="F491" s="73"/>
      <c r="R491"/>
    </row>
    <row r="492" spans="6:18">
      <c r="F492" s="73"/>
      <c r="R492"/>
    </row>
    <row r="493" spans="6:18">
      <c r="F493" s="73"/>
      <c r="R493"/>
    </row>
    <row r="494" spans="6:18">
      <c r="F494" s="73"/>
      <c r="R494"/>
    </row>
    <row r="495" spans="6:18">
      <c r="F495" s="73"/>
      <c r="R495"/>
    </row>
    <row r="496" spans="6:18">
      <c r="F496" s="73"/>
      <c r="R496"/>
    </row>
    <row r="497" spans="6:18">
      <c r="F497" s="73"/>
      <c r="R497"/>
    </row>
    <row r="498" spans="6:18">
      <c r="F498" s="73"/>
      <c r="R498"/>
    </row>
    <row r="499" spans="6:18">
      <c r="F499" s="73"/>
      <c r="R499"/>
    </row>
    <row r="500" spans="6:18">
      <c r="F500" s="73"/>
      <c r="R500"/>
    </row>
    <row r="501" spans="6:18">
      <c r="F501" s="73"/>
      <c r="R501"/>
    </row>
    <row r="502" spans="6:18">
      <c r="F502" s="73"/>
      <c r="R502"/>
    </row>
    <row r="503" spans="6:18">
      <c r="F503" s="73"/>
      <c r="R503"/>
    </row>
    <row r="504" spans="6:18">
      <c r="F504" s="73"/>
      <c r="R504"/>
    </row>
    <row r="505" spans="6:18">
      <c r="F505" s="73"/>
      <c r="R505"/>
    </row>
    <row r="506" spans="6:18">
      <c r="F506" s="73"/>
      <c r="R506"/>
    </row>
    <row r="507" spans="6:18">
      <c r="F507" s="73"/>
      <c r="R507"/>
    </row>
    <row r="508" spans="6:18">
      <c r="F508" s="73"/>
      <c r="R508"/>
    </row>
    <row r="509" spans="6:18">
      <c r="F509" s="73"/>
      <c r="R509"/>
    </row>
    <row r="510" spans="6:18">
      <c r="F510" s="73"/>
      <c r="R510"/>
    </row>
    <row r="511" spans="6:18">
      <c r="F511" s="73"/>
      <c r="R511"/>
    </row>
    <row r="512" spans="6:18">
      <c r="F512" s="73"/>
      <c r="R512"/>
    </row>
    <row r="513" spans="6:18">
      <c r="F513" s="73"/>
      <c r="R513"/>
    </row>
    <row r="514" spans="6:18">
      <c r="F514" s="73"/>
      <c r="R514"/>
    </row>
    <row r="515" spans="6:18">
      <c r="F515" s="73"/>
      <c r="R515"/>
    </row>
    <row r="516" spans="6:18">
      <c r="F516" s="73"/>
      <c r="R516"/>
    </row>
    <row r="517" spans="6:18">
      <c r="F517" s="73"/>
      <c r="R517"/>
    </row>
    <row r="518" spans="6:18">
      <c r="F518" s="73"/>
      <c r="R518"/>
    </row>
    <row r="519" spans="6:18">
      <c r="F519" s="73"/>
      <c r="R519"/>
    </row>
    <row r="520" spans="6:18">
      <c r="F520" s="73"/>
      <c r="R520"/>
    </row>
    <row r="521" spans="6:18">
      <c r="F521" s="73"/>
      <c r="R521"/>
    </row>
    <row r="522" spans="6:18">
      <c r="F522" s="73"/>
      <c r="R522"/>
    </row>
    <row r="523" spans="6:18">
      <c r="F523" s="73"/>
      <c r="R523"/>
    </row>
    <row r="524" spans="6:18">
      <c r="F524" s="73"/>
      <c r="R524"/>
    </row>
    <row r="525" spans="6:18">
      <c r="F525" s="73"/>
      <c r="R525"/>
    </row>
    <row r="526" spans="6:18">
      <c r="F526" s="73"/>
      <c r="R526"/>
    </row>
    <row r="527" spans="6:18">
      <c r="F527" s="73"/>
      <c r="R527"/>
    </row>
    <row r="528" spans="6:18">
      <c r="F528" s="73"/>
      <c r="R528"/>
    </row>
    <row r="529" spans="6:18">
      <c r="F529" s="73"/>
      <c r="R529"/>
    </row>
    <row r="530" spans="6:18">
      <c r="F530" s="73"/>
      <c r="R530"/>
    </row>
    <row r="531" spans="6:18">
      <c r="F531" s="73"/>
      <c r="R531"/>
    </row>
    <row r="532" spans="6:18">
      <c r="F532" s="73"/>
      <c r="R532"/>
    </row>
    <row r="533" spans="6:18">
      <c r="F533" s="73"/>
      <c r="R533"/>
    </row>
    <row r="534" spans="6:18">
      <c r="F534" s="73"/>
      <c r="R534"/>
    </row>
    <row r="535" spans="6:18">
      <c r="F535" s="73"/>
      <c r="R535"/>
    </row>
    <row r="536" spans="6:18">
      <c r="F536" s="73"/>
      <c r="R536"/>
    </row>
    <row r="537" spans="6:18">
      <c r="F537" s="73"/>
      <c r="R537"/>
    </row>
    <row r="538" spans="6:18">
      <c r="F538" s="73"/>
      <c r="R538"/>
    </row>
    <row r="539" spans="6:18">
      <c r="F539" s="73"/>
      <c r="R539"/>
    </row>
    <row r="540" spans="6:18">
      <c r="F540" s="73"/>
      <c r="R540"/>
    </row>
    <row r="541" spans="6:18">
      <c r="F541" s="73"/>
      <c r="R541"/>
    </row>
    <row r="542" spans="6:18">
      <c r="F542" s="73"/>
      <c r="R542"/>
    </row>
    <row r="543" spans="6:18">
      <c r="F543" s="73"/>
      <c r="R543"/>
    </row>
    <row r="544" spans="6:18">
      <c r="F544" s="73"/>
      <c r="R544"/>
    </row>
    <row r="545" spans="6:18">
      <c r="F545" s="73"/>
      <c r="R545"/>
    </row>
    <row r="546" spans="6:18">
      <c r="F546" s="73"/>
      <c r="R546"/>
    </row>
    <row r="547" spans="6:18">
      <c r="F547" s="73"/>
      <c r="R547"/>
    </row>
    <row r="548" spans="6:18">
      <c r="F548" s="73"/>
      <c r="R548"/>
    </row>
    <row r="549" spans="6:18">
      <c r="F549" s="73"/>
      <c r="R549"/>
    </row>
    <row r="550" spans="6:18">
      <c r="F550" s="73"/>
      <c r="R550"/>
    </row>
    <row r="551" spans="6:18">
      <c r="F551" s="73"/>
      <c r="R551"/>
    </row>
    <row r="552" spans="6:18">
      <c r="F552" s="73"/>
      <c r="R552"/>
    </row>
    <row r="553" spans="6:18">
      <c r="F553" s="73"/>
      <c r="R553"/>
    </row>
    <row r="554" spans="6:18">
      <c r="F554" s="73"/>
      <c r="R554"/>
    </row>
    <row r="555" spans="6:18">
      <c r="F555" s="73"/>
      <c r="R555"/>
    </row>
    <row r="556" spans="6:18">
      <c r="F556" s="73"/>
      <c r="R556"/>
    </row>
    <row r="557" spans="6:18">
      <c r="F557" s="73"/>
      <c r="R557"/>
    </row>
    <row r="558" spans="6:18">
      <c r="F558" s="73"/>
      <c r="R558"/>
    </row>
    <row r="559" spans="6:18">
      <c r="F559" s="73"/>
      <c r="R559"/>
    </row>
    <row r="560" spans="6:18">
      <c r="F560" s="73"/>
      <c r="R560"/>
    </row>
    <row r="561" spans="6:18">
      <c r="F561" s="73"/>
      <c r="R561"/>
    </row>
    <row r="562" spans="6:18">
      <c r="F562" s="73"/>
      <c r="R562"/>
    </row>
    <row r="563" spans="6:18">
      <c r="F563" s="73"/>
      <c r="R563"/>
    </row>
    <row r="564" spans="6:18">
      <c r="F564" s="73"/>
      <c r="R564"/>
    </row>
    <row r="565" spans="6:18">
      <c r="F565" s="73"/>
      <c r="R565"/>
    </row>
    <row r="566" spans="6:18">
      <c r="F566" s="73"/>
      <c r="R566"/>
    </row>
    <row r="567" spans="6:18">
      <c r="F567" s="73"/>
      <c r="R567"/>
    </row>
    <row r="568" spans="6:18">
      <c r="F568" s="73"/>
      <c r="R568"/>
    </row>
    <row r="569" spans="6:18">
      <c r="F569" s="73"/>
      <c r="R569"/>
    </row>
    <row r="570" spans="6:18">
      <c r="F570" s="73"/>
      <c r="R570"/>
    </row>
    <row r="571" spans="6:18">
      <c r="F571" s="73"/>
      <c r="R571"/>
    </row>
    <row r="572" spans="6:18">
      <c r="F572" s="73"/>
      <c r="R572"/>
    </row>
    <row r="573" spans="6:18">
      <c r="F573" s="73"/>
      <c r="R573"/>
    </row>
    <row r="574" spans="6:18">
      <c r="F574" s="73"/>
      <c r="R574"/>
    </row>
    <row r="575" spans="6:18">
      <c r="F575" s="73"/>
      <c r="R575"/>
    </row>
    <row r="576" spans="6:18">
      <c r="F576" s="73"/>
      <c r="R576"/>
    </row>
    <row r="577" spans="6:18">
      <c r="F577" s="73"/>
      <c r="R577"/>
    </row>
    <row r="578" spans="6:18">
      <c r="F578" s="73"/>
      <c r="R578"/>
    </row>
    <row r="579" spans="6:18">
      <c r="F579" s="73"/>
      <c r="R579"/>
    </row>
    <row r="580" spans="6:18">
      <c r="F580" s="73"/>
      <c r="R580"/>
    </row>
    <row r="581" spans="6:18">
      <c r="F581" s="73"/>
      <c r="R581"/>
    </row>
    <row r="582" spans="6:18">
      <c r="F582" s="73"/>
      <c r="R582"/>
    </row>
    <row r="583" spans="6:18">
      <c r="F583" s="73"/>
      <c r="R583"/>
    </row>
    <row r="584" spans="6:18">
      <c r="F584" s="73"/>
      <c r="R584"/>
    </row>
    <row r="585" spans="6:18">
      <c r="F585" s="73"/>
      <c r="R585"/>
    </row>
    <row r="586" spans="6:18">
      <c r="F586" s="73"/>
      <c r="R586"/>
    </row>
    <row r="587" spans="6:18">
      <c r="F587" s="73"/>
      <c r="R587"/>
    </row>
    <row r="588" spans="6:18">
      <c r="F588" s="73"/>
      <c r="R588"/>
    </row>
    <row r="589" spans="6:18">
      <c r="F589" s="73"/>
      <c r="R589"/>
    </row>
    <row r="590" spans="6:18">
      <c r="F590" s="73"/>
      <c r="R590"/>
    </row>
    <row r="591" spans="6:18">
      <c r="F591" s="73"/>
      <c r="R591"/>
    </row>
    <row r="592" spans="6:18">
      <c r="F592" s="73"/>
      <c r="R592"/>
    </row>
    <row r="593" spans="6:18">
      <c r="F593" s="73"/>
      <c r="R593"/>
    </row>
    <row r="594" spans="6:18">
      <c r="F594" s="73"/>
      <c r="R594"/>
    </row>
    <row r="595" spans="6:18">
      <c r="F595" s="73"/>
      <c r="R595"/>
    </row>
    <row r="596" spans="6:18">
      <c r="F596" s="73"/>
      <c r="R596"/>
    </row>
    <row r="597" spans="6:18">
      <c r="F597" s="73"/>
      <c r="R597"/>
    </row>
    <row r="598" spans="6:18">
      <c r="F598" s="73"/>
      <c r="R598"/>
    </row>
    <row r="599" spans="6:18">
      <c r="F599" s="73"/>
      <c r="R599"/>
    </row>
    <row r="600" spans="6:18">
      <c r="F600" s="73"/>
      <c r="R600"/>
    </row>
    <row r="601" spans="6:18">
      <c r="F601" s="73"/>
      <c r="R601"/>
    </row>
    <row r="602" spans="6:18">
      <c r="F602" s="73"/>
      <c r="R602"/>
    </row>
    <row r="603" spans="6:18">
      <c r="F603" s="73"/>
      <c r="R603"/>
    </row>
    <row r="604" spans="6:18">
      <c r="F604" s="73"/>
      <c r="R604"/>
    </row>
    <row r="605" spans="6:18">
      <c r="F605" s="73"/>
      <c r="R605"/>
    </row>
    <row r="606" spans="6:18">
      <c r="F606" s="73"/>
      <c r="R606"/>
    </row>
    <row r="607" spans="6:18">
      <c r="F607" s="73"/>
      <c r="R607"/>
    </row>
    <row r="608" spans="6:18">
      <c r="F608" s="73"/>
      <c r="R608"/>
    </row>
    <row r="609" spans="6:18">
      <c r="F609" s="73"/>
      <c r="R609"/>
    </row>
    <row r="610" spans="6:18">
      <c r="F610" s="73"/>
      <c r="R610"/>
    </row>
    <row r="611" spans="6:18">
      <c r="F611" s="73"/>
      <c r="R611"/>
    </row>
    <row r="612" spans="6:18">
      <c r="F612" s="73"/>
      <c r="R612"/>
    </row>
    <row r="613" spans="6:18">
      <c r="F613" s="73"/>
      <c r="R613"/>
    </row>
    <row r="614" spans="6:18">
      <c r="F614" s="73"/>
      <c r="R614"/>
    </row>
    <row r="615" spans="6:18">
      <c r="F615" s="73"/>
      <c r="R615"/>
    </row>
    <row r="616" spans="6:18">
      <c r="F616" s="73"/>
      <c r="R616"/>
    </row>
    <row r="617" spans="6:18">
      <c r="F617" s="73"/>
      <c r="R617"/>
    </row>
    <row r="618" spans="6:18">
      <c r="F618" s="73"/>
      <c r="R618"/>
    </row>
    <row r="619" spans="6:18">
      <c r="F619" s="73"/>
      <c r="R619"/>
    </row>
    <row r="620" spans="6:18">
      <c r="F620" s="73"/>
      <c r="R620"/>
    </row>
    <row r="621" spans="6:18">
      <c r="F621" s="73"/>
      <c r="R621"/>
    </row>
    <row r="622" spans="6:18">
      <c r="F622" s="73"/>
      <c r="R622"/>
    </row>
    <row r="623" spans="6:18">
      <c r="F623" s="73"/>
      <c r="R623"/>
    </row>
    <row r="624" spans="6:18">
      <c r="F624" s="73"/>
      <c r="R624"/>
    </row>
    <row r="625" spans="6:18">
      <c r="F625" s="73"/>
      <c r="R625"/>
    </row>
    <row r="626" spans="6:18">
      <c r="F626" s="73"/>
      <c r="R626"/>
    </row>
    <row r="627" spans="6:18">
      <c r="F627" s="73"/>
      <c r="R627"/>
    </row>
    <row r="628" spans="6:18">
      <c r="F628" s="73"/>
      <c r="R628"/>
    </row>
    <row r="629" spans="6:18">
      <c r="F629" s="73"/>
      <c r="R629"/>
    </row>
    <row r="630" spans="6:18">
      <c r="F630" s="73"/>
      <c r="R630"/>
    </row>
    <row r="631" spans="6:18">
      <c r="F631" s="73"/>
      <c r="R631"/>
    </row>
    <row r="632" spans="6:18">
      <c r="F632" s="73"/>
      <c r="R632"/>
    </row>
    <row r="633" spans="6:18">
      <c r="F633" s="73"/>
      <c r="R633"/>
    </row>
    <row r="634" spans="6:18">
      <c r="F634" s="73"/>
      <c r="R634"/>
    </row>
    <row r="635" spans="6:18">
      <c r="F635" s="73"/>
      <c r="R635"/>
    </row>
    <row r="636" spans="6:18">
      <c r="F636" s="73"/>
      <c r="R636"/>
    </row>
    <row r="637" spans="6:18">
      <c r="F637" s="73"/>
      <c r="R637"/>
    </row>
    <row r="638" spans="6:18">
      <c r="F638" s="73"/>
      <c r="R638"/>
    </row>
    <row r="639" spans="6:18">
      <c r="F639" s="73"/>
      <c r="R639"/>
    </row>
    <row r="640" spans="6:18">
      <c r="F640" s="73"/>
      <c r="R640"/>
    </row>
    <row r="641" spans="6:18">
      <c r="F641" s="73"/>
      <c r="R641"/>
    </row>
    <row r="642" spans="6:18">
      <c r="F642" s="73"/>
      <c r="R642"/>
    </row>
    <row r="643" spans="6:18">
      <c r="F643" s="73"/>
      <c r="R643"/>
    </row>
    <row r="644" spans="6:18">
      <c r="F644" s="73"/>
      <c r="R644"/>
    </row>
    <row r="645" spans="6:18">
      <c r="F645" s="73"/>
      <c r="R645"/>
    </row>
    <row r="646" spans="6:18">
      <c r="F646" s="73"/>
      <c r="R646"/>
    </row>
    <row r="647" spans="6:18">
      <c r="F647" s="73"/>
      <c r="R647"/>
    </row>
    <row r="648" spans="6:18">
      <c r="F648" s="73"/>
      <c r="R648"/>
    </row>
    <row r="649" spans="6:18">
      <c r="F649" s="73"/>
      <c r="R649"/>
    </row>
    <row r="650" spans="6:18">
      <c r="F650" s="73"/>
      <c r="R650"/>
    </row>
    <row r="651" spans="6:18">
      <c r="F651" s="73"/>
      <c r="R651"/>
    </row>
    <row r="652" spans="6:18">
      <c r="F652" s="73"/>
      <c r="R652"/>
    </row>
    <row r="653" spans="6:18">
      <c r="F653" s="73"/>
      <c r="R653"/>
    </row>
    <row r="654" spans="6:18">
      <c r="F654" s="73"/>
      <c r="R654"/>
    </row>
    <row r="655" spans="6:18">
      <c r="F655" s="73"/>
      <c r="R655"/>
    </row>
    <row r="656" spans="6:18">
      <c r="F656" s="73"/>
      <c r="R656"/>
    </row>
    <row r="657" spans="6:18">
      <c r="F657" s="73"/>
      <c r="R657"/>
    </row>
    <row r="658" spans="6:18">
      <c r="F658" s="73"/>
      <c r="R658"/>
    </row>
    <row r="659" spans="6:18">
      <c r="F659" s="73"/>
      <c r="R659"/>
    </row>
    <row r="660" spans="6:18">
      <c r="F660" s="73"/>
      <c r="R660"/>
    </row>
    <row r="661" spans="6:18">
      <c r="F661" s="73"/>
      <c r="R661"/>
    </row>
    <row r="662" spans="6:18">
      <c r="F662" s="73"/>
      <c r="R662"/>
    </row>
    <row r="663" spans="6:18">
      <c r="F663" s="73"/>
      <c r="R663"/>
    </row>
    <row r="664" spans="6:18">
      <c r="F664" s="73"/>
      <c r="R664"/>
    </row>
    <row r="665" spans="6:18">
      <c r="F665" s="73"/>
      <c r="R665"/>
    </row>
    <row r="666" spans="6:18">
      <c r="F666" s="73"/>
      <c r="R666"/>
    </row>
    <row r="667" spans="6:18">
      <c r="F667" s="73"/>
      <c r="R667"/>
    </row>
    <row r="668" spans="6:18">
      <c r="F668" s="73"/>
      <c r="R668"/>
    </row>
    <row r="669" spans="6:18">
      <c r="F669" s="73"/>
      <c r="R669"/>
    </row>
    <row r="670" spans="6:18">
      <c r="F670" s="73"/>
      <c r="R670"/>
    </row>
    <row r="671" spans="6:18">
      <c r="F671" s="73"/>
      <c r="R671"/>
    </row>
    <row r="672" spans="6:18">
      <c r="F672" s="73"/>
      <c r="R672"/>
    </row>
    <row r="673" spans="6:18">
      <c r="F673" s="73"/>
      <c r="R673"/>
    </row>
    <row r="674" spans="6:18">
      <c r="F674" s="73"/>
      <c r="R674"/>
    </row>
    <row r="675" spans="6:18">
      <c r="F675" s="73"/>
      <c r="R675"/>
    </row>
    <row r="676" spans="6:18">
      <c r="F676" s="73"/>
      <c r="R676"/>
    </row>
    <row r="677" spans="6:18">
      <c r="F677" s="73"/>
      <c r="R677"/>
    </row>
    <row r="678" spans="6:18">
      <c r="F678" s="73"/>
      <c r="R678"/>
    </row>
    <row r="679" spans="6:18">
      <c r="F679" s="73"/>
      <c r="R679"/>
    </row>
    <row r="680" spans="6:18">
      <c r="F680" s="73"/>
      <c r="R680"/>
    </row>
    <row r="681" spans="6:18">
      <c r="F681" s="73"/>
      <c r="R681"/>
    </row>
    <row r="682" spans="6:18">
      <c r="F682" s="73"/>
      <c r="R682"/>
    </row>
    <row r="683" spans="6:18">
      <c r="F683" s="73"/>
      <c r="R683"/>
    </row>
    <row r="684" spans="6:18">
      <c r="F684" s="73"/>
      <c r="R684"/>
    </row>
    <row r="685" spans="6:18">
      <c r="F685" s="73"/>
      <c r="R685"/>
    </row>
    <row r="686" spans="6:18">
      <c r="F686" s="73"/>
      <c r="R686"/>
    </row>
    <row r="687" spans="6:18">
      <c r="F687" s="73"/>
      <c r="R687"/>
    </row>
    <row r="688" spans="6:18">
      <c r="F688" s="73"/>
      <c r="R688"/>
    </row>
    <row r="689" spans="6:18">
      <c r="F689" s="73"/>
      <c r="R689"/>
    </row>
    <row r="690" spans="6:18">
      <c r="F690" s="73"/>
      <c r="R690"/>
    </row>
    <row r="691" spans="6:18">
      <c r="F691" s="73"/>
      <c r="R691"/>
    </row>
    <row r="692" spans="6:18">
      <c r="F692" s="73"/>
      <c r="R692"/>
    </row>
    <row r="693" spans="6:18">
      <c r="F693" s="73"/>
      <c r="R693"/>
    </row>
    <row r="694" spans="6:18">
      <c r="F694" s="73"/>
      <c r="R694"/>
    </row>
    <row r="695" spans="6:18">
      <c r="F695" s="73"/>
      <c r="R695"/>
    </row>
    <row r="696" spans="6:18">
      <c r="F696" s="73"/>
      <c r="R696"/>
    </row>
    <row r="697" spans="6:18">
      <c r="F697" s="73"/>
      <c r="R697"/>
    </row>
    <row r="698" spans="6:18">
      <c r="F698" s="73"/>
      <c r="R698"/>
    </row>
    <row r="699" spans="6:18">
      <c r="F699" s="73"/>
      <c r="R699"/>
    </row>
    <row r="700" spans="6:18">
      <c r="F700" s="73"/>
      <c r="R700"/>
    </row>
    <row r="701" spans="6:18">
      <c r="F701" s="73"/>
      <c r="R701"/>
    </row>
    <row r="702" spans="6:18">
      <c r="F702" s="73"/>
      <c r="R702"/>
    </row>
    <row r="703" spans="6:18">
      <c r="F703" s="73"/>
      <c r="R703"/>
    </row>
    <row r="704" spans="6:18">
      <c r="F704" s="73"/>
      <c r="R704"/>
    </row>
    <row r="705" spans="6:18">
      <c r="F705" s="73"/>
      <c r="R705"/>
    </row>
    <row r="706" spans="6:18">
      <c r="F706" s="73"/>
      <c r="R706"/>
    </row>
    <row r="707" spans="6:18">
      <c r="F707" s="73"/>
      <c r="R707"/>
    </row>
    <row r="708" spans="6:18">
      <c r="F708" s="73"/>
      <c r="R708"/>
    </row>
    <row r="709" spans="6:18">
      <c r="F709" s="73"/>
      <c r="R709"/>
    </row>
    <row r="710" spans="6:18">
      <c r="F710" s="73"/>
      <c r="R710"/>
    </row>
    <row r="711" spans="6:18">
      <c r="F711" s="73"/>
      <c r="R711"/>
    </row>
    <row r="712" spans="6:18">
      <c r="F712" s="73"/>
      <c r="R712"/>
    </row>
    <row r="713" spans="6:18">
      <c r="F713" s="73"/>
      <c r="R713"/>
    </row>
    <row r="714" spans="6:18">
      <c r="F714" s="73"/>
      <c r="R714"/>
    </row>
    <row r="715" spans="6:18">
      <c r="F715" s="73"/>
      <c r="R715"/>
    </row>
    <row r="716" spans="6:18">
      <c r="F716" s="73"/>
      <c r="R716"/>
    </row>
    <row r="717" spans="6:18">
      <c r="F717" s="73"/>
      <c r="R717"/>
    </row>
    <row r="718" spans="6:18">
      <c r="F718" s="73"/>
      <c r="R718"/>
    </row>
    <row r="719" spans="6:18">
      <c r="F719" s="73"/>
      <c r="R719"/>
    </row>
    <row r="720" spans="6:18">
      <c r="F720" s="73"/>
      <c r="R720"/>
    </row>
    <row r="721" spans="6:18">
      <c r="F721" s="73"/>
      <c r="R721"/>
    </row>
    <row r="722" spans="6:18">
      <c r="F722" s="73"/>
      <c r="R722"/>
    </row>
    <row r="723" spans="6:18">
      <c r="F723" s="73"/>
      <c r="R723"/>
    </row>
    <row r="724" spans="6:18">
      <c r="F724" s="73"/>
      <c r="R724"/>
    </row>
    <row r="725" spans="6:18">
      <c r="F725" s="73"/>
      <c r="R725"/>
    </row>
    <row r="726" spans="6:18">
      <c r="F726" s="73"/>
      <c r="R726"/>
    </row>
    <row r="727" spans="6:18">
      <c r="F727" s="73"/>
      <c r="R727"/>
    </row>
    <row r="728" spans="6:18">
      <c r="F728" s="73"/>
      <c r="R728"/>
    </row>
    <row r="729" spans="6:18">
      <c r="F729" s="73"/>
      <c r="R729"/>
    </row>
    <row r="730" spans="6:18">
      <c r="F730" s="73"/>
      <c r="R730"/>
    </row>
    <row r="731" spans="6:18">
      <c r="F731" s="73"/>
      <c r="R731"/>
    </row>
    <row r="732" spans="6:18">
      <c r="F732" s="73"/>
      <c r="R732"/>
    </row>
    <row r="733" spans="6:18">
      <c r="F733" s="73"/>
      <c r="R733"/>
    </row>
    <row r="734" spans="6:18">
      <c r="F734" s="73"/>
      <c r="R734"/>
    </row>
    <row r="735" spans="6:18">
      <c r="F735" s="73"/>
      <c r="R735"/>
    </row>
    <row r="736" spans="6:18">
      <c r="F736" s="73"/>
      <c r="R736"/>
    </row>
    <row r="737" spans="6:18">
      <c r="F737" s="73"/>
      <c r="R737"/>
    </row>
    <row r="738" spans="6:18">
      <c r="F738" s="73"/>
      <c r="R738"/>
    </row>
    <row r="739" spans="6:18">
      <c r="F739" s="73"/>
      <c r="R739"/>
    </row>
    <row r="740" spans="6:18">
      <c r="F740" s="73"/>
      <c r="R740"/>
    </row>
    <row r="741" spans="6:18">
      <c r="F741" s="73"/>
      <c r="R741"/>
    </row>
    <row r="742" spans="6:18">
      <c r="F742" s="73"/>
      <c r="R742"/>
    </row>
    <row r="743" spans="6:18">
      <c r="F743" s="73"/>
      <c r="R743"/>
    </row>
    <row r="744" spans="6:18">
      <c r="F744" s="73"/>
      <c r="R744"/>
    </row>
    <row r="745" spans="6:18">
      <c r="F745" s="73"/>
      <c r="R745"/>
    </row>
    <row r="746" spans="6:18">
      <c r="F746" s="73"/>
      <c r="R746"/>
    </row>
    <row r="747" spans="6:18">
      <c r="F747" s="73"/>
      <c r="R747"/>
    </row>
    <row r="748" spans="6:18">
      <c r="F748" s="73"/>
      <c r="R748"/>
    </row>
    <row r="749" spans="6:18">
      <c r="F749" s="73"/>
      <c r="R749"/>
    </row>
    <row r="750" spans="6:18">
      <c r="F750" s="73"/>
      <c r="R750"/>
    </row>
    <row r="751" spans="6:18">
      <c r="F751" s="73"/>
      <c r="R751"/>
    </row>
    <row r="752" spans="6:18">
      <c r="F752" s="73"/>
      <c r="R752"/>
    </row>
    <row r="753" spans="6:18">
      <c r="F753" s="73"/>
      <c r="R753"/>
    </row>
    <row r="754" spans="6:18">
      <c r="F754" s="73"/>
      <c r="R754"/>
    </row>
    <row r="755" spans="6:18">
      <c r="F755" s="73"/>
      <c r="R755"/>
    </row>
    <row r="756" spans="6:18">
      <c r="F756" s="73"/>
      <c r="R756"/>
    </row>
    <row r="757" spans="6:18">
      <c r="F757" s="73"/>
      <c r="R757"/>
    </row>
    <row r="758" spans="6:18">
      <c r="F758" s="73"/>
      <c r="R758"/>
    </row>
    <row r="759" spans="6:18">
      <c r="F759" s="73"/>
      <c r="R759"/>
    </row>
    <row r="760" spans="6:18">
      <c r="F760" s="73"/>
      <c r="R760"/>
    </row>
    <row r="761" spans="6:18">
      <c r="F761" s="73"/>
      <c r="R761"/>
    </row>
    <row r="762" spans="6:18">
      <c r="F762" s="73"/>
      <c r="R762"/>
    </row>
    <row r="763" spans="6:18">
      <c r="F763" s="73"/>
      <c r="R763"/>
    </row>
    <row r="764" spans="6:18">
      <c r="F764" s="73"/>
      <c r="R764"/>
    </row>
    <row r="765" spans="6:18">
      <c r="F765" s="73"/>
      <c r="R765"/>
    </row>
    <row r="766" spans="6:18">
      <c r="F766" s="73"/>
      <c r="R766"/>
    </row>
    <row r="767" spans="6:18">
      <c r="F767" s="73"/>
      <c r="R767"/>
    </row>
    <row r="768" spans="6:18">
      <c r="F768" s="73"/>
      <c r="R768"/>
    </row>
    <row r="769" spans="6:18">
      <c r="F769" s="73"/>
      <c r="R769"/>
    </row>
    <row r="770" spans="6:18">
      <c r="F770" s="73"/>
      <c r="R770"/>
    </row>
    <row r="771" spans="6:18">
      <c r="F771" s="73"/>
      <c r="R771"/>
    </row>
    <row r="772" spans="6:18">
      <c r="F772" s="73"/>
      <c r="R772"/>
    </row>
    <row r="773" spans="6:18">
      <c r="F773" s="73"/>
      <c r="R773"/>
    </row>
    <row r="774" spans="6:18">
      <c r="F774" s="73"/>
      <c r="R774"/>
    </row>
    <row r="775" spans="6:18">
      <c r="F775" s="73"/>
      <c r="R775"/>
    </row>
    <row r="776" spans="6:18">
      <c r="F776" s="73"/>
      <c r="R776"/>
    </row>
    <row r="777" spans="6:18">
      <c r="F777" s="73"/>
      <c r="R777"/>
    </row>
    <row r="778" spans="6:18">
      <c r="F778" s="73"/>
      <c r="R778"/>
    </row>
    <row r="779" spans="6:18">
      <c r="F779" s="73"/>
      <c r="R779"/>
    </row>
    <row r="780" spans="6:18">
      <c r="F780" s="73"/>
      <c r="R780"/>
    </row>
    <row r="781" spans="6:18">
      <c r="F781" s="73"/>
      <c r="R781"/>
    </row>
    <row r="782" spans="6:18">
      <c r="F782" s="73"/>
      <c r="R782"/>
    </row>
    <row r="783" spans="6:18">
      <c r="F783" s="73"/>
      <c r="R783"/>
    </row>
    <row r="784" spans="6:18">
      <c r="F784" s="73"/>
      <c r="R784"/>
    </row>
    <row r="785" spans="6:18">
      <c r="F785" s="73"/>
      <c r="R785"/>
    </row>
    <row r="786" spans="6:18">
      <c r="F786" s="73"/>
      <c r="R786"/>
    </row>
    <row r="787" spans="6:18">
      <c r="F787" s="73"/>
      <c r="R787"/>
    </row>
    <row r="788" spans="6:18">
      <c r="F788" s="73"/>
      <c r="R788"/>
    </row>
    <row r="789" spans="6:18">
      <c r="F789" s="73"/>
      <c r="R789"/>
    </row>
    <row r="790" spans="6:18">
      <c r="F790" s="73"/>
      <c r="R790"/>
    </row>
    <row r="791" spans="6:18">
      <c r="F791" s="73"/>
      <c r="R791"/>
    </row>
    <row r="792" spans="6:18">
      <c r="F792" s="73"/>
      <c r="R792"/>
    </row>
    <row r="793" spans="6:18">
      <c r="F793" s="73"/>
      <c r="R793"/>
    </row>
    <row r="794" spans="6:18">
      <c r="F794" s="73"/>
      <c r="R794"/>
    </row>
    <row r="795" spans="6:18">
      <c r="F795" s="73"/>
      <c r="R795"/>
    </row>
    <row r="796" spans="6:18">
      <c r="F796" s="73"/>
      <c r="R796"/>
    </row>
    <row r="797" spans="6:18">
      <c r="F797" s="73"/>
      <c r="R797"/>
    </row>
    <row r="798" spans="6:18">
      <c r="F798" s="73"/>
      <c r="R798"/>
    </row>
    <row r="799" spans="6:18">
      <c r="F799" s="73"/>
      <c r="R799"/>
    </row>
    <row r="800" spans="6:18">
      <c r="F800" s="73"/>
      <c r="R800"/>
    </row>
    <row r="801" spans="6:18">
      <c r="F801" s="73"/>
      <c r="R801"/>
    </row>
    <row r="802" spans="6:18">
      <c r="F802" s="73"/>
      <c r="R802"/>
    </row>
    <row r="803" spans="6:18">
      <c r="F803" s="73"/>
      <c r="R803"/>
    </row>
    <row r="804" spans="6:18">
      <c r="F804" s="73"/>
      <c r="R804"/>
    </row>
    <row r="805" spans="6:18">
      <c r="F805" s="73"/>
      <c r="R805"/>
    </row>
    <row r="806" spans="6:18">
      <c r="F806" s="73"/>
      <c r="R806"/>
    </row>
    <row r="807" spans="6:18">
      <c r="F807" s="73"/>
      <c r="R807"/>
    </row>
    <row r="808" spans="6:18">
      <c r="F808" s="73"/>
      <c r="R808"/>
    </row>
    <row r="809" spans="6:18">
      <c r="F809" s="73"/>
      <c r="R809"/>
    </row>
    <row r="810" spans="6:18">
      <c r="F810" s="73"/>
      <c r="R810"/>
    </row>
    <row r="811" spans="6:18">
      <c r="F811" s="73"/>
      <c r="R811"/>
    </row>
    <row r="812" spans="6:18">
      <c r="F812" s="73"/>
      <c r="R812"/>
    </row>
    <row r="813" spans="6:18">
      <c r="F813" s="73"/>
      <c r="R813"/>
    </row>
    <row r="814" spans="6:18">
      <c r="F814" s="73"/>
      <c r="R814"/>
    </row>
    <row r="815" spans="6:18">
      <c r="F815" s="73"/>
      <c r="R815"/>
    </row>
    <row r="816" spans="6:18">
      <c r="F816" s="73"/>
      <c r="R816"/>
    </row>
    <row r="817" spans="6:18">
      <c r="F817" s="73"/>
      <c r="R817"/>
    </row>
    <row r="818" spans="6:18">
      <c r="F818" s="73"/>
      <c r="R818"/>
    </row>
    <row r="819" spans="6:18">
      <c r="F819" s="73"/>
      <c r="R819"/>
    </row>
    <row r="820" spans="6:18">
      <c r="F820" s="73"/>
      <c r="R820"/>
    </row>
    <row r="821" spans="6:18">
      <c r="F821" s="73"/>
      <c r="R821"/>
    </row>
    <row r="822" spans="6:18">
      <c r="F822" s="73"/>
      <c r="R822"/>
    </row>
    <row r="823" spans="6:18">
      <c r="F823" s="73"/>
      <c r="R823"/>
    </row>
    <row r="824" spans="6:18">
      <c r="F824" s="73"/>
      <c r="R824"/>
    </row>
    <row r="825" spans="6:18">
      <c r="F825" s="73"/>
      <c r="R825"/>
    </row>
    <row r="826" spans="6:18">
      <c r="F826" s="73"/>
      <c r="R826"/>
    </row>
    <row r="827" spans="6:18">
      <c r="F827" s="73"/>
      <c r="R827"/>
    </row>
    <row r="828" spans="6:18">
      <c r="F828" s="73"/>
      <c r="R828"/>
    </row>
    <row r="829" spans="6:18">
      <c r="F829" s="73"/>
      <c r="R829"/>
    </row>
    <row r="830" spans="6:18">
      <c r="F830" s="73"/>
      <c r="R830"/>
    </row>
    <row r="831" spans="6:18">
      <c r="F831" s="73"/>
      <c r="R831"/>
    </row>
    <row r="832" spans="6:18">
      <c r="F832" s="73"/>
      <c r="R832"/>
    </row>
    <row r="833" spans="6:18">
      <c r="F833" s="73"/>
      <c r="R833"/>
    </row>
    <row r="834" spans="6:18">
      <c r="F834" s="73"/>
      <c r="R834"/>
    </row>
    <row r="835" spans="6:18">
      <c r="F835" s="73"/>
      <c r="R835"/>
    </row>
    <row r="836" spans="6:18">
      <c r="F836" s="73"/>
      <c r="R836"/>
    </row>
    <row r="837" spans="6:18">
      <c r="F837" s="73"/>
      <c r="R837"/>
    </row>
    <row r="838" spans="6:18">
      <c r="F838" s="73"/>
      <c r="R838"/>
    </row>
    <row r="839" spans="6:18">
      <c r="F839" s="73"/>
      <c r="R839"/>
    </row>
    <row r="840" spans="6:18">
      <c r="F840" s="73"/>
      <c r="R840"/>
    </row>
    <row r="841" spans="6:18">
      <c r="F841" s="73"/>
      <c r="R841"/>
    </row>
    <row r="842" spans="6:18">
      <c r="F842" s="73"/>
      <c r="R842"/>
    </row>
    <row r="843" spans="6:18">
      <c r="F843" s="73"/>
      <c r="R843"/>
    </row>
    <row r="844" spans="6:18">
      <c r="F844" s="73"/>
      <c r="R844"/>
    </row>
    <row r="845" spans="6:18">
      <c r="F845" s="73"/>
      <c r="R845"/>
    </row>
    <row r="846" spans="6:18">
      <c r="F846" s="73"/>
      <c r="R846"/>
    </row>
    <row r="847" spans="6:18">
      <c r="F847" s="73"/>
      <c r="R847"/>
    </row>
    <row r="848" spans="6:18">
      <c r="F848" s="73"/>
      <c r="R848"/>
    </row>
    <row r="849" spans="6:18">
      <c r="F849" s="73"/>
      <c r="R849"/>
    </row>
  </sheetData>
  <phoneticPr fontId="0" type="noConversion"/>
  <pageMargins left="0.35433070866141736" right="0.74803149606299213" top="0.39370078740157483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931"/>
  <sheetViews>
    <sheetView workbookViewId="0">
      <selection activeCell="D14" sqref="D14"/>
    </sheetView>
  </sheetViews>
  <sheetFormatPr defaultRowHeight="12.75"/>
  <cols>
    <col min="1" max="1" width="2.28515625" customWidth="1"/>
    <col min="2" max="2" width="3.28515625" customWidth="1"/>
    <col min="3" max="3" width="11.5703125" customWidth="1"/>
    <col min="4" max="4" width="3.42578125" customWidth="1"/>
    <col min="5" max="5" width="11.28515625" style="40" customWidth="1"/>
    <col min="6" max="6" width="10.140625" style="40" customWidth="1"/>
    <col min="7" max="7" width="9.85546875" customWidth="1"/>
    <col min="8" max="8" width="3.42578125" customWidth="1"/>
    <col min="9" max="9" width="10" customWidth="1"/>
    <col min="10" max="10" width="7.140625" customWidth="1"/>
    <col min="11" max="13" width="11.7109375" customWidth="1"/>
    <col min="14" max="14" width="4.42578125" customWidth="1"/>
    <col min="15" max="15" width="2.85546875" customWidth="1"/>
    <col min="16" max="16" width="3" customWidth="1"/>
    <col min="17" max="17" width="11.42578125" customWidth="1"/>
    <col min="18" max="18" width="3.5703125" style="72" customWidth="1"/>
    <col min="19" max="19" width="7.28515625" customWidth="1"/>
  </cols>
  <sheetData>
    <row r="1" spans="1:18">
      <c r="A1" s="45" t="s">
        <v>76</v>
      </c>
    </row>
    <row r="2" spans="1:18">
      <c r="F2" s="73"/>
      <c r="R2"/>
    </row>
    <row r="3" spans="1:18">
      <c r="A3" s="84" t="s">
        <v>33</v>
      </c>
      <c r="B3" s="59"/>
      <c r="C3" s="332">
        <v>300</v>
      </c>
      <c r="D3" s="332"/>
      <c r="E3" s="200">
        <v>40963</v>
      </c>
      <c r="F3" s="93"/>
      <c r="G3" s="47"/>
      <c r="H3" s="47"/>
      <c r="I3" s="94"/>
      <c r="J3" s="92"/>
      <c r="K3" s="118"/>
      <c r="L3" s="118"/>
      <c r="M3" s="118"/>
      <c r="R3"/>
    </row>
    <row r="4" spans="1:18">
      <c r="A4" s="47"/>
      <c r="B4" s="59">
        <v>9</v>
      </c>
      <c r="C4" s="104">
        <v>100</v>
      </c>
      <c r="D4" s="89" t="s">
        <v>27</v>
      </c>
      <c r="E4" s="119"/>
      <c r="F4" s="93"/>
      <c r="G4" s="47"/>
      <c r="H4" s="47"/>
      <c r="I4" s="94"/>
      <c r="J4" s="47"/>
      <c r="K4" s="118"/>
      <c r="L4" s="95"/>
      <c r="M4" s="90"/>
      <c r="R4"/>
    </row>
    <row r="5" spans="1:18">
      <c r="A5" s="47"/>
      <c r="B5" s="107">
        <v>10</v>
      </c>
      <c r="C5" s="114">
        <v>100</v>
      </c>
      <c r="D5" s="108" t="s">
        <v>27</v>
      </c>
      <c r="E5" s="379"/>
      <c r="F5" s="93"/>
      <c r="G5" s="47"/>
      <c r="H5" s="47"/>
      <c r="I5" s="94"/>
      <c r="J5" s="47"/>
      <c r="K5" s="118"/>
      <c r="L5" s="95"/>
      <c r="M5" s="90"/>
      <c r="R5"/>
    </row>
    <row r="6" spans="1:18">
      <c r="A6" s="47"/>
      <c r="B6" s="107">
        <v>11</v>
      </c>
      <c r="C6" s="114">
        <v>100</v>
      </c>
      <c r="D6" s="108" t="s">
        <v>27</v>
      </c>
      <c r="E6" s="92"/>
      <c r="F6" s="93"/>
      <c r="G6" s="47"/>
      <c r="H6" s="47"/>
      <c r="I6" s="94"/>
      <c r="J6" s="47"/>
      <c r="K6" s="118"/>
      <c r="L6" s="95"/>
      <c r="M6" s="90"/>
      <c r="R6"/>
    </row>
    <row r="7" spans="1:18">
      <c r="A7" s="47"/>
      <c r="B7" s="107">
        <v>12</v>
      </c>
      <c r="C7" s="114">
        <v>100</v>
      </c>
      <c r="D7" s="108" t="s">
        <v>27</v>
      </c>
      <c r="E7" s="92"/>
      <c r="F7" s="93"/>
      <c r="G7" s="47"/>
      <c r="H7" s="47"/>
      <c r="I7" s="94"/>
      <c r="J7" s="47"/>
      <c r="K7" s="118"/>
      <c r="L7" s="95"/>
      <c r="M7" s="90"/>
      <c r="R7"/>
    </row>
    <row r="8" spans="1:18">
      <c r="A8" s="47"/>
      <c r="B8" s="107">
        <v>13</v>
      </c>
      <c r="C8" s="114">
        <v>100</v>
      </c>
      <c r="D8" s="108" t="s">
        <v>27</v>
      </c>
      <c r="E8" s="92"/>
      <c r="F8" s="93"/>
      <c r="G8" s="47"/>
      <c r="H8" s="47"/>
      <c r="I8" s="94"/>
      <c r="J8" s="47"/>
      <c r="K8" s="118"/>
      <c r="L8" s="95"/>
      <c r="M8" s="90"/>
      <c r="R8"/>
    </row>
    <row r="9" spans="1:18">
      <c r="A9" s="47"/>
      <c r="B9" s="107">
        <v>14</v>
      </c>
      <c r="C9" s="114">
        <v>100</v>
      </c>
      <c r="D9" s="108" t="s">
        <v>27</v>
      </c>
      <c r="E9" s="92"/>
      <c r="F9" s="93"/>
      <c r="G9" s="47"/>
      <c r="H9" s="47"/>
      <c r="I9" s="94"/>
      <c r="J9" s="47"/>
      <c r="K9" s="118"/>
      <c r="L9" s="95"/>
      <c r="M9" s="90"/>
      <c r="R9"/>
    </row>
    <row r="10" spans="1:18">
      <c r="A10" s="47"/>
      <c r="B10" s="107">
        <v>15</v>
      </c>
      <c r="C10" s="114">
        <v>100</v>
      </c>
      <c r="D10" s="108" t="s">
        <v>27</v>
      </c>
      <c r="E10" s="92"/>
      <c r="F10" s="93"/>
      <c r="G10" s="47"/>
      <c r="H10" s="47"/>
      <c r="I10" s="94"/>
      <c r="J10" s="47"/>
      <c r="K10" s="118"/>
      <c r="L10" s="95"/>
      <c r="M10" s="90"/>
      <c r="R10"/>
    </row>
    <row r="11" spans="1:18">
      <c r="A11" s="47"/>
      <c r="B11" s="107">
        <v>16</v>
      </c>
      <c r="C11" s="114">
        <v>100</v>
      </c>
      <c r="D11" s="108" t="s">
        <v>27</v>
      </c>
      <c r="E11" s="92"/>
      <c r="F11" s="93"/>
      <c r="G11" s="47"/>
      <c r="H11" s="47"/>
      <c r="I11" s="94"/>
      <c r="J11" s="47"/>
      <c r="K11" s="118"/>
      <c r="L11" s="95"/>
      <c r="M11" s="90"/>
      <c r="R11"/>
    </row>
    <row r="12" spans="1:18">
      <c r="A12" s="47"/>
      <c r="B12" s="107">
        <v>17</v>
      </c>
      <c r="C12" s="114">
        <v>100</v>
      </c>
      <c r="D12" s="108" t="s">
        <v>27</v>
      </c>
      <c r="E12" s="92"/>
      <c r="F12" s="93"/>
      <c r="G12" s="47"/>
      <c r="H12" s="47"/>
      <c r="I12" s="94"/>
      <c r="J12" s="47"/>
      <c r="K12" s="118"/>
      <c r="L12" s="95"/>
      <c r="M12" s="90"/>
      <c r="R12"/>
    </row>
    <row r="13" spans="1:18">
      <c r="A13" s="47"/>
      <c r="B13" s="107">
        <v>18</v>
      </c>
      <c r="C13" s="114">
        <v>100</v>
      </c>
      <c r="D13" s="108" t="s">
        <v>27</v>
      </c>
      <c r="E13" s="92"/>
      <c r="F13" s="93"/>
      <c r="G13" s="47"/>
      <c r="H13" s="47"/>
      <c r="I13" s="94"/>
      <c r="J13" s="47"/>
      <c r="K13" s="47"/>
      <c r="L13" s="47"/>
      <c r="M13" s="47"/>
      <c r="R13"/>
    </row>
    <row r="14" spans="1:18" ht="13.5" thickBot="1">
      <c r="A14" s="47"/>
      <c r="B14" s="47"/>
      <c r="C14" s="129">
        <f>SUM(C4:C13)</f>
        <v>1000</v>
      </c>
      <c r="D14" s="88"/>
      <c r="E14" s="92"/>
      <c r="F14" s="73"/>
      <c r="R14"/>
    </row>
    <row r="15" spans="1:18" ht="13.5" thickTop="1">
      <c r="A15" s="47"/>
      <c r="B15" s="47"/>
      <c r="C15" s="47"/>
      <c r="D15" s="47"/>
      <c r="E15" s="92"/>
      <c r="F15" s="73"/>
      <c r="R15"/>
    </row>
    <row r="16" spans="1:18">
      <c r="A16" s="47"/>
      <c r="B16" s="47"/>
      <c r="C16" s="47"/>
      <c r="D16" s="47"/>
      <c r="E16" s="92"/>
      <c r="F16" s="73"/>
      <c r="R16"/>
    </row>
    <row r="17" spans="6:18">
      <c r="F17" s="73"/>
      <c r="R17"/>
    </row>
    <row r="18" spans="6:18">
      <c r="F18" s="73"/>
      <c r="R18"/>
    </row>
    <row r="19" spans="6:18">
      <c r="F19" s="73"/>
      <c r="R19"/>
    </row>
    <row r="20" spans="6:18">
      <c r="F20" s="73"/>
      <c r="R20"/>
    </row>
    <row r="21" spans="6:18">
      <c r="F21" s="73"/>
      <c r="R21"/>
    </row>
    <row r="22" spans="6:18">
      <c r="F22" s="73"/>
      <c r="R22"/>
    </row>
    <row r="23" spans="6:18">
      <c r="F23" s="73"/>
      <c r="R23"/>
    </row>
    <row r="24" spans="6:18">
      <c r="F24" s="73"/>
      <c r="R24"/>
    </row>
    <row r="25" spans="6:18">
      <c r="F25" s="73"/>
      <c r="R25"/>
    </row>
    <row r="26" spans="6:18">
      <c r="F26" s="73"/>
      <c r="R26"/>
    </row>
    <row r="27" spans="6:18">
      <c r="F27" s="73"/>
      <c r="R27"/>
    </row>
    <row r="28" spans="6:18">
      <c r="F28" s="73"/>
      <c r="R28"/>
    </row>
    <row r="29" spans="6:18">
      <c r="F29" s="73"/>
      <c r="R29"/>
    </row>
    <row r="30" spans="6:18">
      <c r="F30" s="73"/>
      <c r="R30"/>
    </row>
    <row r="31" spans="6:18">
      <c r="F31" s="73"/>
      <c r="R31"/>
    </row>
    <row r="32" spans="6:18">
      <c r="F32" s="73"/>
      <c r="R32"/>
    </row>
    <row r="33" spans="6:18">
      <c r="F33" s="73"/>
      <c r="R33"/>
    </row>
    <row r="34" spans="6:18">
      <c r="F34" s="73"/>
      <c r="R34"/>
    </row>
    <row r="35" spans="6:18">
      <c r="F35" s="73"/>
      <c r="R35"/>
    </row>
    <row r="36" spans="6:18">
      <c r="F36" s="73"/>
      <c r="R36"/>
    </row>
    <row r="37" spans="6:18">
      <c r="F37" s="73"/>
      <c r="R37"/>
    </row>
    <row r="38" spans="6:18">
      <c r="F38" s="73"/>
      <c r="R38"/>
    </row>
    <row r="39" spans="6:18">
      <c r="F39" s="73"/>
      <c r="R39"/>
    </row>
    <row r="40" spans="6:18">
      <c r="F40" s="73"/>
      <c r="R40"/>
    </row>
    <row r="41" spans="6:18">
      <c r="F41" s="73"/>
      <c r="R41"/>
    </row>
    <row r="42" spans="6:18">
      <c r="F42" s="73"/>
      <c r="R42"/>
    </row>
    <row r="43" spans="6:18">
      <c r="F43" s="73"/>
      <c r="R43"/>
    </row>
    <row r="44" spans="6:18">
      <c r="F44" s="73"/>
      <c r="R44"/>
    </row>
    <row r="45" spans="6:18">
      <c r="F45" s="73"/>
      <c r="R45"/>
    </row>
    <row r="46" spans="6:18">
      <c r="F46" s="73"/>
      <c r="R46"/>
    </row>
    <row r="47" spans="6:18">
      <c r="F47" s="73"/>
      <c r="R47"/>
    </row>
    <row r="48" spans="6:18">
      <c r="F48" s="73"/>
      <c r="R48"/>
    </row>
    <row r="49" spans="6:18">
      <c r="F49" s="73"/>
      <c r="R49"/>
    </row>
    <row r="50" spans="6:18">
      <c r="F50" s="73"/>
      <c r="R50"/>
    </row>
    <row r="51" spans="6:18">
      <c r="F51" s="73"/>
      <c r="R51"/>
    </row>
    <row r="52" spans="6:18">
      <c r="F52" s="73"/>
      <c r="R52"/>
    </row>
    <row r="53" spans="6:18">
      <c r="F53" s="73"/>
      <c r="R53"/>
    </row>
    <row r="54" spans="6:18">
      <c r="F54" s="73"/>
      <c r="R54"/>
    </row>
    <row r="55" spans="6:18">
      <c r="F55" s="73"/>
      <c r="R55"/>
    </row>
    <row r="56" spans="6:18">
      <c r="F56" s="73"/>
      <c r="R56"/>
    </row>
    <row r="57" spans="6:18">
      <c r="F57" s="73"/>
      <c r="R57"/>
    </row>
    <row r="58" spans="6:18">
      <c r="F58" s="73"/>
      <c r="R58"/>
    </row>
    <row r="59" spans="6:18">
      <c r="F59" s="73"/>
      <c r="R59"/>
    </row>
    <row r="60" spans="6:18">
      <c r="F60" s="73"/>
      <c r="R60"/>
    </row>
    <row r="61" spans="6:18">
      <c r="F61" s="73"/>
      <c r="R61"/>
    </row>
    <row r="62" spans="6:18">
      <c r="F62" s="73"/>
      <c r="R62"/>
    </row>
    <row r="63" spans="6:18">
      <c r="F63" s="73"/>
      <c r="R63"/>
    </row>
    <row r="64" spans="6:18">
      <c r="F64" s="73"/>
      <c r="R64"/>
    </row>
    <row r="65" spans="6:18">
      <c r="F65" s="73"/>
      <c r="R65"/>
    </row>
    <row r="66" spans="6:18">
      <c r="F66" s="73"/>
      <c r="R66"/>
    </row>
    <row r="67" spans="6:18">
      <c r="F67" s="73"/>
      <c r="R67"/>
    </row>
    <row r="68" spans="6:18">
      <c r="F68" s="73"/>
      <c r="R68"/>
    </row>
    <row r="69" spans="6:18">
      <c r="F69" s="73"/>
      <c r="R69"/>
    </row>
    <row r="70" spans="6:18">
      <c r="F70" s="73"/>
      <c r="R70"/>
    </row>
    <row r="71" spans="6:18">
      <c r="F71" s="73"/>
      <c r="R71"/>
    </row>
    <row r="72" spans="6:18">
      <c r="F72" s="73"/>
      <c r="R72"/>
    </row>
    <row r="73" spans="6:18">
      <c r="F73" s="73"/>
      <c r="R73"/>
    </row>
    <row r="74" spans="6:18">
      <c r="F74" s="73"/>
      <c r="R74"/>
    </row>
    <row r="75" spans="6:18">
      <c r="F75" s="73"/>
      <c r="R75"/>
    </row>
    <row r="76" spans="6:18">
      <c r="F76" s="73"/>
      <c r="R76"/>
    </row>
    <row r="77" spans="6:18">
      <c r="F77" s="73"/>
      <c r="R77"/>
    </row>
    <row r="78" spans="6:18">
      <c r="F78" s="73"/>
      <c r="R78"/>
    </row>
    <row r="79" spans="6:18">
      <c r="F79" s="73"/>
      <c r="R79"/>
    </row>
    <row r="80" spans="6:18">
      <c r="F80" s="73"/>
      <c r="R80"/>
    </row>
    <row r="81" spans="6:18">
      <c r="F81" s="73"/>
      <c r="R81"/>
    </row>
    <row r="82" spans="6:18">
      <c r="F82" s="73"/>
      <c r="R82"/>
    </row>
    <row r="83" spans="6:18">
      <c r="F83" s="73"/>
      <c r="R83"/>
    </row>
    <row r="84" spans="6:18">
      <c r="F84" s="73"/>
      <c r="R84"/>
    </row>
    <row r="85" spans="6:18">
      <c r="F85" s="73"/>
      <c r="R85"/>
    </row>
    <row r="86" spans="6:18">
      <c r="F86" s="73"/>
      <c r="R86"/>
    </row>
    <row r="87" spans="6:18">
      <c r="F87" s="73"/>
      <c r="R87"/>
    </row>
    <row r="88" spans="6:18">
      <c r="F88" s="73"/>
      <c r="R88"/>
    </row>
    <row r="89" spans="6:18">
      <c r="F89" s="73"/>
      <c r="R89"/>
    </row>
    <row r="90" spans="6:18">
      <c r="F90" s="73"/>
      <c r="R90"/>
    </row>
    <row r="91" spans="6:18">
      <c r="F91" s="73"/>
      <c r="R91"/>
    </row>
    <row r="92" spans="6:18">
      <c r="F92" s="73"/>
      <c r="R92"/>
    </row>
    <row r="93" spans="6:18">
      <c r="F93" s="73"/>
      <c r="R93"/>
    </row>
    <row r="94" spans="6:18">
      <c r="F94" s="73"/>
      <c r="R94"/>
    </row>
    <row r="95" spans="6:18">
      <c r="F95" s="73"/>
      <c r="R95"/>
    </row>
    <row r="96" spans="6:18">
      <c r="F96" s="73"/>
      <c r="R96"/>
    </row>
    <row r="97" spans="6:18">
      <c r="F97" s="73"/>
      <c r="R97"/>
    </row>
    <row r="98" spans="6:18">
      <c r="F98" s="73"/>
      <c r="R98"/>
    </row>
    <row r="99" spans="6:18">
      <c r="F99" s="73"/>
      <c r="R99"/>
    </row>
    <row r="100" spans="6:18">
      <c r="F100" s="73"/>
      <c r="R100"/>
    </row>
    <row r="101" spans="6:18">
      <c r="F101" s="73"/>
      <c r="R101"/>
    </row>
    <row r="102" spans="6:18">
      <c r="F102" s="73"/>
      <c r="R102"/>
    </row>
    <row r="103" spans="6:18">
      <c r="F103" s="73"/>
      <c r="R103"/>
    </row>
    <row r="104" spans="6:18">
      <c r="F104" s="73"/>
      <c r="R104"/>
    </row>
    <row r="105" spans="6:18">
      <c r="F105" s="73"/>
      <c r="R105"/>
    </row>
    <row r="106" spans="6:18">
      <c r="F106" s="73"/>
      <c r="R106"/>
    </row>
    <row r="107" spans="6:18">
      <c r="F107" s="73"/>
      <c r="R107"/>
    </row>
    <row r="108" spans="6:18">
      <c r="F108" s="73"/>
      <c r="R108"/>
    </row>
    <row r="109" spans="6:18">
      <c r="F109" s="73"/>
      <c r="R109"/>
    </row>
    <row r="110" spans="6:18">
      <c r="F110" s="73"/>
      <c r="R110"/>
    </row>
    <row r="111" spans="6:18">
      <c r="F111" s="73"/>
      <c r="R111"/>
    </row>
    <row r="112" spans="6:18">
      <c r="F112" s="73"/>
      <c r="R112"/>
    </row>
    <row r="113" spans="6:18">
      <c r="F113" s="73"/>
      <c r="R113"/>
    </row>
    <row r="114" spans="6:18">
      <c r="F114" s="73"/>
      <c r="R114"/>
    </row>
    <row r="115" spans="6:18">
      <c r="F115" s="73"/>
      <c r="R115"/>
    </row>
    <row r="116" spans="6:18">
      <c r="F116" s="73"/>
      <c r="R116"/>
    </row>
    <row r="117" spans="6:18">
      <c r="F117" s="73"/>
      <c r="R117"/>
    </row>
    <row r="118" spans="6:18">
      <c r="F118" s="73"/>
      <c r="R118"/>
    </row>
    <row r="119" spans="6:18">
      <c r="F119" s="73"/>
      <c r="R119"/>
    </row>
    <row r="120" spans="6:18">
      <c r="F120" s="73"/>
      <c r="R120"/>
    </row>
    <row r="121" spans="6:18">
      <c r="F121" s="73"/>
      <c r="R121"/>
    </row>
    <row r="122" spans="6:18">
      <c r="F122" s="73"/>
      <c r="R122"/>
    </row>
    <row r="123" spans="6:18">
      <c r="F123" s="73"/>
      <c r="R123"/>
    </row>
    <row r="124" spans="6:18">
      <c r="F124" s="73"/>
      <c r="R124"/>
    </row>
    <row r="125" spans="6:18">
      <c r="F125" s="73"/>
      <c r="R125"/>
    </row>
    <row r="126" spans="6:18">
      <c r="F126" s="73"/>
      <c r="R126"/>
    </row>
    <row r="127" spans="6:18">
      <c r="F127" s="73"/>
      <c r="R127"/>
    </row>
    <row r="128" spans="6:18">
      <c r="F128" s="73"/>
      <c r="R128"/>
    </row>
    <row r="129" spans="6:18">
      <c r="F129" s="73"/>
      <c r="R129"/>
    </row>
    <row r="130" spans="6:18">
      <c r="F130" s="73"/>
      <c r="R130"/>
    </row>
    <row r="131" spans="6:18">
      <c r="F131" s="73"/>
      <c r="R131"/>
    </row>
    <row r="132" spans="6:18">
      <c r="F132" s="73"/>
      <c r="R132"/>
    </row>
    <row r="133" spans="6:18">
      <c r="F133" s="73"/>
      <c r="R133"/>
    </row>
    <row r="134" spans="6:18">
      <c r="F134" s="73"/>
      <c r="R134"/>
    </row>
    <row r="135" spans="6:18">
      <c r="F135" s="73"/>
      <c r="R135"/>
    </row>
    <row r="136" spans="6:18">
      <c r="F136" s="73"/>
      <c r="R136"/>
    </row>
    <row r="137" spans="6:18">
      <c r="F137" s="73"/>
      <c r="R137"/>
    </row>
    <row r="138" spans="6:18">
      <c r="F138" s="73"/>
      <c r="R138"/>
    </row>
    <row r="139" spans="6:18">
      <c r="F139" s="73"/>
      <c r="R139"/>
    </row>
    <row r="140" spans="6:18">
      <c r="F140" s="73"/>
      <c r="R140"/>
    </row>
    <row r="141" spans="6:18">
      <c r="F141" s="73"/>
      <c r="R141"/>
    </row>
    <row r="142" spans="6:18">
      <c r="F142" s="73"/>
      <c r="R142"/>
    </row>
    <row r="143" spans="6:18">
      <c r="F143" s="73"/>
      <c r="R143"/>
    </row>
    <row r="144" spans="6:18">
      <c r="F144" s="73"/>
      <c r="R144"/>
    </row>
    <row r="145" spans="6:18">
      <c r="F145" s="73"/>
      <c r="R145"/>
    </row>
    <row r="146" spans="6:18">
      <c r="F146" s="73"/>
      <c r="R146"/>
    </row>
    <row r="147" spans="6:18">
      <c r="F147" s="73"/>
      <c r="R147"/>
    </row>
    <row r="148" spans="6:18">
      <c r="F148" s="73"/>
      <c r="R148"/>
    </row>
    <row r="149" spans="6:18">
      <c r="F149" s="73"/>
      <c r="R149"/>
    </row>
    <row r="150" spans="6:18">
      <c r="F150" s="73"/>
      <c r="R150"/>
    </row>
    <row r="151" spans="6:18">
      <c r="F151" s="73"/>
      <c r="R151"/>
    </row>
    <row r="152" spans="6:18">
      <c r="F152" s="73"/>
      <c r="R152"/>
    </row>
    <row r="153" spans="6:18">
      <c r="F153" s="73"/>
      <c r="R153"/>
    </row>
    <row r="154" spans="6:18">
      <c r="F154" s="73"/>
      <c r="R154"/>
    </row>
    <row r="155" spans="6:18">
      <c r="F155" s="73"/>
      <c r="R155"/>
    </row>
    <row r="156" spans="6:18">
      <c r="F156" s="73"/>
      <c r="R156"/>
    </row>
    <row r="157" spans="6:18">
      <c r="F157" s="73"/>
      <c r="R157"/>
    </row>
    <row r="158" spans="6:18">
      <c r="F158" s="73"/>
      <c r="R158"/>
    </row>
    <row r="159" spans="6:18">
      <c r="F159" s="73"/>
      <c r="R159"/>
    </row>
    <row r="160" spans="6:18">
      <c r="F160" s="73"/>
      <c r="R160"/>
    </row>
    <row r="161" spans="6:18">
      <c r="F161" s="73"/>
      <c r="R161"/>
    </row>
    <row r="162" spans="6:18">
      <c r="F162" s="73"/>
      <c r="R162"/>
    </row>
    <row r="163" spans="6:18">
      <c r="F163" s="73"/>
      <c r="R163"/>
    </row>
    <row r="164" spans="6:18">
      <c r="F164" s="73"/>
      <c r="R164"/>
    </row>
    <row r="165" spans="6:18">
      <c r="F165" s="73"/>
      <c r="R165"/>
    </row>
    <row r="166" spans="6:18">
      <c r="F166" s="73"/>
      <c r="R166"/>
    </row>
    <row r="167" spans="6:18">
      <c r="F167" s="73"/>
      <c r="R167"/>
    </row>
    <row r="168" spans="6:18">
      <c r="F168" s="73"/>
      <c r="R168"/>
    </row>
    <row r="169" spans="6:18">
      <c r="F169" s="73"/>
      <c r="R169"/>
    </row>
    <row r="170" spans="6:18">
      <c r="F170" s="73"/>
      <c r="R170"/>
    </row>
    <row r="171" spans="6:18">
      <c r="F171" s="73"/>
      <c r="R171"/>
    </row>
    <row r="172" spans="6:18">
      <c r="F172" s="73"/>
      <c r="R172"/>
    </row>
    <row r="173" spans="6:18">
      <c r="F173" s="73"/>
      <c r="R173"/>
    </row>
    <row r="174" spans="6:18">
      <c r="F174" s="73"/>
      <c r="R174"/>
    </row>
    <row r="175" spans="6:18">
      <c r="F175" s="73"/>
      <c r="R175"/>
    </row>
    <row r="176" spans="6:18">
      <c r="F176" s="73"/>
      <c r="R176"/>
    </row>
    <row r="177" spans="6:18">
      <c r="F177" s="73"/>
      <c r="R177"/>
    </row>
    <row r="178" spans="6:18">
      <c r="F178" s="73"/>
      <c r="R178"/>
    </row>
    <row r="179" spans="6:18">
      <c r="F179" s="73"/>
      <c r="R179"/>
    </row>
    <row r="180" spans="6:18">
      <c r="F180" s="73"/>
      <c r="R180"/>
    </row>
    <row r="181" spans="6:18">
      <c r="F181" s="73"/>
      <c r="R181"/>
    </row>
    <row r="182" spans="6:18">
      <c r="F182" s="73"/>
      <c r="R182"/>
    </row>
    <row r="183" spans="6:18">
      <c r="F183" s="73"/>
      <c r="R183"/>
    </row>
    <row r="184" spans="6:18">
      <c r="F184" s="73"/>
      <c r="R184"/>
    </row>
    <row r="185" spans="6:18">
      <c r="F185" s="73"/>
      <c r="R185"/>
    </row>
    <row r="186" spans="6:18">
      <c r="F186" s="73"/>
      <c r="R186"/>
    </row>
    <row r="187" spans="6:18">
      <c r="F187" s="73"/>
      <c r="R187"/>
    </row>
    <row r="188" spans="6:18">
      <c r="F188" s="73"/>
      <c r="R188"/>
    </row>
    <row r="189" spans="6:18">
      <c r="F189" s="73"/>
      <c r="R189"/>
    </row>
    <row r="190" spans="6:18">
      <c r="F190" s="73"/>
      <c r="R190"/>
    </row>
    <row r="191" spans="6:18">
      <c r="F191" s="73"/>
      <c r="R191"/>
    </row>
    <row r="192" spans="6:18">
      <c r="F192" s="73"/>
      <c r="R192"/>
    </row>
    <row r="193" spans="6:18">
      <c r="F193" s="73"/>
      <c r="R193"/>
    </row>
    <row r="194" spans="6:18">
      <c r="F194" s="73"/>
      <c r="R194"/>
    </row>
    <row r="195" spans="6:18">
      <c r="F195" s="73"/>
      <c r="R195"/>
    </row>
    <row r="196" spans="6:18">
      <c r="F196" s="73"/>
      <c r="R196"/>
    </row>
    <row r="197" spans="6:18">
      <c r="F197" s="73"/>
      <c r="R197"/>
    </row>
    <row r="198" spans="6:18">
      <c r="F198" s="73"/>
      <c r="R198"/>
    </row>
    <row r="199" spans="6:18">
      <c r="F199" s="73"/>
      <c r="R199"/>
    </row>
    <row r="200" spans="6:18">
      <c r="F200" s="73"/>
      <c r="R200"/>
    </row>
    <row r="201" spans="6:18">
      <c r="F201" s="73"/>
      <c r="R201"/>
    </row>
    <row r="202" spans="6:18">
      <c r="F202" s="73"/>
      <c r="R202"/>
    </row>
    <row r="203" spans="6:18">
      <c r="F203" s="73"/>
      <c r="R203"/>
    </row>
    <row r="204" spans="6:18">
      <c r="F204" s="73"/>
      <c r="R204"/>
    </row>
    <row r="205" spans="6:18">
      <c r="F205" s="73"/>
      <c r="R205"/>
    </row>
    <row r="206" spans="6:18">
      <c r="F206" s="73"/>
      <c r="R206"/>
    </row>
    <row r="207" spans="6:18">
      <c r="F207" s="73"/>
      <c r="R207"/>
    </row>
    <row r="208" spans="6:18">
      <c r="F208" s="73"/>
      <c r="R208"/>
    </row>
    <row r="209" spans="6:18">
      <c r="F209" s="73"/>
      <c r="R209"/>
    </row>
    <row r="210" spans="6:18">
      <c r="F210" s="73"/>
      <c r="R210"/>
    </row>
    <row r="211" spans="6:18">
      <c r="F211" s="73"/>
      <c r="R211"/>
    </row>
    <row r="212" spans="6:18">
      <c r="F212" s="73"/>
      <c r="R212"/>
    </row>
    <row r="213" spans="6:18">
      <c r="F213" s="73"/>
      <c r="R213"/>
    </row>
    <row r="214" spans="6:18">
      <c r="F214" s="73"/>
      <c r="R214"/>
    </row>
    <row r="215" spans="6:18">
      <c r="F215" s="73"/>
      <c r="R215"/>
    </row>
    <row r="216" spans="6:18">
      <c r="F216" s="73"/>
      <c r="R216"/>
    </row>
    <row r="217" spans="6:18">
      <c r="F217" s="73"/>
      <c r="R217"/>
    </row>
    <row r="218" spans="6:18">
      <c r="F218" s="73"/>
      <c r="R218"/>
    </row>
    <row r="219" spans="6:18">
      <c r="F219" s="73"/>
      <c r="R219"/>
    </row>
    <row r="220" spans="6:18">
      <c r="F220" s="73"/>
      <c r="R220"/>
    </row>
    <row r="221" spans="6:18">
      <c r="F221" s="73"/>
      <c r="R221"/>
    </row>
    <row r="222" spans="6:18">
      <c r="F222" s="73"/>
      <c r="R222"/>
    </row>
    <row r="223" spans="6:18">
      <c r="F223" s="73"/>
      <c r="R223"/>
    </row>
    <row r="224" spans="6:18">
      <c r="F224" s="73"/>
      <c r="R224"/>
    </row>
    <row r="225" spans="6:18">
      <c r="F225" s="73"/>
      <c r="R225"/>
    </row>
    <row r="226" spans="6:18">
      <c r="F226" s="73"/>
      <c r="R226"/>
    </row>
    <row r="227" spans="6:18">
      <c r="F227" s="73"/>
      <c r="R227"/>
    </row>
    <row r="228" spans="6:18">
      <c r="F228" s="73"/>
      <c r="R228"/>
    </row>
    <row r="229" spans="6:18">
      <c r="F229" s="73"/>
      <c r="R229"/>
    </row>
    <row r="230" spans="6:18">
      <c r="F230" s="73"/>
      <c r="R230"/>
    </row>
    <row r="231" spans="6:18">
      <c r="F231" s="73"/>
      <c r="R231"/>
    </row>
    <row r="232" spans="6:18">
      <c r="F232" s="73"/>
      <c r="R232"/>
    </row>
    <row r="233" spans="6:18">
      <c r="F233" s="73"/>
      <c r="R233"/>
    </row>
    <row r="234" spans="6:18">
      <c r="F234" s="73"/>
      <c r="R234"/>
    </row>
    <row r="235" spans="6:18">
      <c r="F235" s="73"/>
      <c r="R235"/>
    </row>
    <row r="236" spans="6:18">
      <c r="F236" s="73"/>
      <c r="R236"/>
    </row>
    <row r="237" spans="6:18">
      <c r="F237" s="73"/>
      <c r="R237"/>
    </row>
    <row r="238" spans="6:18">
      <c r="F238" s="73"/>
      <c r="R238"/>
    </row>
    <row r="239" spans="6:18">
      <c r="F239" s="73"/>
      <c r="R239"/>
    </row>
    <row r="240" spans="6:18">
      <c r="F240" s="73"/>
      <c r="R240"/>
    </row>
    <row r="241" spans="6:18">
      <c r="F241" s="73"/>
      <c r="R241"/>
    </row>
    <row r="242" spans="6:18">
      <c r="F242" s="73"/>
      <c r="R242"/>
    </row>
    <row r="243" spans="6:18">
      <c r="F243" s="73"/>
      <c r="R243"/>
    </row>
    <row r="244" spans="6:18">
      <c r="F244" s="73"/>
      <c r="R244"/>
    </row>
    <row r="245" spans="6:18">
      <c r="F245" s="73"/>
      <c r="R245"/>
    </row>
    <row r="246" spans="6:18">
      <c r="F246" s="73"/>
      <c r="R246"/>
    </row>
    <row r="247" spans="6:18">
      <c r="F247" s="73"/>
      <c r="R247"/>
    </row>
    <row r="248" spans="6:18">
      <c r="F248" s="73"/>
      <c r="R248"/>
    </row>
    <row r="249" spans="6:18">
      <c r="F249" s="73"/>
      <c r="R249"/>
    </row>
    <row r="250" spans="6:18">
      <c r="F250" s="73"/>
      <c r="R250"/>
    </row>
    <row r="251" spans="6:18">
      <c r="F251" s="73"/>
      <c r="R251"/>
    </row>
    <row r="252" spans="6:18">
      <c r="F252" s="73"/>
      <c r="R252"/>
    </row>
    <row r="253" spans="6:18">
      <c r="F253" s="73"/>
      <c r="R253"/>
    </row>
    <row r="254" spans="6:18">
      <c r="F254" s="73"/>
      <c r="R254"/>
    </row>
    <row r="255" spans="6:18">
      <c r="F255" s="73"/>
      <c r="R255"/>
    </row>
    <row r="256" spans="6:18">
      <c r="F256" s="73"/>
      <c r="R256"/>
    </row>
    <row r="257" spans="6:18">
      <c r="F257" s="73"/>
      <c r="R257"/>
    </row>
    <row r="258" spans="6:18">
      <c r="F258" s="73"/>
      <c r="R258"/>
    </row>
    <row r="259" spans="6:18">
      <c r="F259" s="73"/>
      <c r="R259"/>
    </row>
    <row r="260" spans="6:18">
      <c r="F260" s="73"/>
      <c r="R260"/>
    </row>
    <row r="261" spans="6:18">
      <c r="F261" s="73"/>
      <c r="R261"/>
    </row>
    <row r="262" spans="6:18">
      <c r="F262" s="73"/>
      <c r="R262"/>
    </row>
    <row r="263" spans="6:18">
      <c r="F263" s="73"/>
      <c r="R263"/>
    </row>
    <row r="264" spans="6:18">
      <c r="F264" s="73"/>
      <c r="R264"/>
    </row>
    <row r="265" spans="6:18">
      <c r="F265" s="73"/>
      <c r="R265"/>
    </row>
    <row r="266" spans="6:18">
      <c r="F266" s="73"/>
      <c r="R266"/>
    </row>
    <row r="267" spans="6:18">
      <c r="F267" s="73"/>
      <c r="R267"/>
    </row>
    <row r="268" spans="6:18">
      <c r="F268" s="73"/>
      <c r="R268"/>
    </row>
    <row r="269" spans="6:18">
      <c r="F269" s="73"/>
      <c r="R269"/>
    </row>
    <row r="270" spans="6:18">
      <c r="F270" s="73"/>
      <c r="R270"/>
    </row>
    <row r="271" spans="6:18">
      <c r="F271" s="73"/>
      <c r="R271"/>
    </row>
    <row r="272" spans="6:18">
      <c r="F272" s="73"/>
      <c r="R272"/>
    </row>
    <row r="273" spans="6:18">
      <c r="F273" s="73"/>
      <c r="R273"/>
    </row>
    <row r="274" spans="6:18">
      <c r="F274" s="73"/>
      <c r="R274"/>
    </row>
    <row r="275" spans="6:18">
      <c r="F275" s="73"/>
      <c r="R275"/>
    </row>
    <row r="276" spans="6:18">
      <c r="F276" s="73"/>
      <c r="R276"/>
    </row>
    <row r="277" spans="6:18">
      <c r="F277" s="73"/>
      <c r="R277"/>
    </row>
    <row r="278" spans="6:18">
      <c r="F278" s="73"/>
      <c r="R278"/>
    </row>
    <row r="279" spans="6:18">
      <c r="F279" s="73"/>
      <c r="R279"/>
    </row>
    <row r="280" spans="6:18">
      <c r="F280" s="73"/>
      <c r="R280"/>
    </row>
    <row r="281" spans="6:18">
      <c r="F281" s="73"/>
      <c r="R281"/>
    </row>
    <row r="282" spans="6:18">
      <c r="F282" s="73"/>
      <c r="R282"/>
    </row>
    <row r="283" spans="6:18">
      <c r="F283" s="73"/>
      <c r="R283"/>
    </row>
    <row r="284" spans="6:18">
      <c r="F284" s="73"/>
      <c r="R284"/>
    </row>
    <row r="285" spans="6:18">
      <c r="F285" s="73"/>
      <c r="R285"/>
    </row>
    <row r="286" spans="6:18">
      <c r="F286" s="73"/>
      <c r="R286"/>
    </row>
    <row r="287" spans="6:18">
      <c r="F287" s="73"/>
      <c r="R287"/>
    </row>
    <row r="288" spans="6:18">
      <c r="F288" s="73"/>
      <c r="R288"/>
    </row>
    <row r="289" spans="6:18">
      <c r="F289" s="73"/>
      <c r="R289"/>
    </row>
    <row r="290" spans="6:18">
      <c r="F290" s="73"/>
      <c r="R290"/>
    </row>
    <row r="291" spans="6:18">
      <c r="F291" s="73"/>
      <c r="R291"/>
    </row>
    <row r="292" spans="6:18">
      <c r="F292" s="73"/>
      <c r="R292"/>
    </row>
    <row r="293" spans="6:18">
      <c r="F293" s="73"/>
      <c r="R293"/>
    </row>
    <row r="294" spans="6:18">
      <c r="F294" s="73"/>
      <c r="R294"/>
    </row>
    <row r="295" spans="6:18">
      <c r="F295" s="73"/>
      <c r="R295"/>
    </row>
    <row r="296" spans="6:18">
      <c r="F296" s="73"/>
      <c r="R296"/>
    </row>
    <row r="297" spans="6:18">
      <c r="F297" s="73"/>
      <c r="R297"/>
    </row>
    <row r="298" spans="6:18">
      <c r="F298" s="73"/>
      <c r="R298"/>
    </row>
    <row r="299" spans="6:18">
      <c r="F299" s="73"/>
      <c r="R299"/>
    </row>
    <row r="300" spans="6:18">
      <c r="F300" s="73"/>
      <c r="R300"/>
    </row>
    <row r="301" spans="6:18">
      <c r="F301" s="73"/>
      <c r="R301"/>
    </row>
    <row r="302" spans="6:18">
      <c r="F302" s="73"/>
      <c r="R302"/>
    </row>
    <row r="303" spans="6:18">
      <c r="F303" s="73"/>
      <c r="R303"/>
    </row>
    <row r="304" spans="6:18">
      <c r="F304" s="73"/>
      <c r="R304"/>
    </row>
    <row r="305" spans="6:18">
      <c r="F305" s="73"/>
      <c r="R305"/>
    </row>
    <row r="306" spans="6:18">
      <c r="F306" s="73"/>
      <c r="R306"/>
    </row>
    <row r="307" spans="6:18">
      <c r="F307" s="73"/>
      <c r="R307"/>
    </row>
    <row r="308" spans="6:18">
      <c r="F308" s="73"/>
      <c r="R308"/>
    </row>
    <row r="309" spans="6:18">
      <c r="F309" s="73"/>
      <c r="R309"/>
    </row>
    <row r="310" spans="6:18">
      <c r="F310" s="73"/>
      <c r="R310"/>
    </row>
    <row r="311" spans="6:18">
      <c r="F311" s="73"/>
      <c r="R311"/>
    </row>
    <row r="312" spans="6:18">
      <c r="F312" s="73"/>
      <c r="R312"/>
    </row>
    <row r="313" spans="6:18">
      <c r="F313" s="73"/>
      <c r="R313"/>
    </row>
    <row r="314" spans="6:18">
      <c r="F314" s="73"/>
      <c r="R314"/>
    </row>
    <row r="315" spans="6:18">
      <c r="F315" s="73"/>
      <c r="R315"/>
    </row>
    <row r="316" spans="6:18">
      <c r="F316" s="73"/>
      <c r="R316"/>
    </row>
    <row r="317" spans="6:18">
      <c r="F317" s="73"/>
      <c r="R317"/>
    </row>
    <row r="318" spans="6:18">
      <c r="F318" s="73"/>
      <c r="R318"/>
    </row>
    <row r="319" spans="6:18">
      <c r="F319" s="73"/>
      <c r="R319"/>
    </row>
    <row r="320" spans="6:18">
      <c r="F320" s="73"/>
      <c r="R320"/>
    </row>
    <row r="321" spans="6:18">
      <c r="F321" s="73"/>
      <c r="R321"/>
    </row>
    <row r="322" spans="6:18">
      <c r="F322" s="73"/>
      <c r="R322"/>
    </row>
    <row r="323" spans="6:18">
      <c r="F323" s="73"/>
      <c r="R323"/>
    </row>
    <row r="324" spans="6:18">
      <c r="F324" s="73"/>
      <c r="R324"/>
    </row>
    <row r="325" spans="6:18">
      <c r="F325" s="73"/>
      <c r="R325"/>
    </row>
    <row r="326" spans="6:18">
      <c r="F326" s="73"/>
      <c r="R326"/>
    </row>
    <row r="327" spans="6:18">
      <c r="F327" s="73"/>
      <c r="R327"/>
    </row>
    <row r="328" spans="6:18">
      <c r="F328" s="73"/>
      <c r="R328"/>
    </row>
    <row r="329" spans="6:18">
      <c r="F329" s="73"/>
      <c r="R329"/>
    </row>
    <row r="330" spans="6:18">
      <c r="F330" s="73"/>
      <c r="R330"/>
    </row>
    <row r="331" spans="6:18">
      <c r="F331" s="73"/>
      <c r="R331"/>
    </row>
    <row r="332" spans="6:18">
      <c r="F332" s="73"/>
      <c r="R332"/>
    </row>
    <row r="333" spans="6:18">
      <c r="F333" s="73"/>
      <c r="R333"/>
    </row>
    <row r="334" spans="6:18">
      <c r="F334" s="73"/>
      <c r="R334"/>
    </row>
    <row r="335" spans="6:18">
      <c r="F335" s="73"/>
      <c r="R335"/>
    </row>
    <row r="336" spans="6:18">
      <c r="F336" s="73"/>
      <c r="R336"/>
    </row>
    <row r="337" spans="6:18">
      <c r="F337" s="73"/>
      <c r="R337"/>
    </row>
    <row r="338" spans="6:18">
      <c r="F338" s="73"/>
      <c r="R338"/>
    </row>
    <row r="339" spans="6:18">
      <c r="F339" s="73"/>
      <c r="R339"/>
    </row>
    <row r="340" spans="6:18">
      <c r="F340" s="73"/>
      <c r="R340"/>
    </row>
    <row r="341" spans="6:18">
      <c r="F341" s="73"/>
      <c r="R341"/>
    </row>
    <row r="342" spans="6:18">
      <c r="F342" s="73"/>
      <c r="R342"/>
    </row>
    <row r="343" spans="6:18">
      <c r="F343" s="73"/>
      <c r="R343"/>
    </row>
    <row r="344" spans="6:18">
      <c r="F344" s="73"/>
      <c r="R344"/>
    </row>
    <row r="345" spans="6:18">
      <c r="F345" s="73"/>
      <c r="R345"/>
    </row>
    <row r="346" spans="6:18">
      <c r="F346" s="73"/>
      <c r="R346"/>
    </row>
    <row r="347" spans="6:18">
      <c r="F347" s="73"/>
      <c r="R347"/>
    </row>
    <row r="348" spans="6:18">
      <c r="F348" s="73"/>
      <c r="R348"/>
    </row>
    <row r="349" spans="6:18">
      <c r="F349" s="73"/>
      <c r="R349"/>
    </row>
    <row r="350" spans="6:18">
      <c r="F350" s="73"/>
      <c r="R350"/>
    </row>
    <row r="351" spans="6:18">
      <c r="F351" s="73"/>
      <c r="R351"/>
    </row>
    <row r="352" spans="6:18">
      <c r="F352" s="73"/>
      <c r="R352"/>
    </row>
    <row r="353" spans="6:18">
      <c r="F353" s="73"/>
      <c r="R353"/>
    </row>
    <row r="354" spans="6:18">
      <c r="F354" s="73"/>
      <c r="R354"/>
    </row>
    <row r="355" spans="6:18">
      <c r="F355" s="73"/>
      <c r="R355"/>
    </row>
    <row r="356" spans="6:18">
      <c r="F356" s="73"/>
      <c r="R356"/>
    </row>
    <row r="357" spans="6:18">
      <c r="F357" s="73"/>
      <c r="R357"/>
    </row>
    <row r="358" spans="6:18">
      <c r="F358" s="73"/>
      <c r="R358"/>
    </row>
    <row r="359" spans="6:18">
      <c r="F359" s="73"/>
      <c r="R359"/>
    </row>
    <row r="360" spans="6:18">
      <c r="F360" s="73"/>
      <c r="R360"/>
    </row>
    <row r="361" spans="6:18">
      <c r="F361" s="73"/>
      <c r="R361"/>
    </row>
    <row r="362" spans="6:18">
      <c r="F362" s="73"/>
      <c r="R362"/>
    </row>
    <row r="363" spans="6:18">
      <c r="F363" s="73"/>
      <c r="R363"/>
    </row>
    <row r="364" spans="6:18">
      <c r="F364" s="73"/>
      <c r="R364"/>
    </row>
    <row r="365" spans="6:18">
      <c r="F365" s="73"/>
      <c r="R365"/>
    </row>
    <row r="366" spans="6:18">
      <c r="F366" s="73"/>
      <c r="R366"/>
    </row>
    <row r="367" spans="6:18">
      <c r="F367" s="73"/>
      <c r="R367"/>
    </row>
    <row r="368" spans="6:18">
      <c r="F368" s="73"/>
      <c r="R368"/>
    </row>
    <row r="369" spans="6:18">
      <c r="F369" s="73"/>
      <c r="R369"/>
    </row>
    <row r="370" spans="6:18">
      <c r="F370" s="73"/>
      <c r="R370"/>
    </row>
    <row r="371" spans="6:18">
      <c r="F371" s="73"/>
      <c r="R371"/>
    </row>
    <row r="372" spans="6:18">
      <c r="F372" s="73"/>
      <c r="R372"/>
    </row>
    <row r="373" spans="6:18">
      <c r="F373" s="73"/>
      <c r="R373"/>
    </row>
    <row r="374" spans="6:18">
      <c r="F374" s="73"/>
      <c r="R374"/>
    </row>
    <row r="375" spans="6:18">
      <c r="F375" s="73"/>
      <c r="R375"/>
    </row>
    <row r="376" spans="6:18">
      <c r="F376" s="73"/>
      <c r="R376"/>
    </row>
    <row r="377" spans="6:18">
      <c r="F377" s="73"/>
      <c r="R377"/>
    </row>
    <row r="378" spans="6:18">
      <c r="F378" s="73"/>
      <c r="R378"/>
    </row>
    <row r="379" spans="6:18">
      <c r="F379" s="73"/>
      <c r="R379"/>
    </row>
    <row r="380" spans="6:18">
      <c r="F380" s="73"/>
      <c r="R380"/>
    </row>
    <row r="381" spans="6:18">
      <c r="F381" s="73"/>
      <c r="R381"/>
    </row>
    <row r="382" spans="6:18">
      <c r="F382" s="73"/>
      <c r="R382"/>
    </row>
    <row r="383" spans="6:18">
      <c r="F383" s="73"/>
      <c r="R383"/>
    </row>
    <row r="384" spans="6:18">
      <c r="F384" s="73"/>
      <c r="R384"/>
    </row>
    <row r="385" spans="6:18">
      <c r="F385" s="73"/>
      <c r="R385"/>
    </row>
    <row r="386" spans="6:18">
      <c r="F386" s="73"/>
      <c r="R386"/>
    </row>
    <row r="387" spans="6:18">
      <c r="F387" s="73"/>
      <c r="R387"/>
    </row>
    <row r="388" spans="6:18">
      <c r="F388" s="73"/>
      <c r="R388"/>
    </row>
    <row r="389" spans="6:18">
      <c r="F389" s="73"/>
      <c r="R389"/>
    </row>
    <row r="390" spans="6:18">
      <c r="F390" s="73"/>
      <c r="R390"/>
    </row>
    <row r="391" spans="6:18">
      <c r="F391" s="73"/>
      <c r="R391"/>
    </row>
    <row r="392" spans="6:18">
      <c r="F392" s="73"/>
      <c r="R392"/>
    </row>
    <row r="393" spans="6:18">
      <c r="F393" s="73"/>
      <c r="R393"/>
    </row>
    <row r="394" spans="6:18">
      <c r="F394" s="73"/>
      <c r="R394"/>
    </row>
    <row r="395" spans="6:18">
      <c r="F395" s="73"/>
      <c r="R395"/>
    </row>
    <row r="396" spans="6:18">
      <c r="F396" s="73"/>
      <c r="R396"/>
    </row>
    <row r="397" spans="6:18">
      <c r="F397" s="73"/>
      <c r="R397"/>
    </row>
    <row r="398" spans="6:18">
      <c r="F398" s="73"/>
      <c r="R398"/>
    </row>
    <row r="399" spans="6:18">
      <c r="F399" s="73"/>
      <c r="R399"/>
    </row>
    <row r="400" spans="6:18">
      <c r="F400" s="73"/>
      <c r="R400"/>
    </row>
    <row r="401" spans="6:18">
      <c r="F401" s="73"/>
      <c r="R401"/>
    </row>
    <row r="402" spans="6:18">
      <c r="F402" s="73"/>
      <c r="R402"/>
    </row>
    <row r="403" spans="6:18">
      <c r="F403" s="73"/>
      <c r="R403"/>
    </row>
    <row r="404" spans="6:18">
      <c r="F404" s="73"/>
      <c r="R404"/>
    </row>
    <row r="405" spans="6:18">
      <c r="F405" s="73"/>
      <c r="R405"/>
    </row>
    <row r="406" spans="6:18">
      <c r="F406" s="73"/>
      <c r="R406"/>
    </row>
    <row r="407" spans="6:18">
      <c r="F407" s="73"/>
      <c r="R407"/>
    </row>
    <row r="408" spans="6:18">
      <c r="F408" s="73"/>
      <c r="R408"/>
    </row>
    <row r="409" spans="6:18">
      <c r="F409" s="73"/>
      <c r="R409"/>
    </row>
    <row r="410" spans="6:18">
      <c r="F410" s="73"/>
      <c r="R410"/>
    </row>
    <row r="411" spans="6:18">
      <c r="F411" s="73"/>
      <c r="R411"/>
    </row>
    <row r="412" spans="6:18">
      <c r="F412" s="73"/>
      <c r="R412"/>
    </row>
    <row r="413" spans="6:18">
      <c r="F413" s="73"/>
      <c r="R413"/>
    </row>
    <row r="414" spans="6:18">
      <c r="F414" s="73"/>
      <c r="R414"/>
    </row>
    <row r="415" spans="6:18">
      <c r="F415" s="73"/>
      <c r="R415"/>
    </row>
    <row r="416" spans="6:18">
      <c r="F416" s="73"/>
      <c r="R416"/>
    </row>
    <row r="417" spans="6:18">
      <c r="F417" s="73"/>
      <c r="R417"/>
    </row>
    <row r="418" spans="6:18">
      <c r="F418" s="73"/>
      <c r="R418"/>
    </row>
    <row r="419" spans="6:18">
      <c r="F419" s="73"/>
      <c r="R419"/>
    </row>
    <row r="420" spans="6:18">
      <c r="F420" s="73"/>
      <c r="R420"/>
    </row>
    <row r="421" spans="6:18">
      <c r="F421" s="73"/>
      <c r="R421"/>
    </row>
    <row r="422" spans="6:18">
      <c r="F422" s="73"/>
      <c r="R422"/>
    </row>
    <row r="423" spans="6:18">
      <c r="F423" s="73"/>
      <c r="R423"/>
    </row>
    <row r="424" spans="6:18">
      <c r="F424" s="73"/>
      <c r="R424"/>
    </row>
    <row r="425" spans="6:18">
      <c r="F425" s="73"/>
      <c r="R425"/>
    </row>
    <row r="426" spans="6:18">
      <c r="F426" s="73"/>
      <c r="R426"/>
    </row>
    <row r="427" spans="6:18">
      <c r="F427" s="73"/>
      <c r="R427"/>
    </row>
    <row r="428" spans="6:18">
      <c r="F428" s="73"/>
      <c r="R428"/>
    </row>
    <row r="429" spans="6:18">
      <c r="F429" s="73"/>
      <c r="R429"/>
    </row>
    <row r="430" spans="6:18">
      <c r="F430" s="73"/>
      <c r="R430"/>
    </row>
    <row r="431" spans="6:18">
      <c r="F431" s="73"/>
      <c r="R431"/>
    </row>
    <row r="432" spans="6:18">
      <c r="F432" s="73"/>
      <c r="R432"/>
    </row>
    <row r="433" spans="6:18">
      <c r="F433" s="73"/>
      <c r="R433"/>
    </row>
    <row r="434" spans="6:18">
      <c r="F434" s="73"/>
      <c r="R434"/>
    </row>
    <row r="435" spans="6:18">
      <c r="F435" s="73"/>
      <c r="R435"/>
    </row>
    <row r="436" spans="6:18">
      <c r="F436" s="73"/>
      <c r="R436"/>
    </row>
    <row r="437" spans="6:18">
      <c r="F437" s="73"/>
      <c r="R437"/>
    </row>
    <row r="438" spans="6:18">
      <c r="F438" s="73"/>
      <c r="R438"/>
    </row>
    <row r="439" spans="6:18">
      <c r="F439" s="73"/>
      <c r="R439"/>
    </row>
    <row r="440" spans="6:18">
      <c r="F440" s="73"/>
      <c r="R440"/>
    </row>
    <row r="441" spans="6:18">
      <c r="F441" s="73"/>
      <c r="R441"/>
    </row>
    <row r="442" spans="6:18">
      <c r="F442" s="73"/>
      <c r="R442"/>
    </row>
    <row r="443" spans="6:18">
      <c r="F443" s="73"/>
      <c r="R443"/>
    </row>
    <row r="444" spans="6:18">
      <c r="F444" s="73"/>
      <c r="R444"/>
    </row>
    <row r="445" spans="6:18">
      <c r="F445" s="73"/>
      <c r="R445"/>
    </row>
    <row r="446" spans="6:18">
      <c r="F446" s="73"/>
      <c r="R446"/>
    </row>
    <row r="447" spans="6:18">
      <c r="F447" s="73"/>
      <c r="R447"/>
    </row>
    <row r="448" spans="6:18">
      <c r="F448" s="73"/>
      <c r="R448"/>
    </row>
    <row r="449" spans="6:18">
      <c r="F449" s="73"/>
      <c r="R449"/>
    </row>
    <row r="450" spans="6:18">
      <c r="F450" s="73"/>
      <c r="R450"/>
    </row>
    <row r="451" spans="6:18">
      <c r="F451" s="73"/>
      <c r="R451"/>
    </row>
    <row r="452" spans="6:18">
      <c r="F452" s="73"/>
      <c r="R452"/>
    </row>
    <row r="453" spans="6:18">
      <c r="F453" s="73"/>
      <c r="R453"/>
    </row>
    <row r="454" spans="6:18">
      <c r="F454" s="73"/>
      <c r="R454"/>
    </row>
    <row r="455" spans="6:18">
      <c r="F455" s="73"/>
      <c r="R455"/>
    </row>
    <row r="456" spans="6:18">
      <c r="F456" s="73"/>
      <c r="R456"/>
    </row>
    <row r="457" spans="6:18">
      <c r="F457" s="73"/>
      <c r="R457"/>
    </row>
    <row r="458" spans="6:18">
      <c r="F458" s="73"/>
      <c r="R458"/>
    </row>
    <row r="459" spans="6:18">
      <c r="F459" s="73"/>
      <c r="R459"/>
    </row>
    <row r="460" spans="6:18">
      <c r="F460" s="73"/>
      <c r="R460"/>
    </row>
    <row r="461" spans="6:18">
      <c r="F461" s="73"/>
      <c r="R461"/>
    </row>
    <row r="462" spans="6:18">
      <c r="F462" s="73"/>
      <c r="R462"/>
    </row>
    <row r="463" spans="6:18">
      <c r="F463" s="73"/>
      <c r="R463"/>
    </row>
    <row r="464" spans="6:18">
      <c r="F464" s="73"/>
      <c r="R464"/>
    </row>
    <row r="465" spans="6:18">
      <c r="F465" s="73"/>
      <c r="R465"/>
    </row>
    <row r="466" spans="6:18">
      <c r="F466" s="73"/>
      <c r="R466"/>
    </row>
    <row r="467" spans="6:18">
      <c r="F467" s="73"/>
      <c r="R467"/>
    </row>
    <row r="468" spans="6:18">
      <c r="F468" s="73"/>
      <c r="R468"/>
    </row>
    <row r="469" spans="6:18">
      <c r="F469" s="73"/>
      <c r="R469"/>
    </row>
    <row r="470" spans="6:18">
      <c r="F470" s="73"/>
      <c r="R470"/>
    </row>
    <row r="471" spans="6:18">
      <c r="F471" s="73"/>
      <c r="R471"/>
    </row>
    <row r="472" spans="6:18">
      <c r="F472" s="73"/>
      <c r="R472"/>
    </row>
    <row r="473" spans="6:18">
      <c r="F473" s="73"/>
      <c r="R473"/>
    </row>
    <row r="474" spans="6:18">
      <c r="F474" s="73"/>
      <c r="R474"/>
    </row>
    <row r="475" spans="6:18">
      <c r="F475" s="73"/>
      <c r="R475"/>
    </row>
    <row r="476" spans="6:18">
      <c r="F476" s="73"/>
      <c r="R476"/>
    </row>
    <row r="477" spans="6:18">
      <c r="F477" s="73"/>
      <c r="R477"/>
    </row>
    <row r="478" spans="6:18">
      <c r="F478" s="73"/>
      <c r="R478"/>
    </row>
    <row r="479" spans="6:18">
      <c r="F479" s="73"/>
      <c r="R479"/>
    </row>
    <row r="480" spans="6:18">
      <c r="F480" s="73"/>
      <c r="R480"/>
    </row>
    <row r="481" spans="6:18">
      <c r="F481" s="73"/>
      <c r="R481"/>
    </row>
    <row r="482" spans="6:18">
      <c r="F482" s="73"/>
      <c r="R482"/>
    </row>
    <row r="483" spans="6:18">
      <c r="F483" s="73"/>
      <c r="R483"/>
    </row>
    <row r="484" spans="6:18">
      <c r="F484" s="73"/>
      <c r="R484"/>
    </row>
    <row r="485" spans="6:18">
      <c r="F485" s="73"/>
      <c r="R485"/>
    </row>
    <row r="486" spans="6:18">
      <c r="F486" s="73"/>
      <c r="R486"/>
    </row>
    <row r="487" spans="6:18">
      <c r="F487" s="73"/>
      <c r="R487"/>
    </row>
    <row r="488" spans="6:18">
      <c r="F488" s="73"/>
      <c r="R488"/>
    </row>
    <row r="489" spans="6:18">
      <c r="F489" s="73"/>
      <c r="R489"/>
    </row>
    <row r="490" spans="6:18">
      <c r="F490" s="73"/>
      <c r="R490"/>
    </row>
    <row r="491" spans="6:18">
      <c r="F491" s="73"/>
      <c r="R491"/>
    </row>
    <row r="492" spans="6:18">
      <c r="F492" s="73"/>
      <c r="R492"/>
    </row>
    <row r="493" spans="6:18">
      <c r="F493" s="73"/>
      <c r="R493"/>
    </row>
    <row r="494" spans="6:18">
      <c r="F494" s="73"/>
      <c r="R494"/>
    </row>
    <row r="495" spans="6:18">
      <c r="F495" s="73"/>
      <c r="R495"/>
    </row>
    <row r="496" spans="6:18">
      <c r="F496" s="73"/>
      <c r="R496"/>
    </row>
    <row r="497" spans="6:18">
      <c r="F497" s="73"/>
      <c r="R497"/>
    </row>
    <row r="498" spans="6:18">
      <c r="F498" s="73"/>
      <c r="R498"/>
    </row>
    <row r="499" spans="6:18">
      <c r="F499" s="73"/>
      <c r="R499"/>
    </row>
    <row r="500" spans="6:18">
      <c r="F500" s="73"/>
      <c r="R500"/>
    </row>
    <row r="501" spans="6:18">
      <c r="F501" s="73"/>
      <c r="R501"/>
    </row>
    <row r="502" spans="6:18">
      <c r="F502" s="73"/>
      <c r="R502"/>
    </row>
    <row r="503" spans="6:18">
      <c r="F503" s="73"/>
      <c r="R503"/>
    </row>
    <row r="504" spans="6:18">
      <c r="F504" s="73"/>
      <c r="R504"/>
    </row>
    <row r="505" spans="6:18">
      <c r="F505" s="73"/>
      <c r="R505"/>
    </row>
    <row r="506" spans="6:18">
      <c r="F506" s="73"/>
      <c r="R506"/>
    </row>
    <row r="507" spans="6:18">
      <c r="F507" s="73"/>
      <c r="R507"/>
    </row>
    <row r="508" spans="6:18">
      <c r="F508" s="73"/>
      <c r="R508"/>
    </row>
    <row r="509" spans="6:18">
      <c r="F509" s="73"/>
      <c r="R509"/>
    </row>
    <row r="510" spans="6:18">
      <c r="F510" s="73"/>
      <c r="R510"/>
    </row>
    <row r="511" spans="6:18">
      <c r="F511" s="73"/>
      <c r="R511"/>
    </row>
    <row r="512" spans="6:18">
      <c r="F512" s="73"/>
      <c r="R512"/>
    </row>
    <row r="513" spans="6:18">
      <c r="F513" s="73"/>
      <c r="R513"/>
    </row>
    <row r="514" spans="6:18">
      <c r="F514" s="73"/>
      <c r="R514"/>
    </row>
    <row r="515" spans="6:18">
      <c r="F515" s="73"/>
      <c r="R515"/>
    </row>
    <row r="516" spans="6:18">
      <c r="F516" s="73"/>
      <c r="R516"/>
    </row>
    <row r="517" spans="6:18">
      <c r="F517" s="73"/>
      <c r="R517"/>
    </row>
    <row r="518" spans="6:18">
      <c r="F518" s="73"/>
      <c r="R518"/>
    </row>
    <row r="519" spans="6:18">
      <c r="F519" s="73"/>
      <c r="R519"/>
    </row>
    <row r="520" spans="6:18">
      <c r="F520" s="73"/>
      <c r="R520"/>
    </row>
    <row r="521" spans="6:18">
      <c r="F521" s="73"/>
      <c r="R521"/>
    </row>
    <row r="522" spans="6:18">
      <c r="F522" s="73"/>
      <c r="R522"/>
    </row>
    <row r="523" spans="6:18">
      <c r="F523" s="73"/>
      <c r="R523"/>
    </row>
    <row r="524" spans="6:18">
      <c r="F524" s="73"/>
      <c r="R524"/>
    </row>
    <row r="525" spans="6:18">
      <c r="F525" s="73"/>
      <c r="R525"/>
    </row>
    <row r="526" spans="6:18">
      <c r="F526" s="73"/>
      <c r="R526"/>
    </row>
    <row r="527" spans="6:18">
      <c r="F527" s="73"/>
      <c r="R527"/>
    </row>
    <row r="528" spans="6:18">
      <c r="F528" s="73"/>
      <c r="R528"/>
    </row>
    <row r="529" spans="6:18">
      <c r="F529" s="73"/>
      <c r="R529"/>
    </row>
    <row r="530" spans="6:18">
      <c r="F530" s="73"/>
      <c r="R530"/>
    </row>
    <row r="531" spans="6:18">
      <c r="F531" s="73"/>
      <c r="R531"/>
    </row>
    <row r="532" spans="6:18">
      <c r="F532" s="73"/>
      <c r="R532"/>
    </row>
    <row r="533" spans="6:18">
      <c r="F533" s="73"/>
      <c r="R533"/>
    </row>
    <row r="534" spans="6:18">
      <c r="F534" s="73"/>
      <c r="R534"/>
    </row>
    <row r="535" spans="6:18">
      <c r="F535" s="73"/>
      <c r="R535"/>
    </row>
    <row r="536" spans="6:18">
      <c r="F536" s="73"/>
      <c r="R536"/>
    </row>
    <row r="537" spans="6:18">
      <c r="F537" s="73"/>
      <c r="R537"/>
    </row>
    <row r="538" spans="6:18">
      <c r="F538" s="73"/>
      <c r="R538"/>
    </row>
    <row r="539" spans="6:18">
      <c r="F539" s="73"/>
      <c r="R539"/>
    </row>
    <row r="540" spans="6:18">
      <c r="F540" s="73"/>
      <c r="R540"/>
    </row>
    <row r="541" spans="6:18">
      <c r="F541" s="73"/>
      <c r="R541"/>
    </row>
    <row r="542" spans="6:18">
      <c r="F542" s="73"/>
      <c r="R542"/>
    </row>
    <row r="543" spans="6:18">
      <c r="F543" s="73"/>
      <c r="R543"/>
    </row>
    <row r="544" spans="6:18">
      <c r="F544" s="73"/>
      <c r="R544"/>
    </row>
    <row r="545" spans="6:18">
      <c r="F545" s="73"/>
      <c r="R545"/>
    </row>
    <row r="546" spans="6:18">
      <c r="F546" s="73"/>
      <c r="R546"/>
    </row>
    <row r="547" spans="6:18">
      <c r="F547" s="73"/>
      <c r="R547"/>
    </row>
    <row r="548" spans="6:18">
      <c r="F548" s="73"/>
      <c r="R548"/>
    </row>
    <row r="549" spans="6:18">
      <c r="F549" s="73"/>
      <c r="R549"/>
    </row>
    <row r="550" spans="6:18">
      <c r="F550" s="73"/>
      <c r="R550"/>
    </row>
    <row r="551" spans="6:18">
      <c r="F551" s="73"/>
      <c r="R551"/>
    </row>
    <row r="552" spans="6:18">
      <c r="F552" s="73"/>
      <c r="R552"/>
    </row>
    <row r="553" spans="6:18">
      <c r="F553" s="73"/>
      <c r="R553"/>
    </row>
    <row r="554" spans="6:18">
      <c r="F554" s="73"/>
      <c r="R554"/>
    </row>
    <row r="555" spans="6:18">
      <c r="F555" s="73"/>
      <c r="R555"/>
    </row>
    <row r="556" spans="6:18">
      <c r="F556" s="73"/>
      <c r="R556"/>
    </row>
    <row r="557" spans="6:18">
      <c r="F557" s="73"/>
      <c r="R557"/>
    </row>
    <row r="558" spans="6:18">
      <c r="F558" s="73"/>
      <c r="R558"/>
    </row>
    <row r="559" spans="6:18">
      <c r="F559" s="73"/>
      <c r="R559"/>
    </row>
    <row r="560" spans="6:18">
      <c r="F560" s="73"/>
      <c r="R560"/>
    </row>
    <row r="561" spans="6:18">
      <c r="F561" s="73"/>
      <c r="R561"/>
    </row>
    <row r="562" spans="6:18">
      <c r="F562" s="73"/>
      <c r="R562"/>
    </row>
    <row r="563" spans="6:18">
      <c r="F563" s="73"/>
      <c r="R563"/>
    </row>
    <row r="564" spans="6:18">
      <c r="F564" s="73"/>
      <c r="R564"/>
    </row>
    <row r="565" spans="6:18">
      <c r="F565" s="73"/>
      <c r="R565"/>
    </row>
    <row r="566" spans="6:18">
      <c r="F566" s="73"/>
      <c r="R566"/>
    </row>
    <row r="567" spans="6:18">
      <c r="F567" s="73"/>
      <c r="R567"/>
    </row>
    <row r="568" spans="6:18">
      <c r="F568" s="73"/>
      <c r="R568"/>
    </row>
    <row r="569" spans="6:18">
      <c r="F569" s="73"/>
      <c r="R569"/>
    </row>
    <row r="570" spans="6:18">
      <c r="F570" s="73"/>
      <c r="R570"/>
    </row>
    <row r="571" spans="6:18">
      <c r="F571" s="73"/>
      <c r="R571"/>
    </row>
    <row r="572" spans="6:18">
      <c r="F572" s="73"/>
      <c r="R572"/>
    </row>
    <row r="573" spans="6:18">
      <c r="F573" s="73"/>
      <c r="R573"/>
    </row>
    <row r="574" spans="6:18">
      <c r="F574" s="73"/>
      <c r="R574"/>
    </row>
    <row r="575" spans="6:18">
      <c r="F575" s="73"/>
      <c r="R575"/>
    </row>
    <row r="576" spans="6:18">
      <c r="F576" s="73"/>
      <c r="R576"/>
    </row>
    <row r="577" spans="6:18">
      <c r="F577" s="73"/>
      <c r="R577"/>
    </row>
    <row r="578" spans="6:18">
      <c r="F578" s="73"/>
      <c r="R578"/>
    </row>
    <row r="579" spans="6:18">
      <c r="F579" s="73"/>
      <c r="R579"/>
    </row>
    <row r="580" spans="6:18">
      <c r="F580" s="73"/>
      <c r="R580"/>
    </row>
    <row r="581" spans="6:18">
      <c r="F581" s="73"/>
      <c r="R581"/>
    </row>
    <row r="582" spans="6:18">
      <c r="F582" s="73"/>
      <c r="R582"/>
    </row>
    <row r="583" spans="6:18">
      <c r="F583" s="73"/>
      <c r="R583"/>
    </row>
    <row r="584" spans="6:18">
      <c r="F584" s="73"/>
      <c r="R584"/>
    </row>
    <row r="585" spans="6:18">
      <c r="F585" s="73"/>
      <c r="R585"/>
    </row>
    <row r="586" spans="6:18">
      <c r="F586" s="73"/>
      <c r="R586"/>
    </row>
    <row r="587" spans="6:18">
      <c r="F587" s="73"/>
      <c r="R587"/>
    </row>
    <row r="588" spans="6:18">
      <c r="F588" s="73"/>
      <c r="R588"/>
    </row>
    <row r="589" spans="6:18">
      <c r="F589" s="73"/>
      <c r="R589"/>
    </row>
    <row r="590" spans="6:18">
      <c r="F590" s="73"/>
      <c r="R590"/>
    </row>
    <row r="591" spans="6:18">
      <c r="F591" s="73"/>
      <c r="R591"/>
    </row>
    <row r="592" spans="6:18">
      <c r="F592" s="73"/>
      <c r="R592"/>
    </row>
    <row r="593" spans="6:18">
      <c r="F593" s="73"/>
      <c r="R593"/>
    </row>
    <row r="594" spans="6:18">
      <c r="F594" s="73"/>
      <c r="R594"/>
    </row>
    <row r="595" spans="6:18">
      <c r="F595" s="73"/>
      <c r="R595"/>
    </row>
    <row r="596" spans="6:18">
      <c r="F596" s="73"/>
      <c r="R596"/>
    </row>
    <row r="597" spans="6:18">
      <c r="F597" s="73"/>
      <c r="R597"/>
    </row>
    <row r="598" spans="6:18">
      <c r="F598" s="73"/>
      <c r="R598"/>
    </row>
    <row r="599" spans="6:18">
      <c r="F599" s="73"/>
      <c r="R599"/>
    </row>
    <row r="600" spans="6:18">
      <c r="F600" s="73"/>
      <c r="R600"/>
    </row>
    <row r="601" spans="6:18">
      <c r="F601" s="73"/>
      <c r="R601"/>
    </row>
    <row r="602" spans="6:18">
      <c r="F602" s="73"/>
      <c r="R602"/>
    </row>
    <row r="603" spans="6:18">
      <c r="F603" s="73"/>
      <c r="R603"/>
    </row>
    <row r="604" spans="6:18">
      <c r="F604" s="73"/>
      <c r="R604"/>
    </row>
    <row r="605" spans="6:18">
      <c r="F605" s="73"/>
      <c r="R605"/>
    </row>
    <row r="606" spans="6:18">
      <c r="F606" s="73"/>
      <c r="R606"/>
    </row>
    <row r="607" spans="6:18">
      <c r="F607" s="73"/>
      <c r="R607"/>
    </row>
    <row r="608" spans="6:18">
      <c r="F608" s="73"/>
      <c r="R608"/>
    </row>
    <row r="609" spans="6:18">
      <c r="F609" s="73"/>
      <c r="R609"/>
    </row>
    <row r="610" spans="6:18">
      <c r="F610" s="73"/>
      <c r="R610"/>
    </row>
    <row r="611" spans="6:18">
      <c r="F611" s="73"/>
      <c r="R611"/>
    </row>
    <row r="612" spans="6:18">
      <c r="F612" s="73"/>
      <c r="R612"/>
    </row>
    <row r="613" spans="6:18">
      <c r="F613" s="73"/>
      <c r="R613"/>
    </row>
    <row r="614" spans="6:18">
      <c r="F614" s="73"/>
      <c r="R614"/>
    </row>
    <row r="615" spans="6:18">
      <c r="F615" s="73"/>
      <c r="R615"/>
    </row>
    <row r="616" spans="6:18">
      <c r="F616" s="73"/>
      <c r="R616"/>
    </row>
    <row r="617" spans="6:18">
      <c r="F617" s="73"/>
      <c r="R617"/>
    </row>
    <row r="618" spans="6:18">
      <c r="F618" s="73"/>
      <c r="R618"/>
    </row>
    <row r="619" spans="6:18">
      <c r="F619" s="73"/>
      <c r="R619"/>
    </row>
    <row r="620" spans="6:18">
      <c r="F620" s="73"/>
      <c r="R620"/>
    </row>
    <row r="621" spans="6:18">
      <c r="F621" s="73"/>
      <c r="R621"/>
    </row>
    <row r="622" spans="6:18">
      <c r="F622" s="73"/>
      <c r="R622"/>
    </row>
    <row r="623" spans="6:18">
      <c r="F623" s="73"/>
      <c r="R623"/>
    </row>
    <row r="624" spans="6:18">
      <c r="F624" s="73"/>
      <c r="R624"/>
    </row>
    <row r="625" spans="6:18">
      <c r="F625" s="73"/>
      <c r="R625"/>
    </row>
    <row r="626" spans="6:18">
      <c r="F626" s="73"/>
      <c r="R626"/>
    </row>
    <row r="627" spans="6:18">
      <c r="F627" s="73"/>
      <c r="R627"/>
    </row>
    <row r="628" spans="6:18">
      <c r="F628" s="73"/>
      <c r="R628"/>
    </row>
    <row r="629" spans="6:18">
      <c r="F629" s="73"/>
      <c r="R629"/>
    </row>
    <row r="630" spans="6:18">
      <c r="F630" s="73"/>
      <c r="R630"/>
    </row>
    <row r="631" spans="6:18">
      <c r="F631" s="73"/>
      <c r="R631"/>
    </row>
    <row r="632" spans="6:18">
      <c r="F632" s="73"/>
      <c r="R632"/>
    </row>
    <row r="633" spans="6:18">
      <c r="F633" s="73"/>
      <c r="R633"/>
    </row>
    <row r="634" spans="6:18">
      <c r="F634" s="73"/>
      <c r="R634"/>
    </row>
    <row r="635" spans="6:18">
      <c r="F635" s="73"/>
      <c r="R635"/>
    </row>
    <row r="636" spans="6:18">
      <c r="F636" s="73"/>
      <c r="R636"/>
    </row>
    <row r="637" spans="6:18">
      <c r="F637" s="73"/>
      <c r="R637"/>
    </row>
    <row r="638" spans="6:18">
      <c r="F638" s="73"/>
      <c r="R638"/>
    </row>
    <row r="639" spans="6:18">
      <c r="F639" s="73"/>
      <c r="R639"/>
    </row>
    <row r="640" spans="6:18">
      <c r="F640" s="73"/>
      <c r="R640"/>
    </row>
    <row r="641" spans="6:18">
      <c r="F641" s="73"/>
      <c r="R641"/>
    </row>
    <row r="642" spans="6:18">
      <c r="F642" s="73"/>
      <c r="R642"/>
    </row>
    <row r="643" spans="6:18">
      <c r="F643" s="73"/>
      <c r="R643"/>
    </row>
    <row r="644" spans="6:18">
      <c r="F644" s="73"/>
      <c r="R644"/>
    </row>
    <row r="645" spans="6:18">
      <c r="F645" s="73"/>
      <c r="R645"/>
    </row>
    <row r="646" spans="6:18">
      <c r="F646" s="73"/>
      <c r="R646"/>
    </row>
    <row r="647" spans="6:18">
      <c r="F647" s="73"/>
      <c r="R647"/>
    </row>
    <row r="648" spans="6:18">
      <c r="F648" s="73"/>
      <c r="R648"/>
    </row>
    <row r="649" spans="6:18">
      <c r="F649" s="73"/>
      <c r="R649"/>
    </row>
    <row r="650" spans="6:18">
      <c r="F650" s="73"/>
      <c r="R650"/>
    </row>
    <row r="651" spans="6:18">
      <c r="F651" s="73"/>
      <c r="R651"/>
    </row>
    <row r="652" spans="6:18">
      <c r="F652" s="73"/>
      <c r="R652"/>
    </row>
    <row r="653" spans="6:18">
      <c r="F653" s="73"/>
      <c r="R653"/>
    </row>
    <row r="654" spans="6:18">
      <c r="F654" s="73"/>
      <c r="R654"/>
    </row>
    <row r="655" spans="6:18">
      <c r="F655" s="73"/>
      <c r="R655"/>
    </row>
    <row r="656" spans="6:18">
      <c r="F656" s="73"/>
      <c r="R656"/>
    </row>
    <row r="657" spans="6:18">
      <c r="F657" s="73"/>
      <c r="R657"/>
    </row>
    <row r="658" spans="6:18">
      <c r="F658" s="73"/>
      <c r="R658"/>
    </row>
    <row r="659" spans="6:18">
      <c r="F659" s="73"/>
      <c r="R659"/>
    </row>
    <row r="660" spans="6:18">
      <c r="F660" s="73"/>
      <c r="R660"/>
    </row>
    <row r="661" spans="6:18">
      <c r="F661" s="73"/>
      <c r="R661"/>
    </row>
    <row r="662" spans="6:18">
      <c r="F662" s="73"/>
      <c r="R662"/>
    </row>
    <row r="663" spans="6:18">
      <c r="F663" s="73"/>
      <c r="R663"/>
    </row>
    <row r="664" spans="6:18">
      <c r="F664" s="73"/>
      <c r="R664"/>
    </row>
    <row r="665" spans="6:18">
      <c r="F665" s="73"/>
      <c r="R665"/>
    </row>
    <row r="666" spans="6:18">
      <c r="F666" s="73"/>
      <c r="R666"/>
    </row>
    <row r="667" spans="6:18">
      <c r="F667" s="73"/>
      <c r="R667"/>
    </row>
    <row r="668" spans="6:18">
      <c r="F668" s="73"/>
      <c r="R668"/>
    </row>
    <row r="669" spans="6:18">
      <c r="F669" s="73"/>
      <c r="R669"/>
    </row>
    <row r="670" spans="6:18">
      <c r="F670" s="73"/>
      <c r="R670"/>
    </row>
    <row r="671" spans="6:18">
      <c r="F671" s="73"/>
      <c r="R671"/>
    </row>
    <row r="672" spans="6:18">
      <c r="F672" s="73"/>
      <c r="R672"/>
    </row>
    <row r="673" spans="6:18">
      <c r="F673" s="73"/>
      <c r="R673"/>
    </row>
    <row r="674" spans="6:18">
      <c r="F674" s="73"/>
      <c r="R674"/>
    </row>
    <row r="675" spans="6:18">
      <c r="F675" s="73"/>
      <c r="R675"/>
    </row>
    <row r="676" spans="6:18">
      <c r="F676" s="73"/>
      <c r="R676"/>
    </row>
    <row r="677" spans="6:18">
      <c r="F677" s="73"/>
      <c r="R677"/>
    </row>
    <row r="678" spans="6:18">
      <c r="F678" s="73"/>
      <c r="R678"/>
    </row>
    <row r="679" spans="6:18">
      <c r="F679" s="73"/>
      <c r="R679"/>
    </row>
    <row r="680" spans="6:18">
      <c r="F680" s="73"/>
      <c r="R680"/>
    </row>
    <row r="681" spans="6:18">
      <c r="F681" s="73"/>
      <c r="R681"/>
    </row>
    <row r="682" spans="6:18">
      <c r="F682" s="73"/>
      <c r="R682"/>
    </row>
    <row r="683" spans="6:18">
      <c r="F683" s="73"/>
      <c r="R683"/>
    </row>
    <row r="684" spans="6:18">
      <c r="F684" s="73"/>
      <c r="R684"/>
    </row>
    <row r="685" spans="6:18">
      <c r="F685" s="73"/>
      <c r="R685"/>
    </row>
    <row r="686" spans="6:18">
      <c r="F686" s="73"/>
      <c r="R686"/>
    </row>
    <row r="687" spans="6:18">
      <c r="F687" s="73"/>
      <c r="R687"/>
    </row>
    <row r="688" spans="6:18">
      <c r="F688" s="73"/>
      <c r="R688"/>
    </row>
    <row r="689" spans="6:18">
      <c r="F689" s="73"/>
      <c r="R689"/>
    </row>
    <row r="690" spans="6:18">
      <c r="F690" s="73"/>
      <c r="R690"/>
    </row>
    <row r="691" spans="6:18">
      <c r="F691" s="73"/>
      <c r="R691"/>
    </row>
    <row r="692" spans="6:18">
      <c r="F692" s="73"/>
      <c r="R692"/>
    </row>
    <row r="693" spans="6:18">
      <c r="F693" s="73"/>
      <c r="R693"/>
    </row>
    <row r="694" spans="6:18">
      <c r="F694" s="73"/>
      <c r="R694"/>
    </row>
    <row r="695" spans="6:18">
      <c r="F695" s="73"/>
      <c r="R695"/>
    </row>
    <row r="696" spans="6:18">
      <c r="F696" s="73"/>
      <c r="R696"/>
    </row>
    <row r="697" spans="6:18">
      <c r="F697" s="73"/>
      <c r="R697"/>
    </row>
    <row r="698" spans="6:18">
      <c r="F698" s="73"/>
      <c r="R698"/>
    </row>
    <row r="699" spans="6:18">
      <c r="F699" s="73"/>
      <c r="R699"/>
    </row>
    <row r="700" spans="6:18">
      <c r="F700" s="73"/>
      <c r="R700"/>
    </row>
    <row r="701" spans="6:18">
      <c r="F701" s="73"/>
      <c r="R701"/>
    </row>
    <row r="702" spans="6:18">
      <c r="F702" s="73"/>
      <c r="R702"/>
    </row>
    <row r="703" spans="6:18">
      <c r="F703" s="73"/>
      <c r="R703"/>
    </row>
    <row r="704" spans="6:18">
      <c r="F704" s="73"/>
      <c r="R704"/>
    </row>
    <row r="705" spans="6:18">
      <c r="F705" s="73"/>
      <c r="R705"/>
    </row>
    <row r="706" spans="6:18">
      <c r="F706" s="73"/>
      <c r="R706"/>
    </row>
    <row r="707" spans="6:18">
      <c r="F707" s="73"/>
      <c r="R707"/>
    </row>
    <row r="708" spans="6:18">
      <c r="F708" s="73"/>
      <c r="R708"/>
    </row>
    <row r="709" spans="6:18">
      <c r="F709" s="73"/>
      <c r="R709"/>
    </row>
    <row r="710" spans="6:18">
      <c r="F710" s="73"/>
      <c r="R710"/>
    </row>
    <row r="711" spans="6:18">
      <c r="F711" s="73"/>
      <c r="R711"/>
    </row>
    <row r="712" spans="6:18">
      <c r="F712" s="73"/>
      <c r="R712"/>
    </row>
    <row r="713" spans="6:18">
      <c r="F713" s="73"/>
      <c r="R713"/>
    </row>
    <row r="714" spans="6:18">
      <c r="F714" s="73"/>
      <c r="R714"/>
    </row>
    <row r="715" spans="6:18">
      <c r="F715" s="73"/>
      <c r="R715"/>
    </row>
    <row r="716" spans="6:18">
      <c r="F716" s="73"/>
      <c r="R716"/>
    </row>
    <row r="717" spans="6:18">
      <c r="F717" s="73"/>
      <c r="R717"/>
    </row>
    <row r="718" spans="6:18">
      <c r="F718" s="73"/>
      <c r="R718"/>
    </row>
    <row r="719" spans="6:18">
      <c r="F719" s="73"/>
      <c r="R719"/>
    </row>
    <row r="720" spans="6:18">
      <c r="F720" s="73"/>
      <c r="R720"/>
    </row>
    <row r="721" spans="6:18">
      <c r="F721" s="73"/>
      <c r="R721"/>
    </row>
    <row r="722" spans="6:18">
      <c r="F722" s="73"/>
      <c r="R722"/>
    </row>
    <row r="723" spans="6:18">
      <c r="F723" s="73"/>
      <c r="R723"/>
    </row>
    <row r="724" spans="6:18">
      <c r="F724" s="73"/>
      <c r="R724"/>
    </row>
    <row r="725" spans="6:18">
      <c r="F725" s="73"/>
      <c r="R725"/>
    </row>
    <row r="726" spans="6:18">
      <c r="F726" s="73"/>
      <c r="R726"/>
    </row>
    <row r="727" spans="6:18">
      <c r="F727" s="73"/>
      <c r="R727"/>
    </row>
    <row r="728" spans="6:18">
      <c r="F728" s="73"/>
      <c r="R728"/>
    </row>
    <row r="729" spans="6:18">
      <c r="F729" s="73"/>
      <c r="R729"/>
    </row>
    <row r="730" spans="6:18">
      <c r="F730" s="73"/>
      <c r="R730"/>
    </row>
    <row r="731" spans="6:18">
      <c r="F731" s="73"/>
      <c r="R731"/>
    </row>
    <row r="732" spans="6:18">
      <c r="F732" s="73"/>
      <c r="R732"/>
    </row>
    <row r="733" spans="6:18">
      <c r="F733" s="73"/>
      <c r="R733"/>
    </row>
    <row r="734" spans="6:18">
      <c r="F734" s="73"/>
      <c r="R734"/>
    </row>
    <row r="735" spans="6:18">
      <c r="F735" s="73"/>
      <c r="R735"/>
    </row>
    <row r="736" spans="6:18">
      <c r="F736" s="73"/>
      <c r="R736"/>
    </row>
    <row r="737" spans="6:18">
      <c r="F737" s="73"/>
      <c r="R737"/>
    </row>
    <row r="738" spans="6:18">
      <c r="F738" s="73"/>
      <c r="R738"/>
    </row>
    <row r="739" spans="6:18">
      <c r="F739" s="73"/>
      <c r="R739"/>
    </row>
    <row r="740" spans="6:18">
      <c r="F740" s="73"/>
      <c r="R740"/>
    </row>
    <row r="741" spans="6:18">
      <c r="F741" s="73"/>
      <c r="R741"/>
    </row>
    <row r="742" spans="6:18">
      <c r="F742" s="73"/>
      <c r="R742"/>
    </row>
    <row r="743" spans="6:18">
      <c r="F743" s="73"/>
      <c r="R743"/>
    </row>
    <row r="744" spans="6:18">
      <c r="F744" s="73"/>
      <c r="R744"/>
    </row>
    <row r="745" spans="6:18">
      <c r="F745" s="73"/>
      <c r="R745"/>
    </row>
    <row r="746" spans="6:18">
      <c r="F746" s="73"/>
      <c r="R746"/>
    </row>
    <row r="747" spans="6:18">
      <c r="F747" s="73"/>
      <c r="R747"/>
    </row>
    <row r="748" spans="6:18">
      <c r="F748" s="73"/>
      <c r="R748"/>
    </row>
    <row r="749" spans="6:18">
      <c r="F749" s="73"/>
      <c r="R749"/>
    </row>
    <row r="750" spans="6:18">
      <c r="F750" s="73"/>
      <c r="R750"/>
    </row>
    <row r="751" spans="6:18">
      <c r="F751" s="73"/>
      <c r="R751"/>
    </row>
    <row r="752" spans="6:18">
      <c r="F752" s="73"/>
      <c r="R752"/>
    </row>
    <row r="753" spans="6:18">
      <c r="F753" s="73"/>
      <c r="R753"/>
    </row>
    <row r="754" spans="6:18">
      <c r="F754" s="73"/>
      <c r="R754"/>
    </row>
    <row r="755" spans="6:18">
      <c r="F755" s="73"/>
      <c r="R755"/>
    </row>
    <row r="756" spans="6:18">
      <c r="F756" s="73"/>
      <c r="R756"/>
    </row>
    <row r="757" spans="6:18">
      <c r="F757" s="73"/>
      <c r="R757"/>
    </row>
    <row r="758" spans="6:18">
      <c r="F758" s="73"/>
      <c r="R758"/>
    </row>
    <row r="759" spans="6:18">
      <c r="F759" s="73"/>
      <c r="R759"/>
    </row>
    <row r="760" spans="6:18">
      <c r="F760" s="73"/>
      <c r="R760"/>
    </row>
    <row r="761" spans="6:18">
      <c r="F761" s="73"/>
      <c r="R761"/>
    </row>
    <row r="762" spans="6:18">
      <c r="F762" s="73"/>
      <c r="R762"/>
    </row>
    <row r="763" spans="6:18">
      <c r="F763" s="73"/>
      <c r="R763"/>
    </row>
    <row r="764" spans="6:18">
      <c r="F764" s="73"/>
      <c r="R764"/>
    </row>
    <row r="765" spans="6:18">
      <c r="F765" s="73"/>
      <c r="R765"/>
    </row>
    <row r="766" spans="6:18">
      <c r="F766" s="73"/>
      <c r="R766"/>
    </row>
    <row r="767" spans="6:18">
      <c r="F767" s="73"/>
      <c r="R767"/>
    </row>
    <row r="768" spans="6:18">
      <c r="F768" s="73"/>
      <c r="R768"/>
    </row>
    <row r="769" spans="6:18">
      <c r="F769" s="73"/>
      <c r="R769"/>
    </row>
    <row r="770" spans="6:18">
      <c r="F770" s="73"/>
      <c r="R770"/>
    </row>
    <row r="771" spans="6:18">
      <c r="F771" s="73"/>
      <c r="R771"/>
    </row>
    <row r="772" spans="6:18">
      <c r="F772" s="73"/>
      <c r="R772"/>
    </row>
    <row r="773" spans="6:18">
      <c r="F773" s="73"/>
      <c r="R773"/>
    </row>
    <row r="774" spans="6:18">
      <c r="F774" s="73"/>
      <c r="R774"/>
    </row>
    <row r="775" spans="6:18">
      <c r="F775" s="73"/>
      <c r="R775"/>
    </row>
    <row r="776" spans="6:18">
      <c r="F776" s="73"/>
      <c r="R776"/>
    </row>
    <row r="777" spans="6:18">
      <c r="F777" s="73"/>
      <c r="R777"/>
    </row>
    <row r="778" spans="6:18">
      <c r="F778" s="73"/>
      <c r="R778"/>
    </row>
    <row r="779" spans="6:18">
      <c r="F779" s="73"/>
      <c r="R779"/>
    </row>
    <row r="780" spans="6:18">
      <c r="F780" s="73"/>
      <c r="R780"/>
    </row>
    <row r="781" spans="6:18">
      <c r="F781" s="73"/>
      <c r="R781"/>
    </row>
    <row r="782" spans="6:18">
      <c r="F782" s="73"/>
      <c r="R782"/>
    </row>
    <row r="783" spans="6:18">
      <c r="F783" s="73"/>
      <c r="R783"/>
    </row>
    <row r="784" spans="6:18">
      <c r="F784" s="73"/>
      <c r="R784"/>
    </row>
    <row r="785" spans="6:18">
      <c r="F785" s="73"/>
      <c r="R785"/>
    </row>
    <row r="786" spans="6:18">
      <c r="F786" s="73"/>
      <c r="R786"/>
    </row>
    <row r="787" spans="6:18">
      <c r="F787" s="73"/>
      <c r="R787"/>
    </row>
    <row r="788" spans="6:18">
      <c r="F788" s="73"/>
      <c r="R788"/>
    </row>
    <row r="789" spans="6:18">
      <c r="F789" s="73"/>
      <c r="R789"/>
    </row>
    <row r="790" spans="6:18">
      <c r="F790" s="73"/>
      <c r="R790"/>
    </row>
    <row r="791" spans="6:18">
      <c r="F791" s="73"/>
      <c r="R791"/>
    </row>
    <row r="792" spans="6:18">
      <c r="F792" s="73"/>
      <c r="R792"/>
    </row>
    <row r="793" spans="6:18">
      <c r="F793" s="73"/>
      <c r="R793"/>
    </row>
    <row r="794" spans="6:18">
      <c r="F794" s="73"/>
      <c r="R794"/>
    </row>
    <row r="795" spans="6:18">
      <c r="F795" s="73"/>
      <c r="R795"/>
    </row>
    <row r="796" spans="6:18">
      <c r="F796" s="73"/>
      <c r="R796"/>
    </row>
    <row r="797" spans="6:18">
      <c r="F797" s="73"/>
      <c r="R797"/>
    </row>
    <row r="798" spans="6:18">
      <c r="F798" s="73"/>
      <c r="R798"/>
    </row>
    <row r="799" spans="6:18">
      <c r="F799" s="73"/>
      <c r="R799"/>
    </row>
    <row r="800" spans="6:18">
      <c r="F800" s="73"/>
      <c r="R800"/>
    </row>
    <row r="801" spans="6:18">
      <c r="F801" s="73"/>
      <c r="R801"/>
    </row>
    <row r="802" spans="6:18">
      <c r="F802" s="73"/>
      <c r="R802"/>
    </row>
    <row r="803" spans="6:18">
      <c r="F803" s="73"/>
      <c r="R803"/>
    </row>
    <row r="804" spans="6:18">
      <c r="F804" s="73"/>
      <c r="R804"/>
    </row>
    <row r="805" spans="6:18">
      <c r="F805" s="73"/>
      <c r="R805"/>
    </row>
    <row r="806" spans="6:18">
      <c r="F806" s="73"/>
      <c r="R806"/>
    </row>
    <row r="807" spans="6:18">
      <c r="F807" s="73"/>
      <c r="R807"/>
    </row>
    <row r="808" spans="6:18">
      <c r="F808" s="73"/>
      <c r="R808"/>
    </row>
    <row r="809" spans="6:18">
      <c r="F809" s="73"/>
      <c r="R809"/>
    </row>
    <row r="810" spans="6:18">
      <c r="F810" s="73"/>
      <c r="R810"/>
    </row>
    <row r="811" spans="6:18">
      <c r="F811" s="73"/>
      <c r="R811"/>
    </row>
    <row r="812" spans="6:18">
      <c r="F812" s="73"/>
      <c r="R812"/>
    </row>
    <row r="813" spans="6:18">
      <c r="F813" s="73"/>
      <c r="R813"/>
    </row>
    <row r="814" spans="6:18">
      <c r="F814" s="73"/>
      <c r="R814"/>
    </row>
    <row r="815" spans="6:18">
      <c r="F815" s="73"/>
      <c r="R815"/>
    </row>
    <row r="816" spans="6:18">
      <c r="F816" s="73"/>
      <c r="R816"/>
    </row>
    <row r="817" spans="6:18">
      <c r="F817" s="73"/>
      <c r="R817"/>
    </row>
    <row r="818" spans="6:18">
      <c r="F818" s="73"/>
      <c r="R818"/>
    </row>
    <row r="819" spans="6:18">
      <c r="F819" s="73"/>
      <c r="R819"/>
    </row>
    <row r="820" spans="6:18">
      <c r="F820" s="73"/>
      <c r="R820"/>
    </row>
    <row r="821" spans="6:18">
      <c r="F821" s="73"/>
      <c r="R821"/>
    </row>
    <row r="822" spans="6:18">
      <c r="F822" s="73"/>
      <c r="R822"/>
    </row>
    <row r="823" spans="6:18">
      <c r="F823" s="73"/>
      <c r="R823"/>
    </row>
    <row r="824" spans="6:18">
      <c r="F824" s="73"/>
      <c r="R824"/>
    </row>
    <row r="825" spans="6:18">
      <c r="F825" s="73"/>
      <c r="R825"/>
    </row>
    <row r="826" spans="6:18">
      <c r="F826" s="73"/>
      <c r="R826"/>
    </row>
    <row r="827" spans="6:18">
      <c r="F827" s="73"/>
      <c r="R827"/>
    </row>
    <row r="828" spans="6:18">
      <c r="F828" s="73"/>
      <c r="R828"/>
    </row>
    <row r="829" spans="6:18">
      <c r="F829" s="73"/>
      <c r="R829"/>
    </row>
    <row r="830" spans="6:18">
      <c r="F830" s="73"/>
      <c r="R830"/>
    </row>
    <row r="831" spans="6:18">
      <c r="F831" s="73"/>
      <c r="R831"/>
    </row>
    <row r="832" spans="6:18">
      <c r="F832" s="73"/>
      <c r="R832"/>
    </row>
    <row r="833" spans="6:18">
      <c r="F833" s="73"/>
      <c r="R833"/>
    </row>
    <row r="834" spans="6:18">
      <c r="F834" s="73"/>
      <c r="R834"/>
    </row>
    <row r="835" spans="6:18">
      <c r="F835" s="73"/>
      <c r="R835"/>
    </row>
    <row r="836" spans="6:18">
      <c r="F836" s="73"/>
      <c r="R836"/>
    </row>
    <row r="837" spans="6:18">
      <c r="F837" s="73"/>
      <c r="R837"/>
    </row>
    <row r="838" spans="6:18">
      <c r="F838" s="73"/>
      <c r="R838"/>
    </row>
    <row r="839" spans="6:18">
      <c r="F839" s="73"/>
      <c r="R839"/>
    </row>
    <row r="840" spans="6:18">
      <c r="F840" s="73"/>
      <c r="R840"/>
    </row>
    <row r="841" spans="6:18">
      <c r="F841" s="73"/>
      <c r="R841"/>
    </row>
    <row r="842" spans="6:18">
      <c r="F842" s="73"/>
      <c r="R842"/>
    </row>
    <row r="843" spans="6:18">
      <c r="F843" s="73"/>
      <c r="R843"/>
    </row>
    <row r="844" spans="6:18">
      <c r="F844" s="73"/>
      <c r="R844"/>
    </row>
    <row r="845" spans="6:18">
      <c r="F845" s="73"/>
      <c r="R845"/>
    </row>
    <row r="846" spans="6:18">
      <c r="F846" s="73"/>
      <c r="R846"/>
    </row>
    <row r="847" spans="6:18">
      <c r="F847" s="73"/>
      <c r="R847"/>
    </row>
    <row r="848" spans="6:18">
      <c r="F848" s="73"/>
      <c r="R848"/>
    </row>
    <row r="849" spans="6:18">
      <c r="F849" s="73"/>
      <c r="R849"/>
    </row>
    <row r="850" spans="6:18">
      <c r="F850" s="73"/>
      <c r="R850"/>
    </row>
    <row r="851" spans="6:18">
      <c r="F851" s="73"/>
      <c r="R851"/>
    </row>
    <row r="852" spans="6:18">
      <c r="F852" s="73"/>
      <c r="R852"/>
    </row>
    <row r="853" spans="6:18">
      <c r="F853" s="73"/>
      <c r="R853"/>
    </row>
    <row r="854" spans="6:18">
      <c r="F854" s="73"/>
      <c r="R854"/>
    </row>
    <row r="855" spans="6:18">
      <c r="F855" s="73"/>
      <c r="R855"/>
    </row>
    <row r="856" spans="6:18">
      <c r="F856" s="73"/>
      <c r="R856"/>
    </row>
    <row r="857" spans="6:18">
      <c r="F857" s="73"/>
      <c r="R857"/>
    </row>
    <row r="858" spans="6:18">
      <c r="F858" s="73"/>
      <c r="R858"/>
    </row>
    <row r="859" spans="6:18">
      <c r="F859" s="73"/>
      <c r="R859"/>
    </row>
    <row r="860" spans="6:18">
      <c r="F860" s="73"/>
      <c r="R860"/>
    </row>
    <row r="861" spans="6:18">
      <c r="F861" s="73"/>
      <c r="R861"/>
    </row>
    <row r="862" spans="6:18">
      <c r="F862" s="73"/>
      <c r="R862"/>
    </row>
    <row r="863" spans="6:18">
      <c r="F863" s="73"/>
      <c r="R863"/>
    </row>
    <row r="864" spans="6:18">
      <c r="F864" s="73"/>
      <c r="R864"/>
    </row>
    <row r="865" spans="6:18">
      <c r="F865" s="73"/>
      <c r="R865"/>
    </row>
    <row r="866" spans="6:18">
      <c r="F866" s="73"/>
      <c r="R866"/>
    </row>
    <row r="867" spans="6:18">
      <c r="F867" s="73"/>
      <c r="R867"/>
    </row>
    <row r="868" spans="6:18">
      <c r="F868" s="73"/>
      <c r="R868"/>
    </row>
    <row r="869" spans="6:18">
      <c r="F869" s="73"/>
      <c r="R869"/>
    </row>
    <row r="870" spans="6:18">
      <c r="F870" s="73"/>
      <c r="R870"/>
    </row>
    <row r="871" spans="6:18">
      <c r="F871" s="73"/>
      <c r="R871"/>
    </row>
    <row r="872" spans="6:18">
      <c r="F872" s="73"/>
      <c r="R872"/>
    </row>
    <row r="873" spans="6:18">
      <c r="F873" s="73"/>
      <c r="R873"/>
    </row>
    <row r="874" spans="6:18">
      <c r="F874" s="73"/>
      <c r="R874"/>
    </row>
    <row r="875" spans="6:18">
      <c r="F875" s="73"/>
      <c r="R875"/>
    </row>
    <row r="876" spans="6:18">
      <c r="F876" s="73"/>
      <c r="R876"/>
    </row>
    <row r="877" spans="6:18">
      <c r="F877" s="73"/>
      <c r="R877"/>
    </row>
    <row r="878" spans="6:18">
      <c r="F878" s="73"/>
      <c r="R878"/>
    </row>
    <row r="879" spans="6:18">
      <c r="F879" s="73"/>
      <c r="R879"/>
    </row>
    <row r="880" spans="6:18">
      <c r="F880" s="73"/>
      <c r="R880"/>
    </row>
    <row r="881" spans="6:18">
      <c r="F881" s="73"/>
      <c r="R881"/>
    </row>
    <row r="882" spans="6:18">
      <c r="F882" s="73"/>
      <c r="R882"/>
    </row>
    <row r="883" spans="6:18">
      <c r="F883" s="73"/>
      <c r="R883"/>
    </row>
    <row r="884" spans="6:18">
      <c r="F884" s="73"/>
      <c r="R884"/>
    </row>
    <row r="885" spans="6:18">
      <c r="F885" s="73"/>
      <c r="R885"/>
    </row>
    <row r="886" spans="6:18">
      <c r="F886" s="73"/>
      <c r="R886"/>
    </row>
    <row r="887" spans="6:18">
      <c r="F887" s="73"/>
      <c r="R887"/>
    </row>
    <row r="888" spans="6:18">
      <c r="F888" s="73"/>
      <c r="R888"/>
    </row>
    <row r="889" spans="6:18">
      <c r="F889" s="73"/>
      <c r="R889"/>
    </row>
    <row r="890" spans="6:18">
      <c r="F890" s="73"/>
      <c r="R890"/>
    </row>
    <row r="891" spans="6:18">
      <c r="F891" s="73"/>
      <c r="R891"/>
    </row>
    <row r="892" spans="6:18">
      <c r="F892" s="73"/>
      <c r="R892"/>
    </row>
    <row r="893" spans="6:18">
      <c r="F893" s="73"/>
      <c r="R893"/>
    </row>
    <row r="894" spans="6:18">
      <c r="F894" s="73"/>
      <c r="R894"/>
    </row>
    <row r="895" spans="6:18">
      <c r="F895" s="73"/>
      <c r="R895"/>
    </row>
    <row r="896" spans="6:18">
      <c r="F896" s="73"/>
      <c r="R896"/>
    </row>
    <row r="897" spans="6:18">
      <c r="F897" s="73"/>
      <c r="R897"/>
    </row>
    <row r="898" spans="6:18">
      <c r="F898" s="73"/>
      <c r="R898"/>
    </row>
    <row r="899" spans="6:18">
      <c r="F899" s="73"/>
      <c r="R899"/>
    </row>
    <row r="900" spans="6:18">
      <c r="F900" s="73"/>
      <c r="R900"/>
    </row>
    <row r="901" spans="6:18">
      <c r="F901" s="73"/>
      <c r="R901"/>
    </row>
    <row r="902" spans="6:18">
      <c r="F902" s="73"/>
      <c r="R902"/>
    </row>
    <row r="903" spans="6:18">
      <c r="F903" s="73"/>
      <c r="R903"/>
    </row>
    <row r="904" spans="6:18">
      <c r="F904" s="73"/>
      <c r="R904"/>
    </row>
    <row r="905" spans="6:18">
      <c r="F905" s="73"/>
      <c r="R905"/>
    </row>
    <row r="906" spans="6:18">
      <c r="F906" s="73"/>
      <c r="R906"/>
    </row>
    <row r="907" spans="6:18">
      <c r="F907" s="73"/>
      <c r="R907"/>
    </row>
    <row r="908" spans="6:18">
      <c r="F908" s="73"/>
      <c r="R908"/>
    </row>
    <row r="909" spans="6:18">
      <c r="F909" s="73"/>
      <c r="R909"/>
    </row>
    <row r="910" spans="6:18">
      <c r="F910" s="73"/>
      <c r="R910"/>
    </row>
    <row r="911" spans="6:18">
      <c r="F911" s="73"/>
      <c r="R911"/>
    </row>
    <row r="912" spans="6:18">
      <c r="F912" s="73"/>
      <c r="R912"/>
    </row>
    <row r="913" spans="6:18">
      <c r="F913" s="73"/>
      <c r="R913"/>
    </row>
    <row r="914" spans="6:18">
      <c r="F914" s="73"/>
      <c r="R914"/>
    </row>
    <row r="915" spans="6:18">
      <c r="F915" s="73"/>
      <c r="R915"/>
    </row>
    <row r="916" spans="6:18">
      <c r="F916" s="73"/>
      <c r="R916"/>
    </row>
    <row r="917" spans="6:18">
      <c r="F917" s="73"/>
      <c r="R917"/>
    </row>
    <row r="918" spans="6:18">
      <c r="F918" s="73"/>
      <c r="R918"/>
    </row>
    <row r="919" spans="6:18">
      <c r="F919" s="73"/>
      <c r="R919"/>
    </row>
    <row r="920" spans="6:18">
      <c r="F920" s="73"/>
      <c r="R920"/>
    </row>
    <row r="921" spans="6:18">
      <c r="F921" s="73"/>
      <c r="R921"/>
    </row>
    <row r="922" spans="6:18">
      <c r="F922" s="73"/>
      <c r="R922"/>
    </row>
    <row r="923" spans="6:18">
      <c r="F923" s="73"/>
      <c r="R923"/>
    </row>
    <row r="924" spans="6:18">
      <c r="F924" s="73"/>
      <c r="R924"/>
    </row>
    <row r="925" spans="6:18">
      <c r="F925" s="73"/>
      <c r="R925"/>
    </row>
    <row r="926" spans="6:18">
      <c r="F926" s="73"/>
      <c r="R926"/>
    </row>
    <row r="927" spans="6:18">
      <c r="F927" s="73"/>
      <c r="R927"/>
    </row>
    <row r="928" spans="6:18">
      <c r="F928" s="73"/>
      <c r="R928"/>
    </row>
    <row r="929" spans="6:18">
      <c r="F929" s="73"/>
      <c r="R929"/>
    </row>
    <row r="930" spans="6:18">
      <c r="F930" s="73"/>
      <c r="R930"/>
    </row>
    <row r="931" spans="6:18">
      <c r="F931" s="73"/>
      <c r="R931"/>
    </row>
  </sheetData>
  <phoneticPr fontId="0" type="noConversion"/>
  <pageMargins left="0.35433070866141736" right="0.74803149606299213" top="0.39370078740157483" bottom="0.59055118110236227" header="0.51181102362204722" footer="0.51181102362204722"/>
  <pageSetup paperSize="9" orientation="landscape" horizontalDpi="3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932"/>
  <sheetViews>
    <sheetView topLeftCell="A4" workbookViewId="0">
      <selection activeCell="D17" sqref="D17"/>
    </sheetView>
  </sheetViews>
  <sheetFormatPr defaultRowHeight="12.75"/>
  <cols>
    <col min="1" max="1" width="2.28515625" customWidth="1"/>
    <col min="2" max="2" width="3.28515625" customWidth="1"/>
    <col min="3" max="3" width="11.5703125" customWidth="1"/>
    <col min="4" max="4" width="3.42578125" customWidth="1"/>
    <col min="5" max="5" width="11.28515625" style="40" customWidth="1"/>
    <col min="6" max="6" width="10.140625" style="40" customWidth="1"/>
    <col min="7" max="7" width="9.85546875" customWidth="1"/>
    <col min="8" max="8" width="3.42578125" customWidth="1"/>
    <col min="9" max="9" width="10" customWidth="1"/>
    <col min="10" max="10" width="7.140625" customWidth="1"/>
    <col min="11" max="13" width="11.7109375" customWidth="1"/>
    <col min="14" max="14" width="4.42578125" customWidth="1"/>
    <col min="15" max="15" width="2.85546875" customWidth="1"/>
    <col min="16" max="16" width="3" customWidth="1"/>
    <col min="17" max="17" width="11.42578125" customWidth="1"/>
    <col min="18" max="18" width="3.5703125" style="72" customWidth="1"/>
    <col min="19" max="19" width="7.28515625" customWidth="1"/>
  </cols>
  <sheetData>
    <row r="1" spans="1:18">
      <c r="A1" s="45" t="s">
        <v>55</v>
      </c>
    </row>
    <row r="2" spans="1:18">
      <c r="F2" s="73"/>
      <c r="R2"/>
    </row>
    <row r="3" spans="1:18">
      <c r="A3" s="84" t="s">
        <v>33</v>
      </c>
      <c r="B3" s="59"/>
      <c r="C3" s="332">
        <v>300</v>
      </c>
      <c r="D3" s="332"/>
      <c r="E3" s="200">
        <v>40963</v>
      </c>
      <c r="F3" s="73"/>
      <c r="R3"/>
    </row>
    <row r="4" spans="1:18">
      <c r="A4" s="47"/>
      <c r="B4" s="59">
        <v>9</v>
      </c>
      <c r="C4" s="104">
        <v>100</v>
      </c>
      <c r="D4" s="89" t="s">
        <v>27</v>
      </c>
      <c r="E4" s="119"/>
      <c r="F4" s="73"/>
      <c r="R4"/>
    </row>
    <row r="5" spans="1:18">
      <c r="A5" s="47"/>
      <c r="B5" s="107">
        <v>10</v>
      </c>
      <c r="C5" s="114">
        <v>100</v>
      </c>
      <c r="D5" s="108" t="s">
        <v>27</v>
      </c>
      <c r="E5" s="378"/>
      <c r="F5" s="73"/>
      <c r="R5"/>
    </row>
    <row r="6" spans="1:18">
      <c r="A6" s="47"/>
      <c r="B6" s="107">
        <v>11</v>
      </c>
      <c r="C6" s="114">
        <v>0</v>
      </c>
      <c r="D6" s="108" t="s">
        <v>27</v>
      </c>
      <c r="E6" s="404"/>
      <c r="F6" s="73"/>
      <c r="R6"/>
    </row>
    <row r="7" spans="1:18">
      <c r="A7" s="47"/>
      <c r="B7" s="107">
        <v>12</v>
      </c>
      <c r="C7" s="88">
        <v>100</v>
      </c>
      <c r="D7" s="108" t="s">
        <v>27</v>
      </c>
      <c r="E7" s="378"/>
      <c r="F7" s="73"/>
      <c r="R7"/>
    </row>
    <row r="8" spans="1:18" ht="13.5" thickBot="1">
      <c r="A8" s="47"/>
      <c r="B8" s="47"/>
      <c r="C8" s="129">
        <f>SUM(C4:C7)</f>
        <v>300</v>
      </c>
      <c r="D8" s="47"/>
      <c r="E8" s="378"/>
      <c r="F8" s="73"/>
      <c r="R8"/>
    </row>
    <row r="9" spans="1:18" ht="13.5" thickTop="1">
      <c r="F9" s="73"/>
      <c r="R9"/>
    </row>
    <row r="10" spans="1:18">
      <c r="A10" s="84" t="s">
        <v>33</v>
      </c>
      <c r="B10" s="59"/>
      <c r="C10" s="332">
        <v>200</v>
      </c>
      <c r="D10" s="332"/>
      <c r="E10" s="200">
        <v>41110</v>
      </c>
      <c r="F10" s="73"/>
      <c r="R10"/>
    </row>
    <row r="11" spans="1:18">
      <c r="A11" s="47"/>
      <c r="B11" s="107">
        <v>30</v>
      </c>
      <c r="C11" s="114">
        <v>100</v>
      </c>
      <c r="D11" s="108" t="s">
        <v>27</v>
      </c>
      <c r="E11" s="718"/>
      <c r="F11" s="73"/>
      <c r="R11"/>
    </row>
    <row r="12" spans="1:18">
      <c r="A12" s="47"/>
      <c r="B12" s="107">
        <v>31</v>
      </c>
      <c r="C12" s="88">
        <v>100</v>
      </c>
      <c r="D12" s="108" t="s">
        <v>27</v>
      </c>
      <c r="E12" s="718"/>
      <c r="F12" s="73"/>
      <c r="R12"/>
    </row>
    <row r="13" spans="1:18" ht="13.5" thickBot="1">
      <c r="A13" s="47"/>
      <c r="B13" s="47"/>
      <c r="C13" s="129">
        <f>SUM(C11:C12)</f>
        <v>200</v>
      </c>
      <c r="D13" s="47"/>
      <c r="E13" s="718"/>
      <c r="F13" s="73"/>
      <c r="R13"/>
    </row>
    <row r="14" spans="1:18" ht="13.5" thickTop="1">
      <c r="F14" s="73"/>
      <c r="R14"/>
    </row>
    <row r="15" spans="1:18">
      <c r="A15" s="84" t="s">
        <v>33</v>
      </c>
      <c r="B15" s="59"/>
      <c r="C15" s="332">
        <v>2500</v>
      </c>
      <c r="D15" s="332"/>
      <c r="E15" s="200">
        <v>41122</v>
      </c>
      <c r="F15" s="73"/>
      <c r="R15"/>
    </row>
    <row r="16" spans="1:18">
      <c r="A16" s="47"/>
      <c r="B16" s="107">
        <v>32</v>
      </c>
      <c r="C16" s="114">
        <v>62.5</v>
      </c>
      <c r="D16" s="108" t="s">
        <v>27</v>
      </c>
      <c r="E16" s="542" t="s">
        <v>461</v>
      </c>
      <c r="F16" s="73"/>
      <c r="R16"/>
    </row>
    <row r="17" spans="1:18">
      <c r="A17" s="47"/>
      <c r="B17" s="107">
        <v>33</v>
      </c>
      <c r="C17" s="114">
        <v>62.5</v>
      </c>
      <c r="D17" s="108"/>
      <c r="E17" s="718"/>
      <c r="F17" s="73"/>
      <c r="R17"/>
    </row>
    <row r="18" spans="1:18">
      <c r="A18" s="47"/>
      <c r="B18" s="107">
        <v>34</v>
      </c>
      <c r="C18" s="114">
        <v>62.5</v>
      </c>
      <c r="D18" s="108"/>
      <c r="E18" s="718"/>
      <c r="F18" s="73"/>
      <c r="R18"/>
    </row>
    <row r="19" spans="1:18">
      <c r="A19" s="47"/>
      <c r="B19" s="107">
        <v>35</v>
      </c>
      <c r="C19" s="114">
        <v>62.5</v>
      </c>
      <c r="D19" s="108"/>
      <c r="E19" s="718"/>
      <c r="F19" s="73"/>
      <c r="R19"/>
    </row>
    <row r="20" spans="1:18">
      <c r="A20" s="47"/>
      <c r="B20" s="107">
        <v>36</v>
      </c>
      <c r="C20" s="114">
        <v>62.5</v>
      </c>
      <c r="D20" s="108"/>
      <c r="E20" s="718"/>
      <c r="F20" s="73"/>
      <c r="R20"/>
    </row>
    <row r="21" spans="1:18">
      <c r="A21" s="47"/>
      <c r="B21" s="107">
        <v>37</v>
      </c>
      <c r="C21" s="114">
        <v>62.5</v>
      </c>
      <c r="D21" s="108"/>
      <c r="E21" s="718"/>
      <c r="F21" s="73"/>
      <c r="R21"/>
    </row>
    <row r="22" spans="1:18">
      <c r="A22" s="47"/>
      <c r="B22" s="107">
        <v>38</v>
      </c>
      <c r="C22" s="114">
        <v>62.5</v>
      </c>
      <c r="D22" s="108"/>
      <c r="E22" s="718"/>
      <c r="F22" s="73"/>
      <c r="R22"/>
    </row>
    <row r="23" spans="1:18">
      <c r="A23" s="47"/>
      <c r="B23" s="107">
        <v>39</v>
      </c>
      <c r="C23" s="114">
        <v>62.5</v>
      </c>
      <c r="D23" s="108"/>
      <c r="E23" s="718"/>
      <c r="F23" s="73"/>
      <c r="R23"/>
    </row>
    <row r="24" spans="1:18">
      <c r="A24" s="47"/>
      <c r="B24" s="107">
        <v>40</v>
      </c>
      <c r="C24" s="114">
        <v>62.5</v>
      </c>
      <c r="D24" s="108"/>
      <c r="E24" s="718"/>
      <c r="F24" s="73"/>
      <c r="R24"/>
    </row>
    <row r="25" spans="1:18">
      <c r="A25" s="47"/>
      <c r="B25" s="107">
        <v>41</v>
      </c>
      <c r="C25" s="114">
        <v>62.5</v>
      </c>
      <c r="D25" s="108"/>
      <c r="E25" s="718"/>
      <c r="F25" s="73"/>
      <c r="R25"/>
    </row>
    <row r="26" spans="1:18">
      <c r="A26" s="47"/>
      <c r="B26" s="107">
        <v>42</v>
      </c>
      <c r="C26" s="114">
        <v>62.5</v>
      </c>
      <c r="D26" s="108"/>
      <c r="E26" s="718"/>
      <c r="F26" s="73"/>
      <c r="R26"/>
    </row>
    <row r="27" spans="1:18">
      <c r="A27" s="47"/>
      <c r="B27" s="107">
        <v>43</v>
      </c>
      <c r="C27" s="114">
        <v>62.5</v>
      </c>
      <c r="D27" s="108"/>
      <c r="E27" s="718"/>
      <c r="F27" s="73"/>
      <c r="R27"/>
    </row>
    <row r="28" spans="1:18">
      <c r="A28" s="47"/>
      <c r="B28" s="107">
        <v>44</v>
      </c>
      <c r="C28" s="114">
        <v>62.5</v>
      </c>
      <c r="D28" s="108"/>
      <c r="E28" s="718"/>
      <c r="F28" s="73"/>
      <c r="R28"/>
    </row>
    <row r="29" spans="1:18">
      <c r="A29" s="47"/>
      <c r="B29" s="107">
        <v>45</v>
      </c>
      <c r="C29" s="114">
        <v>62.5</v>
      </c>
      <c r="D29" s="108"/>
      <c r="E29" s="718"/>
      <c r="F29" s="73"/>
      <c r="R29"/>
    </row>
    <row r="30" spans="1:18">
      <c r="A30" s="47"/>
      <c r="B30" s="107">
        <v>46</v>
      </c>
      <c r="C30" s="114">
        <v>62.5</v>
      </c>
      <c r="D30" s="108"/>
      <c r="E30" s="718"/>
      <c r="F30" s="73"/>
      <c r="R30"/>
    </row>
    <row r="31" spans="1:18">
      <c r="A31" s="47"/>
      <c r="B31" s="107">
        <v>47</v>
      </c>
      <c r="C31" s="114">
        <v>62.5</v>
      </c>
      <c r="D31" s="108"/>
      <c r="E31" s="718"/>
      <c r="F31" s="73"/>
      <c r="R31"/>
    </row>
    <row r="32" spans="1:18">
      <c r="A32" s="47"/>
      <c r="B32" s="107">
        <v>48</v>
      </c>
      <c r="C32" s="114">
        <v>62.5</v>
      </c>
      <c r="D32" s="108"/>
      <c r="E32" s="718"/>
      <c r="F32" s="73"/>
      <c r="R32"/>
    </row>
    <row r="33" spans="1:18">
      <c r="A33" s="47"/>
      <c r="B33" s="107">
        <v>49</v>
      </c>
      <c r="C33" s="114">
        <v>62.5</v>
      </c>
      <c r="D33" s="108"/>
      <c r="E33" s="718"/>
      <c r="F33" s="73"/>
      <c r="R33"/>
    </row>
    <row r="34" spans="1:18">
      <c r="A34" s="47"/>
      <c r="B34" s="107">
        <v>50</v>
      </c>
      <c r="C34" s="114">
        <v>62.5</v>
      </c>
      <c r="D34" s="108"/>
      <c r="E34" s="718"/>
      <c r="F34" s="73"/>
      <c r="R34"/>
    </row>
    <row r="35" spans="1:18">
      <c r="A35" s="47"/>
      <c r="B35" s="107">
        <v>51</v>
      </c>
      <c r="C35" s="114">
        <v>62.5</v>
      </c>
      <c r="D35" s="108"/>
      <c r="E35" s="718"/>
      <c r="F35" s="73"/>
      <c r="R35"/>
    </row>
    <row r="36" spans="1:18">
      <c r="A36" s="47"/>
      <c r="B36" s="107">
        <v>52</v>
      </c>
      <c r="C36" s="114">
        <v>62.5</v>
      </c>
      <c r="D36" s="108"/>
      <c r="E36" s="718"/>
      <c r="F36" s="73"/>
      <c r="R36"/>
    </row>
    <row r="37" spans="1:18">
      <c r="A37" s="47"/>
      <c r="B37" s="719" t="s">
        <v>231</v>
      </c>
      <c r="C37" s="114">
        <v>62.5</v>
      </c>
      <c r="D37" s="108"/>
      <c r="E37" s="718"/>
      <c r="F37" s="73"/>
      <c r="R37"/>
    </row>
    <row r="38" spans="1:18">
      <c r="A38" s="47"/>
      <c r="B38" s="719" t="s">
        <v>298</v>
      </c>
      <c r="C38" s="114">
        <v>62.5</v>
      </c>
      <c r="D38" s="108"/>
      <c r="E38" s="718"/>
      <c r="F38" s="73"/>
      <c r="R38"/>
    </row>
    <row r="39" spans="1:18">
      <c r="A39" s="47"/>
      <c r="B39" s="719" t="s">
        <v>232</v>
      </c>
      <c r="C39" s="114">
        <v>62.5</v>
      </c>
      <c r="D39" s="108"/>
      <c r="E39" s="718"/>
      <c r="F39" s="73"/>
      <c r="R39"/>
    </row>
    <row r="40" spans="1:18">
      <c r="A40" s="47"/>
      <c r="B40" s="719" t="s">
        <v>414</v>
      </c>
      <c r="C40" s="114">
        <v>62.5</v>
      </c>
      <c r="D40" s="108"/>
      <c r="E40" s="718"/>
      <c r="F40" s="73"/>
      <c r="R40"/>
    </row>
    <row r="41" spans="1:18">
      <c r="A41" s="47"/>
      <c r="B41" s="719" t="s">
        <v>415</v>
      </c>
      <c r="C41" s="114">
        <v>62.5</v>
      </c>
      <c r="D41" s="108"/>
      <c r="E41" s="718"/>
      <c r="F41" s="73"/>
      <c r="R41"/>
    </row>
    <row r="42" spans="1:18">
      <c r="A42" s="47"/>
      <c r="B42" s="719" t="s">
        <v>416</v>
      </c>
      <c r="C42" s="114">
        <v>62.5</v>
      </c>
      <c r="D42" s="108"/>
      <c r="E42" s="718"/>
      <c r="F42" s="73"/>
      <c r="R42"/>
    </row>
    <row r="43" spans="1:18">
      <c r="A43" s="47"/>
      <c r="B43" s="719" t="s">
        <v>265</v>
      </c>
      <c r="C43" s="114">
        <v>62.5</v>
      </c>
      <c r="D43" s="108"/>
      <c r="E43" s="718"/>
      <c r="F43" s="73"/>
      <c r="R43"/>
    </row>
    <row r="44" spans="1:18">
      <c r="A44" s="47"/>
      <c r="B44" s="719" t="s">
        <v>417</v>
      </c>
      <c r="C44" s="114">
        <v>62.5</v>
      </c>
      <c r="D44" s="108"/>
      <c r="E44" s="718"/>
      <c r="F44" s="73"/>
      <c r="R44"/>
    </row>
    <row r="45" spans="1:18">
      <c r="A45" s="47"/>
      <c r="B45" s="719" t="s">
        <v>303</v>
      </c>
      <c r="C45" s="114">
        <v>62.5</v>
      </c>
      <c r="D45" s="108"/>
      <c r="E45" s="718"/>
      <c r="F45" s="73"/>
      <c r="R45"/>
    </row>
    <row r="46" spans="1:18">
      <c r="A46" s="47"/>
      <c r="B46" s="107">
        <v>10</v>
      </c>
      <c r="C46" s="114">
        <v>62.5</v>
      </c>
      <c r="D46" s="108"/>
      <c r="E46" s="718"/>
      <c r="F46" s="73"/>
      <c r="R46"/>
    </row>
    <row r="47" spans="1:18">
      <c r="A47" s="47"/>
      <c r="B47" s="107">
        <v>11</v>
      </c>
      <c r="C47" s="114">
        <v>62.5</v>
      </c>
      <c r="D47" s="108"/>
      <c r="E47" s="718"/>
      <c r="F47" s="73"/>
      <c r="R47"/>
    </row>
    <row r="48" spans="1:18">
      <c r="A48" s="47"/>
      <c r="B48" s="107">
        <v>12</v>
      </c>
      <c r="C48" s="114">
        <v>62.5</v>
      </c>
      <c r="D48" s="108"/>
      <c r="E48" s="718"/>
      <c r="F48" s="73"/>
      <c r="R48"/>
    </row>
    <row r="49" spans="1:18">
      <c r="A49" s="47"/>
      <c r="B49" s="107">
        <v>13</v>
      </c>
      <c r="C49" s="114">
        <v>62.5</v>
      </c>
      <c r="D49" s="108"/>
      <c r="E49" s="718"/>
      <c r="F49" s="73"/>
      <c r="R49"/>
    </row>
    <row r="50" spans="1:18">
      <c r="A50" s="47"/>
      <c r="B50" s="107">
        <v>14</v>
      </c>
      <c r="C50" s="114">
        <v>62.5</v>
      </c>
      <c r="D50" s="108"/>
      <c r="E50" s="718"/>
      <c r="F50" s="73"/>
      <c r="R50"/>
    </row>
    <row r="51" spans="1:18">
      <c r="A51" s="47"/>
      <c r="B51" s="107">
        <v>15</v>
      </c>
      <c r="C51" s="114">
        <v>62.5</v>
      </c>
      <c r="D51" s="108"/>
      <c r="E51" s="718"/>
      <c r="F51" s="73"/>
      <c r="R51"/>
    </row>
    <row r="52" spans="1:18">
      <c r="A52" s="47"/>
      <c r="B52" s="107">
        <v>16</v>
      </c>
      <c r="C52" s="114">
        <v>62.5</v>
      </c>
      <c r="D52" s="108"/>
      <c r="E52" s="718"/>
      <c r="F52" s="73"/>
      <c r="R52"/>
    </row>
    <row r="53" spans="1:18">
      <c r="A53" s="47"/>
      <c r="B53" s="107">
        <v>17</v>
      </c>
      <c r="C53" s="114">
        <v>62.5</v>
      </c>
      <c r="D53" s="108"/>
      <c r="E53" s="718"/>
      <c r="F53" s="73"/>
      <c r="R53"/>
    </row>
    <row r="54" spans="1:18">
      <c r="A54" s="47"/>
      <c r="B54" s="107">
        <v>18</v>
      </c>
      <c r="C54" s="114">
        <v>62.5</v>
      </c>
      <c r="D54" s="108"/>
      <c r="E54" s="718"/>
      <c r="F54" s="73"/>
      <c r="R54"/>
    </row>
    <row r="55" spans="1:18">
      <c r="A55" s="47"/>
      <c r="B55" s="107">
        <v>19</v>
      </c>
      <c r="C55" s="88">
        <v>62.5</v>
      </c>
      <c r="D55" s="108"/>
      <c r="E55" s="718"/>
      <c r="F55" s="73"/>
      <c r="R55"/>
    </row>
    <row r="56" spans="1:18" ht="13.5" thickBot="1">
      <c r="A56" s="47"/>
      <c r="B56" s="47"/>
      <c r="C56" s="129">
        <f>SUM(C16:C55)</f>
        <v>2500</v>
      </c>
      <c r="D56" s="47"/>
      <c r="E56" s="718"/>
      <c r="F56" s="73"/>
      <c r="R56"/>
    </row>
    <row r="57" spans="1:18" ht="13.5" thickTop="1">
      <c r="F57" s="73"/>
      <c r="R57"/>
    </row>
    <row r="58" spans="1:18">
      <c r="F58" s="73"/>
      <c r="R58"/>
    </row>
    <row r="59" spans="1:18">
      <c r="F59" s="73"/>
      <c r="R59"/>
    </row>
    <row r="60" spans="1:18">
      <c r="F60" s="73"/>
      <c r="R60"/>
    </row>
    <row r="61" spans="1:18">
      <c r="F61" s="73"/>
      <c r="R61"/>
    </row>
    <row r="62" spans="1:18">
      <c r="F62" s="73"/>
      <c r="R62"/>
    </row>
    <row r="63" spans="1:18">
      <c r="F63" s="73"/>
      <c r="R63"/>
    </row>
    <row r="64" spans="1:18">
      <c r="F64" s="73"/>
      <c r="R64"/>
    </row>
    <row r="65" spans="6:18">
      <c r="F65" s="73"/>
      <c r="R65"/>
    </row>
    <row r="66" spans="6:18">
      <c r="F66" s="73"/>
      <c r="R66"/>
    </row>
    <row r="67" spans="6:18">
      <c r="F67" s="73"/>
      <c r="R67"/>
    </row>
    <row r="68" spans="6:18">
      <c r="F68" s="73"/>
      <c r="R68"/>
    </row>
    <row r="69" spans="6:18">
      <c r="F69" s="73"/>
      <c r="R69"/>
    </row>
    <row r="70" spans="6:18">
      <c r="F70" s="73"/>
      <c r="R70"/>
    </row>
    <row r="71" spans="6:18">
      <c r="F71" s="73"/>
      <c r="R71"/>
    </row>
    <row r="72" spans="6:18">
      <c r="F72" s="73"/>
      <c r="R72"/>
    </row>
    <row r="73" spans="6:18">
      <c r="F73" s="73"/>
      <c r="R73"/>
    </row>
    <row r="74" spans="6:18">
      <c r="F74" s="73"/>
      <c r="R74"/>
    </row>
    <row r="75" spans="6:18">
      <c r="F75" s="73"/>
      <c r="R75"/>
    </row>
    <row r="76" spans="6:18">
      <c r="F76" s="73"/>
      <c r="R76"/>
    </row>
    <row r="77" spans="6:18">
      <c r="F77" s="73"/>
      <c r="R77"/>
    </row>
    <row r="78" spans="6:18">
      <c r="F78" s="73"/>
      <c r="R78"/>
    </row>
    <row r="79" spans="6:18">
      <c r="F79" s="73"/>
      <c r="R79"/>
    </row>
    <row r="80" spans="6:18">
      <c r="F80" s="73"/>
      <c r="R80"/>
    </row>
    <row r="81" spans="6:18">
      <c r="F81" s="73"/>
      <c r="R81"/>
    </row>
    <row r="82" spans="6:18">
      <c r="F82" s="73"/>
      <c r="R82"/>
    </row>
    <row r="83" spans="6:18">
      <c r="F83" s="73"/>
      <c r="R83"/>
    </row>
    <row r="84" spans="6:18">
      <c r="F84" s="73"/>
      <c r="R84"/>
    </row>
    <row r="85" spans="6:18">
      <c r="F85" s="73"/>
      <c r="R85"/>
    </row>
    <row r="86" spans="6:18">
      <c r="F86" s="73"/>
      <c r="R86"/>
    </row>
    <row r="87" spans="6:18">
      <c r="F87" s="73"/>
      <c r="R87"/>
    </row>
    <row r="88" spans="6:18">
      <c r="F88" s="73"/>
      <c r="R88"/>
    </row>
    <row r="89" spans="6:18">
      <c r="F89" s="73"/>
      <c r="R89"/>
    </row>
    <row r="90" spans="6:18">
      <c r="F90" s="73"/>
      <c r="R90"/>
    </row>
    <row r="91" spans="6:18">
      <c r="F91" s="73"/>
      <c r="R91"/>
    </row>
    <row r="92" spans="6:18">
      <c r="F92" s="73"/>
      <c r="R92"/>
    </row>
    <row r="93" spans="6:18">
      <c r="F93" s="73"/>
      <c r="R93"/>
    </row>
    <row r="94" spans="6:18">
      <c r="F94" s="73"/>
      <c r="R94"/>
    </row>
    <row r="95" spans="6:18">
      <c r="F95" s="73"/>
      <c r="R95"/>
    </row>
    <row r="96" spans="6:18">
      <c r="F96" s="73"/>
      <c r="R96"/>
    </row>
    <row r="97" spans="6:18">
      <c r="F97" s="73"/>
      <c r="R97"/>
    </row>
    <row r="98" spans="6:18">
      <c r="F98" s="73"/>
      <c r="R98"/>
    </row>
    <row r="99" spans="6:18">
      <c r="F99" s="73"/>
      <c r="R99"/>
    </row>
    <row r="100" spans="6:18">
      <c r="F100" s="73"/>
      <c r="R100"/>
    </row>
    <row r="101" spans="6:18">
      <c r="F101" s="73"/>
      <c r="R101"/>
    </row>
    <row r="102" spans="6:18">
      <c r="F102" s="73"/>
      <c r="R102"/>
    </row>
    <row r="103" spans="6:18">
      <c r="F103" s="73"/>
      <c r="R103"/>
    </row>
    <row r="104" spans="6:18">
      <c r="F104" s="73"/>
      <c r="R104"/>
    </row>
    <row r="105" spans="6:18">
      <c r="F105" s="73"/>
      <c r="R105"/>
    </row>
    <row r="106" spans="6:18">
      <c r="F106" s="73"/>
      <c r="R106"/>
    </row>
    <row r="107" spans="6:18">
      <c r="F107" s="73"/>
      <c r="R107"/>
    </row>
    <row r="108" spans="6:18">
      <c r="F108" s="73"/>
      <c r="R108"/>
    </row>
    <row r="109" spans="6:18">
      <c r="F109" s="73"/>
      <c r="R109"/>
    </row>
    <row r="110" spans="6:18">
      <c r="F110" s="73"/>
      <c r="R110"/>
    </row>
    <row r="111" spans="6:18">
      <c r="F111" s="73"/>
      <c r="R111"/>
    </row>
    <row r="112" spans="6:18">
      <c r="F112" s="73"/>
      <c r="R112"/>
    </row>
    <row r="113" spans="6:18">
      <c r="F113" s="73"/>
      <c r="R113"/>
    </row>
    <row r="114" spans="6:18">
      <c r="F114" s="73"/>
      <c r="R114"/>
    </row>
    <row r="115" spans="6:18">
      <c r="F115" s="73"/>
      <c r="R115"/>
    </row>
    <row r="116" spans="6:18">
      <c r="F116" s="73"/>
      <c r="R116"/>
    </row>
    <row r="117" spans="6:18">
      <c r="F117" s="73"/>
      <c r="R117"/>
    </row>
    <row r="118" spans="6:18">
      <c r="F118" s="73"/>
      <c r="R118"/>
    </row>
    <row r="119" spans="6:18">
      <c r="F119" s="73"/>
      <c r="R119"/>
    </row>
    <row r="120" spans="6:18">
      <c r="F120" s="73"/>
      <c r="R120"/>
    </row>
    <row r="121" spans="6:18">
      <c r="F121" s="73"/>
      <c r="R121"/>
    </row>
    <row r="122" spans="6:18">
      <c r="F122" s="73"/>
      <c r="R122"/>
    </row>
    <row r="123" spans="6:18">
      <c r="F123" s="73"/>
      <c r="R123"/>
    </row>
    <row r="124" spans="6:18">
      <c r="F124" s="73"/>
      <c r="R124"/>
    </row>
    <row r="125" spans="6:18">
      <c r="F125" s="73"/>
      <c r="R125"/>
    </row>
    <row r="126" spans="6:18">
      <c r="F126" s="73"/>
      <c r="R126"/>
    </row>
    <row r="127" spans="6:18">
      <c r="F127" s="73"/>
      <c r="R127"/>
    </row>
    <row r="128" spans="6:18">
      <c r="F128" s="73"/>
      <c r="R128"/>
    </row>
    <row r="129" spans="6:18">
      <c r="F129" s="73"/>
      <c r="R129"/>
    </row>
    <row r="130" spans="6:18">
      <c r="F130" s="73"/>
      <c r="R130"/>
    </row>
    <row r="131" spans="6:18">
      <c r="F131" s="73"/>
      <c r="R131"/>
    </row>
    <row r="132" spans="6:18">
      <c r="F132" s="73"/>
      <c r="R132"/>
    </row>
    <row r="133" spans="6:18">
      <c r="F133" s="73"/>
      <c r="R133"/>
    </row>
    <row r="134" spans="6:18">
      <c r="F134" s="73"/>
      <c r="R134"/>
    </row>
    <row r="135" spans="6:18">
      <c r="F135" s="73"/>
      <c r="R135"/>
    </row>
    <row r="136" spans="6:18">
      <c r="F136" s="73"/>
      <c r="R136"/>
    </row>
    <row r="137" spans="6:18">
      <c r="F137" s="73"/>
      <c r="R137"/>
    </row>
    <row r="138" spans="6:18">
      <c r="F138" s="73"/>
      <c r="R138"/>
    </row>
    <row r="139" spans="6:18">
      <c r="F139" s="73"/>
      <c r="R139"/>
    </row>
    <row r="140" spans="6:18">
      <c r="F140" s="73"/>
      <c r="R140"/>
    </row>
    <row r="141" spans="6:18">
      <c r="F141" s="73"/>
      <c r="R141"/>
    </row>
    <row r="142" spans="6:18">
      <c r="F142" s="73"/>
      <c r="R142"/>
    </row>
    <row r="143" spans="6:18">
      <c r="F143" s="73"/>
      <c r="R143"/>
    </row>
    <row r="144" spans="6:18">
      <c r="F144" s="73"/>
      <c r="R144"/>
    </row>
    <row r="145" spans="6:18">
      <c r="F145" s="73"/>
      <c r="R145"/>
    </row>
    <row r="146" spans="6:18">
      <c r="F146" s="73"/>
      <c r="R146"/>
    </row>
    <row r="147" spans="6:18">
      <c r="F147" s="73"/>
      <c r="R147"/>
    </row>
    <row r="148" spans="6:18">
      <c r="F148" s="73"/>
      <c r="R148"/>
    </row>
    <row r="149" spans="6:18">
      <c r="F149" s="73"/>
      <c r="R149"/>
    </row>
    <row r="150" spans="6:18">
      <c r="F150" s="73"/>
      <c r="R150"/>
    </row>
    <row r="151" spans="6:18">
      <c r="F151" s="73"/>
      <c r="R151"/>
    </row>
    <row r="152" spans="6:18">
      <c r="F152" s="73"/>
      <c r="R152"/>
    </row>
    <row r="153" spans="6:18">
      <c r="F153" s="73"/>
      <c r="R153"/>
    </row>
    <row r="154" spans="6:18">
      <c r="F154" s="73"/>
      <c r="R154"/>
    </row>
    <row r="155" spans="6:18">
      <c r="F155" s="73"/>
      <c r="R155"/>
    </row>
    <row r="156" spans="6:18">
      <c r="F156" s="73"/>
      <c r="R156"/>
    </row>
    <row r="157" spans="6:18">
      <c r="F157" s="73"/>
      <c r="R157"/>
    </row>
    <row r="158" spans="6:18">
      <c r="F158" s="73"/>
      <c r="R158"/>
    </row>
    <row r="159" spans="6:18">
      <c r="F159" s="73"/>
      <c r="R159"/>
    </row>
    <row r="160" spans="6:18">
      <c r="F160" s="73"/>
      <c r="R160"/>
    </row>
    <row r="161" spans="6:18">
      <c r="F161" s="73"/>
      <c r="R161"/>
    </row>
    <row r="162" spans="6:18">
      <c r="F162" s="73"/>
      <c r="R162"/>
    </row>
    <row r="163" spans="6:18">
      <c r="F163" s="73"/>
      <c r="R163"/>
    </row>
    <row r="164" spans="6:18">
      <c r="F164" s="73"/>
      <c r="R164"/>
    </row>
    <row r="165" spans="6:18">
      <c r="F165" s="73"/>
      <c r="R165"/>
    </row>
    <row r="166" spans="6:18">
      <c r="F166" s="73"/>
      <c r="R166"/>
    </row>
    <row r="167" spans="6:18">
      <c r="F167" s="73"/>
      <c r="R167"/>
    </row>
    <row r="168" spans="6:18">
      <c r="F168" s="73"/>
      <c r="R168"/>
    </row>
    <row r="169" spans="6:18">
      <c r="F169" s="73"/>
      <c r="R169"/>
    </row>
    <row r="170" spans="6:18">
      <c r="F170" s="73"/>
      <c r="R170"/>
    </row>
    <row r="171" spans="6:18">
      <c r="F171" s="73"/>
      <c r="R171"/>
    </row>
    <row r="172" spans="6:18">
      <c r="F172" s="73"/>
      <c r="R172"/>
    </row>
    <row r="173" spans="6:18">
      <c r="F173" s="73"/>
      <c r="R173"/>
    </row>
    <row r="174" spans="6:18">
      <c r="F174" s="73"/>
      <c r="R174"/>
    </row>
    <row r="175" spans="6:18">
      <c r="F175" s="73"/>
      <c r="R175"/>
    </row>
    <row r="176" spans="6:18">
      <c r="F176" s="73"/>
      <c r="R176"/>
    </row>
    <row r="177" spans="6:18">
      <c r="F177" s="73"/>
      <c r="R177"/>
    </row>
    <row r="178" spans="6:18">
      <c r="F178" s="73"/>
      <c r="R178"/>
    </row>
    <row r="179" spans="6:18">
      <c r="F179" s="73"/>
      <c r="R179"/>
    </row>
    <row r="180" spans="6:18">
      <c r="F180" s="73"/>
      <c r="R180"/>
    </row>
    <row r="181" spans="6:18">
      <c r="F181" s="73"/>
      <c r="R181"/>
    </row>
    <row r="182" spans="6:18">
      <c r="F182" s="73"/>
      <c r="R182"/>
    </row>
    <row r="183" spans="6:18">
      <c r="F183" s="73"/>
      <c r="R183"/>
    </row>
    <row r="184" spans="6:18">
      <c r="F184" s="73"/>
      <c r="R184"/>
    </row>
    <row r="185" spans="6:18">
      <c r="F185" s="73"/>
      <c r="R185"/>
    </row>
    <row r="186" spans="6:18">
      <c r="F186" s="73"/>
      <c r="R186"/>
    </row>
    <row r="187" spans="6:18">
      <c r="F187" s="73"/>
      <c r="R187"/>
    </row>
    <row r="188" spans="6:18">
      <c r="F188" s="73"/>
      <c r="R188"/>
    </row>
    <row r="189" spans="6:18">
      <c r="F189" s="73"/>
      <c r="R189"/>
    </row>
    <row r="190" spans="6:18">
      <c r="F190" s="73"/>
      <c r="R190"/>
    </row>
    <row r="191" spans="6:18">
      <c r="F191" s="73"/>
      <c r="R191"/>
    </row>
    <row r="192" spans="6:18">
      <c r="F192" s="73"/>
      <c r="R192"/>
    </row>
    <row r="193" spans="6:18">
      <c r="F193" s="73"/>
      <c r="R193"/>
    </row>
    <row r="194" spans="6:18">
      <c r="F194" s="73"/>
      <c r="R194"/>
    </row>
    <row r="195" spans="6:18">
      <c r="F195" s="73"/>
      <c r="R195"/>
    </row>
    <row r="196" spans="6:18">
      <c r="F196" s="73"/>
      <c r="R196"/>
    </row>
    <row r="197" spans="6:18">
      <c r="F197" s="73"/>
      <c r="R197"/>
    </row>
    <row r="198" spans="6:18">
      <c r="F198" s="73"/>
      <c r="R198"/>
    </row>
    <row r="199" spans="6:18">
      <c r="F199" s="73"/>
      <c r="R199"/>
    </row>
    <row r="200" spans="6:18">
      <c r="F200" s="73"/>
      <c r="R200"/>
    </row>
    <row r="201" spans="6:18">
      <c r="F201" s="73"/>
      <c r="R201"/>
    </row>
    <row r="202" spans="6:18">
      <c r="F202" s="73"/>
      <c r="R202"/>
    </row>
    <row r="203" spans="6:18">
      <c r="F203" s="73"/>
      <c r="R203"/>
    </row>
    <row r="204" spans="6:18">
      <c r="F204" s="73"/>
      <c r="R204"/>
    </row>
    <row r="205" spans="6:18">
      <c r="F205" s="73"/>
      <c r="R205"/>
    </row>
    <row r="206" spans="6:18">
      <c r="F206" s="73"/>
      <c r="R206"/>
    </row>
    <row r="207" spans="6:18">
      <c r="F207" s="73"/>
      <c r="R207"/>
    </row>
    <row r="208" spans="6:18">
      <c r="F208" s="73"/>
      <c r="R208"/>
    </row>
    <row r="209" spans="6:18">
      <c r="F209" s="73"/>
      <c r="R209"/>
    </row>
    <row r="210" spans="6:18">
      <c r="F210" s="73"/>
      <c r="R210"/>
    </row>
    <row r="211" spans="6:18">
      <c r="F211" s="73"/>
      <c r="R211"/>
    </row>
    <row r="212" spans="6:18">
      <c r="F212" s="73"/>
      <c r="R212"/>
    </row>
    <row r="213" spans="6:18">
      <c r="F213" s="73"/>
      <c r="R213"/>
    </row>
    <row r="214" spans="6:18">
      <c r="F214" s="73"/>
      <c r="R214"/>
    </row>
    <row r="215" spans="6:18">
      <c r="F215" s="73"/>
      <c r="R215"/>
    </row>
    <row r="216" spans="6:18">
      <c r="F216" s="73"/>
      <c r="R216"/>
    </row>
    <row r="217" spans="6:18">
      <c r="F217" s="73"/>
      <c r="R217"/>
    </row>
    <row r="218" spans="6:18">
      <c r="F218" s="73"/>
      <c r="R218"/>
    </row>
    <row r="219" spans="6:18">
      <c r="F219" s="73"/>
      <c r="R219"/>
    </row>
    <row r="220" spans="6:18">
      <c r="F220" s="73"/>
      <c r="R220"/>
    </row>
    <row r="221" spans="6:18">
      <c r="F221" s="73"/>
      <c r="R221"/>
    </row>
    <row r="222" spans="6:18">
      <c r="F222" s="73"/>
      <c r="R222"/>
    </row>
    <row r="223" spans="6:18">
      <c r="F223" s="73"/>
      <c r="R223"/>
    </row>
    <row r="224" spans="6:18">
      <c r="F224" s="73"/>
      <c r="R224"/>
    </row>
    <row r="225" spans="6:18">
      <c r="F225" s="73"/>
      <c r="R225"/>
    </row>
    <row r="226" spans="6:18">
      <c r="F226" s="73"/>
      <c r="R226"/>
    </row>
    <row r="227" spans="6:18">
      <c r="F227" s="73"/>
      <c r="R227"/>
    </row>
    <row r="228" spans="6:18">
      <c r="F228" s="73"/>
      <c r="R228"/>
    </row>
    <row r="229" spans="6:18">
      <c r="F229" s="73"/>
      <c r="R229"/>
    </row>
    <row r="230" spans="6:18">
      <c r="F230" s="73"/>
      <c r="R230"/>
    </row>
    <row r="231" spans="6:18">
      <c r="F231" s="73"/>
      <c r="R231"/>
    </row>
    <row r="232" spans="6:18">
      <c r="F232" s="73"/>
      <c r="R232"/>
    </row>
    <row r="233" spans="6:18">
      <c r="F233" s="73"/>
      <c r="R233"/>
    </row>
    <row r="234" spans="6:18">
      <c r="F234" s="73"/>
      <c r="R234"/>
    </row>
    <row r="235" spans="6:18">
      <c r="F235" s="73"/>
      <c r="R235"/>
    </row>
    <row r="236" spans="6:18">
      <c r="F236" s="73"/>
      <c r="R236"/>
    </row>
    <row r="237" spans="6:18">
      <c r="F237" s="73"/>
      <c r="R237"/>
    </row>
    <row r="238" spans="6:18">
      <c r="F238" s="73"/>
      <c r="R238"/>
    </row>
    <row r="239" spans="6:18">
      <c r="F239" s="73"/>
      <c r="R239"/>
    </row>
    <row r="240" spans="6:18">
      <c r="F240" s="73"/>
      <c r="R240"/>
    </row>
    <row r="241" spans="6:18">
      <c r="F241" s="73"/>
      <c r="R241"/>
    </row>
    <row r="242" spans="6:18">
      <c r="F242" s="73"/>
      <c r="R242"/>
    </row>
    <row r="243" spans="6:18">
      <c r="F243" s="73"/>
      <c r="R243"/>
    </row>
    <row r="244" spans="6:18">
      <c r="F244" s="73"/>
      <c r="R244"/>
    </row>
    <row r="245" spans="6:18">
      <c r="F245" s="73"/>
      <c r="R245"/>
    </row>
    <row r="246" spans="6:18">
      <c r="F246" s="73"/>
      <c r="R246"/>
    </row>
    <row r="247" spans="6:18">
      <c r="F247" s="73"/>
      <c r="R247"/>
    </row>
    <row r="248" spans="6:18">
      <c r="F248" s="73"/>
      <c r="R248"/>
    </row>
    <row r="249" spans="6:18">
      <c r="F249" s="73"/>
      <c r="R249"/>
    </row>
    <row r="250" spans="6:18">
      <c r="F250" s="73"/>
      <c r="R250"/>
    </row>
    <row r="251" spans="6:18">
      <c r="F251" s="73"/>
      <c r="R251"/>
    </row>
    <row r="252" spans="6:18">
      <c r="F252" s="73"/>
      <c r="R252"/>
    </row>
    <row r="253" spans="6:18">
      <c r="F253" s="73"/>
      <c r="R253"/>
    </row>
    <row r="254" spans="6:18">
      <c r="F254" s="73"/>
      <c r="R254"/>
    </row>
    <row r="255" spans="6:18">
      <c r="F255" s="73"/>
      <c r="R255"/>
    </row>
    <row r="256" spans="6:18">
      <c r="F256" s="73"/>
      <c r="R256"/>
    </row>
    <row r="257" spans="6:18">
      <c r="F257" s="73"/>
      <c r="R257"/>
    </row>
    <row r="258" spans="6:18">
      <c r="F258" s="73"/>
      <c r="R258"/>
    </row>
    <row r="259" spans="6:18">
      <c r="F259" s="73"/>
      <c r="R259"/>
    </row>
    <row r="260" spans="6:18">
      <c r="F260" s="73"/>
      <c r="R260"/>
    </row>
    <row r="261" spans="6:18">
      <c r="F261" s="73"/>
      <c r="R261"/>
    </row>
    <row r="262" spans="6:18">
      <c r="F262" s="73"/>
      <c r="R262"/>
    </row>
    <row r="263" spans="6:18">
      <c r="F263" s="73"/>
      <c r="R263"/>
    </row>
    <row r="264" spans="6:18">
      <c r="F264" s="73"/>
      <c r="R264"/>
    </row>
    <row r="265" spans="6:18">
      <c r="F265" s="73"/>
      <c r="R265"/>
    </row>
    <row r="266" spans="6:18">
      <c r="F266" s="73"/>
      <c r="R266"/>
    </row>
    <row r="267" spans="6:18">
      <c r="F267" s="73"/>
      <c r="R267"/>
    </row>
    <row r="268" spans="6:18">
      <c r="F268" s="73"/>
      <c r="R268"/>
    </row>
    <row r="269" spans="6:18">
      <c r="F269" s="73"/>
      <c r="R269"/>
    </row>
    <row r="270" spans="6:18">
      <c r="F270" s="73"/>
      <c r="R270"/>
    </row>
    <row r="271" spans="6:18">
      <c r="F271" s="73"/>
      <c r="R271"/>
    </row>
    <row r="272" spans="6:18">
      <c r="F272" s="73"/>
      <c r="R272"/>
    </row>
    <row r="273" spans="6:18">
      <c r="F273" s="73"/>
      <c r="R273"/>
    </row>
    <row r="274" spans="6:18">
      <c r="F274" s="73"/>
      <c r="R274"/>
    </row>
    <row r="275" spans="6:18">
      <c r="F275" s="73"/>
      <c r="R275"/>
    </row>
    <row r="276" spans="6:18">
      <c r="F276" s="73"/>
      <c r="R276"/>
    </row>
    <row r="277" spans="6:18">
      <c r="F277" s="73"/>
      <c r="R277"/>
    </row>
    <row r="278" spans="6:18">
      <c r="F278" s="73"/>
      <c r="R278"/>
    </row>
    <row r="279" spans="6:18">
      <c r="F279" s="73"/>
      <c r="R279"/>
    </row>
    <row r="280" spans="6:18">
      <c r="F280" s="73"/>
      <c r="R280"/>
    </row>
    <row r="281" spans="6:18">
      <c r="F281" s="73"/>
      <c r="R281"/>
    </row>
    <row r="282" spans="6:18">
      <c r="F282" s="73"/>
      <c r="R282"/>
    </row>
    <row r="283" spans="6:18">
      <c r="F283" s="73"/>
      <c r="R283"/>
    </row>
    <row r="284" spans="6:18">
      <c r="F284" s="73"/>
      <c r="R284"/>
    </row>
    <row r="285" spans="6:18">
      <c r="F285" s="73"/>
      <c r="R285"/>
    </row>
    <row r="286" spans="6:18">
      <c r="F286" s="73"/>
      <c r="R286"/>
    </row>
    <row r="287" spans="6:18">
      <c r="F287" s="73"/>
      <c r="R287"/>
    </row>
    <row r="288" spans="6:18">
      <c r="F288" s="73"/>
      <c r="R288"/>
    </row>
    <row r="289" spans="6:18">
      <c r="F289" s="73"/>
      <c r="R289"/>
    </row>
    <row r="290" spans="6:18">
      <c r="F290" s="73"/>
      <c r="R290"/>
    </row>
    <row r="291" spans="6:18">
      <c r="F291" s="73"/>
      <c r="R291"/>
    </row>
    <row r="292" spans="6:18">
      <c r="F292" s="73"/>
      <c r="R292"/>
    </row>
    <row r="293" spans="6:18">
      <c r="F293" s="73"/>
      <c r="R293"/>
    </row>
    <row r="294" spans="6:18">
      <c r="F294" s="73"/>
      <c r="R294"/>
    </row>
    <row r="295" spans="6:18">
      <c r="F295" s="73"/>
      <c r="R295"/>
    </row>
    <row r="296" spans="6:18">
      <c r="F296" s="73"/>
      <c r="R296"/>
    </row>
    <row r="297" spans="6:18">
      <c r="F297" s="73"/>
      <c r="R297"/>
    </row>
    <row r="298" spans="6:18">
      <c r="F298" s="73"/>
      <c r="R298"/>
    </row>
    <row r="299" spans="6:18">
      <c r="F299" s="73"/>
      <c r="R299"/>
    </row>
    <row r="300" spans="6:18">
      <c r="F300" s="73"/>
      <c r="R300"/>
    </row>
    <row r="301" spans="6:18">
      <c r="F301" s="73"/>
      <c r="R301"/>
    </row>
    <row r="302" spans="6:18">
      <c r="F302" s="73"/>
      <c r="R302"/>
    </row>
    <row r="303" spans="6:18">
      <c r="F303" s="73"/>
      <c r="R303"/>
    </row>
    <row r="304" spans="6:18">
      <c r="F304" s="73"/>
      <c r="R304"/>
    </row>
    <row r="305" spans="6:18">
      <c r="F305" s="73"/>
      <c r="R305"/>
    </row>
    <row r="306" spans="6:18">
      <c r="F306" s="73"/>
      <c r="R306"/>
    </row>
    <row r="307" spans="6:18">
      <c r="F307" s="73"/>
      <c r="R307"/>
    </row>
    <row r="308" spans="6:18">
      <c r="F308" s="73"/>
      <c r="R308"/>
    </row>
    <row r="309" spans="6:18">
      <c r="F309" s="73"/>
      <c r="R309"/>
    </row>
    <row r="310" spans="6:18">
      <c r="F310" s="73"/>
      <c r="R310"/>
    </row>
    <row r="311" spans="6:18">
      <c r="F311" s="73"/>
      <c r="R311"/>
    </row>
    <row r="312" spans="6:18">
      <c r="F312" s="73"/>
      <c r="R312"/>
    </row>
    <row r="313" spans="6:18">
      <c r="F313" s="73"/>
      <c r="R313"/>
    </row>
    <row r="314" spans="6:18">
      <c r="F314" s="73"/>
      <c r="R314"/>
    </row>
    <row r="315" spans="6:18">
      <c r="F315" s="73"/>
      <c r="R315"/>
    </row>
    <row r="316" spans="6:18">
      <c r="F316" s="73"/>
      <c r="R316"/>
    </row>
    <row r="317" spans="6:18">
      <c r="F317" s="73"/>
      <c r="R317"/>
    </row>
    <row r="318" spans="6:18">
      <c r="F318" s="73"/>
      <c r="R318"/>
    </row>
    <row r="319" spans="6:18">
      <c r="F319" s="73"/>
      <c r="R319"/>
    </row>
    <row r="320" spans="6:18">
      <c r="F320" s="73"/>
      <c r="R320"/>
    </row>
    <row r="321" spans="6:18">
      <c r="F321" s="73"/>
      <c r="R321"/>
    </row>
    <row r="322" spans="6:18">
      <c r="F322" s="73"/>
      <c r="R322"/>
    </row>
    <row r="323" spans="6:18">
      <c r="F323" s="73"/>
      <c r="R323"/>
    </row>
    <row r="324" spans="6:18">
      <c r="F324" s="73"/>
      <c r="R324"/>
    </row>
    <row r="325" spans="6:18">
      <c r="F325" s="73"/>
      <c r="R325"/>
    </row>
    <row r="326" spans="6:18">
      <c r="F326" s="73"/>
      <c r="R326"/>
    </row>
    <row r="327" spans="6:18">
      <c r="F327" s="73"/>
      <c r="R327"/>
    </row>
    <row r="328" spans="6:18">
      <c r="F328" s="73"/>
      <c r="R328"/>
    </row>
    <row r="329" spans="6:18">
      <c r="F329" s="73"/>
      <c r="R329"/>
    </row>
    <row r="330" spans="6:18">
      <c r="F330" s="73"/>
      <c r="R330"/>
    </row>
    <row r="331" spans="6:18">
      <c r="F331" s="73"/>
      <c r="R331"/>
    </row>
    <row r="332" spans="6:18">
      <c r="F332" s="73"/>
      <c r="R332"/>
    </row>
    <row r="333" spans="6:18">
      <c r="F333" s="73"/>
      <c r="R333"/>
    </row>
    <row r="334" spans="6:18">
      <c r="F334" s="73"/>
      <c r="R334"/>
    </row>
    <row r="335" spans="6:18">
      <c r="F335" s="73"/>
      <c r="R335"/>
    </row>
    <row r="336" spans="6:18">
      <c r="F336" s="73"/>
      <c r="R336"/>
    </row>
    <row r="337" spans="6:18">
      <c r="F337" s="73"/>
      <c r="R337"/>
    </row>
    <row r="338" spans="6:18">
      <c r="F338" s="73"/>
      <c r="R338"/>
    </row>
    <row r="339" spans="6:18">
      <c r="F339" s="73"/>
      <c r="R339"/>
    </row>
    <row r="340" spans="6:18">
      <c r="F340" s="73"/>
      <c r="R340"/>
    </row>
    <row r="341" spans="6:18">
      <c r="F341" s="73"/>
      <c r="R341"/>
    </row>
    <row r="342" spans="6:18">
      <c r="F342" s="73"/>
      <c r="R342"/>
    </row>
    <row r="343" spans="6:18">
      <c r="F343" s="73"/>
      <c r="R343"/>
    </row>
    <row r="344" spans="6:18">
      <c r="F344" s="73"/>
      <c r="R344"/>
    </row>
    <row r="345" spans="6:18">
      <c r="F345" s="73"/>
      <c r="R345"/>
    </row>
    <row r="346" spans="6:18">
      <c r="F346" s="73"/>
      <c r="R346"/>
    </row>
    <row r="347" spans="6:18">
      <c r="F347" s="73"/>
      <c r="R347"/>
    </row>
    <row r="348" spans="6:18">
      <c r="F348" s="73"/>
      <c r="R348"/>
    </row>
    <row r="349" spans="6:18">
      <c r="F349" s="73"/>
      <c r="R349"/>
    </row>
    <row r="350" spans="6:18">
      <c r="F350" s="73"/>
      <c r="R350"/>
    </row>
    <row r="351" spans="6:18">
      <c r="F351" s="73"/>
      <c r="R351"/>
    </row>
    <row r="352" spans="6:18">
      <c r="F352" s="73"/>
      <c r="R352"/>
    </row>
    <row r="353" spans="6:18">
      <c r="F353" s="73"/>
      <c r="R353"/>
    </row>
    <row r="354" spans="6:18">
      <c r="F354" s="73"/>
      <c r="R354"/>
    </row>
    <row r="355" spans="6:18">
      <c r="F355" s="73"/>
      <c r="R355"/>
    </row>
    <row r="356" spans="6:18">
      <c r="F356" s="73"/>
      <c r="R356"/>
    </row>
    <row r="357" spans="6:18">
      <c r="F357" s="73"/>
      <c r="R357"/>
    </row>
    <row r="358" spans="6:18">
      <c r="F358" s="73"/>
      <c r="R358"/>
    </row>
    <row r="359" spans="6:18">
      <c r="F359" s="73"/>
      <c r="R359"/>
    </row>
    <row r="360" spans="6:18">
      <c r="F360" s="73"/>
      <c r="R360"/>
    </row>
    <row r="361" spans="6:18">
      <c r="F361" s="73"/>
      <c r="R361"/>
    </row>
    <row r="362" spans="6:18">
      <c r="F362" s="73"/>
      <c r="R362"/>
    </row>
    <row r="363" spans="6:18">
      <c r="F363" s="73"/>
      <c r="R363"/>
    </row>
    <row r="364" spans="6:18">
      <c r="F364" s="73"/>
      <c r="R364"/>
    </row>
    <row r="365" spans="6:18">
      <c r="F365" s="73"/>
      <c r="R365"/>
    </row>
    <row r="366" spans="6:18">
      <c r="F366" s="73"/>
      <c r="R366"/>
    </row>
    <row r="367" spans="6:18">
      <c r="F367" s="73"/>
      <c r="R367"/>
    </row>
    <row r="368" spans="6:18">
      <c r="F368" s="73"/>
      <c r="R368"/>
    </row>
    <row r="369" spans="6:18">
      <c r="F369" s="73"/>
      <c r="R369"/>
    </row>
    <row r="370" spans="6:18">
      <c r="F370" s="73"/>
      <c r="R370"/>
    </row>
    <row r="371" spans="6:18">
      <c r="F371" s="73"/>
      <c r="R371"/>
    </row>
    <row r="372" spans="6:18">
      <c r="F372" s="73"/>
      <c r="R372"/>
    </row>
    <row r="373" spans="6:18">
      <c r="F373" s="73"/>
      <c r="R373"/>
    </row>
    <row r="374" spans="6:18">
      <c r="F374" s="73"/>
      <c r="R374"/>
    </row>
    <row r="375" spans="6:18">
      <c r="F375" s="73"/>
      <c r="R375"/>
    </row>
    <row r="376" spans="6:18">
      <c r="F376" s="73"/>
      <c r="R376"/>
    </row>
    <row r="377" spans="6:18">
      <c r="F377" s="73"/>
      <c r="R377"/>
    </row>
    <row r="378" spans="6:18">
      <c r="F378" s="73"/>
      <c r="R378"/>
    </row>
    <row r="379" spans="6:18">
      <c r="F379" s="73"/>
      <c r="R379"/>
    </row>
    <row r="380" spans="6:18">
      <c r="F380" s="73"/>
      <c r="R380"/>
    </row>
    <row r="381" spans="6:18">
      <c r="F381" s="73"/>
      <c r="R381"/>
    </row>
    <row r="382" spans="6:18">
      <c r="F382" s="73"/>
      <c r="R382"/>
    </row>
    <row r="383" spans="6:18">
      <c r="F383" s="73"/>
      <c r="R383"/>
    </row>
    <row r="384" spans="6:18">
      <c r="F384" s="73"/>
      <c r="R384"/>
    </row>
    <row r="385" spans="6:18">
      <c r="F385" s="73"/>
      <c r="R385"/>
    </row>
    <row r="386" spans="6:18">
      <c r="F386" s="73"/>
      <c r="R386"/>
    </row>
    <row r="387" spans="6:18">
      <c r="F387" s="73"/>
      <c r="R387"/>
    </row>
    <row r="388" spans="6:18">
      <c r="F388" s="73"/>
      <c r="R388"/>
    </row>
    <row r="389" spans="6:18">
      <c r="F389" s="73"/>
      <c r="R389"/>
    </row>
    <row r="390" spans="6:18">
      <c r="F390" s="73"/>
      <c r="R390"/>
    </row>
    <row r="391" spans="6:18">
      <c r="F391" s="73"/>
      <c r="R391"/>
    </row>
    <row r="392" spans="6:18">
      <c r="F392" s="73"/>
      <c r="R392"/>
    </row>
    <row r="393" spans="6:18">
      <c r="F393" s="73"/>
      <c r="R393"/>
    </row>
    <row r="394" spans="6:18">
      <c r="F394" s="73"/>
      <c r="R394"/>
    </row>
    <row r="395" spans="6:18">
      <c r="F395" s="73"/>
      <c r="R395"/>
    </row>
    <row r="396" spans="6:18">
      <c r="F396" s="73"/>
      <c r="R396"/>
    </row>
    <row r="397" spans="6:18">
      <c r="F397" s="73"/>
      <c r="R397"/>
    </row>
    <row r="398" spans="6:18">
      <c r="F398" s="73"/>
      <c r="R398"/>
    </row>
    <row r="399" spans="6:18">
      <c r="F399" s="73"/>
      <c r="R399"/>
    </row>
    <row r="400" spans="6:18">
      <c r="F400" s="73"/>
      <c r="R400"/>
    </row>
    <row r="401" spans="6:18">
      <c r="F401" s="73"/>
      <c r="R401"/>
    </row>
    <row r="402" spans="6:18">
      <c r="F402" s="73"/>
      <c r="R402"/>
    </row>
    <row r="403" spans="6:18">
      <c r="F403" s="73"/>
      <c r="R403"/>
    </row>
    <row r="404" spans="6:18">
      <c r="F404" s="73"/>
      <c r="R404"/>
    </row>
    <row r="405" spans="6:18">
      <c r="F405" s="73"/>
      <c r="R405"/>
    </row>
    <row r="406" spans="6:18">
      <c r="F406" s="73"/>
      <c r="R406"/>
    </row>
    <row r="407" spans="6:18">
      <c r="F407" s="73"/>
      <c r="R407"/>
    </row>
    <row r="408" spans="6:18">
      <c r="F408" s="73"/>
      <c r="R408"/>
    </row>
    <row r="409" spans="6:18">
      <c r="F409" s="73"/>
      <c r="R409"/>
    </row>
    <row r="410" spans="6:18">
      <c r="F410" s="73"/>
      <c r="R410"/>
    </row>
    <row r="411" spans="6:18">
      <c r="F411" s="73"/>
      <c r="R411"/>
    </row>
    <row r="412" spans="6:18">
      <c r="F412" s="73"/>
      <c r="R412"/>
    </row>
    <row r="413" spans="6:18">
      <c r="F413" s="73"/>
      <c r="R413"/>
    </row>
    <row r="414" spans="6:18">
      <c r="F414" s="73"/>
      <c r="R414"/>
    </row>
    <row r="415" spans="6:18">
      <c r="F415" s="73"/>
      <c r="R415"/>
    </row>
    <row r="416" spans="6:18">
      <c r="F416" s="73"/>
      <c r="R416"/>
    </row>
    <row r="417" spans="6:18">
      <c r="F417" s="73"/>
      <c r="R417"/>
    </row>
    <row r="418" spans="6:18">
      <c r="F418" s="73"/>
      <c r="R418"/>
    </row>
    <row r="419" spans="6:18">
      <c r="F419" s="73"/>
      <c r="R419"/>
    </row>
    <row r="420" spans="6:18">
      <c r="F420" s="73"/>
      <c r="R420"/>
    </row>
    <row r="421" spans="6:18">
      <c r="F421" s="73"/>
      <c r="R421"/>
    </row>
    <row r="422" spans="6:18">
      <c r="F422" s="73"/>
      <c r="R422"/>
    </row>
    <row r="423" spans="6:18">
      <c r="F423" s="73"/>
      <c r="R423"/>
    </row>
    <row r="424" spans="6:18">
      <c r="F424" s="73"/>
      <c r="R424"/>
    </row>
    <row r="425" spans="6:18">
      <c r="F425" s="73"/>
      <c r="R425"/>
    </row>
    <row r="426" spans="6:18">
      <c r="F426" s="73"/>
      <c r="R426"/>
    </row>
    <row r="427" spans="6:18">
      <c r="F427" s="73"/>
      <c r="R427"/>
    </row>
    <row r="428" spans="6:18">
      <c r="F428" s="73"/>
      <c r="R428"/>
    </row>
    <row r="429" spans="6:18">
      <c r="F429" s="73"/>
      <c r="R429"/>
    </row>
    <row r="430" spans="6:18">
      <c r="F430" s="73"/>
      <c r="R430"/>
    </row>
    <row r="431" spans="6:18">
      <c r="F431" s="73"/>
      <c r="R431"/>
    </row>
    <row r="432" spans="6:18">
      <c r="F432" s="73"/>
      <c r="R432"/>
    </row>
    <row r="433" spans="6:18">
      <c r="F433" s="73"/>
      <c r="R433"/>
    </row>
    <row r="434" spans="6:18">
      <c r="F434" s="73"/>
      <c r="R434"/>
    </row>
    <row r="435" spans="6:18">
      <c r="F435" s="73"/>
      <c r="R435"/>
    </row>
    <row r="436" spans="6:18">
      <c r="F436" s="73"/>
      <c r="R436"/>
    </row>
    <row r="437" spans="6:18">
      <c r="F437" s="73"/>
      <c r="R437"/>
    </row>
    <row r="438" spans="6:18">
      <c r="F438" s="73"/>
      <c r="R438"/>
    </row>
    <row r="439" spans="6:18">
      <c r="F439" s="73"/>
      <c r="R439"/>
    </row>
    <row r="440" spans="6:18">
      <c r="F440" s="73"/>
      <c r="R440"/>
    </row>
    <row r="441" spans="6:18">
      <c r="F441" s="73"/>
      <c r="R441"/>
    </row>
    <row r="442" spans="6:18">
      <c r="F442" s="73"/>
      <c r="R442"/>
    </row>
    <row r="443" spans="6:18">
      <c r="F443" s="73"/>
      <c r="R443"/>
    </row>
    <row r="444" spans="6:18">
      <c r="F444" s="73"/>
      <c r="R444"/>
    </row>
    <row r="445" spans="6:18">
      <c r="F445" s="73"/>
      <c r="R445"/>
    </row>
    <row r="446" spans="6:18">
      <c r="F446" s="73"/>
      <c r="R446"/>
    </row>
    <row r="447" spans="6:18">
      <c r="F447" s="73"/>
      <c r="R447"/>
    </row>
    <row r="448" spans="6:18">
      <c r="F448" s="73"/>
      <c r="R448"/>
    </row>
    <row r="449" spans="6:18">
      <c r="F449" s="73"/>
      <c r="R449"/>
    </row>
    <row r="450" spans="6:18">
      <c r="F450" s="73"/>
      <c r="R450"/>
    </row>
    <row r="451" spans="6:18">
      <c r="F451" s="73"/>
      <c r="R451"/>
    </row>
    <row r="452" spans="6:18">
      <c r="F452" s="73"/>
      <c r="R452"/>
    </row>
    <row r="453" spans="6:18">
      <c r="F453" s="73"/>
      <c r="R453"/>
    </row>
    <row r="454" spans="6:18">
      <c r="F454" s="73"/>
      <c r="R454"/>
    </row>
    <row r="455" spans="6:18">
      <c r="F455" s="73"/>
      <c r="R455"/>
    </row>
    <row r="456" spans="6:18">
      <c r="F456" s="73"/>
      <c r="R456"/>
    </row>
    <row r="457" spans="6:18">
      <c r="F457" s="73"/>
      <c r="R457"/>
    </row>
    <row r="458" spans="6:18">
      <c r="F458" s="73"/>
      <c r="R458"/>
    </row>
    <row r="459" spans="6:18">
      <c r="F459" s="73"/>
      <c r="R459"/>
    </row>
    <row r="460" spans="6:18">
      <c r="F460" s="73"/>
      <c r="R460"/>
    </row>
    <row r="461" spans="6:18">
      <c r="F461" s="73"/>
      <c r="R461"/>
    </row>
    <row r="462" spans="6:18">
      <c r="F462" s="73"/>
      <c r="R462"/>
    </row>
    <row r="463" spans="6:18">
      <c r="F463" s="73"/>
      <c r="R463"/>
    </row>
    <row r="464" spans="6:18">
      <c r="F464" s="73"/>
      <c r="R464"/>
    </row>
    <row r="465" spans="6:18">
      <c r="F465" s="73"/>
      <c r="R465"/>
    </row>
    <row r="466" spans="6:18">
      <c r="F466" s="73"/>
      <c r="R466"/>
    </row>
    <row r="467" spans="6:18">
      <c r="F467" s="73"/>
      <c r="R467"/>
    </row>
    <row r="468" spans="6:18">
      <c r="F468" s="73"/>
      <c r="R468"/>
    </row>
    <row r="469" spans="6:18">
      <c r="F469" s="73"/>
      <c r="R469"/>
    </row>
    <row r="470" spans="6:18">
      <c r="F470" s="73"/>
      <c r="R470"/>
    </row>
    <row r="471" spans="6:18">
      <c r="F471" s="73"/>
      <c r="R471"/>
    </row>
    <row r="472" spans="6:18">
      <c r="F472" s="73"/>
      <c r="R472"/>
    </row>
    <row r="473" spans="6:18">
      <c r="F473" s="73"/>
      <c r="R473"/>
    </row>
    <row r="474" spans="6:18">
      <c r="F474" s="73"/>
      <c r="R474"/>
    </row>
    <row r="475" spans="6:18">
      <c r="F475" s="73"/>
      <c r="R475"/>
    </row>
    <row r="476" spans="6:18">
      <c r="F476" s="73"/>
      <c r="R476"/>
    </row>
    <row r="477" spans="6:18">
      <c r="F477" s="73"/>
      <c r="R477"/>
    </row>
    <row r="478" spans="6:18">
      <c r="F478" s="73"/>
      <c r="R478"/>
    </row>
    <row r="479" spans="6:18">
      <c r="F479" s="73"/>
      <c r="R479"/>
    </row>
    <row r="480" spans="6:18">
      <c r="F480" s="73"/>
      <c r="R480"/>
    </row>
    <row r="481" spans="6:18">
      <c r="F481" s="73"/>
      <c r="R481"/>
    </row>
    <row r="482" spans="6:18">
      <c r="F482" s="73"/>
      <c r="R482"/>
    </row>
    <row r="483" spans="6:18">
      <c r="F483" s="73"/>
      <c r="R483"/>
    </row>
    <row r="484" spans="6:18">
      <c r="F484" s="73"/>
      <c r="R484"/>
    </row>
    <row r="485" spans="6:18">
      <c r="F485" s="73"/>
      <c r="R485"/>
    </row>
    <row r="486" spans="6:18">
      <c r="F486" s="73"/>
      <c r="R486"/>
    </row>
    <row r="487" spans="6:18">
      <c r="F487" s="73"/>
      <c r="R487"/>
    </row>
    <row r="488" spans="6:18">
      <c r="F488" s="73"/>
      <c r="R488"/>
    </row>
    <row r="489" spans="6:18">
      <c r="F489" s="73"/>
      <c r="R489"/>
    </row>
    <row r="490" spans="6:18">
      <c r="F490" s="73"/>
      <c r="R490"/>
    </row>
    <row r="491" spans="6:18">
      <c r="F491" s="73"/>
      <c r="R491"/>
    </row>
    <row r="492" spans="6:18">
      <c r="F492" s="73"/>
      <c r="R492"/>
    </row>
    <row r="493" spans="6:18">
      <c r="F493" s="73"/>
      <c r="R493"/>
    </row>
    <row r="494" spans="6:18">
      <c r="F494" s="73"/>
      <c r="R494"/>
    </row>
    <row r="495" spans="6:18">
      <c r="F495" s="73"/>
      <c r="R495"/>
    </row>
    <row r="496" spans="6:18">
      <c r="F496" s="73"/>
      <c r="R496"/>
    </row>
    <row r="497" spans="6:18">
      <c r="F497" s="73"/>
      <c r="R497"/>
    </row>
    <row r="498" spans="6:18">
      <c r="F498" s="73"/>
      <c r="R498"/>
    </row>
    <row r="499" spans="6:18">
      <c r="F499" s="73"/>
      <c r="R499"/>
    </row>
    <row r="500" spans="6:18">
      <c r="F500" s="73"/>
      <c r="R500"/>
    </row>
    <row r="501" spans="6:18">
      <c r="F501" s="73"/>
      <c r="R501"/>
    </row>
    <row r="502" spans="6:18">
      <c r="F502" s="73"/>
      <c r="R502"/>
    </row>
    <row r="503" spans="6:18">
      <c r="F503" s="73"/>
      <c r="R503"/>
    </row>
    <row r="504" spans="6:18">
      <c r="F504" s="73"/>
      <c r="R504"/>
    </row>
    <row r="505" spans="6:18">
      <c r="F505" s="73"/>
      <c r="R505"/>
    </row>
    <row r="506" spans="6:18">
      <c r="F506" s="73"/>
      <c r="R506"/>
    </row>
    <row r="507" spans="6:18">
      <c r="F507" s="73"/>
      <c r="R507"/>
    </row>
    <row r="508" spans="6:18">
      <c r="F508" s="73"/>
      <c r="R508"/>
    </row>
    <row r="509" spans="6:18">
      <c r="F509" s="73"/>
      <c r="R509"/>
    </row>
    <row r="510" spans="6:18">
      <c r="F510" s="73"/>
      <c r="R510"/>
    </row>
    <row r="511" spans="6:18">
      <c r="F511" s="73"/>
      <c r="R511"/>
    </row>
    <row r="512" spans="6:18">
      <c r="F512" s="73"/>
      <c r="R512"/>
    </row>
    <row r="513" spans="6:18">
      <c r="F513" s="73"/>
      <c r="R513"/>
    </row>
    <row r="514" spans="6:18">
      <c r="F514" s="73"/>
      <c r="R514"/>
    </row>
    <row r="515" spans="6:18">
      <c r="F515" s="73"/>
      <c r="R515"/>
    </row>
    <row r="516" spans="6:18">
      <c r="F516" s="73"/>
      <c r="R516"/>
    </row>
    <row r="517" spans="6:18">
      <c r="F517" s="73"/>
      <c r="R517"/>
    </row>
    <row r="518" spans="6:18">
      <c r="F518" s="73"/>
      <c r="R518"/>
    </row>
    <row r="519" spans="6:18">
      <c r="F519" s="73"/>
      <c r="R519"/>
    </row>
    <row r="520" spans="6:18">
      <c r="F520" s="73"/>
      <c r="R520"/>
    </row>
    <row r="521" spans="6:18">
      <c r="F521" s="73"/>
      <c r="R521"/>
    </row>
    <row r="522" spans="6:18">
      <c r="F522" s="73"/>
      <c r="R522"/>
    </row>
    <row r="523" spans="6:18">
      <c r="F523" s="73"/>
      <c r="R523"/>
    </row>
    <row r="524" spans="6:18">
      <c r="F524" s="73"/>
      <c r="R524"/>
    </row>
    <row r="525" spans="6:18">
      <c r="F525" s="73"/>
      <c r="R525"/>
    </row>
    <row r="526" spans="6:18">
      <c r="F526" s="73"/>
      <c r="R526"/>
    </row>
    <row r="527" spans="6:18">
      <c r="F527" s="73"/>
      <c r="R527"/>
    </row>
    <row r="528" spans="6:18">
      <c r="F528" s="73"/>
      <c r="R528"/>
    </row>
    <row r="529" spans="6:18">
      <c r="F529" s="73"/>
      <c r="R529"/>
    </row>
    <row r="530" spans="6:18">
      <c r="F530" s="73"/>
      <c r="R530"/>
    </row>
    <row r="531" spans="6:18">
      <c r="F531" s="73"/>
      <c r="R531"/>
    </row>
    <row r="532" spans="6:18">
      <c r="F532" s="73"/>
      <c r="R532"/>
    </row>
    <row r="533" spans="6:18">
      <c r="F533" s="73"/>
      <c r="R533"/>
    </row>
    <row r="534" spans="6:18">
      <c r="F534" s="73"/>
      <c r="R534"/>
    </row>
    <row r="535" spans="6:18">
      <c r="F535" s="73"/>
      <c r="R535"/>
    </row>
    <row r="536" spans="6:18">
      <c r="F536" s="73"/>
      <c r="R536"/>
    </row>
    <row r="537" spans="6:18">
      <c r="F537" s="73"/>
      <c r="R537"/>
    </row>
    <row r="538" spans="6:18">
      <c r="F538" s="73"/>
      <c r="R538"/>
    </row>
    <row r="539" spans="6:18">
      <c r="F539" s="73"/>
      <c r="R539"/>
    </row>
    <row r="540" spans="6:18">
      <c r="F540" s="73"/>
      <c r="R540"/>
    </row>
    <row r="541" spans="6:18">
      <c r="F541" s="73"/>
      <c r="R541"/>
    </row>
    <row r="542" spans="6:18">
      <c r="F542" s="73"/>
      <c r="R542"/>
    </row>
    <row r="543" spans="6:18">
      <c r="F543" s="73"/>
      <c r="R543"/>
    </row>
    <row r="544" spans="6:18">
      <c r="F544" s="73"/>
      <c r="R544"/>
    </row>
    <row r="545" spans="6:18">
      <c r="F545" s="73"/>
      <c r="R545"/>
    </row>
    <row r="546" spans="6:18">
      <c r="F546" s="73"/>
      <c r="R546"/>
    </row>
    <row r="547" spans="6:18">
      <c r="F547" s="73"/>
      <c r="R547"/>
    </row>
    <row r="548" spans="6:18">
      <c r="F548" s="73"/>
      <c r="R548"/>
    </row>
    <row r="549" spans="6:18">
      <c r="F549" s="73"/>
      <c r="R549"/>
    </row>
    <row r="550" spans="6:18">
      <c r="F550" s="73"/>
      <c r="R550"/>
    </row>
    <row r="551" spans="6:18">
      <c r="F551" s="73"/>
      <c r="R551"/>
    </row>
    <row r="552" spans="6:18">
      <c r="F552" s="73"/>
      <c r="R552"/>
    </row>
    <row r="553" spans="6:18">
      <c r="F553" s="73"/>
      <c r="R553"/>
    </row>
    <row r="554" spans="6:18">
      <c r="F554" s="73"/>
      <c r="R554"/>
    </row>
    <row r="555" spans="6:18">
      <c r="F555" s="73"/>
      <c r="R555"/>
    </row>
    <row r="556" spans="6:18">
      <c r="F556" s="73"/>
      <c r="R556"/>
    </row>
    <row r="557" spans="6:18">
      <c r="F557" s="73"/>
      <c r="R557"/>
    </row>
    <row r="558" spans="6:18">
      <c r="F558" s="73"/>
      <c r="R558"/>
    </row>
    <row r="559" spans="6:18">
      <c r="F559" s="73"/>
      <c r="R559"/>
    </row>
    <row r="560" spans="6:18">
      <c r="F560" s="73"/>
      <c r="R560"/>
    </row>
    <row r="561" spans="6:18">
      <c r="F561" s="73"/>
      <c r="R561"/>
    </row>
    <row r="562" spans="6:18">
      <c r="F562" s="73"/>
      <c r="R562"/>
    </row>
    <row r="563" spans="6:18">
      <c r="F563" s="73"/>
      <c r="R563"/>
    </row>
    <row r="564" spans="6:18">
      <c r="F564" s="73"/>
      <c r="R564"/>
    </row>
    <row r="565" spans="6:18">
      <c r="F565" s="73"/>
      <c r="R565"/>
    </row>
    <row r="566" spans="6:18">
      <c r="F566" s="73"/>
      <c r="R566"/>
    </row>
    <row r="567" spans="6:18">
      <c r="F567" s="73"/>
      <c r="R567"/>
    </row>
    <row r="568" spans="6:18">
      <c r="F568" s="73"/>
      <c r="R568"/>
    </row>
    <row r="569" spans="6:18">
      <c r="F569" s="73"/>
      <c r="R569"/>
    </row>
    <row r="570" spans="6:18">
      <c r="F570" s="73"/>
      <c r="R570"/>
    </row>
    <row r="571" spans="6:18">
      <c r="F571" s="73"/>
      <c r="R571"/>
    </row>
    <row r="572" spans="6:18">
      <c r="F572" s="73"/>
      <c r="R572"/>
    </row>
    <row r="573" spans="6:18">
      <c r="F573" s="73"/>
      <c r="R573"/>
    </row>
    <row r="574" spans="6:18">
      <c r="F574" s="73"/>
      <c r="R574"/>
    </row>
    <row r="575" spans="6:18">
      <c r="F575" s="73"/>
      <c r="R575"/>
    </row>
    <row r="576" spans="6:18">
      <c r="F576" s="73"/>
      <c r="R576"/>
    </row>
    <row r="577" spans="6:18">
      <c r="F577" s="73"/>
      <c r="R577"/>
    </row>
    <row r="578" spans="6:18">
      <c r="F578" s="73"/>
      <c r="R578"/>
    </row>
    <row r="579" spans="6:18">
      <c r="F579" s="73"/>
      <c r="R579"/>
    </row>
    <row r="580" spans="6:18">
      <c r="F580" s="73"/>
      <c r="R580"/>
    </row>
    <row r="581" spans="6:18">
      <c r="F581" s="73"/>
      <c r="R581"/>
    </row>
    <row r="582" spans="6:18">
      <c r="F582" s="73"/>
      <c r="R582"/>
    </row>
    <row r="583" spans="6:18">
      <c r="F583" s="73"/>
      <c r="R583"/>
    </row>
    <row r="584" spans="6:18">
      <c r="F584" s="73"/>
      <c r="R584"/>
    </row>
    <row r="585" spans="6:18">
      <c r="F585" s="73"/>
      <c r="R585"/>
    </row>
    <row r="586" spans="6:18">
      <c r="F586" s="73"/>
      <c r="R586"/>
    </row>
    <row r="587" spans="6:18">
      <c r="F587" s="73"/>
      <c r="R587"/>
    </row>
    <row r="588" spans="6:18">
      <c r="F588" s="73"/>
      <c r="R588"/>
    </row>
    <row r="589" spans="6:18">
      <c r="F589" s="73"/>
      <c r="R589"/>
    </row>
    <row r="590" spans="6:18">
      <c r="F590" s="73"/>
      <c r="R590"/>
    </row>
    <row r="591" spans="6:18">
      <c r="F591" s="73"/>
      <c r="R591"/>
    </row>
    <row r="592" spans="6:18">
      <c r="F592" s="73"/>
      <c r="R592"/>
    </row>
    <row r="593" spans="6:18">
      <c r="F593" s="73"/>
      <c r="R593"/>
    </row>
    <row r="594" spans="6:18">
      <c r="F594" s="73"/>
      <c r="R594"/>
    </row>
    <row r="595" spans="6:18">
      <c r="F595" s="73"/>
      <c r="R595"/>
    </row>
    <row r="596" spans="6:18">
      <c r="F596" s="73"/>
      <c r="R596"/>
    </row>
    <row r="597" spans="6:18">
      <c r="F597" s="73"/>
      <c r="R597"/>
    </row>
    <row r="598" spans="6:18">
      <c r="F598" s="73"/>
      <c r="R598"/>
    </row>
    <row r="599" spans="6:18">
      <c r="F599" s="73"/>
      <c r="R599"/>
    </row>
    <row r="600" spans="6:18">
      <c r="F600" s="73"/>
      <c r="R600"/>
    </row>
    <row r="601" spans="6:18">
      <c r="F601" s="73"/>
      <c r="R601"/>
    </row>
    <row r="602" spans="6:18">
      <c r="F602" s="73"/>
      <c r="R602"/>
    </row>
    <row r="603" spans="6:18">
      <c r="F603" s="73"/>
      <c r="R603"/>
    </row>
    <row r="604" spans="6:18">
      <c r="F604" s="73"/>
      <c r="R604"/>
    </row>
    <row r="605" spans="6:18">
      <c r="F605" s="73"/>
      <c r="R605"/>
    </row>
    <row r="606" spans="6:18">
      <c r="F606" s="73"/>
      <c r="R606"/>
    </row>
    <row r="607" spans="6:18">
      <c r="F607" s="73"/>
      <c r="R607"/>
    </row>
    <row r="608" spans="6:18">
      <c r="F608" s="73"/>
      <c r="R608"/>
    </row>
    <row r="609" spans="6:18">
      <c r="F609" s="73"/>
      <c r="R609"/>
    </row>
    <row r="610" spans="6:18">
      <c r="F610" s="73"/>
      <c r="R610"/>
    </row>
    <row r="611" spans="6:18">
      <c r="F611" s="73"/>
      <c r="R611"/>
    </row>
    <row r="612" spans="6:18">
      <c r="F612" s="73"/>
      <c r="R612"/>
    </row>
    <row r="613" spans="6:18">
      <c r="F613" s="73"/>
      <c r="R613"/>
    </row>
    <row r="614" spans="6:18">
      <c r="F614" s="73"/>
      <c r="R614"/>
    </row>
    <row r="615" spans="6:18">
      <c r="F615" s="73"/>
      <c r="R615"/>
    </row>
    <row r="616" spans="6:18">
      <c r="F616" s="73"/>
      <c r="R616"/>
    </row>
    <row r="617" spans="6:18">
      <c r="F617" s="73"/>
      <c r="R617"/>
    </row>
    <row r="618" spans="6:18">
      <c r="F618" s="73"/>
      <c r="R618"/>
    </row>
    <row r="619" spans="6:18">
      <c r="F619" s="73"/>
      <c r="R619"/>
    </row>
    <row r="620" spans="6:18">
      <c r="F620" s="73"/>
      <c r="R620"/>
    </row>
    <row r="621" spans="6:18">
      <c r="F621" s="73"/>
      <c r="R621"/>
    </row>
    <row r="622" spans="6:18">
      <c r="F622" s="73"/>
      <c r="R622"/>
    </row>
    <row r="623" spans="6:18">
      <c r="F623" s="73"/>
      <c r="R623"/>
    </row>
    <row r="624" spans="6:18">
      <c r="F624" s="73"/>
      <c r="R624"/>
    </row>
    <row r="625" spans="6:18">
      <c r="F625" s="73"/>
      <c r="R625"/>
    </row>
    <row r="626" spans="6:18">
      <c r="F626" s="73"/>
      <c r="R626"/>
    </row>
    <row r="627" spans="6:18">
      <c r="F627" s="73"/>
      <c r="R627"/>
    </row>
    <row r="628" spans="6:18">
      <c r="F628" s="73"/>
      <c r="R628"/>
    </row>
    <row r="629" spans="6:18">
      <c r="F629" s="73"/>
      <c r="R629"/>
    </row>
    <row r="630" spans="6:18">
      <c r="F630" s="73"/>
      <c r="R630"/>
    </row>
    <row r="631" spans="6:18">
      <c r="F631" s="73"/>
      <c r="R631"/>
    </row>
    <row r="632" spans="6:18">
      <c r="F632" s="73"/>
      <c r="R632"/>
    </row>
    <row r="633" spans="6:18">
      <c r="F633" s="73"/>
      <c r="R633"/>
    </row>
    <row r="634" spans="6:18">
      <c r="F634" s="73"/>
      <c r="R634"/>
    </row>
    <row r="635" spans="6:18">
      <c r="F635" s="73"/>
      <c r="R635"/>
    </row>
    <row r="636" spans="6:18">
      <c r="F636" s="73"/>
      <c r="R636"/>
    </row>
    <row r="637" spans="6:18">
      <c r="F637" s="73"/>
      <c r="R637"/>
    </row>
    <row r="638" spans="6:18">
      <c r="F638" s="73"/>
      <c r="R638"/>
    </row>
    <row r="639" spans="6:18">
      <c r="F639" s="73"/>
      <c r="R639"/>
    </row>
    <row r="640" spans="6:18">
      <c r="F640" s="73"/>
      <c r="R640"/>
    </row>
    <row r="641" spans="6:18">
      <c r="F641" s="73"/>
      <c r="R641"/>
    </row>
    <row r="642" spans="6:18">
      <c r="F642" s="73"/>
      <c r="R642"/>
    </row>
    <row r="643" spans="6:18">
      <c r="F643" s="73"/>
      <c r="R643"/>
    </row>
    <row r="644" spans="6:18">
      <c r="F644" s="73"/>
      <c r="R644"/>
    </row>
    <row r="645" spans="6:18">
      <c r="F645" s="73"/>
      <c r="R645"/>
    </row>
    <row r="646" spans="6:18">
      <c r="F646" s="73"/>
      <c r="R646"/>
    </row>
    <row r="647" spans="6:18">
      <c r="F647" s="73"/>
      <c r="R647"/>
    </row>
    <row r="648" spans="6:18">
      <c r="F648" s="73"/>
      <c r="R648"/>
    </row>
    <row r="649" spans="6:18">
      <c r="F649" s="73"/>
      <c r="R649"/>
    </row>
    <row r="650" spans="6:18">
      <c r="F650" s="73"/>
      <c r="R650"/>
    </row>
    <row r="651" spans="6:18">
      <c r="F651" s="73"/>
      <c r="R651"/>
    </row>
    <row r="652" spans="6:18">
      <c r="F652" s="73"/>
      <c r="R652"/>
    </row>
    <row r="653" spans="6:18">
      <c r="F653" s="73"/>
      <c r="R653"/>
    </row>
    <row r="654" spans="6:18">
      <c r="F654" s="73"/>
      <c r="R654"/>
    </row>
    <row r="655" spans="6:18">
      <c r="F655" s="73"/>
      <c r="R655"/>
    </row>
    <row r="656" spans="6:18">
      <c r="F656" s="73"/>
      <c r="R656"/>
    </row>
    <row r="657" spans="6:18">
      <c r="F657" s="73"/>
      <c r="R657"/>
    </row>
    <row r="658" spans="6:18">
      <c r="F658" s="73"/>
      <c r="R658"/>
    </row>
    <row r="659" spans="6:18">
      <c r="F659" s="73"/>
      <c r="R659"/>
    </row>
    <row r="660" spans="6:18">
      <c r="F660" s="73"/>
      <c r="R660"/>
    </row>
    <row r="661" spans="6:18">
      <c r="F661" s="73"/>
      <c r="R661"/>
    </row>
    <row r="662" spans="6:18">
      <c r="F662" s="73"/>
      <c r="R662"/>
    </row>
    <row r="663" spans="6:18">
      <c r="F663" s="73"/>
      <c r="R663"/>
    </row>
    <row r="664" spans="6:18">
      <c r="F664" s="73"/>
      <c r="R664"/>
    </row>
    <row r="665" spans="6:18">
      <c r="F665" s="73"/>
      <c r="R665"/>
    </row>
    <row r="666" spans="6:18">
      <c r="F666" s="73"/>
      <c r="R666"/>
    </row>
    <row r="667" spans="6:18">
      <c r="F667" s="73"/>
      <c r="R667"/>
    </row>
    <row r="668" spans="6:18">
      <c r="F668" s="73"/>
      <c r="R668"/>
    </row>
    <row r="669" spans="6:18">
      <c r="F669" s="73"/>
      <c r="R669"/>
    </row>
    <row r="670" spans="6:18">
      <c r="F670" s="73"/>
      <c r="R670"/>
    </row>
    <row r="671" spans="6:18">
      <c r="F671" s="73"/>
      <c r="R671"/>
    </row>
    <row r="672" spans="6:18">
      <c r="F672" s="73"/>
      <c r="R672"/>
    </row>
    <row r="673" spans="6:18">
      <c r="F673" s="73"/>
      <c r="R673"/>
    </row>
    <row r="674" spans="6:18">
      <c r="F674" s="73"/>
      <c r="R674"/>
    </row>
    <row r="675" spans="6:18">
      <c r="F675" s="73"/>
      <c r="R675"/>
    </row>
    <row r="676" spans="6:18">
      <c r="F676" s="73"/>
      <c r="R676"/>
    </row>
    <row r="677" spans="6:18">
      <c r="F677" s="73"/>
      <c r="R677"/>
    </row>
    <row r="678" spans="6:18">
      <c r="F678" s="73"/>
      <c r="R678"/>
    </row>
    <row r="679" spans="6:18">
      <c r="F679" s="73"/>
      <c r="R679"/>
    </row>
    <row r="680" spans="6:18">
      <c r="F680" s="73"/>
      <c r="R680"/>
    </row>
    <row r="681" spans="6:18">
      <c r="F681" s="73"/>
      <c r="R681"/>
    </row>
    <row r="682" spans="6:18">
      <c r="F682" s="73"/>
      <c r="R682"/>
    </row>
    <row r="683" spans="6:18">
      <c r="F683" s="73"/>
      <c r="R683"/>
    </row>
    <row r="684" spans="6:18">
      <c r="F684" s="73"/>
      <c r="R684"/>
    </row>
    <row r="685" spans="6:18">
      <c r="F685" s="73"/>
      <c r="R685"/>
    </row>
    <row r="686" spans="6:18">
      <c r="F686" s="73"/>
      <c r="R686"/>
    </row>
    <row r="687" spans="6:18">
      <c r="F687" s="73"/>
      <c r="R687"/>
    </row>
    <row r="688" spans="6:18">
      <c r="F688" s="73"/>
      <c r="R688"/>
    </row>
    <row r="689" spans="6:18">
      <c r="F689" s="73"/>
      <c r="R689"/>
    </row>
    <row r="690" spans="6:18">
      <c r="F690" s="73"/>
      <c r="R690"/>
    </row>
    <row r="691" spans="6:18">
      <c r="F691" s="73"/>
      <c r="R691"/>
    </row>
    <row r="692" spans="6:18">
      <c r="F692" s="73"/>
      <c r="R692"/>
    </row>
    <row r="693" spans="6:18">
      <c r="F693" s="73"/>
      <c r="R693"/>
    </row>
    <row r="694" spans="6:18">
      <c r="F694" s="73"/>
      <c r="R694"/>
    </row>
    <row r="695" spans="6:18">
      <c r="F695" s="73"/>
      <c r="R695"/>
    </row>
    <row r="696" spans="6:18">
      <c r="F696" s="73"/>
      <c r="R696"/>
    </row>
    <row r="697" spans="6:18">
      <c r="F697" s="73"/>
      <c r="R697"/>
    </row>
    <row r="698" spans="6:18">
      <c r="F698" s="73"/>
      <c r="R698"/>
    </row>
    <row r="699" spans="6:18">
      <c r="F699" s="73"/>
      <c r="R699"/>
    </row>
    <row r="700" spans="6:18">
      <c r="F700" s="73"/>
      <c r="R700"/>
    </row>
    <row r="701" spans="6:18">
      <c r="F701" s="73"/>
      <c r="R701"/>
    </row>
    <row r="702" spans="6:18">
      <c r="F702" s="73"/>
      <c r="R702"/>
    </row>
    <row r="703" spans="6:18">
      <c r="F703" s="73"/>
      <c r="R703"/>
    </row>
    <row r="704" spans="6:18">
      <c r="F704" s="73"/>
      <c r="R704"/>
    </row>
    <row r="705" spans="6:18">
      <c r="F705" s="73"/>
      <c r="R705"/>
    </row>
    <row r="706" spans="6:18">
      <c r="F706" s="73"/>
      <c r="R706"/>
    </row>
    <row r="707" spans="6:18">
      <c r="F707" s="73"/>
      <c r="R707"/>
    </row>
    <row r="708" spans="6:18">
      <c r="F708" s="73"/>
      <c r="R708"/>
    </row>
    <row r="709" spans="6:18">
      <c r="F709" s="73"/>
      <c r="R709"/>
    </row>
    <row r="710" spans="6:18">
      <c r="F710" s="73"/>
      <c r="R710"/>
    </row>
    <row r="711" spans="6:18">
      <c r="F711" s="73"/>
      <c r="R711"/>
    </row>
    <row r="712" spans="6:18">
      <c r="F712" s="73"/>
      <c r="R712"/>
    </row>
    <row r="713" spans="6:18">
      <c r="F713" s="73"/>
      <c r="R713"/>
    </row>
    <row r="714" spans="6:18">
      <c r="F714" s="73"/>
      <c r="R714"/>
    </row>
    <row r="715" spans="6:18">
      <c r="F715" s="73"/>
      <c r="R715"/>
    </row>
    <row r="716" spans="6:18">
      <c r="F716" s="73"/>
      <c r="R716"/>
    </row>
    <row r="717" spans="6:18">
      <c r="F717" s="73"/>
      <c r="R717"/>
    </row>
    <row r="718" spans="6:18">
      <c r="F718" s="73"/>
      <c r="R718"/>
    </row>
    <row r="719" spans="6:18">
      <c r="F719" s="73"/>
      <c r="R719"/>
    </row>
    <row r="720" spans="6:18">
      <c r="F720" s="73"/>
      <c r="R720"/>
    </row>
    <row r="721" spans="6:18">
      <c r="F721" s="73"/>
      <c r="R721"/>
    </row>
    <row r="722" spans="6:18">
      <c r="F722" s="73"/>
      <c r="R722"/>
    </row>
    <row r="723" spans="6:18">
      <c r="F723" s="73"/>
      <c r="R723"/>
    </row>
    <row r="724" spans="6:18">
      <c r="F724" s="73"/>
      <c r="R724"/>
    </row>
    <row r="725" spans="6:18">
      <c r="F725" s="73"/>
      <c r="R725"/>
    </row>
    <row r="726" spans="6:18">
      <c r="F726" s="73"/>
      <c r="R726"/>
    </row>
    <row r="727" spans="6:18">
      <c r="F727" s="73"/>
      <c r="R727"/>
    </row>
    <row r="728" spans="6:18">
      <c r="F728" s="73"/>
      <c r="R728"/>
    </row>
    <row r="729" spans="6:18">
      <c r="F729" s="73"/>
      <c r="R729"/>
    </row>
    <row r="730" spans="6:18">
      <c r="F730" s="73"/>
      <c r="R730"/>
    </row>
    <row r="731" spans="6:18">
      <c r="F731" s="73"/>
      <c r="R731"/>
    </row>
    <row r="732" spans="6:18">
      <c r="F732" s="73"/>
      <c r="R732"/>
    </row>
    <row r="733" spans="6:18">
      <c r="F733" s="73"/>
      <c r="R733"/>
    </row>
    <row r="734" spans="6:18">
      <c r="F734" s="73"/>
      <c r="R734"/>
    </row>
    <row r="735" spans="6:18">
      <c r="F735" s="73"/>
      <c r="R735"/>
    </row>
    <row r="736" spans="6:18">
      <c r="F736" s="73"/>
      <c r="R736"/>
    </row>
    <row r="737" spans="6:18">
      <c r="F737" s="73"/>
      <c r="R737"/>
    </row>
    <row r="738" spans="6:18">
      <c r="F738" s="73"/>
      <c r="R738"/>
    </row>
    <row r="739" spans="6:18">
      <c r="F739" s="73"/>
      <c r="R739"/>
    </row>
    <row r="740" spans="6:18">
      <c r="F740" s="73"/>
      <c r="R740"/>
    </row>
    <row r="741" spans="6:18">
      <c r="F741" s="73"/>
      <c r="R741"/>
    </row>
    <row r="742" spans="6:18">
      <c r="F742" s="73"/>
      <c r="R742"/>
    </row>
    <row r="743" spans="6:18">
      <c r="F743" s="73"/>
      <c r="R743"/>
    </row>
    <row r="744" spans="6:18">
      <c r="F744" s="73"/>
      <c r="R744"/>
    </row>
    <row r="745" spans="6:18">
      <c r="F745" s="73"/>
      <c r="R745"/>
    </row>
    <row r="746" spans="6:18">
      <c r="F746" s="73"/>
      <c r="R746"/>
    </row>
    <row r="747" spans="6:18">
      <c r="F747" s="73"/>
      <c r="R747"/>
    </row>
    <row r="748" spans="6:18">
      <c r="F748" s="73"/>
      <c r="R748"/>
    </row>
    <row r="749" spans="6:18">
      <c r="F749" s="73"/>
      <c r="R749"/>
    </row>
    <row r="750" spans="6:18">
      <c r="F750" s="73"/>
      <c r="R750"/>
    </row>
    <row r="751" spans="6:18">
      <c r="F751" s="73"/>
      <c r="R751"/>
    </row>
    <row r="752" spans="6:18">
      <c r="F752" s="73"/>
      <c r="R752"/>
    </row>
    <row r="753" spans="6:18">
      <c r="F753" s="73"/>
      <c r="R753"/>
    </row>
    <row r="754" spans="6:18">
      <c r="F754" s="73"/>
      <c r="R754"/>
    </row>
    <row r="755" spans="6:18">
      <c r="F755" s="73"/>
      <c r="R755"/>
    </row>
    <row r="756" spans="6:18">
      <c r="F756" s="73"/>
      <c r="R756"/>
    </row>
    <row r="757" spans="6:18">
      <c r="F757" s="73"/>
      <c r="R757"/>
    </row>
    <row r="758" spans="6:18">
      <c r="F758" s="73"/>
      <c r="R758"/>
    </row>
    <row r="759" spans="6:18">
      <c r="F759" s="73"/>
      <c r="R759"/>
    </row>
    <row r="760" spans="6:18">
      <c r="F760" s="73"/>
      <c r="R760"/>
    </row>
    <row r="761" spans="6:18">
      <c r="F761" s="73"/>
      <c r="R761"/>
    </row>
    <row r="762" spans="6:18">
      <c r="F762" s="73"/>
      <c r="R762"/>
    </row>
    <row r="763" spans="6:18">
      <c r="F763" s="73"/>
      <c r="R763"/>
    </row>
    <row r="764" spans="6:18">
      <c r="F764" s="73"/>
      <c r="R764"/>
    </row>
    <row r="765" spans="6:18">
      <c r="F765" s="73"/>
      <c r="R765"/>
    </row>
    <row r="766" spans="6:18">
      <c r="F766" s="73"/>
      <c r="R766"/>
    </row>
    <row r="767" spans="6:18">
      <c r="F767" s="73"/>
      <c r="R767"/>
    </row>
    <row r="768" spans="6:18">
      <c r="F768" s="73"/>
      <c r="R768"/>
    </row>
    <row r="769" spans="6:18">
      <c r="F769" s="73"/>
      <c r="R769"/>
    </row>
    <row r="770" spans="6:18">
      <c r="F770" s="73"/>
      <c r="R770"/>
    </row>
    <row r="771" spans="6:18">
      <c r="F771" s="73"/>
      <c r="R771"/>
    </row>
    <row r="772" spans="6:18">
      <c r="F772" s="73"/>
      <c r="R772"/>
    </row>
    <row r="773" spans="6:18">
      <c r="F773" s="73"/>
      <c r="R773"/>
    </row>
    <row r="774" spans="6:18">
      <c r="F774" s="73"/>
      <c r="R774"/>
    </row>
    <row r="775" spans="6:18">
      <c r="F775" s="73"/>
      <c r="R775"/>
    </row>
    <row r="776" spans="6:18">
      <c r="F776" s="73"/>
      <c r="R776"/>
    </row>
    <row r="777" spans="6:18">
      <c r="F777" s="73"/>
      <c r="R777"/>
    </row>
    <row r="778" spans="6:18">
      <c r="F778" s="73"/>
      <c r="R778"/>
    </row>
    <row r="779" spans="6:18">
      <c r="F779" s="73"/>
      <c r="R779"/>
    </row>
    <row r="780" spans="6:18">
      <c r="F780" s="73"/>
      <c r="R780"/>
    </row>
    <row r="781" spans="6:18">
      <c r="F781" s="73"/>
      <c r="R781"/>
    </row>
    <row r="782" spans="6:18">
      <c r="F782" s="73"/>
      <c r="R782"/>
    </row>
    <row r="783" spans="6:18">
      <c r="F783" s="73"/>
      <c r="R783"/>
    </row>
    <row r="784" spans="6:18">
      <c r="F784" s="73"/>
      <c r="R784"/>
    </row>
    <row r="785" spans="6:18">
      <c r="F785" s="73"/>
      <c r="R785"/>
    </row>
    <row r="786" spans="6:18">
      <c r="F786" s="73"/>
      <c r="R786"/>
    </row>
    <row r="787" spans="6:18">
      <c r="F787" s="73"/>
      <c r="R787"/>
    </row>
    <row r="788" spans="6:18">
      <c r="F788" s="73"/>
      <c r="R788"/>
    </row>
    <row r="789" spans="6:18">
      <c r="F789" s="73"/>
      <c r="R789"/>
    </row>
    <row r="790" spans="6:18">
      <c r="F790" s="73"/>
      <c r="R790"/>
    </row>
    <row r="791" spans="6:18">
      <c r="F791" s="73"/>
      <c r="R791"/>
    </row>
    <row r="792" spans="6:18">
      <c r="F792" s="73"/>
      <c r="R792"/>
    </row>
    <row r="793" spans="6:18">
      <c r="F793" s="73"/>
      <c r="R793"/>
    </row>
    <row r="794" spans="6:18">
      <c r="F794" s="73"/>
      <c r="R794"/>
    </row>
    <row r="795" spans="6:18">
      <c r="F795" s="73"/>
      <c r="R795"/>
    </row>
    <row r="796" spans="6:18">
      <c r="F796" s="73"/>
      <c r="R796"/>
    </row>
    <row r="797" spans="6:18">
      <c r="F797" s="73"/>
      <c r="R797"/>
    </row>
    <row r="798" spans="6:18">
      <c r="F798" s="73"/>
      <c r="R798"/>
    </row>
    <row r="799" spans="6:18">
      <c r="F799" s="73"/>
      <c r="R799"/>
    </row>
    <row r="800" spans="6:18">
      <c r="F800" s="73"/>
      <c r="R800"/>
    </row>
    <row r="801" spans="6:18">
      <c r="F801" s="73"/>
      <c r="R801"/>
    </row>
    <row r="802" spans="6:18">
      <c r="F802" s="73"/>
      <c r="R802"/>
    </row>
    <row r="803" spans="6:18">
      <c r="F803" s="73"/>
      <c r="R803"/>
    </row>
    <row r="804" spans="6:18">
      <c r="F804" s="73"/>
      <c r="R804"/>
    </row>
    <row r="805" spans="6:18">
      <c r="F805" s="73"/>
      <c r="R805"/>
    </row>
    <row r="806" spans="6:18">
      <c r="F806" s="73"/>
      <c r="R806"/>
    </row>
    <row r="807" spans="6:18">
      <c r="F807" s="73"/>
      <c r="R807"/>
    </row>
    <row r="808" spans="6:18">
      <c r="F808" s="73"/>
      <c r="R808"/>
    </row>
    <row r="809" spans="6:18">
      <c r="F809" s="73"/>
      <c r="R809"/>
    </row>
    <row r="810" spans="6:18">
      <c r="F810" s="73"/>
      <c r="R810"/>
    </row>
    <row r="811" spans="6:18">
      <c r="F811" s="73"/>
      <c r="R811"/>
    </row>
    <row r="812" spans="6:18">
      <c r="F812" s="73"/>
      <c r="R812"/>
    </row>
    <row r="813" spans="6:18">
      <c r="F813" s="73"/>
      <c r="R813"/>
    </row>
    <row r="814" spans="6:18">
      <c r="F814" s="73"/>
      <c r="R814"/>
    </row>
    <row r="815" spans="6:18">
      <c r="F815" s="73"/>
      <c r="R815"/>
    </row>
    <row r="816" spans="6:18">
      <c r="F816" s="73"/>
      <c r="R816"/>
    </row>
    <row r="817" spans="6:18">
      <c r="F817" s="73"/>
      <c r="R817"/>
    </row>
    <row r="818" spans="6:18">
      <c r="F818" s="73"/>
      <c r="R818"/>
    </row>
    <row r="819" spans="6:18">
      <c r="F819" s="73"/>
      <c r="R819"/>
    </row>
    <row r="820" spans="6:18">
      <c r="F820" s="73"/>
      <c r="R820"/>
    </row>
    <row r="821" spans="6:18">
      <c r="F821" s="73"/>
      <c r="R821"/>
    </row>
    <row r="822" spans="6:18">
      <c r="F822" s="73"/>
      <c r="R822"/>
    </row>
    <row r="823" spans="6:18">
      <c r="F823" s="73"/>
      <c r="R823"/>
    </row>
    <row r="824" spans="6:18">
      <c r="F824" s="73"/>
      <c r="R824"/>
    </row>
    <row r="825" spans="6:18">
      <c r="F825" s="73"/>
      <c r="R825"/>
    </row>
    <row r="826" spans="6:18">
      <c r="F826" s="73"/>
      <c r="R826"/>
    </row>
    <row r="827" spans="6:18">
      <c r="F827" s="73"/>
      <c r="R827"/>
    </row>
    <row r="828" spans="6:18">
      <c r="F828" s="73"/>
      <c r="R828"/>
    </row>
    <row r="829" spans="6:18">
      <c r="F829" s="73"/>
      <c r="R829"/>
    </row>
    <row r="830" spans="6:18">
      <c r="F830" s="73"/>
      <c r="R830"/>
    </row>
    <row r="831" spans="6:18">
      <c r="F831" s="73"/>
      <c r="R831"/>
    </row>
    <row r="832" spans="6:18">
      <c r="F832" s="73"/>
      <c r="R832"/>
    </row>
    <row r="833" spans="6:18">
      <c r="F833" s="73"/>
      <c r="R833"/>
    </row>
    <row r="834" spans="6:18">
      <c r="F834" s="73"/>
      <c r="R834"/>
    </row>
    <row r="835" spans="6:18">
      <c r="F835" s="73"/>
      <c r="R835"/>
    </row>
    <row r="836" spans="6:18">
      <c r="F836" s="73"/>
      <c r="R836"/>
    </row>
    <row r="837" spans="6:18">
      <c r="F837" s="73"/>
      <c r="R837"/>
    </row>
    <row r="838" spans="6:18">
      <c r="F838" s="73"/>
      <c r="R838"/>
    </row>
    <row r="839" spans="6:18">
      <c r="F839" s="73"/>
      <c r="R839"/>
    </row>
    <row r="840" spans="6:18">
      <c r="F840" s="73"/>
      <c r="R840"/>
    </row>
    <row r="841" spans="6:18">
      <c r="F841" s="73"/>
      <c r="R841"/>
    </row>
    <row r="842" spans="6:18">
      <c r="F842" s="73"/>
      <c r="R842"/>
    </row>
    <row r="843" spans="6:18">
      <c r="F843" s="73"/>
      <c r="R843"/>
    </row>
    <row r="844" spans="6:18">
      <c r="F844" s="73"/>
      <c r="R844"/>
    </row>
    <row r="845" spans="6:18">
      <c r="F845" s="73"/>
      <c r="R845"/>
    </row>
    <row r="846" spans="6:18">
      <c r="F846" s="73"/>
      <c r="R846"/>
    </row>
    <row r="847" spans="6:18">
      <c r="F847" s="73"/>
      <c r="R847"/>
    </row>
    <row r="848" spans="6:18">
      <c r="F848" s="73"/>
      <c r="R848"/>
    </row>
    <row r="849" spans="6:18">
      <c r="F849" s="73"/>
      <c r="R849"/>
    </row>
    <row r="850" spans="6:18">
      <c r="F850" s="73"/>
      <c r="R850"/>
    </row>
    <row r="851" spans="6:18">
      <c r="F851" s="73"/>
      <c r="R851"/>
    </row>
    <row r="852" spans="6:18">
      <c r="F852" s="73"/>
      <c r="R852"/>
    </row>
    <row r="853" spans="6:18">
      <c r="F853" s="73"/>
      <c r="R853"/>
    </row>
    <row r="854" spans="6:18">
      <c r="F854" s="73"/>
      <c r="R854"/>
    </row>
    <row r="855" spans="6:18">
      <c r="F855" s="73"/>
      <c r="R855"/>
    </row>
    <row r="856" spans="6:18">
      <c r="F856" s="73"/>
      <c r="R856"/>
    </row>
    <row r="857" spans="6:18">
      <c r="F857" s="73"/>
      <c r="R857"/>
    </row>
    <row r="858" spans="6:18">
      <c r="F858" s="73"/>
      <c r="R858"/>
    </row>
    <row r="859" spans="6:18">
      <c r="F859" s="73"/>
      <c r="R859"/>
    </row>
    <row r="860" spans="6:18">
      <c r="F860" s="73"/>
      <c r="R860"/>
    </row>
    <row r="861" spans="6:18">
      <c r="F861" s="73"/>
      <c r="R861"/>
    </row>
    <row r="862" spans="6:18">
      <c r="F862" s="73"/>
      <c r="R862"/>
    </row>
    <row r="863" spans="6:18">
      <c r="F863" s="73"/>
      <c r="R863"/>
    </row>
    <row r="864" spans="6:18">
      <c r="F864" s="73"/>
      <c r="R864"/>
    </row>
    <row r="865" spans="6:18">
      <c r="F865" s="73"/>
      <c r="R865"/>
    </row>
    <row r="866" spans="6:18">
      <c r="F866" s="73"/>
      <c r="R866"/>
    </row>
    <row r="867" spans="6:18">
      <c r="F867" s="73"/>
      <c r="R867"/>
    </row>
    <row r="868" spans="6:18">
      <c r="F868" s="73"/>
      <c r="R868"/>
    </row>
    <row r="869" spans="6:18">
      <c r="F869" s="73"/>
      <c r="R869"/>
    </row>
    <row r="870" spans="6:18">
      <c r="F870" s="73"/>
      <c r="R870"/>
    </row>
    <row r="871" spans="6:18">
      <c r="F871" s="73"/>
      <c r="R871"/>
    </row>
    <row r="872" spans="6:18">
      <c r="F872" s="73"/>
      <c r="R872"/>
    </row>
    <row r="873" spans="6:18">
      <c r="F873" s="73"/>
      <c r="R873"/>
    </row>
    <row r="874" spans="6:18">
      <c r="F874" s="73"/>
      <c r="R874"/>
    </row>
    <row r="875" spans="6:18">
      <c r="F875" s="73"/>
      <c r="R875"/>
    </row>
    <row r="876" spans="6:18">
      <c r="F876" s="73"/>
      <c r="R876"/>
    </row>
    <row r="877" spans="6:18">
      <c r="F877" s="73"/>
      <c r="R877"/>
    </row>
    <row r="878" spans="6:18">
      <c r="F878" s="73"/>
      <c r="R878"/>
    </row>
    <row r="879" spans="6:18">
      <c r="F879" s="73"/>
      <c r="R879"/>
    </row>
    <row r="880" spans="6:18">
      <c r="F880" s="73"/>
      <c r="R880"/>
    </row>
    <row r="881" spans="6:18">
      <c r="F881" s="73"/>
      <c r="R881"/>
    </row>
    <row r="882" spans="6:18">
      <c r="F882" s="73"/>
      <c r="R882"/>
    </row>
    <row r="883" spans="6:18">
      <c r="F883" s="73"/>
      <c r="R883"/>
    </row>
    <row r="884" spans="6:18">
      <c r="F884" s="73"/>
      <c r="R884"/>
    </row>
    <row r="885" spans="6:18">
      <c r="F885" s="73"/>
      <c r="R885"/>
    </row>
    <row r="886" spans="6:18">
      <c r="F886" s="73"/>
      <c r="R886"/>
    </row>
    <row r="887" spans="6:18">
      <c r="F887" s="73"/>
      <c r="R887"/>
    </row>
    <row r="888" spans="6:18">
      <c r="F888" s="73"/>
      <c r="R888"/>
    </row>
    <row r="889" spans="6:18">
      <c r="F889" s="73"/>
      <c r="R889"/>
    </row>
    <row r="890" spans="6:18">
      <c r="F890" s="73"/>
      <c r="R890"/>
    </row>
    <row r="891" spans="6:18">
      <c r="F891" s="73"/>
      <c r="R891"/>
    </row>
    <row r="892" spans="6:18">
      <c r="F892" s="73"/>
      <c r="R892"/>
    </row>
    <row r="893" spans="6:18">
      <c r="F893" s="73"/>
      <c r="R893"/>
    </row>
    <row r="894" spans="6:18">
      <c r="F894" s="73"/>
      <c r="R894"/>
    </row>
    <row r="895" spans="6:18">
      <c r="F895" s="73"/>
      <c r="R895"/>
    </row>
    <row r="896" spans="6:18">
      <c r="F896" s="73"/>
      <c r="R896"/>
    </row>
    <row r="897" spans="6:18">
      <c r="F897" s="73"/>
      <c r="R897"/>
    </row>
    <row r="898" spans="6:18">
      <c r="F898" s="73"/>
      <c r="R898"/>
    </row>
    <row r="899" spans="6:18">
      <c r="F899" s="73"/>
      <c r="R899"/>
    </row>
    <row r="900" spans="6:18">
      <c r="F900" s="73"/>
      <c r="R900"/>
    </row>
    <row r="901" spans="6:18">
      <c r="F901" s="73"/>
      <c r="R901"/>
    </row>
    <row r="902" spans="6:18">
      <c r="F902" s="73"/>
      <c r="R902"/>
    </row>
    <row r="903" spans="6:18">
      <c r="F903" s="73"/>
      <c r="R903"/>
    </row>
    <row r="904" spans="6:18">
      <c r="F904" s="73"/>
      <c r="R904"/>
    </row>
    <row r="905" spans="6:18">
      <c r="F905" s="73"/>
      <c r="R905"/>
    </row>
    <row r="906" spans="6:18">
      <c r="F906" s="73"/>
      <c r="R906"/>
    </row>
    <row r="907" spans="6:18">
      <c r="F907" s="73"/>
      <c r="R907"/>
    </row>
    <row r="908" spans="6:18">
      <c r="F908" s="73"/>
      <c r="R908"/>
    </row>
    <row r="909" spans="6:18">
      <c r="F909" s="73"/>
      <c r="R909"/>
    </row>
    <row r="910" spans="6:18">
      <c r="F910" s="73"/>
      <c r="R910"/>
    </row>
    <row r="911" spans="6:18">
      <c r="F911" s="73"/>
      <c r="R911"/>
    </row>
    <row r="912" spans="6:18">
      <c r="F912" s="73"/>
      <c r="R912"/>
    </row>
    <row r="913" spans="6:18">
      <c r="F913" s="73"/>
      <c r="R913"/>
    </row>
    <row r="914" spans="6:18">
      <c r="F914" s="73"/>
      <c r="R914"/>
    </row>
    <row r="915" spans="6:18">
      <c r="F915" s="73"/>
      <c r="R915"/>
    </row>
    <row r="916" spans="6:18">
      <c r="F916" s="73"/>
      <c r="R916"/>
    </row>
    <row r="917" spans="6:18">
      <c r="F917" s="73"/>
      <c r="R917"/>
    </row>
    <row r="918" spans="6:18">
      <c r="F918" s="73"/>
      <c r="R918"/>
    </row>
    <row r="919" spans="6:18">
      <c r="F919" s="73"/>
      <c r="R919"/>
    </row>
    <row r="920" spans="6:18">
      <c r="F920" s="73"/>
      <c r="R920"/>
    </row>
    <row r="921" spans="6:18">
      <c r="F921" s="73"/>
      <c r="R921"/>
    </row>
    <row r="922" spans="6:18">
      <c r="F922" s="73"/>
      <c r="R922"/>
    </row>
    <row r="923" spans="6:18">
      <c r="F923" s="73"/>
      <c r="R923"/>
    </row>
    <row r="924" spans="6:18">
      <c r="F924" s="73"/>
      <c r="R924"/>
    </row>
    <row r="925" spans="6:18">
      <c r="F925" s="73"/>
      <c r="R925"/>
    </row>
    <row r="926" spans="6:18">
      <c r="F926" s="73"/>
      <c r="R926"/>
    </row>
    <row r="927" spans="6:18">
      <c r="F927" s="73"/>
      <c r="R927"/>
    </row>
    <row r="928" spans="6:18">
      <c r="F928" s="73"/>
      <c r="R928"/>
    </row>
    <row r="929" spans="6:18">
      <c r="F929" s="73"/>
      <c r="R929"/>
    </row>
    <row r="930" spans="6:18">
      <c r="F930" s="73"/>
      <c r="R930"/>
    </row>
    <row r="931" spans="6:18">
      <c r="F931" s="73"/>
      <c r="R931"/>
    </row>
    <row r="932" spans="6:18">
      <c r="F932" s="73"/>
      <c r="R932"/>
    </row>
  </sheetData>
  <phoneticPr fontId="0" type="noConversion"/>
  <pageMargins left="0.35433070866141736" right="0.74803149606299213" top="0.39370078740157483" bottom="0.59055118110236227" header="0.51181102362204722" footer="0.51181102362204722"/>
  <pageSetup paperSize="9" orientation="landscape" horizontalDpi="3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885"/>
  <sheetViews>
    <sheetView workbookViewId="0">
      <selection activeCell="E46" sqref="E46"/>
    </sheetView>
  </sheetViews>
  <sheetFormatPr defaultRowHeight="12.75"/>
  <cols>
    <col min="1" max="1" width="2.28515625" customWidth="1"/>
    <col min="2" max="2" width="3.28515625" customWidth="1"/>
    <col min="3" max="3" width="12.7109375" style="39" customWidth="1"/>
    <col min="4" max="4" width="12.7109375" customWidth="1"/>
    <col min="5" max="5" width="12.7109375" style="40" customWidth="1"/>
    <col min="6" max="6" width="10.140625" style="40" customWidth="1"/>
    <col min="7" max="7" width="9.85546875" customWidth="1"/>
    <col min="8" max="8" width="3.42578125" customWidth="1"/>
    <col min="9" max="9" width="10" customWidth="1"/>
    <col min="10" max="10" width="7.140625" customWidth="1"/>
    <col min="11" max="13" width="11.7109375" customWidth="1"/>
    <col min="14" max="14" width="4.42578125" customWidth="1"/>
    <col min="15" max="15" width="2.85546875" customWidth="1"/>
    <col min="16" max="16" width="3" customWidth="1"/>
    <col min="17" max="17" width="11.42578125" customWidth="1"/>
    <col min="18" max="18" width="3.5703125" style="72" customWidth="1"/>
    <col min="19" max="19" width="7.28515625" customWidth="1"/>
  </cols>
  <sheetData>
    <row r="1" spans="1:18">
      <c r="A1" s="45" t="s">
        <v>80</v>
      </c>
    </row>
    <row r="2" spans="1:18">
      <c r="F2" s="73"/>
      <c r="R2"/>
    </row>
    <row r="3" spans="1:18" hidden="1">
      <c r="A3" s="84" t="s">
        <v>33</v>
      </c>
      <c r="B3" s="59"/>
      <c r="C3" s="332">
        <v>500</v>
      </c>
      <c r="D3" s="200">
        <v>40987</v>
      </c>
      <c r="E3" s="200"/>
      <c r="F3" s="73"/>
      <c r="R3"/>
    </row>
    <row r="4" spans="1:18" hidden="1">
      <c r="A4" s="47"/>
      <c r="B4" s="59">
        <v>12</v>
      </c>
      <c r="C4" s="104">
        <v>100</v>
      </c>
      <c r="D4" s="586" t="s">
        <v>27</v>
      </c>
      <c r="E4" s="119"/>
      <c r="F4" s="73"/>
      <c r="R4"/>
    </row>
    <row r="5" spans="1:18" hidden="1">
      <c r="A5" s="47"/>
      <c r="B5" s="107">
        <v>13</v>
      </c>
      <c r="C5" s="114">
        <v>100</v>
      </c>
      <c r="D5" s="587" t="s">
        <v>27</v>
      </c>
      <c r="E5" s="414"/>
      <c r="F5" s="73"/>
      <c r="R5"/>
    </row>
    <row r="6" spans="1:18" hidden="1">
      <c r="A6" s="47"/>
      <c r="B6" s="107">
        <v>14</v>
      </c>
      <c r="C6" s="114">
        <v>100</v>
      </c>
      <c r="D6" s="587" t="s">
        <v>27</v>
      </c>
      <c r="E6" s="414"/>
      <c r="F6" s="73"/>
      <c r="R6"/>
    </row>
    <row r="7" spans="1:18" hidden="1">
      <c r="A7" s="47"/>
      <c r="B7" s="107">
        <v>15</v>
      </c>
      <c r="C7" s="114">
        <v>100</v>
      </c>
      <c r="D7" s="587" t="s">
        <v>27</v>
      </c>
      <c r="E7" s="414"/>
      <c r="F7" s="73"/>
      <c r="R7"/>
    </row>
    <row r="8" spans="1:18" hidden="1">
      <c r="A8" s="47"/>
      <c r="B8" s="107">
        <v>16</v>
      </c>
      <c r="C8" s="88">
        <v>100</v>
      </c>
      <c r="D8" s="587" t="s">
        <v>27</v>
      </c>
      <c r="E8" s="414"/>
      <c r="F8" s="73"/>
      <c r="R8"/>
    </row>
    <row r="9" spans="1:18" ht="13.5" hidden="1" thickBot="1">
      <c r="A9" s="47"/>
      <c r="B9" s="47"/>
      <c r="C9" s="129">
        <f>SUM(C4:C8)</f>
        <v>500</v>
      </c>
      <c r="D9" s="47"/>
      <c r="E9" s="414"/>
      <c r="F9" s="73"/>
      <c r="R9"/>
    </row>
    <row r="10" spans="1:18" ht="13.5" hidden="1" thickTop="1">
      <c r="F10" s="73"/>
      <c r="R10"/>
    </row>
    <row r="11" spans="1:18" hidden="1">
      <c r="F11" s="73"/>
      <c r="R11"/>
    </row>
    <row r="12" spans="1:18">
      <c r="A12" s="43" t="s">
        <v>409</v>
      </c>
      <c r="F12" s="73"/>
      <c r="R12"/>
    </row>
    <row r="13" spans="1:18">
      <c r="F13" s="73"/>
      <c r="R13"/>
    </row>
    <row r="14" spans="1:18">
      <c r="B14" s="588" t="s">
        <v>410</v>
      </c>
      <c r="C14" s="589" t="s">
        <v>411</v>
      </c>
      <c r="D14" s="590" t="s">
        <v>412</v>
      </c>
      <c r="E14" s="590" t="s">
        <v>413</v>
      </c>
      <c r="F14" s="73"/>
      <c r="R14"/>
    </row>
    <row r="15" spans="1:18">
      <c r="B15" s="591" t="s">
        <v>231</v>
      </c>
      <c r="C15" s="594">
        <v>1077.22</v>
      </c>
      <c r="D15" s="593">
        <v>1146.01</v>
      </c>
      <c r="E15" s="592">
        <f t="shared" ref="E15:E29" si="0">C15-D15</f>
        <v>-68.789999999999964</v>
      </c>
      <c r="F15" s="73"/>
      <c r="R15"/>
    </row>
    <row r="16" spans="1:18">
      <c r="B16" s="591" t="s">
        <v>298</v>
      </c>
      <c r="C16" s="594">
        <v>1077.22</v>
      </c>
      <c r="D16" s="593">
        <v>1146.01</v>
      </c>
      <c r="E16" s="592">
        <f t="shared" si="0"/>
        <v>-68.789999999999964</v>
      </c>
      <c r="F16" s="73"/>
      <c r="R16"/>
    </row>
    <row r="17" spans="2:18">
      <c r="B17" s="591" t="s">
        <v>232</v>
      </c>
      <c r="C17" s="594">
        <v>977.22</v>
      </c>
      <c r="D17" s="593">
        <v>1046.01</v>
      </c>
      <c r="E17" s="592">
        <f t="shared" si="0"/>
        <v>-68.789999999999964</v>
      </c>
      <c r="F17" s="73"/>
      <c r="R17"/>
    </row>
    <row r="18" spans="2:18">
      <c r="B18" s="591" t="s">
        <v>414</v>
      </c>
      <c r="C18" s="594">
        <v>977.22</v>
      </c>
      <c r="D18" s="593">
        <v>1046</v>
      </c>
      <c r="E18" s="592">
        <f t="shared" si="0"/>
        <v>-68.779999999999973</v>
      </c>
      <c r="F18" s="73"/>
      <c r="R18"/>
    </row>
    <row r="19" spans="2:18">
      <c r="B19" s="591" t="s">
        <v>415</v>
      </c>
      <c r="C19" s="594">
        <v>977.22</v>
      </c>
      <c r="D19" s="593">
        <v>1046.01</v>
      </c>
      <c r="E19" s="592">
        <f t="shared" si="0"/>
        <v>-68.789999999999964</v>
      </c>
      <c r="F19" s="73"/>
      <c r="R19"/>
    </row>
    <row r="20" spans="2:18">
      <c r="B20" s="591" t="s">
        <v>416</v>
      </c>
      <c r="C20" s="594">
        <v>977.22</v>
      </c>
      <c r="D20" s="593">
        <v>1046.01</v>
      </c>
      <c r="E20" s="592">
        <f t="shared" si="0"/>
        <v>-68.789999999999964</v>
      </c>
      <c r="F20" s="73"/>
      <c r="R20"/>
    </row>
    <row r="21" spans="2:18">
      <c r="B21" s="591" t="s">
        <v>265</v>
      </c>
      <c r="C21" s="594">
        <v>977.22</v>
      </c>
      <c r="D21" s="593">
        <v>1046.01</v>
      </c>
      <c r="E21" s="592">
        <f t="shared" si="0"/>
        <v>-68.789999999999964</v>
      </c>
      <c r="F21" s="73"/>
      <c r="R21"/>
    </row>
    <row r="22" spans="2:18">
      <c r="B22" s="591" t="s">
        <v>417</v>
      </c>
      <c r="C22" s="594">
        <v>1077.22</v>
      </c>
      <c r="D22" s="593">
        <v>1146</v>
      </c>
      <c r="E22" s="592">
        <f t="shared" si="0"/>
        <v>-68.779999999999973</v>
      </c>
      <c r="F22" s="73"/>
      <c r="R22"/>
    </row>
    <row r="23" spans="2:18">
      <c r="B23" s="591" t="s">
        <v>303</v>
      </c>
      <c r="C23" s="594">
        <v>1077.22</v>
      </c>
      <c r="D23" s="593">
        <v>1146.01</v>
      </c>
      <c r="E23" s="592">
        <f t="shared" si="0"/>
        <v>-68.789999999999964</v>
      </c>
      <c r="F23" s="73"/>
      <c r="R23"/>
    </row>
    <row r="24" spans="2:18">
      <c r="B24" s="591" t="s">
        <v>418</v>
      </c>
      <c r="C24" s="594">
        <v>1862.43</v>
      </c>
      <c r="D24" s="593">
        <v>1993.65</v>
      </c>
      <c r="E24" s="592">
        <f t="shared" si="0"/>
        <v>-131.22000000000003</v>
      </c>
      <c r="F24" s="73"/>
      <c r="R24"/>
    </row>
    <row r="25" spans="2:18">
      <c r="B25" s="585">
        <v>11</v>
      </c>
      <c r="C25" s="594">
        <v>1327.99</v>
      </c>
      <c r="D25" s="593">
        <v>1399.53</v>
      </c>
      <c r="E25" s="592">
        <f t="shared" si="0"/>
        <v>-71.539999999999964</v>
      </c>
      <c r="F25" s="73"/>
      <c r="R25"/>
    </row>
    <row r="26" spans="2:18">
      <c r="B26" s="585">
        <v>12</v>
      </c>
      <c r="C26" s="594">
        <v>1327.99</v>
      </c>
      <c r="D26" s="593">
        <v>1399.55</v>
      </c>
      <c r="E26" s="592">
        <f t="shared" si="0"/>
        <v>-71.559999999999945</v>
      </c>
      <c r="F26" s="73"/>
      <c r="R26"/>
    </row>
    <row r="27" spans="2:18">
      <c r="B27" s="585">
        <v>13</v>
      </c>
      <c r="C27" s="594">
        <v>2306.2399999999998</v>
      </c>
      <c r="D27" s="593">
        <v>2377.81</v>
      </c>
      <c r="E27" s="592">
        <f t="shared" si="0"/>
        <v>-71.570000000000164</v>
      </c>
      <c r="F27" s="73"/>
      <c r="R27"/>
    </row>
    <row r="28" spans="2:18">
      <c r="B28" s="585">
        <v>14</v>
      </c>
      <c r="C28" s="594">
        <v>1327.99</v>
      </c>
      <c r="D28" s="593">
        <v>1399.53</v>
      </c>
      <c r="E28" s="592">
        <f t="shared" si="0"/>
        <v>-71.539999999999964</v>
      </c>
      <c r="F28" s="73"/>
      <c r="R28"/>
    </row>
    <row r="29" spans="2:18" ht="13.5" thickBot="1">
      <c r="B29" s="585">
        <v>15</v>
      </c>
      <c r="C29" s="594">
        <v>1327.99</v>
      </c>
      <c r="D29" s="593">
        <v>1399.52</v>
      </c>
      <c r="E29" s="592">
        <f t="shared" si="0"/>
        <v>-71.529999999999973</v>
      </c>
      <c r="F29" s="73"/>
      <c r="R29"/>
    </row>
    <row r="30" spans="2:18" ht="13.5" thickBot="1">
      <c r="E30" s="154">
        <f>SUM(E15:E29)</f>
        <v>-1108.0499999999997</v>
      </c>
      <c r="F30" s="73"/>
      <c r="R30"/>
    </row>
    <row r="31" spans="2:18">
      <c r="F31" s="73"/>
      <c r="R31"/>
    </row>
    <row r="32" spans="2:18">
      <c r="F32" s="73"/>
      <c r="R32"/>
    </row>
    <row r="33" spans="6:18">
      <c r="F33" s="73"/>
      <c r="R33"/>
    </row>
    <row r="34" spans="6:18">
      <c r="F34" s="73"/>
      <c r="R34"/>
    </row>
    <row r="35" spans="6:18">
      <c r="F35" s="73"/>
      <c r="R35"/>
    </row>
    <row r="36" spans="6:18">
      <c r="F36" s="73"/>
      <c r="R36"/>
    </row>
    <row r="37" spans="6:18">
      <c r="F37" s="73"/>
      <c r="R37"/>
    </row>
    <row r="38" spans="6:18">
      <c r="F38" s="73"/>
      <c r="R38"/>
    </row>
    <row r="39" spans="6:18">
      <c r="F39" s="73"/>
      <c r="R39"/>
    </row>
    <row r="40" spans="6:18">
      <c r="F40" s="73"/>
      <c r="R40"/>
    </row>
    <row r="41" spans="6:18">
      <c r="F41" s="73"/>
      <c r="R41"/>
    </row>
    <row r="42" spans="6:18">
      <c r="F42" s="73"/>
      <c r="R42"/>
    </row>
    <row r="43" spans="6:18">
      <c r="F43" s="73"/>
      <c r="R43"/>
    </row>
    <row r="44" spans="6:18">
      <c r="F44" s="73"/>
      <c r="R44"/>
    </row>
    <row r="45" spans="6:18">
      <c r="F45" s="73"/>
      <c r="R45"/>
    </row>
    <row r="46" spans="6:18">
      <c r="F46" s="73"/>
      <c r="R46"/>
    </row>
    <row r="47" spans="6:18">
      <c r="F47" s="73"/>
      <c r="R47"/>
    </row>
    <row r="48" spans="6:18">
      <c r="F48" s="73"/>
      <c r="R48"/>
    </row>
    <row r="49" spans="6:18">
      <c r="F49" s="73"/>
      <c r="R49"/>
    </row>
    <row r="50" spans="6:18">
      <c r="F50" s="73"/>
      <c r="R50"/>
    </row>
    <row r="51" spans="6:18">
      <c r="F51" s="73"/>
      <c r="R51"/>
    </row>
    <row r="52" spans="6:18">
      <c r="F52" s="73"/>
      <c r="R52"/>
    </row>
    <row r="53" spans="6:18">
      <c r="F53" s="73"/>
      <c r="R53"/>
    </row>
    <row r="54" spans="6:18">
      <c r="F54" s="73"/>
      <c r="R54"/>
    </row>
    <row r="55" spans="6:18">
      <c r="F55" s="73"/>
      <c r="R55"/>
    </row>
    <row r="56" spans="6:18">
      <c r="F56" s="73"/>
      <c r="R56"/>
    </row>
    <row r="57" spans="6:18">
      <c r="F57" s="73"/>
      <c r="R57"/>
    </row>
    <row r="58" spans="6:18">
      <c r="F58" s="73"/>
      <c r="R58"/>
    </row>
    <row r="59" spans="6:18">
      <c r="F59" s="73"/>
      <c r="R59"/>
    </row>
    <row r="60" spans="6:18">
      <c r="F60" s="73"/>
      <c r="R60"/>
    </row>
    <row r="61" spans="6:18">
      <c r="F61" s="73"/>
      <c r="R61"/>
    </row>
    <row r="62" spans="6:18">
      <c r="F62" s="73"/>
      <c r="R62"/>
    </row>
    <row r="63" spans="6:18">
      <c r="F63" s="73"/>
      <c r="R63"/>
    </row>
    <row r="64" spans="6:18">
      <c r="F64" s="73"/>
      <c r="R64"/>
    </row>
    <row r="65" spans="6:18">
      <c r="F65" s="73"/>
      <c r="R65"/>
    </row>
    <row r="66" spans="6:18">
      <c r="F66" s="73"/>
      <c r="R66"/>
    </row>
    <row r="67" spans="6:18">
      <c r="F67" s="73"/>
      <c r="R67"/>
    </row>
    <row r="68" spans="6:18">
      <c r="F68" s="73"/>
      <c r="R68"/>
    </row>
    <row r="69" spans="6:18">
      <c r="F69" s="73"/>
      <c r="R69"/>
    </row>
    <row r="70" spans="6:18">
      <c r="F70" s="73"/>
      <c r="R70"/>
    </row>
    <row r="71" spans="6:18">
      <c r="F71" s="73"/>
      <c r="R71"/>
    </row>
    <row r="72" spans="6:18">
      <c r="F72" s="73"/>
      <c r="R72"/>
    </row>
    <row r="73" spans="6:18">
      <c r="F73" s="73"/>
      <c r="R73"/>
    </row>
    <row r="74" spans="6:18">
      <c r="F74" s="73"/>
      <c r="R74"/>
    </row>
    <row r="75" spans="6:18">
      <c r="F75" s="73"/>
      <c r="R75"/>
    </row>
    <row r="76" spans="6:18">
      <c r="F76" s="73"/>
      <c r="R76"/>
    </row>
    <row r="77" spans="6:18">
      <c r="F77" s="73"/>
      <c r="R77"/>
    </row>
    <row r="78" spans="6:18">
      <c r="F78" s="73"/>
      <c r="R78"/>
    </row>
    <row r="79" spans="6:18">
      <c r="F79" s="73"/>
      <c r="R79"/>
    </row>
    <row r="80" spans="6:18">
      <c r="F80" s="73"/>
      <c r="R80"/>
    </row>
    <row r="81" spans="6:18">
      <c r="F81" s="73"/>
      <c r="R81"/>
    </row>
    <row r="82" spans="6:18">
      <c r="F82" s="73"/>
      <c r="R82"/>
    </row>
    <row r="83" spans="6:18">
      <c r="F83" s="73"/>
      <c r="R83"/>
    </row>
    <row r="84" spans="6:18">
      <c r="F84" s="73"/>
      <c r="R84"/>
    </row>
    <row r="85" spans="6:18">
      <c r="F85" s="73"/>
      <c r="R85"/>
    </row>
    <row r="86" spans="6:18">
      <c r="F86" s="73"/>
      <c r="R86"/>
    </row>
    <row r="87" spans="6:18">
      <c r="F87" s="73"/>
      <c r="R87"/>
    </row>
    <row r="88" spans="6:18">
      <c r="F88" s="73"/>
      <c r="R88"/>
    </row>
    <row r="89" spans="6:18">
      <c r="F89" s="73"/>
      <c r="R89"/>
    </row>
    <row r="90" spans="6:18">
      <c r="F90" s="73"/>
      <c r="R90"/>
    </row>
    <row r="91" spans="6:18">
      <c r="F91" s="73"/>
      <c r="R91"/>
    </row>
    <row r="92" spans="6:18">
      <c r="F92" s="73"/>
      <c r="R92"/>
    </row>
    <row r="93" spans="6:18">
      <c r="F93" s="73"/>
      <c r="R93"/>
    </row>
    <row r="94" spans="6:18">
      <c r="F94" s="73"/>
      <c r="R94"/>
    </row>
    <row r="95" spans="6:18">
      <c r="F95" s="73"/>
      <c r="R95"/>
    </row>
    <row r="96" spans="6:18">
      <c r="F96" s="73"/>
      <c r="R96"/>
    </row>
    <row r="97" spans="6:18">
      <c r="F97" s="73"/>
      <c r="R97"/>
    </row>
    <row r="98" spans="6:18">
      <c r="F98" s="73"/>
      <c r="R98"/>
    </row>
    <row r="99" spans="6:18">
      <c r="F99" s="73"/>
      <c r="R99"/>
    </row>
    <row r="100" spans="6:18">
      <c r="F100" s="73"/>
      <c r="R100"/>
    </row>
    <row r="101" spans="6:18">
      <c r="F101" s="73"/>
      <c r="R101"/>
    </row>
    <row r="102" spans="6:18">
      <c r="F102" s="73"/>
      <c r="R102"/>
    </row>
    <row r="103" spans="6:18">
      <c r="F103" s="73"/>
      <c r="R103"/>
    </row>
    <row r="104" spans="6:18">
      <c r="F104" s="73"/>
      <c r="R104"/>
    </row>
    <row r="105" spans="6:18">
      <c r="F105" s="73"/>
      <c r="R105"/>
    </row>
    <row r="106" spans="6:18">
      <c r="F106" s="73"/>
      <c r="R106"/>
    </row>
    <row r="107" spans="6:18">
      <c r="F107" s="73"/>
      <c r="R107"/>
    </row>
    <row r="108" spans="6:18">
      <c r="F108" s="73"/>
      <c r="R108"/>
    </row>
    <row r="109" spans="6:18">
      <c r="F109" s="73"/>
      <c r="R109"/>
    </row>
    <row r="110" spans="6:18">
      <c r="F110" s="73"/>
      <c r="R110"/>
    </row>
    <row r="111" spans="6:18">
      <c r="F111" s="73"/>
      <c r="R111"/>
    </row>
    <row r="112" spans="6:18">
      <c r="F112" s="73"/>
      <c r="R112"/>
    </row>
    <row r="113" spans="6:18">
      <c r="F113" s="73"/>
      <c r="R113"/>
    </row>
    <row r="114" spans="6:18">
      <c r="F114" s="73"/>
      <c r="R114"/>
    </row>
    <row r="115" spans="6:18">
      <c r="F115" s="73"/>
      <c r="R115"/>
    </row>
    <row r="116" spans="6:18">
      <c r="F116" s="73"/>
      <c r="R116"/>
    </row>
    <row r="117" spans="6:18">
      <c r="F117" s="73"/>
      <c r="R117"/>
    </row>
    <row r="118" spans="6:18">
      <c r="F118" s="73"/>
      <c r="R118"/>
    </row>
    <row r="119" spans="6:18">
      <c r="F119" s="73"/>
      <c r="R119"/>
    </row>
    <row r="120" spans="6:18">
      <c r="F120" s="73"/>
      <c r="R120"/>
    </row>
    <row r="121" spans="6:18">
      <c r="F121" s="73"/>
      <c r="R121"/>
    </row>
    <row r="122" spans="6:18">
      <c r="F122" s="73"/>
      <c r="R122"/>
    </row>
    <row r="123" spans="6:18">
      <c r="F123" s="73"/>
      <c r="R123"/>
    </row>
    <row r="124" spans="6:18">
      <c r="F124" s="73"/>
      <c r="R124"/>
    </row>
    <row r="125" spans="6:18">
      <c r="F125" s="73"/>
      <c r="R125"/>
    </row>
    <row r="126" spans="6:18">
      <c r="F126" s="73"/>
      <c r="R126"/>
    </row>
    <row r="127" spans="6:18">
      <c r="F127" s="73"/>
      <c r="R127"/>
    </row>
    <row r="128" spans="6:18">
      <c r="F128" s="73"/>
      <c r="R128"/>
    </row>
    <row r="129" spans="6:18">
      <c r="F129" s="73"/>
      <c r="R129"/>
    </row>
    <row r="130" spans="6:18">
      <c r="F130" s="73"/>
      <c r="R130"/>
    </row>
    <row r="131" spans="6:18">
      <c r="F131" s="73"/>
      <c r="R131"/>
    </row>
    <row r="132" spans="6:18">
      <c r="F132" s="73"/>
      <c r="R132"/>
    </row>
    <row r="133" spans="6:18">
      <c r="F133" s="73"/>
      <c r="R133"/>
    </row>
    <row r="134" spans="6:18">
      <c r="F134" s="73"/>
      <c r="R134"/>
    </row>
    <row r="135" spans="6:18">
      <c r="F135" s="73"/>
      <c r="R135"/>
    </row>
    <row r="136" spans="6:18">
      <c r="F136" s="73"/>
      <c r="R136"/>
    </row>
    <row r="137" spans="6:18">
      <c r="F137" s="73"/>
      <c r="R137"/>
    </row>
    <row r="138" spans="6:18">
      <c r="F138" s="73"/>
      <c r="R138"/>
    </row>
    <row r="139" spans="6:18">
      <c r="F139" s="73"/>
      <c r="R139"/>
    </row>
    <row r="140" spans="6:18">
      <c r="F140" s="73"/>
      <c r="R140"/>
    </row>
    <row r="141" spans="6:18">
      <c r="F141" s="73"/>
      <c r="R141"/>
    </row>
    <row r="142" spans="6:18">
      <c r="F142" s="73"/>
      <c r="R142"/>
    </row>
    <row r="143" spans="6:18">
      <c r="F143" s="73"/>
      <c r="R143"/>
    </row>
    <row r="144" spans="6:18">
      <c r="F144" s="73"/>
      <c r="R144"/>
    </row>
    <row r="145" spans="6:18">
      <c r="F145" s="73"/>
      <c r="R145"/>
    </row>
    <row r="146" spans="6:18">
      <c r="F146" s="73"/>
      <c r="R146"/>
    </row>
    <row r="147" spans="6:18">
      <c r="F147" s="73"/>
      <c r="R147"/>
    </row>
    <row r="148" spans="6:18">
      <c r="F148" s="73"/>
      <c r="R148"/>
    </row>
    <row r="149" spans="6:18">
      <c r="F149" s="73"/>
      <c r="R149"/>
    </row>
    <row r="150" spans="6:18">
      <c r="F150" s="73"/>
      <c r="R150"/>
    </row>
    <row r="151" spans="6:18">
      <c r="F151" s="73"/>
      <c r="R151"/>
    </row>
    <row r="152" spans="6:18">
      <c r="F152" s="73"/>
      <c r="R152"/>
    </row>
    <row r="153" spans="6:18">
      <c r="F153" s="73"/>
      <c r="R153"/>
    </row>
    <row r="154" spans="6:18">
      <c r="F154" s="73"/>
      <c r="R154"/>
    </row>
    <row r="155" spans="6:18">
      <c r="F155" s="73"/>
      <c r="R155"/>
    </row>
    <row r="156" spans="6:18">
      <c r="F156" s="73"/>
      <c r="R156"/>
    </row>
    <row r="157" spans="6:18">
      <c r="F157" s="73"/>
      <c r="R157"/>
    </row>
    <row r="158" spans="6:18">
      <c r="F158" s="73"/>
      <c r="R158"/>
    </row>
    <row r="159" spans="6:18">
      <c r="F159" s="73"/>
      <c r="R159"/>
    </row>
    <row r="160" spans="6:18">
      <c r="F160" s="73"/>
      <c r="R160"/>
    </row>
    <row r="161" spans="6:18">
      <c r="F161" s="73"/>
      <c r="R161"/>
    </row>
    <row r="162" spans="6:18">
      <c r="F162" s="73"/>
      <c r="R162"/>
    </row>
    <row r="163" spans="6:18">
      <c r="F163" s="73"/>
      <c r="R163"/>
    </row>
    <row r="164" spans="6:18">
      <c r="F164" s="73"/>
      <c r="R164"/>
    </row>
    <row r="165" spans="6:18">
      <c r="F165" s="73"/>
      <c r="R165"/>
    </row>
    <row r="166" spans="6:18">
      <c r="F166" s="73"/>
      <c r="R166"/>
    </row>
    <row r="167" spans="6:18">
      <c r="F167" s="73"/>
      <c r="R167"/>
    </row>
    <row r="168" spans="6:18">
      <c r="F168" s="73"/>
      <c r="R168"/>
    </row>
    <row r="169" spans="6:18">
      <c r="F169" s="73"/>
      <c r="R169"/>
    </row>
    <row r="170" spans="6:18">
      <c r="F170" s="73"/>
      <c r="R170"/>
    </row>
    <row r="171" spans="6:18">
      <c r="F171" s="73"/>
      <c r="R171"/>
    </row>
    <row r="172" spans="6:18">
      <c r="F172" s="73"/>
      <c r="R172"/>
    </row>
    <row r="173" spans="6:18">
      <c r="F173" s="73"/>
      <c r="R173"/>
    </row>
    <row r="174" spans="6:18">
      <c r="F174" s="73"/>
      <c r="R174"/>
    </row>
    <row r="175" spans="6:18">
      <c r="F175" s="73"/>
      <c r="R175"/>
    </row>
    <row r="176" spans="6:18">
      <c r="F176" s="73"/>
      <c r="R176"/>
    </row>
    <row r="177" spans="6:18">
      <c r="F177" s="73"/>
      <c r="R177"/>
    </row>
    <row r="178" spans="6:18">
      <c r="F178" s="73"/>
      <c r="R178"/>
    </row>
    <row r="179" spans="6:18">
      <c r="F179" s="73"/>
      <c r="R179"/>
    </row>
    <row r="180" spans="6:18">
      <c r="F180" s="73"/>
      <c r="R180"/>
    </row>
    <row r="181" spans="6:18">
      <c r="F181" s="73"/>
      <c r="R181"/>
    </row>
    <row r="182" spans="6:18">
      <c r="F182" s="73"/>
      <c r="R182"/>
    </row>
    <row r="183" spans="6:18">
      <c r="F183" s="73"/>
      <c r="R183"/>
    </row>
    <row r="184" spans="6:18">
      <c r="F184" s="73"/>
      <c r="R184"/>
    </row>
    <row r="185" spans="6:18">
      <c r="F185" s="73"/>
      <c r="R185"/>
    </row>
    <row r="186" spans="6:18">
      <c r="F186" s="73"/>
      <c r="R186"/>
    </row>
    <row r="187" spans="6:18">
      <c r="F187" s="73"/>
      <c r="R187"/>
    </row>
    <row r="188" spans="6:18">
      <c r="F188" s="73"/>
      <c r="R188"/>
    </row>
    <row r="189" spans="6:18">
      <c r="F189" s="73"/>
      <c r="R189"/>
    </row>
    <row r="190" spans="6:18">
      <c r="F190" s="73"/>
      <c r="R190"/>
    </row>
    <row r="191" spans="6:18">
      <c r="F191" s="73"/>
      <c r="R191"/>
    </row>
    <row r="192" spans="6:18">
      <c r="F192" s="73"/>
      <c r="R192"/>
    </row>
    <row r="193" spans="6:18">
      <c r="F193" s="73"/>
      <c r="R193"/>
    </row>
    <row r="194" spans="6:18">
      <c r="F194" s="73"/>
      <c r="R194"/>
    </row>
    <row r="195" spans="6:18">
      <c r="F195" s="73"/>
      <c r="R195"/>
    </row>
    <row r="196" spans="6:18">
      <c r="F196" s="73"/>
      <c r="R196"/>
    </row>
    <row r="197" spans="6:18">
      <c r="F197" s="73"/>
      <c r="R197"/>
    </row>
    <row r="198" spans="6:18">
      <c r="F198" s="73"/>
      <c r="R198"/>
    </row>
    <row r="199" spans="6:18">
      <c r="F199" s="73"/>
      <c r="R199"/>
    </row>
    <row r="200" spans="6:18">
      <c r="F200" s="73"/>
      <c r="R200"/>
    </row>
    <row r="201" spans="6:18">
      <c r="F201" s="73"/>
      <c r="R201"/>
    </row>
    <row r="202" spans="6:18">
      <c r="F202" s="73"/>
      <c r="R202"/>
    </row>
    <row r="203" spans="6:18">
      <c r="F203" s="73"/>
      <c r="R203"/>
    </row>
    <row r="204" spans="6:18">
      <c r="F204" s="73"/>
      <c r="R204"/>
    </row>
    <row r="205" spans="6:18">
      <c r="F205" s="73"/>
      <c r="R205"/>
    </row>
    <row r="206" spans="6:18">
      <c r="F206" s="73"/>
      <c r="R206"/>
    </row>
    <row r="207" spans="6:18">
      <c r="F207" s="73"/>
      <c r="R207"/>
    </row>
    <row r="208" spans="6:18">
      <c r="F208" s="73"/>
      <c r="R208"/>
    </row>
    <row r="209" spans="6:18">
      <c r="F209" s="73"/>
      <c r="R209"/>
    </row>
    <row r="210" spans="6:18">
      <c r="F210" s="73"/>
      <c r="R210"/>
    </row>
    <row r="211" spans="6:18">
      <c r="F211" s="73"/>
      <c r="R211"/>
    </row>
    <row r="212" spans="6:18">
      <c r="F212" s="73"/>
      <c r="R212"/>
    </row>
    <row r="213" spans="6:18">
      <c r="F213" s="73"/>
      <c r="R213"/>
    </row>
    <row r="214" spans="6:18">
      <c r="F214" s="73"/>
      <c r="R214"/>
    </row>
    <row r="215" spans="6:18">
      <c r="F215" s="73"/>
      <c r="R215"/>
    </row>
    <row r="216" spans="6:18">
      <c r="F216" s="73"/>
      <c r="R216"/>
    </row>
    <row r="217" spans="6:18">
      <c r="F217" s="73"/>
      <c r="R217"/>
    </row>
    <row r="218" spans="6:18">
      <c r="F218" s="73"/>
      <c r="R218"/>
    </row>
    <row r="219" spans="6:18">
      <c r="F219" s="73"/>
      <c r="R219"/>
    </row>
    <row r="220" spans="6:18">
      <c r="F220" s="73"/>
      <c r="R220"/>
    </row>
    <row r="221" spans="6:18">
      <c r="F221" s="73"/>
      <c r="R221"/>
    </row>
    <row r="222" spans="6:18">
      <c r="F222" s="73"/>
      <c r="R222"/>
    </row>
    <row r="223" spans="6:18">
      <c r="F223" s="73"/>
      <c r="R223"/>
    </row>
    <row r="224" spans="6:18">
      <c r="F224" s="73"/>
      <c r="R224"/>
    </row>
    <row r="225" spans="6:18">
      <c r="F225" s="73"/>
      <c r="R225"/>
    </row>
    <row r="226" spans="6:18">
      <c r="F226" s="73"/>
      <c r="R226"/>
    </row>
    <row r="227" spans="6:18">
      <c r="F227" s="73"/>
      <c r="R227"/>
    </row>
    <row r="228" spans="6:18">
      <c r="F228" s="73"/>
      <c r="R228"/>
    </row>
    <row r="229" spans="6:18">
      <c r="F229" s="73"/>
      <c r="R229"/>
    </row>
    <row r="230" spans="6:18">
      <c r="F230" s="73"/>
      <c r="R230"/>
    </row>
    <row r="231" spans="6:18">
      <c r="F231" s="73"/>
      <c r="R231"/>
    </row>
    <row r="232" spans="6:18">
      <c r="F232" s="73"/>
      <c r="R232"/>
    </row>
    <row r="233" spans="6:18">
      <c r="F233" s="73"/>
      <c r="R233"/>
    </row>
    <row r="234" spans="6:18">
      <c r="F234" s="73"/>
      <c r="R234"/>
    </row>
    <row r="235" spans="6:18">
      <c r="F235" s="73"/>
      <c r="R235"/>
    </row>
    <row r="236" spans="6:18">
      <c r="F236" s="73"/>
      <c r="R236"/>
    </row>
    <row r="237" spans="6:18">
      <c r="F237" s="73"/>
      <c r="R237"/>
    </row>
    <row r="238" spans="6:18">
      <c r="F238" s="73"/>
      <c r="R238"/>
    </row>
    <row r="239" spans="6:18">
      <c r="F239" s="73"/>
      <c r="R239"/>
    </row>
    <row r="240" spans="6:18">
      <c r="F240" s="73"/>
      <c r="R240"/>
    </row>
    <row r="241" spans="6:18">
      <c r="F241" s="73"/>
      <c r="R241"/>
    </row>
    <row r="242" spans="6:18">
      <c r="F242" s="73"/>
      <c r="R242"/>
    </row>
    <row r="243" spans="6:18">
      <c r="F243" s="73"/>
      <c r="R243"/>
    </row>
    <row r="244" spans="6:18">
      <c r="F244" s="73"/>
      <c r="R244"/>
    </row>
    <row r="245" spans="6:18">
      <c r="F245" s="73"/>
      <c r="R245"/>
    </row>
    <row r="246" spans="6:18">
      <c r="F246" s="73"/>
      <c r="R246"/>
    </row>
    <row r="247" spans="6:18">
      <c r="F247" s="73"/>
      <c r="R247"/>
    </row>
    <row r="248" spans="6:18">
      <c r="F248" s="73"/>
      <c r="R248"/>
    </row>
    <row r="249" spans="6:18">
      <c r="F249" s="73"/>
      <c r="R249"/>
    </row>
    <row r="250" spans="6:18">
      <c r="F250" s="73"/>
      <c r="R250"/>
    </row>
    <row r="251" spans="6:18">
      <c r="F251" s="73"/>
      <c r="R251"/>
    </row>
    <row r="252" spans="6:18">
      <c r="F252" s="73"/>
      <c r="R252"/>
    </row>
    <row r="253" spans="6:18">
      <c r="F253" s="73"/>
      <c r="R253"/>
    </row>
    <row r="254" spans="6:18">
      <c r="F254" s="73"/>
      <c r="R254"/>
    </row>
    <row r="255" spans="6:18">
      <c r="F255" s="73"/>
      <c r="R255"/>
    </row>
    <row r="256" spans="6:18">
      <c r="F256" s="73"/>
      <c r="R256"/>
    </row>
    <row r="257" spans="6:18">
      <c r="F257" s="73"/>
      <c r="R257"/>
    </row>
    <row r="258" spans="6:18">
      <c r="F258" s="73"/>
      <c r="R258"/>
    </row>
    <row r="259" spans="6:18">
      <c r="F259" s="73"/>
      <c r="R259"/>
    </row>
    <row r="260" spans="6:18">
      <c r="F260" s="73"/>
      <c r="R260"/>
    </row>
    <row r="261" spans="6:18">
      <c r="F261" s="73"/>
      <c r="R261"/>
    </row>
    <row r="262" spans="6:18">
      <c r="F262" s="73"/>
      <c r="R262"/>
    </row>
    <row r="263" spans="6:18">
      <c r="F263" s="73"/>
      <c r="R263"/>
    </row>
    <row r="264" spans="6:18">
      <c r="F264" s="73"/>
      <c r="R264"/>
    </row>
    <row r="265" spans="6:18">
      <c r="F265" s="73"/>
      <c r="R265"/>
    </row>
    <row r="266" spans="6:18">
      <c r="F266" s="73"/>
      <c r="R266"/>
    </row>
    <row r="267" spans="6:18">
      <c r="F267" s="73"/>
      <c r="R267"/>
    </row>
    <row r="268" spans="6:18">
      <c r="F268" s="73"/>
      <c r="R268"/>
    </row>
    <row r="269" spans="6:18">
      <c r="F269" s="73"/>
      <c r="R269"/>
    </row>
    <row r="270" spans="6:18">
      <c r="F270" s="73"/>
      <c r="R270"/>
    </row>
    <row r="271" spans="6:18">
      <c r="F271" s="73"/>
      <c r="R271"/>
    </row>
    <row r="272" spans="6:18">
      <c r="F272" s="73"/>
      <c r="R272"/>
    </row>
    <row r="273" spans="6:18">
      <c r="F273" s="73"/>
      <c r="R273"/>
    </row>
    <row r="274" spans="6:18">
      <c r="F274" s="73"/>
      <c r="R274"/>
    </row>
    <row r="275" spans="6:18">
      <c r="F275" s="73"/>
      <c r="R275"/>
    </row>
    <row r="276" spans="6:18">
      <c r="F276" s="73"/>
      <c r="R276"/>
    </row>
    <row r="277" spans="6:18">
      <c r="F277" s="73"/>
      <c r="R277"/>
    </row>
    <row r="278" spans="6:18">
      <c r="F278" s="73"/>
      <c r="R278"/>
    </row>
    <row r="279" spans="6:18">
      <c r="F279" s="73"/>
      <c r="R279"/>
    </row>
    <row r="280" spans="6:18">
      <c r="F280" s="73"/>
      <c r="R280"/>
    </row>
    <row r="281" spans="6:18">
      <c r="F281" s="73"/>
      <c r="R281"/>
    </row>
    <row r="282" spans="6:18">
      <c r="F282" s="73"/>
      <c r="R282"/>
    </row>
    <row r="283" spans="6:18">
      <c r="F283" s="73"/>
      <c r="R283"/>
    </row>
    <row r="284" spans="6:18">
      <c r="F284" s="73"/>
      <c r="R284"/>
    </row>
    <row r="285" spans="6:18">
      <c r="F285" s="73"/>
      <c r="R285"/>
    </row>
    <row r="286" spans="6:18">
      <c r="F286" s="73"/>
      <c r="R286"/>
    </row>
    <row r="287" spans="6:18">
      <c r="F287" s="73"/>
      <c r="R287"/>
    </row>
    <row r="288" spans="6:18">
      <c r="F288" s="73"/>
      <c r="R288"/>
    </row>
    <row r="289" spans="6:18">
      <c r="F289" s="73"/>
      <c r="R289"/>
    </row>
    <row r="290" spans="6:18">
      <c r="F290" s="73"/>
      <c r="R290"/>
    </row>
    <row r="291" spans="6:18">
      <c r="F291" s="73"/>
      <c r="R291"/>
    </row>
    <row r="292" spans="6:18">
      <c r="F292" s="73"/>
      <c r="R292"/>
    </row>
    <row r="293" spans="6:18">
      <c r="F293" s="73"/>
      <c r="R293"/>
    </row>
    <row r="294" spans="6:18">
      <c r="F294" s="73"/>
      <c r="R294"/>
    </row>
    <row r="295" spans="6:18">
      <c r="F295" s="73"/>
      <c r="R295"/>
    </row>
    <row r="296" spans="6:18">
      <c r="F296" s="73"/>
      <c r="R296"/>
    </row>
    <row r="297" spans="6:18">
      <c r="F297" s="73"/>
      <c r="R297"/>
    </row>
    <row r="298" spans="6:18">
      <c r="F298" s="73"/>
      <c r="R298"/>
    </row>
    <row r="299" spans="6:18">
      <c r="F299" s="73"/>
      <c r="R299"/>
    </row>
    <row r="300" spans="6:18">
      <c r="F300" s="73"/>
      <c r="R300"/>
    </row>
    <row r="301" spans="6:18">
      <c r="F301" s="73"/>
      <c r="R301"/>
    </row>
    <row r="302" spans="6:18">
      <c r="F302" s="73"/>
      <c r="R302"/>
    </row>
    <row r="303" spans="6:18">
      <c r="F303" s="73"/>
      <c r="R303"/>
    </row>
    <row r="304" spans="6:18">
      <c r="F304" s="73"/>
      <c r="R304"/>
    </row>
    <row r="305" spans="6:18">
      <c r="F305" s="73"/>
      <c r="R305"/>
    </row>
    <row r="306" spans="6:18">
      <c r="F306" s="73"/>
      <c r="R306"/>
    </row>
    <row r="307" spans="6:18">
      <c r="F307" s="73"/>
      <c r="R307"/>
    </row>
    <row r="308" spans="6:18">
      <c r="F308" s="73"/>
      <c r="R308"/>
    </row>
    <row r="309" spans="6:18">
      <c r="F309" s="73"/>
      <c r="R309"/>
    </row>
    <row r="310" spans="6:18">
      <c r="F310" s="73"/>
      <c r="R310"/>
    </row>
    <row r="311" spans="6:18">
      <c r="F311" s="73"/>
      <c r="R311"/>
    </row>
    <row r="312" spans="6:18">
      <c r="F312" s="73"/>
      <c r="R312"/>
    </row>
    <row r="313" spans="6:18">
      <c r="F313" s="73"/>
      <c r="R313"/>
    </row>
    <row r="314" spans="6:18">
      <c r="F314" s="73"/>
      <c r="R314"/>
    </row>
    <row r="315" spans="6:18">
      <c r="F315" s="73"/>
      <c r="R315"/>
    </row>
    <row r="316" spans="6:18">
      <c r="F316" s="73"/>
      <c r="R316"/>
    </row>
    <row r="317" spans="6:18">
      <c r="F317" s="73"/>
      <c r="R317"/>
    </row>
    <row r="318" spans="6:18">
      <c r="F318" s="73"/>
      <c r="R318"/>
    </row>
    <row r="319" spans="6:18">
      <c r="F319" s="73"/>
      <c r="R319"/>
    </row>
    <row r="320" spans="6:18">
      <c r="F320" s="73"/>
      <c r="R320"/>
    </row>
    <row r="321" spans="6:18">
      <c r="F321" s="73"/>
      <c r="R321"/>
    </row>
    <row r="322" spans="6:18">
      <c r="F322" s="73"/>
      <c r="R322"/>
    </row>
    <row r="323" spans="6:18">
      <c r="F323" s="73"/>
      <c r="R323"/>
    </row>
    <row r="324" spans="6:18">
      <c r="F324" s="73"/>
      <c r="R324"/>
    </row>
    <row r="325" spans="6:18">
      <c r="F325" s="73"/>
      <c r="R325"/>
    </row>
    <row r="326" spans="6:18">
      <c r="F326" s="73"/>
      <c r="R326"/>
    </row>
    <row r="327" spans="6:18">
      <c r="F327" s="73"/>
      <c r="R327"/>
    </row>
    <row r="328" spans="6:18">
      <c r="F328" s="73"/>
      <c r="R328"/>
    </row>
    <row r="329" spans="6:18">
      <c r="F329" s="73"/>
      <c r="R329"/>
    </row>
    <row r="330" spans="6:18">
      <c r="F330" s="73"/>
      <c r="R330"/>
    </row>
    <row r="331" spans="6:18">
      <c r="F331" s="73"/>
      <c r="R331"/>
    </row>
    <row r="332" spans="6:18">
      <c r="F332" s="73"/>
      <c r="R332"/>
    </row>
    <row r="333" spans="6:18">
      <c r="F333" s="73"/>
      <c r="R333"/>
    </row>
    <row r="334" spans="6:18">
      <c r="F334" s="73"/>
      <c r="R334"/>
    </row>
    <row r="335" spans="6:18">
      <c r="F335" s="73"/>
      <c r="R335"/>
    </row>
    <row r="336" spans="6:18">
      <c r="F336" s="73"/>
      <c r="R336"/>
    </row>
    <row r="337" spans="6:18">
      <c r="F337" s="73"/>
      <c r="R337"/>
    </row>
    <row r="338" spans="6:18">
      <c r="F338" s="73"/>
      <c r="R338"/>
    </row>
    <row r="339" spans="6:18">
      <c r="F339" s="73"/>
      <c r="R339"/>
    </row>
    <row r="340" spans="6:18">
      <c r="F340" s="73"/>
      <c r="R340"/>
    </row>
    <row r="341" spans="6:18">
      <c r="F341" s="73"/>
      <c r="R341"/>
    </row>
    <row r="342" spans="6:18">
      <c r="F342" s="73"/>
      <c r="R342"/>
    </row>
    <row r="343" spans="6:18">
      <c r="F343" s="73"/>
      <c r="R343"/>
    </row>
    <row r="344" spans="6:18">
      <c r="F344" s="73"/>
      <c r="R344"/>
    </row>
    <row r="345" spans="6:18">
      <c r="F345" s="73"/>
      <c r="R345"/>
    </row>
    <row r="346" spans="6:18">
      <c r="F346" s="73"/>
      <c r="R346"/>
    </row>
    <row r="347" spans="6:18">
      <c r="F347" s="73"/>
      <c r="R347"/>
    </row>
    <row r="348" spans="6:18">
      <c r="F348" s="73"/>
      <c r="R348"/>
    </row>
    <row r="349" spans="6:18">
      <c r="F349" s="73"/>
      <c r="R349"/>
    </row>
    <row r="350" spans="6:18">
      <c r="F350" s="73"/>
      <c r="R350"/>
    </row>
    <row r="351" spans="6:18">
      <c r="F351" s="73"/>
      <c r="R351"/>
    </row>
    <row r="352" spans="6:18">
      <c r="F352" s="73"/>
      <c r="R352"/>
    </row>
    <row r="353" spans="6:18">
      <c r="F353" s="73"/>
      <c r="R353"/>
    </row>
    <row r="354" spans="6:18">
      <c r="F354" s="73"/>
      <c r="R354"/>
    </row>
    <row r="355" spans="6:18">
      <c r="F355" s="73"/>
      <c r="R355"/>
    </row>
    <row r="356" spans="6:18">
      <c r="F356" s="73"/>
      <c r="R356"/>
    </row>
    <row r="357" spans="6:18">
      <c r="F357" s="73"/>
      <c r="R357"/>
    </row>
    <row r="358" spans="6:18">
      <c r="F358" s="73"/>
      <c r="R358"/>
    </row>
    <row r="359" spans="6:18">
      <c r="F359" s="73"/>
      <c r="R359"/>
    </row>
    <row r="360" spans="6:18">
      <c r="F360" s="73"/>
      <c r="R360"/>
    </row>
    <row r="361" spans="6:18">
      <c r="F361" s="73"/>
      <c r="R361"/>
    </row>
    <row r="362" spans="6:18">
      <c r="F362" s="73"/>
      <c r="R362"/>
    </row>
    <row r="363" spans="6:18">
      <c r="F363" s="73"/>
      <c r="R363"/>
    </row>
    <row r="364" spans="6:18">
      <c r="F364" s="73"/>
      <c r="R364"/>
    </row>
    <row r="365" spans="6:18">
      <c r="F365" s="73"/>
      <c r="R365"/>
    </row>
    <row r="366" spans="6:18">
      <c r="F366" s="73"/>
      <c r="R366"/>
    </row>
    <row r="367" spans="6:18">
      <c r="F367" s="73"/>
      <c r="R367"/>
    </row>
    <row r="368" spans="6:18">
      <c r="F368" s="73"/>
      <c r="R368"/>
    </row>
    <row r="369" spans="6:18">
      <c r="F369" s="73"/>
      <c r="R369"/>
    </row>
    <row r="370" spans="6:18">
      <c r="F370" s="73"/>
      <c r="R370"/>
    </row>
    <row r="371" spans="6:18">
      <c r="F371" s="73"/>
      <c r="R371"/>
    </row>
    <row r="372" spans="6:18">
      <c r="F372" s="73"/>
      <c r="R372"/>
    </row>
    <row r="373" spans="6:18">
      <c r="F373" s="73"/>
      <c r="R373"/>
    </row>
    <row r="374" spans="6:18">
      <c r="F374" s="73"/>
      <c r="R374"/>
    </row>
    <row r="375" spans="6:18">
      <c r="F375" s="73"/>
      <c r="R375"/>
    </row>
    <row r="376" spans="6:18">
      <c r="F376" s="73"/>
      <c r="R376"/>
    </row>
    <row r="377" spans="6:18">
      <c r="F377" s="73"/>
      <c r="R377"/>
    </row>
    <row r="378" spans="6:18">
      <c r="F378" s="73"/>
      <c r="R378"/>
    </row>
    <row r="379" spans="6:18">
      <c r="F379" s="73"/>
      <c r="R379"/>
    </row>
    <row r="380" spans="6:18">
      <c r="F380" s="73"/>
      <c r="R380"/>
    </row>
    <row r="381" spans="6:18">
      <c r="F381" s="73"/>
      <c r="R381"/>
    </row>
    <row r="382" spans="6:18">
      <c r="F382" s="73"/>
      <c r="R382"/>
    </row>
    <row r="383" spans="6:18">
      <c r="F383" s="73"/>
      <c r="R383"/>
    </row>
    <row r="384" spans="6:18">
      <c r="F384" s="73"/>
      <c r="R384"/>
    </row>
    <row r="385" spans="6:18">
      <c r="F385" s="73"/>
      <c r="R385"/>
    </row>
    <row r="386" spans="6:18">
      <c r="F386" s="73"/>
      <c r="R386"/>
    </row>
    <row r="387" spans="6:18">
      <c r="F387" s="73"/>
      <c r="R387"/>
    </row>
    <row r="388" spans="6:18">
      <c r="F388" s="73"/>
      <c r="R388"/>
    </row>
    <row r="389" spans="6:18">
      <c r="F389" s="73"/>
      <c r="R389"/>
    </row>
    <row r="390" spans="6:18">
      <c r="F390" s="73"/>
      <c r="R390"/>
    </row>
    <row r="391" spans="6:18">
      <c r="F391" s="73"/>
      <c r="R391"/>
    </row>
    <row r="392" spans="6:18">
      <c r="F392" s="73"/>
      <c r="R392"/>
    </row>
    <row r="393" spans="6:18">
      <c r="F393" s="73"/>
      <c r="R393"/>
    </row>
    <row r="394" spans="6:18">
      <c r="F394" s="73"/>
      <c r="R394"/>
    </row>
    <row r="395" spans="6:18">
      <c r="F395" s="73"/>
      <c r="R395"/>
    </row>
    <row r="396" spans="6:18">
      <c r="F396" s="73"/>
      <c r="R396"/>
    </row>
    <row r="397" spans="6:18">
      <c r="F397" s="73"/>
      <c r="R397"/>
    </row>
    <row r="398" spans="6:18">
      <c r="F398" s="73"/>
      <c r="R398"/>
    </row>
    <row r="399" spans="6:18">
      <c r="F399" s="73"/>
      <c r="R399"/>
    </row>
    <row r="400" spans="6:18">
      <c r="F400" s="73"/>
      <c r="R400"/>
    </row>
    <row r="401" spans="6:18">
      <c r="F401" s="73"/>
      <c r="R401"/>
    </row>
    <row r="402" spans="6:18">
      <c r="F402" s="73"/>
      <c r="R402"/>
    </row>
    <row r="403" spans="6:18">
      <c r="F403" s="73"/>
      <c r="R403"/>
    </row>
    <row r="404" spans="6:18">
      <c r="F404" s="73"/>
      <c r="R404"/>
    </row>
    <row r="405" spans="6:18">
      <c r="F405" s="73"/>
      <c r="R405"/>
    </row>
    <row r="406" spans="6:18">
      <c r="F406" s="73"/>
      <c r="R406"/>
    </row>
    <row r="407" spans="6:18">
      <c r="F407" s="73"/>
      <c r="R407"/>
    </row>
    <row r="408" spans="6:18">
      <c r="F408" s="73"/>
      <c r="R408"/>
    </row>
    <row r="409" spans="6:18">
      <c r="F409" s="73"/>
      <c r="R409"/>
    </row>
    <row r="410" spans="6:18">
      <c r="F410" s="73"/>
      <c r="R410"/>
    </row>
    <row r="411" spans="6:18">
      <c r="F411" s="73"/>
      <c r="R411"/>
    </row>
    <row r="412" spans="6:18">
      <c r="F412" s="73"/>
      <c r="R412"/>
    </row>
    <row r="413" spans="6:18">
      <c r="F413" s="73"/>
      <c r="R413"/>
    </row>
    <row r="414" spans="6:18">
      <c r="F414" s="73"/>
      <c r="R414"/>
    </row>
    <row r="415" spans="6:18">
      <c r="F415" s="73"/>
      <c r="R415"/>
    </row>
    <row r="416" spans="6:18">
      <c r="F416" s="73"/>
      <c r="R416"/>
    </row>
    <row r="417" spans="6:18">
      <c r="F417" s="73"/>
      <c r="R417"/>
    </row>
    <row r="418" spans="6:18">
      <c r="F418" s="73"/>
      <c r="R418"/>
    </row>
    <row r="419" spans="6:18">
      <c r="F419" s="73"/>
      <c r="R419"/>
    </row>
    <row r="420" spans="6:18">
      <c r="F420" s="73"/>
      <c r="R420"/>
    </row>
    <row r="421" spans="6:18">
      <c r="F421" s="73"/>
      <c r="R421"/>
    </row>
    <row r="422" spans="6:18">
      <c r="F422" s="73"/>
      <c r="R422"/>
    </row>
    <row r="423" spans="6:18">
      <c r="F423" s="73"/>
      <c r="R423"/>
    </row>
    <row r="424" spans="6:18">
      <c r="F424" s="73"/>
      <c r="R424"/>
    </row>
    <row r="425" spans="6:18">
      <c r="F425" s="73"/>
      <c r="R425"/>
    </row>
    <row r="426" spans="6:18">
      <c r="F426" s="73"/>
      <c r="R426"/>
    </row>
    <row r="427" spans="6:18">
      <c r="F427" s="73"/>
      <c r="R427"/>
    </row>
    <row r="428" spans="6:18">
      <c r="F428" s="73"/>
      <c r="R428"/>
    </row>
    <row r="429" spans="6:18">
      <c r="F429" s="73"/>
      <c r="R429"/>
    </row>
    <row r="430" spans="6:18">
      <c r="F430" s="73"/>
      <c r="R430"/>
    </row>
    <row r="431" spans="6:18">
      <c r="F431" s="73"/>
      <c r="R431"/>
    </row>
    <row r="432" spans="6:18">
      <c r="F432" s="73"/>
      <c r="R432"/>
    </row>
    <row r="433" spans="6:18">
      <c r="F433" s="73"/>
      <c r="R433"/>
    </row>
    <row r="434" spans="6:18">
      <c r="F434" s="73"/>
      <c r="R434"/>
    </row>
    <row r="435" spans="6:18">
      <c r="F435" s="73"/>
      <c r="R435"/>
    </row>
    <row r="436" spans="6:18">
      <c r="F436" s="73"/>
      <c r="R436"/>
    </row>
    <row r="437" spans="6:18">
      <c r="F437" s="73"/>
      <c r="R437"/>
    </row>
    <row r="438" spans="6:18">
      <c r="F438" s="73"/>
      <c r="R438"/>
    </row>
    <row r="439" spans="6:18">
      <c r="F439" s="73"/>
      <c r="R439"/>
    </row>
    <row r="440" spans="6:18">
      <c r="F440" s="73"/>
      <c r="R440"/>
    </row>
    <row r="441" spans="6:18">
      <c r="F441" s="73"/>
      <c r="R441"/>
    </row>
    <row r="442" spans="6:18">
      <c r="F442" s="73"/>
      <c r="R442"/>
    </row>
    <row r="443" spans="6:18">
      <c r="F443" s="73"/>
      <c r="R443"/>
    </row>
    <row r="444" spans="6:18">
      <c r="F444" s="73"/>
      <c r="R444"/>
    </row>
    <row r="445" spans="6:18">
      <c r="F445" s="73"/>
      <c r="R445"/>
    </row>
    <row r="446" spans="6:18">
      <c r="F446" s="73"/>
      <c r="R446"/>
    </row>
    <row r="447" spans="6:18">
      <c r="F447" s="73"/>
      <c r="R447"/>
    </row>
    <row r="448" spans="6:18">
      <c r="F448" s="73"/>
      <c r="R448"/>
    </row>
    <row r="449" spans="6:18">
      <c r="F449" s="73"/>
      <c r="R449"/>
    </row>
    <row r="450" spans="6:18">
      <c r="F450" s="73"/>
      <c r="R450"/>
    </row>
    <row r="451" spans="6:18">
      <c r="F451" s="73"/>
      <c r="R451"/>
    </row>
    <row r="452" spans="6:18">
      <c r="F452" s="73"/>
      <c r="R452"/>
    </row>
    <row r="453" spans="6:18">
      <c r="F453" s="73"/>
      <c r="R453"/>
    </row>
    <row r="454" spans="6:18">
      <c r="F454" s="73"/>
      <c r="R454"/>
    </row>
    <row r="455" spans="6:18">
      <c r="F455" s="73"/>
      <c r="R455"/>
    </row>
    <row r="456" spans="6:18">
      <c r="F456" s="73"/>
      <c r="R456"/>
    </row>
    <row r="457" spans="6:18">
      <c r="F457" s="73"/>
      <c r="R457"/>
    </row>
    <row r="458" spans="6:18">
      <c r="F458" s="73"/>
      <c r="R458"/>
    </row>
    <row r="459" spans="6:18">
      <c r="F459" s="73"/>
      <c r="R459"/>
    </row>
    <row r="460" spans="6:18">
      <c r="F460" s="73"/>
      <c r="R460"/>
    </row>
    <row r="461" spans="6:18">
      <c r="F461" s="73"/>
      <c r="R461"/>
    </row>
    <row r="462" spans="6:18">
      <c r="F462" s="73"/>
      <c r="R462"/>
    </row>
    <row r="463" spans="6:18">
      <c r="F463" s="73"/>
      <c r="R463"/>
    </row>
    <row r="464" spans="6:18">
      <c r="F464" s="73"/>
      <c r="R464"/>
    </row>
    <row r="465" spans="6:18">
      <c r="F465" s="73"/>
      <c r="R465"/>
    </row>
    <row r="466" spans="6:18">
      <c r="F466" s="73"/>
      <c r="R466"/>
    </row>
    <row r="467" spans="6:18">
      <c r="F467" s="73"/>
      <c r="R467"/>
    </row>
    <row r="468" spans="6:18">
      <c r="F468" s="73"/>
      <c r="R468"/>
    </row>
    <row r="469" spans="6:18">
      <c r="F469" s="73"/>
      <c r="R469"/>
    </row>
    <row r="470" spans="6:18">
      <c r="F470" s="73"/>
      <c r="R470"/>
    </row>
    <row r="471" spans="6:18">
      <c r="F471" s="73"/>
      <c r="R471"/>
    </row>
    <row r="472" spans="6:18">
      <c r="F472" s="73"/>
      <c r="R472"/>
    </row>
    <row r="473" spans="6:18">
      <c r="F473" s="73"/>
      <c r="R473"/>
    </row>
    <row r="474" spans="6:18">
      <c r="F474" s="73"/>
      <c r="R474"/>
    </row>
    <row r="475" spans="6:18">
      <c r="F475" s="73"/>
      <c r="R475"/>
    </row>
    <row r="476" spans="6:18">
      <c r="F476" s="73"/>
      <c r="R476"/>
    </row>
    <row r="477" spans="6:18">
      <c r="F477" s="73"/>
      <c r="R477"/>
    </row>
    <row r="478" spans="6:18">
      <c r="F478" s="73"/>
      <c r="R478"/>
    </row>
    <row r="479" spans="6:18">
      <c r="F479" s="73"/>
      <c r="R479"/>
    </row>
    <row r="480" spans="6:18">
      <c r="F480" s="73"/>
      <c r="R480"/>
    </row>
    <row r="481" spans="6:18">
      <c r="F481" s="73"/>
      <c r="R481"/>
    </row>
    <row r="482" spans="6:18">
      <c r="F482" s="73"/>
      <c r="R482"/>
    </row>
    <row r="483" spans="6:18">
      <c r="F483" s="73"/>
      <c r="R483"/>
    </row>
    <row r="484" spans="6:18">
      <c r="F484" s="73"/>
      <c r="R484"/>
    </row>
    <row r="485" spans="6:18">
      <c r="F485" s="73"/>
      <c r="R485"/>
    </row>
    <row r="486" spans="6:18">
      <c r="F486" s="73"/>
      <c r="R486"/>
    </row>
    <row r="487" spans="6:18">
      <c r="F487" s="73"/>
      <c r="R487"/>
    </row>
    <row r="488" spans="6:18">
      <c r="F488" s="73"/>
      <c r="R488"/>
    </row>
    <row r="489" spans="6:18">
      <c r="F489" s="73"/>
      <c r="R489"/>
    </row>
    <row r="490" spans="6:18">
      <c r="F490" s="73"/>
      <c r="R490"/>
    </row>
    <row r="491" spans="6:18">
      <c r="F491" s="73"/>
      <c r="R491"/>
    </row>
    <row r="492" spans="6:18">
      <c r="F492" s="73"/>
      <c r="R492"/>
    </row>
    <row r="493" spans="6:18">
      <c r="F493" s="73"/>
      <c r="R493"/>
    </row>
    <row r="494" spans="6:18">
      <c r="F494" s="73"/>
      <c r="R494"/>
    </row>
    <row r="495" spans="6:18">
      <c r="F495" s="73"/>
      <c r="R495"/>
    </row>
    <row r="496" spans="6:18">
      <c r="F496" s="73"/>
      <c r="R496"/>
    </row>
    <row r="497" spans="6:18">
      <c r="F497" s="73"/>
      <c r="R497"/>
    </row>
    <row r="498" spans="6:18">
      <c r="F498" s="73"/>
      <c r="R498"/>
    </row>
    <row r="499" spans="6:18">
      <c r="F499" s="73"/>
      <c r="R499"/>
    </row>
    <row r="500" spans="6:18">
      <c r="F500" s="73"/>
      <c r="R500"/>
    </row>
    <row r="501" spans="6:18">
      <c r="F501" s="73"/>
      <c r="R501"/>
    </row>
    <row r="502" spans="6:18">
      <c r="F502" s="73"/>
      <c r="R502"/>
    </row>
    <row r="503" spans="6:18">
      <c r="F503" s="73"/>
      <c r="R503"/>
    </row>
    <row r="504" spans="6:18">
      <c r="F504" s="73"/>
      <c r="R504"/>
    </row>
    <row r="505" spans="6:18">
      <c r="F505" s="73"/>
      <c r="R505"/>
    </row>
    <row r="506" spans="6:18">
      <c r="F506" s="73"/>
      <c r="R506"/>
    </row>
    <row r="507" spans="6:18">
      <c r="F507" s="73"/>
      <c r="R507"/>
    </row>
    <row r="508" spans="6:18">
      <c r="F508" s="73"/>
      <c r="R508"/>
    </row>
    <row r="509" spans="6:18">
      <c r="F509" s="73"/>
      <c r="R509"/>
    </row>
    <row r="510" spans="6:18">
      <c r="F510" s="73"/>
      <c r="R510"/>
    </row>
    <row r="511" spans="6:18">
      <c r="F511" s="73"/>
      <c r="R511"/>
    </row>
    <row r="512" spans="6:18">
      <c r="F512" s="73"/>
      <c r="R512"/>
    </row>
    <row r="513" spans="6:18">
      <c r="F513" s="73"/>
      <c r="R513"/>
    </row>
    <row r="514" spans="6:18">
      <c r="F514" s="73"/>
      <c r="R514"/>
    </row>
    <row r="515" spans="6:18">
      <c r="F515" s="73"/>
      <c r="R515"/>
    </row>
    <row r="516" spans="6:18">
      <c r="F516" s="73"/>
      <c r="R516"/>
    </row>
    <row r="517" spans="6:18">
      <c r="F517" s="73"/>
      <c r="R517"/>
    </row>
    <row r="518" spans="6:18">
      <c r="F518" s="73"/>
      <c r="R518"/>
    </row>
    <row r="519" spans="6:18">
      <c r="F519" s="73"/>
      <c r="R519"/>
    </row>
    <row r="520" spans="6:18">
      <c r="F520" s="73"/>
      <c r="R520"/>
    </row>
    <row r="521" spans="6:18">
      <c r="F521" s="73"/>
      <c r="R521"/>
    </row>
    <row r="522" spans="6:18">
      <c r="F522" s="73"/>
      <c r="R522"/>
    </row>
    <row r="523" spans="6:18">
      <c r="F523" s="73"/>
      <c r="R523"/>
    </row>
    <row r="524" spans="6:18">
      <c r="F524" s="73"/>
      <c r="R524"/>
    </row>
    <row r="525" spans="6:18">
      <c r="F525" s="73"/>
      <c r="R525"/>
    </row>
    <row r="526" spans="6:18">
      <c r="F526" s="73"/>
      <c r="R526"/>
    </row>
    <row r="527" spans="6:18">
      <c r="F527" s="73"/>
      <c r="R527"/>
    </row>
    <row r="528" spans="6:18">
      <c r="F528" s="73"/>
      <c r="R528"/>
    </row>
    <row r="529" spans="6:18">
      <c r="F529" s="73"/>
      <c r="R529"/>
    </row>
    <row r="530" spans="6:18">
      <c r="F530" s="73"/>
      <c r="R530"/>
    </row>
    <row r="531" spans="6:18">
      <c r="F531" s="73"/>
      <c r="R531"/>
    </row>
    <row r="532" spans="6:18">
      <c r="F532" s="73"/>
      <c r="R532"/>
    </row>
    <row r="533" spans="6:18">
      <c r="F533" s="73"/>
      <c r="R533"/>
    </row>
    <row r="534" spans="6:18">
      <c r="F534" s="73"/>
      <c r="R534"/>
    </row>
    <row r="535" spans="6:18">
      <c r="F535" s="73"/>
      <c r="R535"/>
    </row>
    <row r="536" spans="6:18">
      <c r="F536" s="73"/>
      <c r="R536"/>
    </row>
    <row r="537" spans="6:18">
      <c r="F537" s="73"/>
      <c r="R537"/>
    </row>
    <row r="538" spans="6:18">
      <c r="F538" s="73"/>
      <c r="R538"/>
    </row>
    <row r="539" spans="6:18">
      <c r="F539" s="73"/>
      <c r="R539"/>
    </row>
    <row r="540" spans="6:18">
      <c r="F540" s="73"/>
      <c r="R540"/>
    </row>
    <row r="541" spans="6:18">
      <c r="F541" s="73"/>
      <c r="R541"/>
    </row>
    <row r="542" spans="6:18">
      <c r="F542" s="73"/>
      <c r="R542"/>
    </row>
    <row r="543" spans="6:18">
      <c r="F543" s="73"/>
      <c r="R543"/>
    </row>
    <row r="544" spans="6:18">
      <c r="F544" s="73"/>
      <c r="R544"/>
    </row>
    <row r="545" spans="6:18">
      <c r="F545" s="73"/>
      <c r="R545"/>
    </row>
    <row r="546" spans="6:18">
      <c r="F546" s="73"/>
      <c r="R546"/>
    </row>
    <row r="547" spans="6:18">
      <c r="F547" s="73"/>
      <c r="R547"/>
    </row>
    <row r="548" spans="6:18">
      <c r="F548" s="73"/>
      <c r="R548"/>
    </row>
    <row r="549" spans="6:18">
      <c r="F549" s="73"/>
      <c r="R549"/>
    </row>
    <row r="550" spans="6:18">
      <c r="F550" s="73"/>
      <c r="R550"/>
    </row>
    <row r="551" spans="6:18">
      <c r="F551" s="73"/>
      <c r="R551"/>
    </row>
    <row r="552" spans="6:18">
      <c r="F552" s="73"/>
      <c r="R552"/>
    </row>
    <row r="553" spans="6:18">
      <c r="F553" s="73"/>
      <c r="R553"/>
    </row>
    <row r="554" spans="6:18">
      <c r="F554" s="73"/>
      <c r="R554"/>
    </row>
    <row r="555" spans="6:18">
      <c r="F555" s="73"/>
      <c r="R555"/>
    </row>
    <row r="556" spans="6:18">
      <c r="F556" s="73"/>
      <c r="R556"/>
    </row>
    <row r="557" spans="6:18">
      <c r="F557" s="73"/>
      <c r="R557"/>
    </row>
    <row r="558" spans="6:18">
      <c r="F558" s="73"/>
      <c r="R558"/>
    </row>
    <row r="559" spans="6:18">
      <c r="F559" s="73"/>
      <c r="R559"/>
    </row>
    <row r="560" spans="6:18">
      <c r="F560" s="73"/>
      <c r="R560"/>
    </row>
    <row r="561" spans="6:18">
      <c r="F561" s="73"/>
      <c r="R561"/>
    </row>
    <row r="562" spans="6:18">
      <c r="F562" s="73"/>
      <c r="R562"/>
    </row>
    <row r="563" spans="6:18">
      <c r="F563" s="73"/>
      <c r="R563"/>
    </row>
    <row r="564" spans="6:18">
      <c r="F564" s="73"/>
      <c r="R564"/>
    </row>
    <row r="565" spans="6:18">
      <c r="F565" s="73"/>
      <c r="R565"/>
    </row>
    <row r="566" spans="6:18">
      <c r="F566" s="73"/>
      <c r="R566"/>
    </row>
    <row r="567" spans="6:18">
      <c r="F567" s="73"/>
      <c r="R567"/>
    </row>
    <row r="568" spans="6:18">
      <c r="F568" s="73"/>
      <c r="R568"/>
    </row>
    <row r="569" spans="6:18">
      <c r="F569" s="73"/>
      <c r="R569"/>
    </row>
    <row r="570" spans="6:18">
      <c r="F570" s="73"/>
      <c r="R570"/>
    </row>
    <row r="571" spans="6:18">
      <c r="F571" s="73"/>
      <c r="R571"/>
    </row>
    <row r="572" spans="6:18">
      <c r="F572" s="73"/>
      <c r="R572"/>
    </row>
    <row r="573" spans="6:18">
      <c r="F573" s="73"/>
      <c r="R573"/>
    </row>
    <row r="574" spans="6:18">
      <c r="F574" s="73"/>
      <c r="R574"/>
    </row>
    <row r="575" spans="6:18">
      <c r="F575" s="73"/>
      <c r="R575"/>
    </row>
    <row r="576" spans="6:18">
      <c r="F576" s="73"/>
      <c r="R576"/>
    </row>
    <row r="577" spans="6:18">
      <c r="F577" s="73"/>
      <c r="R577"/>
    </row>
    <row r="578" spans="6:18">
      <c r="F578" s="73"/>
      <c r="R578"/>
    </row>
    <row r="579" spans="6:18">
      <c r="F579" s="73"/>
      <c r="R579"/>
    </row>
    <row r="580" spans="6:18">
      <c r="F580" s="73"/>
      <c r="R580"/>
    </row>
    <row r="581" spans="6:18">
      <c r="F581" s="73"/>
      <c r="R581"/>
    </row>
    <row r="582" spans="6:18">
      <c r="F582" s="73"/>
      <c r="R582"/>
    </row>
    <row r="583" spans="6:18">
      <c r="F583" s="73"/>
      <c r="R583"/>
    </row>
    <row r="584" spans="6:18">
      <c r="F584" s="73"/>
      <c r="R584"/>
    </row>
    <row r="585" spans="6:18">
      <c r="F585" s="73"/>
      <c r="R585"/>
    </row>
    <row r="586" spans="6:18">
      <c r="F586" s="73"/>
      <c r="R586"/>
    </row>
    <row r="587" spans="6:18">
      <c r="F587" s="73"/>
      <c r="R587"/>
    </row>
    <row r="588" spans="6:18">
      <c r="F588" s="73"/>
      <c r="R588"/>
    </row>
    <row r="589" spans="6:18">
      <c r="F589" s="73"/>
      <c r="R589"/>
    </row>
    <row r="590" spans="6:18">
      <c r="F590" s="73"/>
      <c r="R590"/>
    </row>
    <row r="591" spans="6:18">
      <c r="F591" s="73"/>
      <c r="R591"/>
    </row>
    <row r="592" spans="6:18">
      <c r="F592" s="73"/>
      <c r="R592"/>
    </row>
    <row r="593" spans="6:18">
      <c r="F593" s="73"/>
      <c r="R593"/>
    </row>
    <row r="594" spans="6:18">
      <c r="F594" s="73"/>
      <c r="R594"/>
    </row>
    <row r="595" spans="6:18">
      <c r="F595" s="73"/>
      <c r="R595"/>
    </row>
    <row r="596" spans="6:18">
      <c r="F596" s="73"/>
      <c r="R596"/>
    </row>
    <row r="597" spans="6:18">
      <c r="F597" s="73"/>
      <c r="R597"/>
    </row>
    <row r="598" spans="6:18">
      <c r="F598" s="73"/>
      <c r="R598"/>
    </row>
    <row r="599" spans="6:18">
      <c r="F599" s="73"/>
      <c r="R599"/>
    </row>
    <row r="600" spans="6:18">
      <c r="F600" s="73"/>
      <c r="R600"/>
    </row>
    <row r="601" spans="6:18">
      <c r="F601" s="73"/>
      <c r="R601"/>
    </row>
    <row r="602" spans="6:18">
      <c r="F602" s="73"/>
      <c r="R602"/>
    </row>
    <row r="603" spans="6:18">
      <c r="F603" s="73"/>
      <c r="R603"/>
    </row>
    <row r="604" spans="6:18">
      <c r="F604" s="73"/>
      <c r="R604"/>
    </row>
    <row r="605" spans="6:18">
      <c r="F605" s="73"/>
      <c r="R605"/>
    </row>
    <row r="606" spans="6:18">
      <c r="F606" s="73"/>
      <c r="R606"/>
    </row>
    <row r="607" spans="6:18">
      <c r="F607" s="73"/>
      <c r="R607"/>
    </row>
    <row r="608" spans="6:18">
      <c r="F608" s="73"/>
      <c r="R608"/>
    </row>
    <row r="609" spans="6:18">
      <c r="F609" s="73"/>
      <c r="R609"/>
    </row>
    <row r="610" spans="6:18">
      <c r="F610" s="73"/>
      <c r="R610"/>
    </row>
    <row r="611" spans="6:18">
      <c r="F611" s="73"/>
      <c r="R611"/>
    </row>
    <row r="612" spans="6:18">
      <c r="F612" s="73"/>
      <c r="R612"/>
    </row>
    <row r="613" spans="6:18">
      <c r="F613" s="73"/>
      <c r="R613"/>
    </row>
    <row r="614" spans="6:18">
      <c r="F614" s="73"/>
      <c r="R614"/>
    </row>
    <row r="615" spans="6:18">
      <c r="F615" s="73"/>
      <c r="R615"/>
    </row>
    <row r="616" spans="6:18">
      <c r="F616" s="73"/>
      <c r="R616"/>
    </row>
    <row r="617" spans="6:18">
      <c r="F617" s="73"/>
      <c r="R617"/>
    </row>
    <row r="618" spans="6:18">
      <c r="F618" s="73"/>
      <c r="R618"/>
    </row>
    <row r="619" spans="6:18">
      <c r="F619" s="73"/>
      <c r="R619"/>
    </row>
    <row r="620" spans="6:18">
      <c r="F620" s="73"/>
      <c r="R620"/>
    </row>
    <row r="621" spans="6:18">
      <c r="F621" s="73"/>
      <c r="R621"/>
    </row>
    <row r="622" spans="6:18">
      <c r="F622" s="73"/>
      <c r="R622"/>
    </row>
    <row r="623" spans="6:18">
      <c r="F623" s="73"/>
      <c r="R623"/>
    </row>
    <row r="624" spans="6:18">
      <c r="F624" s="73"/>
      <c r="R624"/>
    </row>
    <row r="625" spans="6:18">
      <c r="F625" s="73"/>
      <c r="R625"/>
    </row>
    <row r="626" spans="6:18">
      <c r="F626" s="73"/>
      <c r="R626"/>
    </row>
    <row r="627" spans="6:18">
      <c r="F627" s="73"/>
      <c r="R627"/>
    </row>
    <row r="628" spans="6:18">
      <c r="F628" s="73"/>
      <c r="R628"/>
    </row>
    <row r="629" spans="6:18">
      <c r="F629" s="73"/>
      <c r="R629"/>
    </row>
    <row r="630" spans="6:18">
      <c r="F630" s="73"/>
      <c r="R630"/>
    </row>
    <row r="631" spans="6:18">
      <c r="F631" s="73"/>
      <c r="R631"/>
    </row>
    <row r="632" spans="6:18">
      <c r="F632" s="73"/>
      <c r="R632"/>
    </row>
    <row r="633" spans="6:18">
      <c r="F633" s="73"/>
      <c r="R633"/>
    </row>
    <row r="634" spans="6:18">
      <c r="F634" s="73"/>
      <c r="R634"/>
    </row>
    <row r="635" spans="6:18">
      <c r="F635" s="73"/>
      <c r="R635"/>
    </row>
    <row r="636" spans="6:18">
      <c r="F636" s="73"/>
      <c r="R636"/>
    </row>
    <row r="637" spans="6:18">
      <c r="F637" s="73"/>
      <c r="R637"/>
    </row>
    <row r="638" spans="6:18">
      <c r="F638" s="73"/>
      <c r="R638"/>
    </row>
    <row r="639" spans="6:18">
      <c r="F639" s="73"/>
      <c r="R639"/>
    </row>
    <row r="640" spans="6:18">
      <c r="F640" s="73"/>
      <c r="R640"/>
    </row>
    <row r="641" spans="6:18">
      <c r="F641" s="73"/>
      <c r="R641"/>
    </row>
    <row r="642" spans="6:18">
      <c r="F642" s="73"/>
      <c r="R642"/>
    </row>
    <row r="643" spans="6:18">
      <c r="F643" s="73"/>
      <c r="R643"/>
    </row>
    <row r="644" spans="6:18">
      <c r="F644" s="73"/>
      <c r="R644"/>
    </row>
    <row r="645" spans="6:18">
      <c r="F645" s="73"/>
      <c r="R645"/>
    </row>
    <row r="646" spans="6:18">
      <c r="F646" s="73"/>
      <c r="R646"/>
    </row>
    <row r="647" spans="6:18">
      <c r="F647" s="73"/>
      <c r="R647"/>
    </row>
    <row r="648" spans="6:18">
      <c r="F648" s="73"/>
      <c r="R648"/>
    </row>
    <row r="649" spans="6:18">
      <c r="F649" s="73"/>
      <c r="R649"/>
    </row>
    <row r="650" spans="6:18">
      <c r="F650" s="73"/>
      <c r="R650"/>
    </row>
    <row r="651" spans="6:18">
      <c r="F651" s="73"/>
      <c r="R651"/>
    </row>
    <row r="652" spans="6:18">
      <c r="F652" s="73"/>
      <c r="R652"/>
    </row>
    <row r="653" spans="6:18">
      <c r="F653" s="73"/>
      <c r="R653"/>
    </row>
    <row r="654" spans="6:18">
      <c r="F654" s="73"/>
      <c r="R654"/>
    </row>
    <row r="655" spans="6:18">
      <c r="F655" s="73"/>
      <c r="R655"/>
    </row>
    <row r="656" spans="6:18">
      <c r="F656" s="73"/>
      <c r="R656"/>
    </row>
    <row r="657" spans="6:18">
      <c r="F657" s="73"/>
      <c r="R657"/>
    </row>
    <row r="658" spans="6:18">
      <c r="F658" s="73"/>
      <c r="R658"/>
    </row>
    <row r="659" spans="6:18">
      <c r="F659" s="73"/>
      <c r="R659"/>
    </row>
    <row r="660" spans="6:18">
      <c r="F660" s="73"/>
      <c r="R660"/>
    </row>
    <row r="661" spans="6:18">
      <c r="F661" s="73"/>
      <c r="R661"/>
    </row>
    <row r="662" spans="6:18">
      <c r="F662" s="73"/>
      <c r="R662"/>
    </row>
    <row r="663" spans="6:18">
      <c r="F663" s="73"/>
      <c r="R663"/>
    </row>
    <row r="664" spans="6:18">
      <c r="F664" s="73"/>
      <c r="R664"/>
    </row>
    <row r="665" spans="6:18">
      <c r="F665" s="73"/>
      <c r="R665"/>
    </row>
    <row r="666" spans="6:18">
      <c r="F666" s="73"/>
      <c r="R666"/>
    </row>
    <row r="667" spans="6:18">
      <c r="F667" s="73"/>
      <c r="R667"/>
    </row>
    <row r="668" spans="6:18">
      <c r="F668" s="73"/>
      <c r="R668"/>
    </row>
    <row r="669" spans="6:18">
      <c r="F669" s="73"/>
      <c r="R669"/>
    </row>
    <row r="670" spans="6:18">
      <c r="F670" s="73"/>
      <c r="R670"/>
    </row>
    <row r="671" spans="6:18">
      <c r="F671" s="73"/>
      <c r="R671"/>
    </row>
    <row r="672" spans="6:18">
      <c r="F672" s="73"/>
      <c r="R672"/>
    </row>
    <row r="673" spans="6:18">
      <c r="F673" s="73"/>
      <c r="R673"/>
    </row>
    <row r="674" spans="6:18">
      <c r="F674" s="73"/>
      <c r="R674"/>
    </row>
    <row r="675" spans="6:18">
      <c r="F675" s="73"/>
      <c r="R675"/>
    </row>
    <row r="676" spans="6:18">
      <c r="F676" s="73"/>
      <c r="R676"/>
    </row>
    <row r="677" spans="6:18">
      <c r="F677" s="73"/>
      <c r="R677"/>
    </row>
    <row r="678" spans="6:18">
      <c r="F678" s="73"/>
      <c r="R678"/>
    </row>
    <row r="679" spans="6:18">
      <c r="F679" s="73"/>
      <c r="R679"/>
    </row>
    <row r="680" spans="6:18">
      <c r="F680" s="73"/>
      <c r="R680"/>
    </row>
    <row r="681" spans="6:18">
      <c r="F681" s="73"/>
      <c r="R681"/>
    </row>
    <row r="682" spans="6:18">
      <c r="F682" s="73"/>
      <c r="R682"/>
    </row>
    <row r="683" spans="6:18">
      <c r="F683" s="73"/>
      <c r="R683"/>
    </row>
    <row r="684" spans="6:18">
      <c r="F684" s="73"/>
      <c r="R684"/>
    </row>
    <row r="685" spans="6:18">
      <c r="F685" s="73"/>
      <c r="R685"/>
    </row>
    <row r="686" spans="6:18">
      <c r="F686" s="73"/>
      <c r="R686"/>
    </row>
    <row r="687" spans="6:18">
      <c r="F687" s="73"/>
      <c r="R687"/>
    </row>
    <row r="688" spans="6:18">
      <c r="F688" s="73"/>
      <c r="R688"/>
    </row>
    <row r="689" spans="6:18">
      <c r="F689" s="73"/>
      <c r="R689"/>
    </row>
    <row r="690" spans="6:18">
      <c r="F690" s="73"/>
      <c r="R690"/>
    </row>
    <row r="691" spans="6:18">
      <c r="F691" s="73"/>
      <c r="R691"/>
    </row>
    <row r="692" spans="6:18">
      <c r="F692" s="73"/>
      <c r="R692"/>
    </row>
    <row r="693" spans="6:18">
      <c r="F693" s="73"/>
      <c r="R693"/>
    </row>
    <row r="694" spans="6:18">
      <c r="F694" s="73"/>
      <c r="R694"/>
    </row>
    <row r="695" spans="6:18">
      <c r="F695" s="73"/>
      <c r="R695"/>
    </row>
    <row r="696" spans="6:18">
      <c r="F696" s="73"/>
      <c r="R696"/>
    </row>
    <row r="697" spans="6:18">
      <c r="F697" s="73"/>
      <c r="R697"/>
    </row>
    <row r="698" spans="6:18">
      <c r="F698" s="73"/>
      <c r="R698"/>
    </row>
    <row r="699" spans="6:18">
      <c r="F699" s="73"/>
      <c r="R699"/>
    </row>
    <row r="700" spans="6:18">
      <c r="F700" s="73"/>
      <c r="R700"/>
    </row>
    <row r="701" spans="6:18">
      <c r="F701" s="73"/>
      <c r="R701"/>
    </row>
    <row r="702" spans="6:18">
      <c r="F702" s="73"/>
      <c r="R702"/>
    </row>
    <row r="703" spans="6:18">
      <c r="F703" s="73"/>
      <c r="R703"/>
    </row>
    <row r="704" spans="6:18">
      <c r="F704" s="73"/>
      <c r="R704"/>
    </row>
    <row r="705" spans="6:18">
      <c r="F705" s="73"/>
      <c r="R705"/>
    </row>
    <row r="706" spans="6:18">
      <c r="F706" s="73"/>
      <c r="R706"/>
    </row>
    <row r="707" spans="6:18">
      <c r="F707" s="73"/>
      <c r="R707"/>
    </row>
    <row r="708" spans="6:18">
      <c r="F708" s="73"/>
      <c r="R708"/>
    </row>
    <row r="709" spans="6:18">
      <c r="F709" s="73"/>
      <c r="R709"/>
    </row>
    <row r="710" spans="6:18">
      <c r="F710" s="73"/>
      <c r="R710"/>
    </row>
    <row r="711" spans="6:18">
      <c r="F711" s="73"/>
      <c r="R711"/>
    </row>
    <row r="712" spans="6:18">
      <c r="F712" s="73"/>
      <c r="R712"/>
    </row>
    <row r="713" spans="6:18">
      <c r="F713" s="73"/>
      <c r="R713"/>
    </row>
    <row r="714" spans="6:18">
      <c r="F714" s="73"/>
      <c r="R714"/>
    </row>
    <row r="715" spans="6:18">
      <c r="F715" s="73"/>
      <c r="R715"/>
    </row>
    <row r="716" spans="6:18">
      <c r="F716" s="73"/>
      <c r="R716"/>
    </row>
    <row r="717" spans="6:18">
      <c r="F717" s="73"/>
      <c r="R717"/>
    </row>
    <row r="718" spans="6:18">
      <c r="F718" s="73"/>
      <c r="R718"/>
    </row>
    <row r="719" spans="6:18">
      <c r="F719" s="73"/>
      <c r="R719"/>
    </row>
    <row r="720" spans="6:18">
      <c r="F720" s="73"/>
      <c r="R720"/>
    </row>
    <row r="721" spans="6:18">
      <c r="F721" s="73"/>
      <c r="R721"/>
    </row>
    <row r="722" spans="6:18">
      <c r="F722" s="73"/>
      <c r="R722"/>
    </row>
    <row r="723" spans="6:18">
      <c r="F723" s="73"/>
      <c r="R723"/>
    </row>
    <row r="724" spans="6:18">
      <c r="F724" s="73"/>
      <c r="R724"/>
    </row>
    <row r="725" spans="6:18">
      <c r="F725" s="73"/>
      <c r="R725"/>
    </row>
    <row r="726" spans="6:18">
      <c r="F726" s="73"/>
      <c r="R726"/>
    </row>
    <row r="727" spans="6:18">
      <c r="F727" s="73"/>
      <c r="R727"/>
    </row>
    <row r="728" spans="6:18">
      <c r="F728" s="73"/>
      <c r="R728"/>
    </row>
    <row r="729" spans="6:18">
      <c r="F729" s="73"/>
      <c r="R729"/>
    </row>
    <row r="730" spans="6:18">
      <c r="F730" s="73"/>
      <c r="R730"/>
    </row>
    <row r="731" spans="6:18">
      <c r="F731" s="73"/>
      <c r="R731"/>
    </row>
    <row r="732" spans="6:18">
      <c r="F732" s="73"/>
      <c r="R732"/>
    </row>
    <row r="733" spans="6:18">
      <c r="F733" s="73"/>
      <c r="R733"/>
    </row>
    <row r="734" spans="6:18">
      <c r="F734" s="73"/>
      <c r="R734"/>
    </row>
    <row r="735" spans="6:18">
      <c r="F735" s="73"/>
      <c r="R735"/>
    </row>
    <row r="736" spans="6:18">
      <c r="F736" s="73"/>
      <c r="R736"/>
    </row>
    <row r="737" spans="6:18">
      <c r="F737" s="73"/>
      <c r="R737"/>
    </row>
    <row r="738" spans="6:18">
      <c r="F738" s="73"/>
      <c r="R738"/>
    </row>
    <row r="739" spans="6:18">
      <c r="F739" s="73"/>
      <c r="R739"/>
    </row>
    <row r="740" spans="6:18">
      <c r="F740" s="73"/>
      <c r="R740"/>
    </row>
    <row r="741" spans="6:18">
      <c r="F741" s="73"/>
      <c r="R741"/>
    </row>
    <row r="742" spans="6:18">
      <c r="F742" s="73"/>
      <c r="R742"/>
    </row>
    <row r="743" spans="6:18">
      <c r="F743" s="73"/>
      <c r="R743"/>
    </row>
    <row r="744" spans="6:18">
      <c r="F744" s="73"/>
      <c r="R744"/>
    </row>
    <row r="745" spans="6:18">
      <c r="F745" s="73"/>
      <c r="R745"/>
    </row>
    <row r="746" spans="6:18">
      <c r="F746" s="73"/>
      <c r="R746"/>
    </row>
    <row r="747" spans="6:18">
      <c r="F747" s="73"/>
      <c r="R747"/>
    </row>
    <row r="748" spans="6:18">
      <c r="F748" s="73"/>
      <c r="R748"/>
    </row>
    <row r="749" spans="6:18">
      <c r="F749" s="73"/>
      <c r="R749"/>
    </row>
    <row r="750" spans="6:18">
      <c r="F750" s="73"/>
      <c r="R750"/>
    </row>
    <row r="751" spans="6:18">
      <c r="F751" s="73"/>
      <c r="R751"/>
    </row>
    <row r="752" spans="6:18">
      <c r="F752" s="73"/>
      <c r="R752"/>
    </row>
    <row r="753" spans="6:18">
      <c r="F753" s="73"/>
      <c r="R753"/>
    </row>
    <row r="754" spans="6:18">
      <c r="F754" s="73"/>
      <c r="R754"/>
    </row>
    <row r="755" spans="6:18">
      <c r="F755" s="73"/>
      <c r="R755"/>
    </row>
    <row r="756" spans="6:18">
      <c r="F756" s="73"/>
      <c r="R756"/>
    </row>
    <row r="757" spans="6:18">
      <c r="F757" s="73"/>
      <c r="R757"/>
    </row>
    <row r="758" spans="6:18">
      <c r="F758" s="73"/>
      <c r="R758"/>
    </row>
    <row r="759" spans="6:18">
      <c r="F759" s="73"/>
      <c r="R759"/>
    </row>
    <row r="760" spans="6:18">
      <c r="F760" s="73"/>
      <c r="R760"/>
    </row>
    <row r="761" spans="6:18">
      <c r="F761" s="73"/>
      <c r="R761"/>
    </row>
    <row r="762" spans="6:18">
      <c r="F762" s="73"/>
      <c r="R762"/>
    </row>
    <row r="763" spans="6:18">
      <c r="F763" s="73"/>
      <c r="R763"/>
    </row>
    <row r="764" spans="6:18">
      <c r="F764" s="73"/>
      <c r="R764"/>
    </row>
    <row r="765" spans="6:18">
      <c r="F765" s="73"/>
      <c r="R765"/>
    </row>
    <row r="766" spans="6:18">
      <c r="F766" s="73"/>
      <c r="R766"/>
    </row>
    <row r="767" spans="6:18">
      <c r="F767" s="73"/>
      <c r="R767"/>
    </row>
    <row r="768" spans="6:18">
      <c r="F768" s="73"/>
      <c r="R768"/>
    </row>
    <row r="769" spans="6:18">
      <c r="F769" s="73"/>
      <c r="R769"/>
    </row>
    <row r="770" spans="6:18">
      <c r="F770" s="73"/>
      <c r="R770"/>
    </row>
    <row r="771" spans="6:18">
      <c r="F771" s="73"/>
      <c r="R771"/>
    </row>
    <row r="772" spans="6:18">
      <c r="F772" s="73"/>
      <c r="R772"/>
    </row>
    <row r="773" spans="6:18">
      <c r="F773" s="73"/>
      <c r="R773"/>
    </row>
    <row r="774" spans="6:18">
      <c r="F774" s="73"/>
      <c r="R774"/>
    </row>
    <row r="775" spans="6:18">
      <c r="F775" s="73"/>
      <c r="R775"/>
    </row>
    <row r="776" spans="6:18">
      <c r="F776" s="73"/>
      <c r="R776"/>
    </row>
    <row r="777" spans="6:18">
      <c r="F777" s="73"/>
      <c r="R777"/>
    </row>
    <row r="778" spans="6:18">
      <c r="F778" s="73"/>
      <c r="R778"/>
    </row>
    <row r="779" spans="6:18">
      <c r="F779" s="73"/>
      <c r="R779"/>
    </row>
    <row r="780" spans="6:18">
      <c r="F780" s="73"/>
      <c r="R780"/>
    </row>
    <row r="781" spans="6:18">
      <c r="F781" s="73"/>
      <c r="R781"/>
    </row>
    <row r="782" spans="6:18">
      <c r="F782" s="73"/>
      <c r="R782"/>
    </row>
    <row r="783" spans="6:18">
      <c r="F783" s="73"/>
      <c r="R783"/>
    </row>
    <row r="784" spans="6:18">
      <c r="F784" s="73"/>
      <c r="R784"/>
    </row>
    <row r="785" spans="6:18">
      <c r="F785" s="73"/>
      <c r="R785"/>
    </row>
    <row r="786" spans="6:18">
      <c r="F786" s="73"/>
      <c r="R786"/>
    </row>
    <row r="787" spans="6:18">
      <c r="F787" s="73"/>
      <c r="R787"/>
    </row>
    <row r="788" spans="6:18">
      <c r="F788" s="73"/>
      <c r="R788"/>
    </row>
    <row r="789" spans="6:18">
      <c r="F789" s="73"/>
      <c r="R789"/>
    </row>
    <row r="790" spans="6:18">
      <c r="F790" s="73"/>
      <c r="R790"/>
    </row>
    <row r="791" spans="6:18">
      <c r="F791" s="73"/>
      <c r="R791"/>
    </row>
    <row r="792" spans="6:18">
      <c r="F792" s="73"/>
      <c r="R792"/>
    </row>
    <row r="793" spans="6:18">
      <c r="F793" s="73"/>
      <c r="R793"/>
    </row>
    <row r="794" spans="6:18">
      <c r="F794" s="73"/>
      <c r="R794"/>
    </row>
    <row r="795" spans="6:18">
      <c r="F795" s="73"/>
      <c r="R795"/>
    </row>
    <row r="796" spans="6:18">
      <c r="F796" s="73"/>
      <c r="R796"/>
    </row>
    <row r="797" spans="6:18">
      <c r="F797" s="73"/>
      <c r="R797"/>
    </row>
    <row r="798" spans="6:18">
      <c r="F798" s="73"/>
      <c r="R798"/>
    </row>
    <row r="799" spans="6:18">
      <c r="F799" s="73"/>
      <c r="R799"/>
    </row>
    <row r="800" spans="6:18">
      <c r="F800" s="73"/>
      <c r="R800"/>
    </row>
    <row r="801" spans="6:18">
      <c r="F801" s="73"/>
      <c r="R801"/>
    </row>
    <row r="802" spans="6:18">
      <c r="F802" s="73"/>
      <c r="R802"/>
    </row>
    <row r="803" spans="6:18">
      <c r="F803" s="73"/>
      <c r="R803"/>
    </row>
    <row r="804" spans="6:18">
      <c r="F804" s="73"/>
      <c r="R804"/>
    </row>
    <row r="805" spans="6:18">
      <c r="F805" s="73"/>
      <c r="R805"/>
    </row>
    <row r="806" spans="6:18">
      <c r="F806" s="73"/>
      <c r="R806"/>
    </row>
    <row r="807" spans="6:18">
      <c r="F807" s="73"/>
      <c r="R807"/>
    </row>
    <row r="808" spans="6:18">
      <c r="F808" s="73"/>
      <c r="R808"/>
    </row>
    <row r="809" spans="6:18">
      <c r="F809" s="73"/>
      <c r="R809"/>
    </row>
    <row r="810" spans="6:18">
      <c r="F810" s="73"/>
      <c r="R810"/>
    </row>
    <row r="811" spans="6:18">
      <c r="F811" s="73"/>
      <c r="R811"/>
    </row>
    <row r="812" spans="6:18">
      <c r="F812" s="73"/>
      <c r="R812"/>
    </row>
    <row r="813" spans="6:18">
      <c r="F813" s="73"/>
      <c r="R813"/>
    </row>
    <row r="814" spans="6:18">
      <c r="F814" s="73"/>
      <c r="R814"/>
    </row>
    <row r="815" spans="6:18">
      <c r="F815" s="73"/>
      <c r="R815"/>
    </row>
    <row r="816" spans="6:18">
      <c r="F816" s="73"/>
      <c r="R816"/>
    </row>
    <row r="817" spans="6:18">
      <c r="F817" s="73"/>
      <c r="R817"/>
    </row>
    <row r="818" spans="6:18">
      <c r="F818" s="73"/>
      <c r="R818"/>
    </row>
    <row r="819" spans="6:18">
      <c r="F819" s="73"/>
      <c r="R819"/>
    </row>
    <row r="820" spans="6:18">
      <c r="F820" s="73"/>
      <c r="R820"/>
    </row>
    <row r="821" spans="6:18">
      <c r="F821" s="73"/>
      <c r="R821"/>
    </row>
    <row r="822" spans="6:18">
      <c r="F822" s="73"/>
      <c r="R822"/>
    </row>
    <row r="823" spans="6:18">
      <c r="F823" s="73"/>
      <c r="R823"/>
    </row>
    <row r="824" spans="6:18">
      <c r="F824" s="73"/>
      <c r="R824"/>
    </row>
    <row r="825" spans="6:18">
      <c r="F825" s="73"/>
      <c r="R825"/>
    </row>
    <row r="826" spans="6:18">
      <c r="F826" s="73"/>
      <c r="R826"/>
    </row>
    <row r="827" spans="6:18">
      <c r="F827" s="73"/>
      <c r="R827"/>
    </row>
    <row r="828" spans="6:18">
      <c r="F828" s="73"/>
      <c r="R828"/>
    </row>
    <row r="829" spans="6:18">
      <c r="F829" s="73"/>
      <c r="R829"/>
    </row>
    <row r="830" spans="6:18">
      <c r="F830" s="73"/>
      <c r="R830"/>
    </row>
    <row r="831" spans="6:18">
      <c r="F831" s="73"/>
      <c r="R831"/>
    </row>
    <row r="832" spans="6:18">
      <c r="F832" s="73"/>
      <c r="R832"/>
    </row>
    <row r="833" spans="6:18">
      <c r="F833" s="73"/>
      <c r="R833"/>
    </row>
    <row r="834" spans="6:18">
      <c r="F834" s="73"/>
      <c r="R834"/>
    </row>
    <row r="835" spans="6:18">
      <c r="F835" s="73"/>
      <c r="R835"/>
    </row>
    <row r="836" spans="6:18">
      <c r="F836" s="73"/>
      <c r="R836"/>
    </row>
    <row r="837" spans="6:18">
      <c r="F837" s="73"/>
      <c r="R837"/>
    </row>
    <row r="838" spans="6:18">
      <c r="F838" s="73"/>
      <c r="R838"/>
    </row>
    <row r="839" spans="6:18">
      <c r="F839" s="73"/>
      <c r="R839"/>
    </row>
    <row r="840" spans="6:18">
      <c r="F840" s="73"/>
      <c r="R840"/>
    </row>
    <row r="841" spans="6:18">
      <c r="F841" s="73"/>
      <c r="R841"/>
    </row>
    <row r="842" spans="6:18">
      <c r="F842" s="73"/>
      <c r="R842"/>
    </row>
    <row r="843" spans="6:18">
      <c r="F843" s="73"/>
      <c r="R843"/>
    </row>
    <row r="844" spans="6:18">
      <c r="F844" s="73"/>
      <c r="R844"/>
    </row>
    <row r="845" spans="6:18">
      <c r="F845" s="73"/>
      <c r="R845"/>
    </row>
    <row r="846" spans="6:18">
      <c r="F846" s="73"/>
      <c r="R846"/>
    </row>
    <row r="847" spans="6:18">
      <c r="F847" s="73"/>
      <c r="R847"/>
    </row>
    <row r="848" spans="6:18">
      <c r="F848" s="73"/>
      <c r="R848"/>
    </row>
    <row r="849" spans="6:18">
      <c r="F849" s="73"/>
      <c r="R849"/>
    </row>
    <row r="850" spans="6:18">
      <c r="F850" s="73"/>
      <c r="R850"/>
    </row>
    <row r="851" spans="6:18">
      <c r="F851" s="73"/>
      <c r="R851"/>
    </row>
    <row r="852" spans="6:18">
      <c r="F852" s="73"/>
      <c r="R852"/>
    </row>
    <row r="853" spans="6:18">
      <c r="F853" s="73"/>
      <c r="R853"/>
    </row>
    <row r="854" spans="6:18">
      <c r="F854" s="73"/>
      <c r="R854"/>
    </row>
    <row r="855" spans="6:18">
      <c r="F855" s="73"/>
      <c r="R855"/>
    </row>
    <row r="856" spans="6:18">
      <c r="F856" s="73"/>
      <c r="R856"/>
    </row>
    <row r="857" spans="6:18">
      <c r="F857" s="73"/>
      <c r="R857"/>
    </row>
    <row r="858" spans="6:18">
      <c r="F858" s="73"/>
      <c r="R858"/>
    </row>
    <row r="859" spans="6:18">
      <c r="F859" s="73"/>
      <c r="R859"/>
    </row>
    <row r="860" spans="6:18">
      <c r="F860" s="73"/>
      <c r="R860"/>
    </row>
    <row r="861" spans="6:18">
      <c r="F861" s="73"/>
      <c r="R861"/>
    </row>
    <row r="862" spans="6:18">
      <c r="F862" s="73"/>
      <c r="R862"/>
    </row>
    <row r="863" spans="6:18">
      <c r="F863" s="73"/>
      <c r="R863"/>
    </row>
    <row r="864" spans="6:18">
      <c r="F864" s="73"/>
      <c r="R864"/>
    </row>
    <row r="865" spans="6:18">
      <c r="F865" s="73"/>
      <c r="R865"/>
    </row>
    <row r="866" spans="6:18">
      <c r="F866" s="73"/>
      <c r="R866"/>
    </row>
    <row r="867" spans="6:18">
      <c r="F867" s="73"/>
      <c r="R867"/>
    </row>
    <row r="868" spans="6:18">
      <c r="F868" s="73"/>
      <c r="R868"/>
    </row>
    <row r="869" spans="6:18">
      <c r="F869" s="73"/>
      <c r="R869"/>
    </row>
    <row r="870" spans="6:18">
      <c r="F870" s="73"/>
      <c r="R870"/>
    </row>
    <row r="871" spans="6:18">
      <c r="F871" s="73"/>
      <c r="R871"/>
    </row>
    <row r="872" spans="6:18">
      <c r="F872" s="73"/>
      <c r="R872"/>
    </row>
    <row r="873" spans="6:18">
      <c r="F873" s="73"/>
      <c r="R873"/>
    </row>
    <row r="874" spans="6:18">
      <c r="F874" s="73"/>
      <c r="R874"/>
    </row>
    <row r="875" spans="6:18">
      <c r="F875" s="73"/>
      <c r="R875"/>
    </row>
    <row r="876" spans="6:18">
      <c r="F876" s="73"/>
      <c r="R876"/>
    </row>
    <row r="877" spans="6:18">
      <c r="F877" s="73"/>
      <c r="R877"/>
    </row>
    <row r="878" spans="6:18">
      <c r="F878" s="73"/>
      <c r="R878"/>
    </row>
    <row r="879" spans="6:18">
      <c r="F879" s="73"/>
      <c r="R879"/>
    </row>
    <row r="880" spans="6:18">
      <c r="F880" s="73"/>
      <c r="R880"/>
    </row>
    <row r="881" spans="6:18">
      <c r="F881" s="73"/>
      <c r="R881"/>
    </row>
    <row r="882" spans="6:18">
      <c r="F882" s="73"/>
      <c r="R882"/>
    </row>
    <row r="883" spans="6:18">
      <c r="F883" s="73"/>
      <c r="R883"/>
    </row>
    <row r="884" spans="6:18">
      <c r="F884" s="73"/>
      <c r="R884"/>
    </row>
    <row r="885" spans="6:18">
      <c r="F885" s="73"/>
      <c r="R885"/>
    </row>
  </sheetData>
  <phoneticPr fontId="0" type="noConversion"/>
  <pageMargins left="0.35433070866141736" right="0.74803149606299213" top="0.39370078740157483" bottom="0.59055118110236227" header="0.51181102362204722" footer="0.51181102362204722"/>
  <pageSetup paperSize="9" orientation="landscape" horizontalDpi="3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883"/>
  <sheetViews>
    <sheetView workbookViewId="0">
      <selection activeCell="D8" sqref="D8"/>
    </sheetView>
  </sheetViews>
  <sheetFormatPr defaultRowHeight="12.75"/>
  <cols>
    <col min="1" max="1" width="2.28515625" customWidth="1"/>
    <col min="2" max="2" width="3.28515625" customWidth="1"/>
    <col min="3" max="3" width="11.5703125" customWidth="1"/>
    <col min="4" max="4" width="3.42578125" customWidth="1"/>
    <col min="5" max="5" width="11.28515625" style="40" customWidth="1"/>
    <col min="6" max="6" width="10.140625" style="40" customWidth="1"/>
    <col min="7" max="7" width="9.85546875" customWidth="1"/>
    <col min="8" max="8" width="3.42578125" customWidth="1"/>
    <col min="9" max="9" width="10" customWidth="1"/>
    <col min="10" max="10" width="7.140625" customWidth="1"/>
    <col min="11" max="13" width="11.7109375" customWidth="1"/>
    <col min="14" max="14" width="4.42578125" customWidth="1"/>
    <col min="15" max="15" width="2.85546875" customWidth="1"/>
    <col min="16" max="16" width="3" customWidth="1"/>
    <col min="17" max="17" width="11.42578125" customWidth="1"/>
    <col min="18" max="18" width="3.5703125" style="72" customWidth="1"/>
    <col min="19" max="19" width="7.28515625" customWidth="1"/>
  </cols>
  <sheetData>
    <row r="1" spans="1:18">
      <c r="A1" s="45" t="s">
        <v>77</v>
      </c>
    </row>
    <row r="2" spans="1:18">
      <c r="F2" s="73"/>
      <c r="R2"/>
    </row>
    <row r="3" spans="1:18">
      <c r="A3" s="84" t="s">
        <v>33</v>
      </c>
      <c r="B3" s="59"/>
      <c r="C3" s="332">
        <v>500</v>
      </c>
      <c r="D3" s="332"/>
      <c r="E3" s="200">
        <v>41106</v>
      </c>
      <c r="F3" s="73"/>
      <c r="R3"/>
    </row>
    <row r="4" spans="1:18">
      <c r="A4" s="47"/>
      <c r="B4" s="59">
        <v>29</v>
      </c>
      <c r="C4" s="104">
        <v>100</v>
      </c>
      <c r="D4" s="89" t="s">
        <v>27</v>
      </c>
      <c r="E4" s="119"/>
      <c r="F4" s="73"/>
      <c r="R4"/>
    </row>
    <row r="5" spans="1:18">
      <c r="A5" s="47"/>
      <c r="B5" s="107">
        <v>30</v>
      </c>
      <c r="C5" s="114">
        <v>100</v>
      </c>
      <c r="D5" s="108" t="s">
        <v>27</v>
      </c>
      <c r="E5" s="682"/>
      <c r="F5" s="73"/>
      <c r="R5"/>
    </row>
    <row r="6" spans="1:18">
      <c r="A6" s="47"/>
      <c r="B6" s="107">
        <v>31</v>
      </c>
      <c r="C6" s="114">
        <v>100</v>
      </c>
      <c r="D6" s="108" t="s">
        <v>27</v>
      </c>
      <c r="E6" s="682"/>
      <c r="F6" s="73"/>
      <c r="R6"/>
    </row>
    <row r="7" spans="1:18">
      <c r="A7" s="47"/>
      <c r="B7" s="107">
        <v>32</v>
      </c>
      <c r="C7" s="114">
        <v>100</v>
      </c>
      <c r="D7" s="108" t="s">
        <v>27</v>
      </c>
      <c r="E7" s="682"/>
      <c r="F7" s="73"/>
      <c r="R7"/>
    </row>
    <row r="8" spans="1:18">
      <c r="A8" s="47"/>
      <c r="B8" s="107">
        <v>33</v>
      </c>
      <c r="C8" s="88">
        <v>100</v>
      </c>
      <c r="D8" s="108"/>
      <c r="E8" s="682"/>
      <c r="F8" s="73"/>
      <c r="R8"/>
    </row>
    <row r="9" spans="1:18" ht="13.5" thickBot="1">
      <c r="A9" s="47"/>
      <c r="B9" s="47"/>
      <c r="C9" s="129">
        <f>SUM(C4:C8)</f>
        <v>500</v>
      </c>
      <c r="D9" s="47"/>
      <c r="E9" s="682"/>
      <c r="F9" s="73"/>
      <c r="R9"/>
    </row>
    <row r="10" spans="1:18" ht="13.5" thickTop="1">
      <c r="E10" s="330"/>
      <c r="F10" s="73"/>
      <c r="R10"/>
    </row>
    <row r="11" spans="1:18">
      <c r="F11" s="73"/>
      <c r="R11"/>
    </row>
    <row r="12" spans="1:18">
      <c r="F12" s="73"/>
      <c r="R12"/>
    </row>
    <row r="13" spans="1:18">
      <c r="F13" s="73"/>
      <c r="R13"/>
    </row>
    <row r="14" spans="1:18">
      <c r="F14" s="73"/>
      <c r="R14"/>
    </row>
    <row r="15" spans="1:18">
      <c r="F15" s="73"/>
      <c r="R15"/>
    </row>
    <row r="16" spans="1:18">
      <c r="F16" s="73"/>
      <c r="R16"/>
    </row>
    <row r="17" spans="6:18">
      <c r="F17" s="73"/>
      <c r="R17"/>
    </row>
    <row r="18" spans="6:18">
      <c r="F18" s="73"/>
      <c r="R18"/>
    </row>
    <row r="19" spans="6:18">
      <c r="F19" s="73"/>
      <c r="R19"/>
    </row>
    <row r="20" spans="6:18">
      <c r="F20" s="73"/>
      <c r="R20"/>
    </row>
    <row r="21" spans="6:18">
      <c r="F21" s="73"/>
      <c r="R21"/>
    </row>
    <row r="22" spans="6:18">
      <c r="F22" s="73"/>
      <c r="R22"/>
    </row>
    <row r="23" spans="6:18">
      <c r="F23" s="73"/>
      <c r="R23"/>
    </row>
    <row r="24" spans="6:18">
      <c r="F24" s="73"/>
      <c r="R24"/>
    </row>
    <row r="25" spans="6:18">
      <c r="F25" s="73"/>
      <c r="R25"/>
    </row>
    <row r="26" spans="6:18">
      <c r="F26" s="73"/>
      <c r="R26"/>
    </row>
    <row r="27" spans="6:18">
      <c r="F27" s="73"/>
      <c r="R27"/>
    </row>
    <row r="28" spans="6:18">
      <c r="F28" s="73"/>
      <c r="R28"/>
    </row>
    <row r="29" spans="6:18">
      <c r="F29" s="73"/>
      <c r="R29"/>
    </row>
    <row r="30" spans="6:18">
      <c r="F30" s="73"/>
      <c r="R30"/>
    </row>
    <row r="31" spans="6:18">
      <c r="F31" s="73"/>
      <c r="R31"/>
    </row>
    <row r="32" spans="6:18">
      <c r="F32" s="73"/>
      <c r="R32"/>
    </row>
    <row r="33" spans="6:18">
      <c r="F33" s="73"/>
      <c r="R33"/>
    </row>
    <row r="34" spans="6:18">
      <c r="F34" s="73"/>
      <c r="R34"/>
    </row>
    <row r="35" spans="6:18">
      <c r="F35" s="73"/>
      <c r="R35"/>
    </row>
    <row r="36" spans="6:18">
      <c r="F36" s="73"/>
      <c r="R36"/>
    </row>
    <row r="37" spans="6:18">
      <c r="F37" s="73"/>
      <c r="R37"/>
    </row>
    <row r="38" spans="6:18">
      <c r="F38" s="73"/>
      <c r="R38"/>
    </row>
    <row r="39" spans="6:18">
      <c r="F39" s="73"/>
      <c r="R39"/>
    </row>
    <row r="40" spans="6:18">
      <c r="F40" s="73"/>
      <c r="R40"/>
    </row>
    <row r="41" spans="6:18">
      <c r="F41" s="73"/>
      <c r="R41"/>
    </row>
    <row r="42" spans="6:18">
      <c r="F42" s="73"/>
      <c r="R42"/>
    </row>
    <row r="43" spans="6:18">
      <c r="F43" s="73"/>
      <c r="R43"/>
    </row>
    <row r="44" spans="6:18">
      <c r="F44" s="73"/>
      <c r="R44"/>
    </row>
    <row r="45" spans="6:18">
      <c r="F45" s="73"/>
      <c r="R45"/>
    </row>
    <row r="46" spans="6:18">
      <c r="F46" s="73"/>
      <c r="R46"/>
    </row>
    <row r="47" spans="6:18">
      <c r="F47" s="73"/>
      <c r="R47"/>
    </row>
    <row r="48" spans="6:18">
      <c r="F48" s="73"/>
      <c r="R48"/>
    </row>
    <row r="49" spans="6:18">
      <c r="F49" s="73"/>
      <c r="R49"/>
    </row>
    <row r="50" spans="6:18">
      <c r="F50" s="73"/>
      <c r="R50"/>
    </row>
    <row r="51" spans="6:18">
      <c r="F51" s="73"/>
      <c r="R51"/>
    </row>
    <row r="52" spans="6:18">
      <c r="F52" s="73"/>
      <c r="R52"/>
    </row>
    <row r="53" spans="6:18">
      <c r="F53" s="73"/>
      <c r="R53"/>
    </row>
    <row r="54" spans="6:18">
      <c r="F54" s="73"/>
      <c r="R54"/>
    </row>
    <row r="55" spans="6:18">
      <c r="F55" s="73"/>
      <c r="R55"/>
    </row>
    <row r="56" spans="6:18">
      <c r="F56" s="73"/>
      <c r="R56"/>
    </row>
    <row r="57" spans="6:18">
      <c r="F57" s="73"/>
      <c r="R57"/>
    </row>
    <row r="58" spans="6:18">
      <c r="F58" s="73"/>
      <c r="R58"/>
    </row>
    <row r="59" spans="6:18">
      <c r="F59" s="73"/>
      <c r="R59"/>
    </row>
    <row r="60" spans="6:18">
      <c r="F60" s="73"/>
      <c r="R60"/>
    </row>
    <row r="61" spans="6:18">
      <c r="F61" s="73"/>
      <c r="R61"/>
    </row>
    <row r="62" spans="6:18">
      <c r="F62" s="73"/>
      <c r="R62"/>
    </row>
    <row r="63" spans="6:18">
      <c r="F63" s="73"/>
      <c r="R63"/>
    </row>
    <row r="64" spans="6:18">
      <c r="F64" s="73"/>
      <c r="R64"/>
    </row>
    <row r="65" spans="6:18">
      <c r="F65" s="73"/>
      <c r="R65"/>
    </row>
    <row r="66" spans="6:18">
      <c r="F66" s="73"/>
      <c r="R66"/>
    </row>
    <row r="67" spans="6:18">
      <c r="F67" s="73"/>
      <c r="R67"/>
    </row>
    <row r="68" spans="6:18">
      <c r="F68" s="73"/>
      <c r="R68"/>
    </row>
    <row r="69" spans="6:18">
      <c r="F69" s="73"/>
      <c r="R69"/>
    </row>
    <row r="70" spans="6:18">
      <c r="F70" s="73"/>
      <c r="R70"/>
    </row>
    <row r="71" spans="6:18">
      <c r="F71" s="73"/>
      <c r="R71"/>
    </row>
    <row r="72" spans="6:18">
      <c r="F72" s="73"/>
      <c r="R72"/>
    </row>
    <row r="73" spans="6:18">
      <c r="F73" s="73"/>
      <c r="R73"/>
    </row>
    <row r="74" spans="6:18">
      <c r="F74" s="73"/>
      <c r="R74"/>
    </row>
    <row r="75" spans="6:18">
      <c r="F75" s="73"/>
      <c r="R75"/>
    </row>
    <row r="76" spans="6:18">
      <c r="F76" s="73"/>
      <c r="R76"/>
    </row>
    <row r="77" spans="6:18">
      <c r="F77" s="73"/>
      <c r="R77"/>
    </row>
    <row r="78" spans="6:18">
      <c r="F78" s="73"/>
      <c r="R78"/>
    </row>
    <row r="79" spans="6:18">
      <c r="F79" s="73"/>
      <c r="R79"/>
    </row>
    <row r="80" spans="6:18">
      <c r="F80" s="73"/>
      <c r="R80"/>
    </row>
    <row r="81" spans="6:18">
      <c r="F81" s="73"/>
      <c r="R81"/>
    </row>
    <row r="82" spans="6:18">
      <c r="F82" s="73"/>
      <c r="R82"/>
    </row>
    <row r="83" spans="6:18">
      <c r="F83" s="73"/>
      <c r="R83"/>
    </row>
    <row r="84" spans="6:18">
      <c r="F84" s="73"/>
      <c r="R84"/>
    </row>
    <row r="85" spans="6:18">
      <c r="F85" s="73"/>
      <c r="R85"/>
    </row>
    <row r="86" spans="6:18">
      <c r="F86" s="73"/>
      <c r="R86"/>
    </row>
    <row r="87" spans="6:18">
      <c r="F87" s="73"/>
      <c r="R87"/>
    </row>
    <row r="88" spans="6:18">
      <c r="F88" s="73"/>
      <c r="R88"/>
    </row>
    <row r="89" spans="6:18">
      <c r="F89" s="73"/>
      <c r="R89"/>
    </row>
    <row r="90" spans="6:18">
      <c r="F90" s="73"/>
      <c r="R90"/>
    </row>
    <row r="91" spans="6:18">
      <c r="F91" s="73"/>
      <c r="R91"/>
    </row>
    <row r="92" spans="6:18">
      <c r="F92" s="73"/>
      <c r="R92"/>
    </row>
    <row r="93" spans="6:18">
      <c r="F93" s="73"/>
      <c r="R93"/>
    </row>
    <row r="94" spans="6:18">
      <c r="F94" s="73"/>
      <c r="R94"/>
    </row>
    <row r="95" spans="6:18">
      <c r="F95" s="73"/>
      <c r="R95"/>
    </row>
    <row r="96" spans="6:18">
      <c r="F96" s="73"/>
      <c r="R96"/>
    </row>
    <row r="97" spans="6:18">
      <c r="F97" s="73"/>
      <c r="R97"/>
    </row>
    <row r="98" spans="6:18">
      <c r="F98" s="73"/>
      <c r="R98"/>
    </row>
    <row r="99" spans="6:18">
      <c r="F99" s="73"/>
      <c r="R99"/>
    </row>
    <row r="100" spans="6:18">
      <c r="F100" s="73"/>
      <c r="R100"/>
    </row>
    <row r="101" spans="6:18">
      <c r="F101" s="73"/>
      <c r="R101"/>
    </row>
    <row r="102" spans="6:18">
      <c r="F102" s="73"/>
      <c r="R102"/>
    </row>
    <row r="103" spans="6:18">
      <c r="F103" s="73"/>
      <c r="R103"/>
    </row>
    <row r="104" spans="6:18">
      <c r="F104" s="73"/>
      <c r="R104"/>
    </row>
    <row r="105" spans="6:18">
      <c r="F105" s="73"/>
      <c r="R105"/>
    </row>
    <row r="106" spans="6:18">
      <c r="F106" s="73"/>
      <c r="R106"/>
    </row>
    <row r="107" spans="6:18">
      <c r="F107" s="73"/>
      <c r="R107"/>
    </row>
    <row r="108" spans="6:18">
      <c r="F108" s="73"/>
      <c r="R108"/>
    </row>
    <row r="109" spans="6:18">
      <c r="F109" s="73"/>
      <c r="R109"/>
    </row>
    <row r="110" spans="6:18">
      <c r="F110" s="73"/>
      <c r="R110"/>
    </row>
    <row r="111" spans="6:18">
      <c r="F111" s="73"/>
      <c r="R111"/>
    </row>
    <row r="112" spans="6:18">
      <c r="F112" s="73"/>
      <c r="R112"/>
    </row>
    <row r="113" spans="6:18">
      <c r="F113" s="73"/>
      <c r="R113"/>
    </row>
    <row r="114" spans="6:18">
      <c r="F114" s="73"/>
      <c r="R114"/>
    </row>
    <row r="115" spans="6:18">
      <c r="F115" s="73"/>
      <c r="R115"/>
    </row>
    <row r="116" spans="6:18">
      <c r="F116" s="73"/>
      <c r="R116"/>
    </row>
    <row r="117" spans="6:18">
      <c r="F117" s="73"/>
      <c r="R117"/>
    </row>
    <row r="118" spans="6:18">
      <c r="F118" s="73"/>
      <c r="R118"/>
    </row>
    <row r="119" spans="6:18">
      <c r="F119" s="73"/>
      <c r="R119"/>
    </row>
    <row r="120" spans="6:18">
      <c r="F120" s="73"/>
      <c r="R120"/>
    </row>
    <row r="121" spans="6:18">
      <c r="F121" s="73"/>
      <c r="R121"/>
    </row>
    <row r="122" spans="6:18">
      <c r="F122" s="73"/>
      <c r="R122"/>
    </row>
    <row r="123" spans="6:18">
      <c r="F123" s="73"/>
      <c r="R123"/>
    </row>
    <row r="124" spans="6:18">
      <c r="F124" s="73"/>
      <c r="R124"/>
    </row>
    <row r="125" spans="6:18">
      <c r="F125" s="73"/>
      <c r="R125"/>
    </row>
    <row r="126" spans="6:18">
      <c r="F126" s="73"/>
      <c r="R126"/>
    </row>
    <row r="127" spans="6:18">
      <c r="F127" s="73"/>
      <c r="R127"/>
    </row>
    <row r="128" spans="6:18">
      <c r="F128" s="73"/>
      <c r="R128"/>
    </row>
    <row r="129" spans="6:18">
      <c r="F129" s="73"/>
      <c r="R129"/>
    </row>
    <row r="130" spans="6:18">
      <c r="F130" s="73"/>
      <c r="R130"/>
    </row>
    <row r="131" spans="6:18">
      <c r="F131" s="73"/>
      <c r="R131"/>
    </row>
    <row r="132" spans="6:18">
      <c r="F132" s="73"/>
      <c r="R132"/>
    </row>
    <row r="133" spans="6:18">
      <c r="F133" s="73"/>
      <c r="R133"/>
    </row>
    <row r="134" spans="6:18">
      <c r="F134" s="73"/>
      <c r="R134"/>
    </row>
    <row r="135" spans="6:18">
      <c r="F135" s="73"/>
      <c r="R135"/>
    </row>
    <row r="136" spans="6:18">
      <c r="F136" s="73"/>
      <c r="R136"/>
    </row>
    <row r="137" spans="6:18">
      <c r="F137" s="73"/>
      <c r="R137"/>
    </row>
    <row r="138" spans="6:18">
      <c r="F138" s="73"/>
      <c r="R138"/>
    </row>
    <row r="139" spans="6:18">
      <c r="F139" s="73"/>
      <c r="R139"/>
    </row>
    <row r="140" spans="6:18">
      <c r="F140" s="73"/>
      <c r="R140"/>
    </row>
    <row r="141" spans="6:18">
      <c r="F141" s="73"/>
      <c r="R141"/>
    </row>
    <row r="142" spans="6:18">
      <c r="F142" s="73"/>
      <c r="R142"/>
    </row>
    <row r="143" spans="6:18">
      <c r="F143" s="73"/>
      <c r="R143"/>
    </row>
    <row r="144" spans="6:18">
      <c r="F144" s="73"/>
      <c r="R144"/>
    </row>
    <row r="145" spans="6:18">
      <c r="F145" s="73"/>
      <c r="R145"/>
    </row>
    <row r="146" spans="6:18">
      <c r="F146" s="73"/>
      <c r="R146"/>
    </row>
    <row r="147" spans="6:18">
      <c r="F147" s="73"/>
      <c r="R147"/>
    </row>
    <row r="148" spans="6:18">
      <c r="F148" s="73"/>
      <c r="R148"/>
    </row>
    <row r="149" spans="6:18">
      <c r="F149" s="73"/>
      <c r="R149"/>
    </row>
    <row r="150" spans="6:18">
      <c r="F150" s="73"/>
      <c r="R150"/>
    </row>
    <row r="151" spans="6:18">
      <c r="F151" s="73"/>
      <c r="R151"/>
    </row>
    <row r="152" spans="6:18">
      <c r="F152" s="73"/>
      <c r="R152"/>
    </row>
    <row r="153" spans="6:18">
      <c r="F153" s="73"/>
      <c r="R153"/>
    </row>
    <row r="154" spans="6:18">
      <c r="F154" s="73"/>
      <c r="R154"/>
    </row>
    <row r="155" spans="6:18">
      <c r="F155" s="73"/>
      <c r="R155"/>
    </row>
    <row r="156" spans="6:18">
      <c r="F156" s="73"/>
      <c r="R156"/>
    </row>
    <row r="157" spans="6:18">
      <c r="F157" s="73"/>
      <c r="R157"/>
    </row>
    <row r="158" spans="6:18">
      <c r="F158" s="73"/>
      <c r="R158"/>
    </row>
    <row r="159" spans="6:18">
      <c r="F159" s="73"/>
      <c r="R159"/>
    </row>
    <row r="160" spans="6:18">
      <c r="F160" s="73"/>
      <c r="R160"/>
    </row>
    <row r="161" spans="6:18">
      <c r="F161" s="73"/>
      <c r="R161"/>
    </row>
    <row r="162" spans="6:18">
      <c r="F162" s="73"/>
      <c r="R162"/>
    </row>
    <row r="163" spans="6:18">
      <c r="F163" s="73"/>
      <c r="R163"/>
    </row>
    <row r="164" spans="6:18">
      <c r="F164" s="73"/>
      <c r="R164"/>
    </row>
    <row r="165" spans="6:18">
      <c r="F165" s="73"/>
      <c r="R165"/>
    </row>
    <row r="166" spans="6:18">
      <c r="F166" s="73"/>
      <c r="R166"/>
    </row>
    <row r="167" spans="6:18">
      <c r="F167" s="73"/>
      <c r="R167"/>
    </row>
    <row r="168" spans="6:18">
      <c r="F168" s="73"/>
      <c r="R168"/>
    </row>
    <row r="169" spans="6:18">
      <c r="F169" s="73"/>
      <c r="R169"/>
    </row>
    <row r="170" spans="6:18">
      <c r="F170" s="73"/>
      <c r="R170"/>
    </row>
    <row r="171" spans="6:18">
      <c r="F171" s="73"/>
      <c r="R171"/>
    </row>
    <row r="172" spans="6:18">
      <c r="F172" s="73"/>
      <c r="R172"/>
    </row>
    <row r="173" spans="6:18">
      <c r="F173" s="73"/>
      <c r="R173"/>
    </row>
    <row r="174" spans="6:18">
      <c r="F174" s="73"/>
      <c r="R174"/>
    </row>
    <row r="175" spans="6:18">
      <c r="F175" s="73"/>
      <c r="R175"/>
    </row>
    <row r="176" spans="6:18">
      <c r="F176" s="73"/>
      <c r="R176"/>
    </row>
    <row r="177" spans="6:18">
      <c r="F177" s="73"/>
      <c r="R177"/>
    </row>
    <row r="178" spans="6:18">
      <c r="F178" s="73"/>
      <c r="R178"/>
    </row>
    <row r="179" spans="6:18">
      <c r="F179" s="73"/>
      <c r="R179"/>
    </row>
    <row r="180" spans="6:18">
      <c r="F180" s="73"/>
      <c r="R180"/>
    </row>
    <row r="181" spans="6:18">
      <c r="F181" s="73"/>
      <c r="R181"/>
    </row>
    <row r="182" spans="6:18">
      <c r="F182" s="73"/>
      <c r="R182"/>
    </row>
    <row r="183" spans="6:18">
      <c r="F183" s="73"/>
      <c r="R183"/>
    </row>
    <row r="184" spans="6:18">
      <c r="F184" s="73"/>
      <c r="R184"/>
    </row>
    <row r="185" spans="6:18">
      <c r="F185" s="73"/>
      <c r="R185"/>
    </row>
    <row r="186" spans="6:18">
      <c r="F186" s="73"/>
      <c r="R186"/>
    </row>
    <row r="187" spans="6:18">
      <c r="F187" s="73"/>
      <c r="R187"/>
    </row>
    <row r="188" spans="6:18">
      <c r="F188" s="73"/>
      <c r="R188"/>
    </row>
    <row r="189" spans="6:18">
      <c r="F189" s="73"/>
      <c r="R189"/>
    </row>
    <row r="190" spans="6:18">
      <c r="F190" s="73"/>
      <c r="R190"/>
    </row>
    <row r="191" spans="6:18">
      <c r="F191" s="73"/>
      <c r="R191"/>
    </row>
    <row r="192" spans="6:18">
      <c r="F192" s="73"/>
      <c r="R192"/>
    </row>
    <row r="193" spans="6:18">
      <c r="F193" s="73"/>
      <c r="R193"/>
    </row>
    <row r="194" spans="6:18">
      <c r="F194" s="73"/>
      <c r="R194"/>
    </row>
    <row r="195" spans="6:18">
      <c r="F195" s="73"/>
      <c r="R195"/>
    </row>
    <row r="196" spans="6:18">
      <c r="F196" s="73"/>
      <c r="R196"/>
    </row>
    <row r="197" spans="6:18">
      <c r="F197" s="73"/>
      <c r="R197"/>
    </row>
    <row r="198" spans="6:18">
      <c r="F198" s="73"/>
      <c r="R198"/>
    </row>
    <row r="199" spans="6:18">
      <c r="F199" s="73"/>
      <c r="R199"/>
    </row>
    <row r="200" spans="6:18">
      <c r="F200" s="73"/>
      <c r="R200"/>
    </row>
    <row r="201" spans="6:18">
      <c r="F201" s="73"/>
      <c r="R201"/>
    </row>
    <row r="202" spans="6:18">
      <c r="F202" s="73"/>
      <c r="R202"/>
    </row>
    <row r="203" spans="6:18">
      <c r="F203" s="73"/>
      <c r="R203"/>
    </row>
    <row r="204" spans="6:18">
      <c r="F204" s="73"/>
      <c r="R204"/>
    </row>
    <row r="205" spans="6:18">
      <c r="F205" s="73"/>
      <c r="R205"/>
    </row>
    <row r="206" spans="6:18">
      <c r="F206" s="73"/>
      <c r="R206"/>
    </row>
    <row r="207" spans="6:18">
      <c r="F207" s="73"/>
      <c r="R207"/>
    </row>
    <row r="208" spans="6:18">
      <c r="F208" s="73"/>
      <c r="R208"/>
    </row>
    <row r="209" spans="6:18">
      <c r="F209" s="73"/>
      <c r="R209"/>
    </row>
    <row r="210" spans="6:18">
      <c r="F210" s="73"/>
      <c r="R210"/>
    </row>
    <row r="211" spans="6:18">
      <c r="F211" s="73"/>
      <c r="R211"/>
    </row>
    <row r="212" spans="6:18">
      <c r="F212" s="73"/>
      <c r="R212"/>
    </row>
    <row r="213" spans="6:18">
      <c r="F213" s="73"/>
      <c r="R213"/>
    </row>
    <row r="214" spans="6:18">
      <c r="F214" s="73"/>
      <c r="R214"/>
    </row>
    <row r="215" spans="6:18">
      <c r="F215" s="73"/>
      <c r="R215"/>
    </row>
    <row r="216" spans="6:18">
      <c r="F216" s="73"/>
      <c r="R216"/>
    </row>
    <row r="217" spans="6:18">
      <c r="F217" s="73"/>
      <c r="R217"/>
    </row>
    <row r="218" spans="6:18">
      <c r="F218" s="73"/>
      <c r="R218"/>
    </row>
    <row r="219" spans="6:18">
      <c r="F219" s="73"/>
      <c r="R219"/>
    </row>
    <row r="220" spans="6:18">
      <c r="F220" s="73"/>
      <c r="R220"/>
    </row>
    <row r="221" spans="6:18">
      <c r="F221" s="73"/>
      <c r="R221"/>
    </row>
    <row r="222" spans="6:18">
      <c r="F222" s="73"/>
      <c r="R222"/>
    </row>
    <row r="223" spans="6:18">
      <c r="F223" s="73"/>
      <c r="R223"/>
    </row>
    <row r="224" spans="6:18">
      <c r="F224" s="73"/>
      <c r="R224"/>
    </row>
    <row r="225" spans="6:18">
      <c r="F225" s="73"/>
      <c r="R225"/>
    </row>
    <row r="226" spans="6:18">
      <c r="F226" s="73"/>
      <c r="R226"/>
    </row>
    <row r="227" spans="6:18">
      <c r="F227" s="73"/>
      <c r="R227"/>
    </row>
    <row r="228" spans="6:18">
      <c r="F228" s="73"/>
      <c r="R228"/>
    </row>
    <row r="229" spans="6:18">
      <c r="F229" s="73"/>
      <c r="R229"/>
    </row>
    <row r="230" spans="6:18">
      <c r="F230" s="73"/>
      <c r="R230"/>
    </row>
    <row r="231" spans="6:18">
      <c r="F231" s="73"/>
      <c r="R231"/>
    </row>
    <row r="232" spans="6:18">
      <c r="F232" s="73"/>
      <c r="R232"/>
    </row>
    <row r="233" spans="6:18">
      <c r="F233" s="73"/>
      <c r="R233"/>
    </row>
    <row r="234" spans="6:18">
      <c r="F234" s="73"/>
      <c r="R234"/>
    </row>
    <row r="235" spans="6:18">
      <c r="F235" s="73"/>
      <c r="R235"/>
    </row>
    <row r="236" spans="6:18">
      <c r="F236" s="73"/>
      <c r="R236"/>
    </row>
    <row r="237" spans="6:18">
      <c r="F237" s="73"/>
      <c r="R237"/>
    </row>
    <row r="238" spans="6:18">
      <c r="F238" s="73"/>
      <c r="R238"/>
    </row>
    <row r="239" spans="6:18">
      <c r="F239" s="73"/>
      <c r="R239"/>
    </row>
    <row r="240" spans="6:18">
      <c r="F240" s="73"/>
      <c r="R240"/>
    </row>
    <row r="241" spans="6:18">
      <c r="F241" s="73"/>
      <c r="R241"/>
    </row>
    <row r="242" spans="6:18">
      <c r="F242" s="73"/>
      <c r="R242"/>
    </row>
    <row r="243" spans="6:18">
      <c r="F243" s="73"/>
      <c r="R243"/>
    </row>
    <row r="244" spans="6:18">
      <c r="F244" s="73"/>
      <c r="R244"/>
    </row>
    <row r="245" spans="6:18">
      <c r="F245" s="73"/>
      <c r="R245"/>
    </row>
    <row r="246" spans="6:18">
      <c r="F246" s="73"/>
      <c r="R246"/>
    </row>
    <row r="247" spans="6:18">
      <c r="F247" s="73"/>
      <c r="R247"/>
    </row>
    <row r="248" spans="6:18">
      <c r="F248" s="73"/>
      <c r="R248"/>
    </row>
    <row r="249" spans="6:18">
      <c r="F249" s="73"/>
      <c r="R249"/>
    </row>
    <row r="250" spans="6:18">
      <c r="F250" s="73"/>
      <c r="R250"/>
    </row>
    <row r="251" spans="6:18">
      <c r="F251" s="73"/>
      <c r="R251"/>
    </row>
    <row r="252" spans="6:18">
      <c r="F252" s="73"/>
      <c r="R252"/>
    </row>
    <row r="253" spans="6:18">
      <c r="F253" s="73"/>
      <c r="R253"/>
    </row>
    <row r="254" spans="6:18">
      <c r="F254" s="73"/>
      <c r="R254"/>
    </row>
    <row r="255" spans="6:18">
      <c r="F255" s="73"/>
      <c r="R255"/>
    </row>
    <row r="256" spans="6:18">
      <c r="F256" s="73"/>
      <c r="R256"/>
    </row>
    <row r="257" spans="6:18">
      <c r="F257" s="73"/>
      <c r="R257"/>
    </row>
    <row r="258" spans="6:18">
      <c r="F258" s="73"/>
      <c r="R258"/>
    </row>
    <row r="259" spans="6:18">
      <c r="F259" s="73"/>
      <c r="R259"/>
    </row>
    <row r="260" spans="6:18">
      <c r="F260" s="73"/>
      <c r="R260"/>
    </row>
    <row r="261" spans="6:18">
      <c r="F261" s="73"/>
      <c r="R261"/>
    </row>
    <row r="262" spans="6:18">
      <c r="F262" s="73"/>
      <c r="R262"/>
    </row>
    <row r="263" spans="6:18">
      <c r="F263" s="73"/>
      <c r="R263"/>
    </row>
    <row r="264" spans="6:18">
      <c r="F264" s="73"/>
      <c r="R264"/>
    </row>
    <row r="265" spans="6:18">
      <c r="F265" s="73"/>
      <c r="R265"/>
    </row>
    <row r="266" spans="6:18">
      <c r="F266" s="73"/>
      <c r="R266"/>
    </row>
    <row r="267" spans="6:18">
      <c r="F267" s="73"/>
      <c r="R267"/>
    </row>
    <row r="268" spans="6:18">
      <c r="F268" s="73"/>
      <c r="R268"/>
    </row>
    <row r="269" spans="6:18">
      <c r="F269" s="73"/>
      <c r="R269"/>
    </row>
    <row r="270" spans="6:18">
      <c r="F270" s="73"/>
      <c r="R270"/>
    </row>
    <row r="271" spans="6:18">
      <c r="F271" s="73"/>
      <c r="R271"/>
    </row>
    <row r="272" spans="6:18">
      <c r="F272" s="73"/>
      <c r="R272"/>
    </row>
    <row r="273" spans="6:18">
      <c r="F273" s="73"/>
      <c r="R273"/>
    </row>
    <row r="274" spans="6:18">
      <c r="F274" s="73"/>
      <c r="R274"/>
    </row>
    <row r="275" spans="6:18">
      <c r="F275" s="73"/>
      <c r="R275"/>
    </row>
    <row r="276" spans="6:18">
      <c r="F276" s="73"/>
      <c r="R276"/>
    </row>
    <row r="277" spans="6:18">
      <c r="F277" s="73"/>
      <c r="R277"/>
    </row>
    <row r="278" spans="6:18">
      <c r="F278" s="73"/>
      <c r="R278"/>
    </row>
    <row r="279" spans="6:18">
      <c r="F279" s="73"/>
      <c r="R279"/>
    </row>
    <row r="280" spans="6:18">
      <c r="F280" s="73"/>
      <c r="R280"/>
    </row>
    <row r="281" spans="6:18">
      <c r="F281" s="73"/>
      <c r="R281"/>
    </row>
    <row r="282" spans="6:18">
      <c r="F282" s="73"/>
      <c r="R282"/>
    </row>
    <row r="283" spans="6:18">
      <c r="F283" s="73"/>
      <c r="R283"/>
    </row>
    <row r="284" spans="6:18">
      <c r="F284" s="73"/>
      <c r="R284"/>
    </row>
    <row r="285" spans="6:18">
      <c r="F285" s="73"/>
      <c r="R285"/>
    </row>
    <row r="286" spans="6:18">
      <c r="F286" s="73"/>
      <c r="R286"/>
    </row>
    <row r="287" spans="6:18">
      <c r="F287" s="73"/>
      <c r="R287"/>
    </row>
    <row r="288" spans="6:18">
      <c r="F288" s="73"/>
      <c r="R288"/>
    </row>
    <row r="289" spans="6:18">
      <c r="F289" s="73"/>
      <c r="R289"/>
    </row>
    <row r="290" spans="6:18">
      <c r="F290" s="73"/>
      <c r="R290"/>
    </row>
    <row r="291" spans="6:18">
      <c r="F291" s="73"/>
      <c r="R291"/>
    </row>
    <row r="292" spans="6:18">
      <c r="F292" s="73"/>
      <c r="R292"/>
    </row>
    <row r="293" spans="6:18">
      <c r="F293" s="73"/>
      <c r="R293"/>
    </row>
    <row r="294" spans="6:18">
      <c r="F294" s="73"/>
      <c r="R294"/>
    </row>
    <row r="295" spans="6:18">
      <c r="F295" s="73"/>
      <c r="R295"/>
    </row>
    <row r="296" spans="6:18">
      <c r="F296" s="73"/>
      <c r="R296"/>
    </row>
    <row r="297" spans="6:18">
      <c r="F297" s="73"/>
      <c r="R297"/>
    </row>
    <row r="298" spans="6:18">
      <c r="F298" s="73"/>
      <c r="R298"/>
    </row>
    <row r="299" spans="6:18">
      <c r="F299" s="73"/>
      <c r="R299"/>
    </row>
    <row r="300" spans="6:18">
      <c r="F300" s="73"/>
      <c r="R300"/>
    </row>
    <row r="301" spans="6:18">
      <c r="F301" s="73"/>
      <c r="R301"/>
    </row>
    <row r="302" spans="6:18">
      <c r="F302" s="73"/>
      <c r="R302"/>
    </row>
    <row r="303" spans="6:18">
      <c r="F303" s="73"/>
      <c r="R303"/>
    </row>
    <row r="304" spans="6:18">
      <c r="F304" s="73"/>
      <c r="R304"/>
    </row>
    <row r="305" spans="6:18">
      <c r="F305" s="73"/>
      <c r="R305"/>
    </row>
    <row r="306" spans="6:18">
      <c r="F306" s="73"/>
      <c r="R306"/>
    </row>
    <row r="307" spans="6:18">
      <c r="F307" s="73"/>
      <c r="R307"/>
    </row>
    <row r="308" spans="6:18">
      <c r="F308" s="73"/>
      <c r="R308"/>
    </row>
    <row r="309" spans="6:18">
      <c r="F309" s="73"/>
      <c r="R309"/>
    </row>
    <row r="310" spans="6:18">
      <c r="F310" s="73"/>
      <c r="R310"/>
    </row>
    <row r="311" spans="6:18">
      <c r="F311" s="73"/>
      <c r="R311"/>
    </row>
    <row r="312" spans="6:18">
      <c r="F312" s="73"/>
      <c r="R312"/>
    </row>
    <row r="313" spans="6:18">
      <c r="F313" s="73"/>
      <c r="R313"/>
    </row>
    <row r="314" spans="6:18">
      <c r="F314" s="73"/>
      <c r="R314"/>
    </row>
    <row r="315" spans="6:18">
      <c r="F315" s="73"/>
      <c r="R315"/>
    </row>
    <row r="316" spans="6:18">
      <c r="F316" s="73"/>
      <c r="R316"/>
    </row>
    <row r="317" spans="6:18">
      <c r="F317" s="73"/>
      <c r="R317"/>
    </row>
    <row r="318" spans="6:18">
      <c r="F318" s="73"/>
      <c r="R318"/>
    </row>
    <row r="319" spans="6:18">
      <c r="F319" s="73"/>
      <c r="R319"/>
    </row>
    <row r="320" spans="6:18">
      <c r="F320" s="73"/>
      <c r="R320"/>
    </row>
    <row r="321" spans="6:18">
      <c r="F321" s="73"/>
      <c r="R321"/>
    </row>
    <row r="322" spans="6:18">
      <c r="F322" s="73"/>
      <c r="R322"/>
    </row>
    <row r="323" spans="6:18">
      <c r="F323" s="73"/>
      <c r="R323"/>
    </row>
    <row r="324" spans="6:18">
      <c r="F324" s="73"/>
      <c r="R324"/>
    </row>
    <row r="325" spans="6:18">
      <c r="F325" s="73"/>
      <c r="R325"/>
    </row>
    <row r="326" spans="6:18">
      <c r="F326" s="73"/>
      <c r="R326"/>
    </row>
    <row r="327" spans="6:18">
      <c r="F327" s="73"/>
      <c r="R327"/>
    </row>
    <row r="328" spans="6:18">
      <c r="F328" s="73"/>
      <c r="R328"/>
    </row>
    <row r="329" spans="6:18">
      <c r="F329" s="73"/>
      <c r="R329"/>
    </row>
    <row r="330" spans="6:18">
      <c r="F330" s="73"/>
      <c r="R330"/>
    </row>
    <row r="331" spans="6:18">
      <c r="F331" s="73"/>
      <c r="R331"/>
    </row>
    <row r="332" spans="6:18">
      <c r="F332" s="73"/>
      <c r="R332"/>
    </row>
    <row r="333" spans="6:18">
      <c r="F333" s="73"/>
      <c r="R333"/>
    </row>
    <row r="334" spans="6:18">
      <c r="F334" s="73"/>
      <c r="R334"/>
    </row>
    <row r="335" spans="6:18">
      <c r="F335" s="73"/>
      <c r="R335"/>
    </row>
    <row r="336" spans="6:18">
      <c r="F336" s="73"/>
      <c r="R336"/>
    </row>
    <row r="337" spans="6:18">
      <c r="F337" s="73"/>
      <c r="R337"/>
    </row>
    <row r="338" spans="6:18">
      <c r="F338" s="73"/>
      <c r="R338"/>
    </row>
    <row r="339" spans="6:18">
      <c r="F339" s="73"/>
      <c r="R339"/>
    </row>
    <row r="340" spans="6:18">
      <c r="F340" s="73"/>
      <c r="R340"/>
    </row>
    <row r="341" spans="6:18">
      <c r="F341" s="73"/>
      <c r="R341"/>
    </row>
    <row r="342" spans="6:18">
      <c r="F342" s="73"/>
      <c r="R342"/>
    </row>
    <row r="343" spans="6:18">
      <c r="F343" s="73"/>
      <c r="R343"/>
    </row>
    <row r="344" spans="6:18">
      <c r="F344" s="73"/>
      <c r="R344"/>
    </row>
    <row r="345" spans="6:18">
      <c r="F345" s="73"/>
      <c r="R345"/>
    </row>
    <row r="346" spans="6:18">
      <c r="F346" s="73"/>
      <c r="R346"/>
    </row>
    <row r="347" spans="6:18">
      <c r="F347" s="73"/>
      <c r="R347"/>
    </row>
    <row r="348" spans="6:18">
      <c r="F348" s="73"/>
      <c r="R348"/>
    </row>
    <row r="349" spans="6:18">
      <c r="F349" s="73"/>
      <c r="R349"/>
    </row>
    <row r="350" spans="6:18">
      <c r="F350" s="73"/>
      <c r="R350"/>
    </row>
    <row r="351" spans="6:18">
      <c r="F351" s="73"/>
      <c r="R351"/>
    </row>
    <row r="352" spans="6:18">
      <c r="F352" s="73"/>
      <c r="R352"/>
    </row>
    <row r="353" spans="6:18">
      <c r="F353" s="73"/>
      <c r="R353"/>
    </row>
    <row r="354" spans="6:18">
      <c r="F354" s="73"/>
      <c r="R354"/>
    </row>
    <row r="355" spans="6:18">
      <c r="F355" s="73"/>
      <c r="R355"/>
    </row>
    <row r="356" spans="6:18">
      <c r="F356" s="73"/>
      <c r="R356"/>
    </row>
    <row r="357" spans="6:18">
      <c r="F357" s="73"/>
      <c r="R357"/>
    </row>
    <row r="358" spans="6:18">
      <c r="F358" s="73"/>
      <c r="R358"/>
    </row>
    <row r="359" spans="6:18">
      <c r="F359" s="73"/>
      <c r="R359"/>
    </row>
    <row r="360" spans="6:18">
      <c r="F360" s="73"/>
      <c r="R360"/>
    </row>
    <row r="361" spans="6:18">
      <c r="F361" s="73"/>
      <c r="R361"/>
    </row>
    <row r="362" spans="6:18">
      <c r="F362" s="73"/>
      <c r="R362"/>
    </row>
    <row r="363" spans="6:18">
      <c r="F363" s="73"/>
      <c r="R363"/>
    </row>
    <row r="364" spans="6:18">
      <c r="F364" s="73"/>
      <c r="R364"/>
    </row>
    <row r="365" spans="6:18">
      <c r="F365" s="73"/>
      <c r="R365"/>
    </row>
    <row r="366" spans="6:18">
      <c r="F366" s="73"/>
      <c r="R366"/>
    </row>
    <row r="367" spans="6:18">
      <c r="F367" s="73"/>
      <c r="R367"/>
    </row>
    <row r="368" spans="6:18">
      <c r="F368" s="73"/>
      <c r="R368"/>
    </row>
    <row r="369" spans="6:18">
      <c r="F369" s="73"/>
      <c r="R369"/>
    </row>
    <row r="370" spans="6:18">
      <c r="F370" s="73"/>
      <c r="R370"/>
    </row>
    <row r="371" spans="6:18">
      <c r="F371" s="73"/>
      <c r="R371"/>
    </row>
    <row r="372" spans="6:18">
      <c r="F372" s="73"/>
      <c r="R372"/>
    </row>
    <row r="373" spans="6:18">
      <c r="F373" s="73"/>
      <c r="R373"/>
    </row>
    <row r="374" spans="6:18">
      <c r="F374" s="73"/>
      <c r="R374"/>
    </row>
    <row r="375" spans="6:18">
      <c r="F375" s="73"/>
      <c r="R375"/>
    </row>
    <row r="376" spans="6:18">
      <c r="F376" s="73"/>
      <c r="R376"/>
    </row>
    <row r="377" spans="6:18">
      <c r="F377" s="73"/>
      <c r="R377"/>
    </row>
    <row r="378" spans="6:18">
      <c r="F378" s="73"/>
      <c r="R378"/>
    </row>
    <row r="379" spans="6:18">
      <c r="F379" s="73"/>
      <c r="R379"/>
    </row>
    <row r="380" spans="6:18">
      <c r="F380" s="73"/>
      <c r="R380"/>
    </row>
    <row r="381" spans="6:18">
      <c r="F381" s="73"/>
      <c r="R381"/>
    </row>
    <row r="382" spans="6:18">
      <c r="F382" s="73"/>
      <c r="R382"/>
    </row>
    <row r="383" spans="6:18">
      <c r="F383" s="73"/>
      <c r="R383"/>
    </row>
    <row r="384" spans="6:18">
      <c r="F384" s="73"/>
      <c r="R384"/>
    </row>
    <row r="385" spans="6:18">
      <c r="F385" s="73"/>
      <c r="R385"/>
    </row>
    <row r="386" spans="6:18">
      <c r="F386" s="73"/>
      <c r="R386"/>
    </row>
    <row r="387" spans="6:18">
      <c r="F387" s="73"/>
      <c r="R387"/>
    </row>
    <row r="388" spans="6:18">
      <c r="F388" s="73"/>
      <c r="R388"/>
    </row>
    <row r="389" spans="6:18">
      <c r="F389" s="73"/>
      <c r="R389"/>
    </row>
    <row r="390" spans="6:18">
      <c r="F390" s="73"/>
      <c r="R390"/>
    </row>
    <row r="391" spans="6:18">
      <c r="F391" s="73"/>
      <c r="R391"/>
    </row>
    <row r="392" spans="6:18">
      <c r="F392" s="73"/>
      <c r="R392"/>
    </row>
    <row r="393" spans="6:18">
      <c r="F393" s="73"/>
      <c r="R393"/>
    </row>
    <row r="394" spans="6:18">
      <c r="F394" s="73"/>
      <c r="R394"/>
    </row>
    <row r="395" spans="6:18">
      <c r="F395" s="73"/>
      <c r="R395"/>
    </row>
    <row r="396" spans="6:18">
      <c r="F396" s="73"/>
      <c r="R396"/>
    </row>
    <row r="397" spans="6:18">
      <c r="F397" s="73"/>
      <c r="R397"/>
    </row>
    <row r="398" spans="6:18">
      <c r="F398" s="73"/>
      <c r="R398"/>
    </row>
    <row r="399" spans="6:18">
      <c r="F399" s="73"/>
      <c r="R399"/>
    </row>
    <row r="400" spans="6:18">
      <c r="F400" s="73"/>
      <c r="R400"/>
    </row>
    <row r="401" spans="6:18">
      <c r="F401" s="73"/>
      <c r="R401"/>
    </row>
    <row r="402" spans="6:18">
      <c r="F402" s="73"/>
      <c r="R402"/>
    </row>
    <row r="403" spans="6:18">
      <c r="F403" s="73"/>
      <c r="R403"/>
    </row>
    <row r="404" spans="6:18">
      <c r="F404" s="73"/>
      <c r="R404"/>
    </row>
    <row r="405" spans="6:18">
      <c r="F405" s="73"/>
      <c r="R405"/>
    </row>
    <row r="406" spans="6:18">
      <c r="F406" s="73"/>
      <c r="R406"/>
    </row>
    <row r="407" spans="6:18">
      <c r="F407" s="73"/>
      <c r="R407"/>
    </row>
    <row r="408" spans="6:18">
      <c r="F408" s="73"/>
      <c r="R408"/>
    </row>
    <row r="409" spans="6:18">
      <c r="F409" s="73"/>
      <c r="R409"/>
    </row>
    <row r="410" spans="6:18">
      <c r="F410" s="73"/>
      <c r="R410"/>
    </row>
    <row r="411" spans="6:18">
      <c r="F411" s="73"/>
      <c r="R411"/>
    </row>
    <row r="412" spans="6:18">
      <c r="F412" s="73"/>
      <c r="R412"/>
    </row>
    <row r="413" spans="6:18">
      <c r="F413" s="73"/>
      <c r="R413"/>
    </row>
    <row r="414" spans="6:18">
      <c r="F414" s="73"/>
      <c r="R414"/>
    </row>
    <row r="415" spans="6:18">
      <c r="F415" s="73"/>
      <c r="R415"/>
    </row>
    <row r="416" spans="6:18">
      <c r="F416" s="73"/>
      <c r="R416"/>
    </row>
    <row r="417" spans="6:18">
      <c r="F417" s="73"/>
      <c r="R417"/>
    </row>
    <row r="418" spans="6:18">
      <c r="F418" s="73"/>
      <c r="R418"/>
    </row>
    <row r="419" spans="6:18">
      <c r="F419" s="73"/>
      <c r="R419"/>
    </row>
    <row r="420" spans="6:18">
      <c r="F420" s="73"/>
      <c r="R420"/>
    </row>
    <row r="421" spans="6:18">
      <c r="F421" s="73"/>
      <c r="R421"/>
    </row>
    <row r="422" spans="6:18">
      <c r="F422" s="73"/>
      <c r="R422"/>
    </row>
    <row r="423" spans="6:18">
      <c r="F423" s="73"/>
      <c r="R423"/>
    </row>
    <row r="424" spans="6:18">
      <c r="F424" s="73"/>
      <c r="R424"/>
    </row>
    <row r="425" spans="6:18">
      <c r="F425" s="73"/>
      <c r="R425"/>
    </row>
    <row r="426" spans="6:18">
      <c r="F426" s="73"/>
      <c r="R426"/>
    </row>
    <row r="427" spans="6:18">
      <c r="F427" s="73"/>
      <c r="R427"/>
    </row>
    <row r="428" spans="6:18">
      <c r="F428" s="73"/>
      <c r="R428"/>
    </row>
    <row r="429" spans="6:18">
      <c r="F429" s="73"/>
      <c r="R429"/>
    </row>
    <row r="430" spans="6:18">
      <c r="F430" s="73"/>
      <c r="R430"/>
    </row>
    <row r="431" spans="6:18">
      <c r="F431" s="73"/>
      <c r="R431"/>
    </row>
    <row r="432" spans="6:18">
      <c r="F432" s="73"/>
      <c r="R432"/>
    </row>
    <row r="433" spans="6:18">
      <c r="F433" s="73"/>
      <c r="R433"/>
    </row>
    <row r="434" spans="6:18">
      <c r="F434" s="73"/>
      <c r="R434"/>
    </row>
    <row r="435" spans="6:18">
      <c r="F435" s="73"/>
      <c r="R435"/>
    </row>
    <row r="436" spans="6:18">
      <c r="F436" s="73"/>
      <c r="R436"/>
    </row>
    <row r="437" spans="6:18">
      <c r="F437" s="73"/>
      <c r="R437"/>
    </row>
    <row r="438" spans="6:18">
      <c r="F438" s="73"/>
      <c r="R438"/>
    </row>
    <row r="439" spans="6:18">
      <c r="F439" s="73"/>
      <c r="R439"/>
    </row>
    <row r="440" spans="6:18">
      <c r="F440" s="73"/>
      <c r="R440"/>
    </row>
    <row r="441" spans="6:18">
      <c r="F441" s="73"/>
      <c r="R441"/>
    </row>
    <row r="442" spans="6:18">
      <c r="F442" s="73"/>
      <c r="R442"/>
    </row>
    <row r="443" spans="6:18">
      <c r="F443" s="73"/>
      <c r="R443"/>
    </row>
    <row r="444" spans="6:18">
      <c r="F444" s="73"/>
      <c r="R444"/>
    </row>
    <row r="445" spans="6:18">
      <c r="F445" s="73"/>
      <c r="R445"/>
    </row>
    <row r="446" spans="6:18">
      <c r="F446" s="73"/>
      <c r="R446"/>
    </row>
    <row r="447" spans="6:18">
      <c r="F447" s="73"/>
      <c r="R447"/>
    </row>
    <row r="448" spans="6:18">
      <c r="F448" s="73"/>
      <c r="R448"/>
    </row>
    <row r="449" spans="6:18">
      <c r="F449" s="73"/>
      <c r="R449"/>
    </row>
    <row r="450" spans="6:18">
      <c r="F450" s="73"/>
      <c r="R450"/>
    </row>
    <row r="451" spans="6:18">
      <c r="F451" s="73"/>
      <c r="R451"/>
    </row>
    <row r="452" spans="6:18">
      <c r="F452" s="73"/>
      <c r="R452"/>
    </row>
    <row r="453" spans="6:18">
      <c r="F453" s="73"/>
      <c r="R453"/>
    </row>
    <row r="454" spans="6:18">
      <c r="F454" s="73"/>
      <c r="R454"/>
    </row>
    <row r="455" spans="6:18">
      <c r="F455" s="73"/>
      <c r="R455"/>
    </row>
    <row r="456" spans="6:18">
      <c r="F456" s="73"/>
      <c r="R456"/>
    </row>
    <row r="457" spans="6:18">
      <c r="F457" s="73"/>
      <c r="R457"/>
    </row>
    <row r="458" spans="6:18">
      <c r="F458" s="73"/>
      <c r="R458"/>
    </row>
    <row r="459" spans="6:18">
      <c r="F459" s="73"/>
      <c r="R459"/>
    </row>
    <row r="460" spans="6:18">
      <c r="F460" s="73"/>
      <c r="R460"/>
    </row>
    <row r="461" spans="6:18">
      <c r="F461" s="73"/>
      <c r="R461"/>
    </row>
    <row r="462" spans="6:18">
      <c r="F462" s="73"/>
      <c r="R462"/>
    </row>
    <row r="463" spans="6:18">
      <c r="F463" s="73"/>
      <c r="R463"/>
    </row>
    <row r="464" spans="6:18">
      <c r="F464" s="73"/>
      <c r="R464"/>
    </row>
    <row r="465" spans="6:18">
      <c r="F465" s="73"/>
      <c r="R465"/>
    </row>
    <row r="466" spans="6:18">
      <c r="F466" s="73"/>
      <c r="R466"/>
    </row>
    <row r="467" spans="6:18">
      <c r="F467" s="73"/>
      <c r="R467"/>
    </row>
    <row r="468" spans="6:18">
      <c r="F468" s="73"/>
      <c r="R468"/>
    </row>
    <row r="469" spans="6:18">
      <c r="F469" s="73"/>
      <c r="R469"/>
    </row>
    <row r="470" spans="6:18">
      <c r="F470" s="73"/>
      <c r="R470"/>
    </row>
    <row r="471" spans="6:18">
      <c r="F471" s="73"/>
      <c r="R471"/>
    </row>
    <row r="472" spans="6:18">
      <c r="F472" s="73"/>
      <c r="R472"/>
    </row>
    <row r="473" spans="6:18">
      <c r="F473" s="73"/>
      <c r="R473"/>
    </row>
    <row r="474" spans="6:18">
      <c r="F474" s="73"/>
      <c r="R474"/>
    </row>
    <row r="475" spans="6:18">
      <c r="F475" s="73"/>
      <c r="R475"/>
    </row>
    <row r="476" spans="6:18">
      <c r="F476" s="73"/>
      <c r="R476"/>
    </row>
    <row r="477" spans="6:18">
      <c r="F477" s="73"/>
      <c r="R477"/>
    </row>
    <row r="478" spans="6:18">
      <c r="F478" s="73"/>
      <c r="R478"/>
    </row>
    <row r="479" spans="6:18">
      <c r="F479" s="73"/>
      <c r="R479"/>
    </row>
    <row r="480" spans="6:18">
      <c r="F480" s="73"/>
      <c r="R480"/>
    </row>
    <row r="481" spans="6:18">
      <c r="F481" s="73"/>
      <c r="R481"/>
    </row>
    <row r="482" spans="6:18">
      <c r="F482" s="73"/>
      <c r="R482"/>
    </row>
    <row r="483" spans="6:18">
      <c r="F483" s="73"/>
      <c r="R483"/>
    </row>
    <row r="484" spans="6:18">
      <c r="F484" s="73"/>
      <c r="R484"/>
    </row>
    <row r="485" spans="6:18">
      <c r="F485" s="73"/>
      <c r="R485"/>
    </row>
    <row r="486" spans="6:18">
      <c r="F486" s="73"/>
      <c r="R486"/>
    </row>
    <row r="487" spans="6:18">
      <c r="F487" s="73"/>
      <c r="R487"/>
    </row>
    <row r="488" spans="6:18">
      <c r="F488" s="73"/>
      <c r="R488"/>
    </row>
    <row r="489" spans="6:18">
      <c r="F489" s="73"/>
      <c r="R489"/>
    </row>
    <row r="490" spans="6:18">
      <c r="F490" s="73"/>
      <c r="R490"/>
    </row>
    <row r="491" spans="6:18">
      <c r="F491" s="73"/>
      <c r="R491"/>
    </row>
    <row r="492" spans="6:18">
      <c r="F492" s="73"/>
      <c r="R492"/>
    </row>
    <row r="493" spans="6:18">
      <c r="F493" s="73"/>
      <c r="R493"/>
    </row>
    <row r="494" spans="6:18">
      <c r="F494" s="73"/>
      <c r="R494"/>
    </row>
    <row r="495" spans="6:18">
      <c r="F495" s="73"/>
      <c r="R495"/>
    </row>
    <row r="496" spans="6:18">
      <c r="F496" s="73"/>
      <c r="R496"/>
    </row>
    <row r="497" spans="6:18">
      <c r="F497" s="73"/>
      <c r="R497"/>
    </row>
    <row r="498" spans="6:18">
      <c r="F498" s="73"/>
      <c r="R498"/>
    </row>
    <row r="499" spans="6:18">
      <c r="F499" s="73"/>
      <c r="R499"/>
    </row>
    <row r="500" spans="6:18">
      <c r="F500" s="73"/>
      <c r="R500"/>
    </row>
    <row r="501" spans="6:18">
      <c r="F501" s="73"/>
      <c r="R501"/>
    </row>
    <row r="502" spans="6:18">
      <c r="F502" s="73"/>
      <c r="R502"/>
    </row>
    <row r="503" spans="6:18">
      <c r="F503" s="73"/>
      <c r="R503"/>
    </row>
    <row r="504" spans="6:18">
      <c r="F504" s="73"/>
      <c r="R504"/>
    </row>
    <row r="505" spans="6:18">
      <c r="F505" s="73"/>
      <c r="R505"/>
    </row>
    <row r="506" spans="6:18">
      <c r="F506" s="73"/>
      <c r="R506"/>
    </row>
    <row r="507" spans="6:18">
      <c r="F507" s="73"/>
      <c r="R507"/>
    </row>
    <row r="508" spans="6:18">
      <c r="F508" s="73"/>
      <c r="R508"/>
    </row>
    <row r="509" spans="6:18">
      <c r="F509" s="73"/>
      <c r="R509"/>
    </row>
    <row r="510" spans="6:18">
      <c r="F510" s="73"/>
      <c r="R510"/>
    </row>
    <row r="511" spans="6:18">
      <c r="F511" s="73"/>
      <c r="R511"/>
    </row>
    <row r="512" spans="6:18">
      <c r="F512" s="73"/>
      <c r="R512"/>
    </row>
    <row r="513" spans="6:18">
      <c r="F513" s="73"/>
      <c r="R513"/>
    </row>
    <row r="514" spans="6:18">
      <c r="F514" s="73"/>
      <c r="R514"/>
    </row>
    <row r="515" spans="6:18">
      <c r="F515" s="73"/>
      <c r="R515"/>
    </row>
    <row r="516" spans="6:18">
      <c r="F516" s="73"/>
      <c r="R516"/>
    </row>
    <row r="517" spans="6:18">
      <c r="F517" s="73"/>
      <c r="R517"/>
    </row>
    <row r="518" spans="6:18">
      <c r="F518" s="73"/>
      <c r="R518"/>
    </row>
    <row r="519" spans="6:18">
      <c r="F519" s="73"/>
      <c r="R519"/>
    </row>
    <row r="520" spans="6:18">
      <c r="F520" s="73"/>
      <c r="R520"/>
    </row>
    <row r="521" spans="6:18">
      <c r="F521" s="73"/>
      <c r="R521"/>
    </row>
    <row r="522" spans="6:18">
      <c r="F522" s="73"/>
      <c r="R522"/>
    </row>
    <row r="523" spans="6:18">
      <c r="F523" s="73"/>
      <c r="R523"/>
    </row>
    <row r="524" spans="6:18">
      <c r="F524" s="73"/>
      <c r="R524"/>
    </row>
    <row r="525" spans="6:18">
      <c r="F525" s="73"/>
      <c r="R525"/>
    </row>
    <row r="526" spans="6:18">
      <c r="F526" s="73"/>
      <c r="R526"/>
    </row>
    <row r="527" spans="6:18">
      <c r="F527" s="73"/>
      <c r="R527"/>
    </row>
    <row r="528" spans="6:18">
      <c r="F528" s="73"/>
      <c r="R528"/>
    </row>
    <row r="529" spans="6:18">
      <c r="F529" s="73"/>
      <c r="R529"/>
    </row>
    <row r="530" spans="6:18">
      <c r="F530" s="73"/>
      <c r="R530"/>
    </row>
    <row r="531" spans="6:18">
      <c r="F531" s="73"/>
      <c r="R531"/>
    </row>
    <row r="532" spans="6:18">
      <c r="F532" s="73"/>
      <c r="R532"/>
    </row>
    <row r="533" spans="6:18">
      <c r="F533" s="73"/>
      <c r="R533"/>
    </row>
    <row r="534" spans="6:18">
      <c r="F534" s="73"/>
      <c r="R534"/>
    </row>
    <row r="535" spans="6:18">
      <c r="F535" s="73"/>
      <c r="R535"/>
    </row>
    <row r="536" spans="6:18">
      <c r="F536" s="73"/>
      <c r="R536"/>
    </row>
    <row r="537" spans="6:18">
      <c r="F537" s="73"/>
      <c r="R537"/>
    </row>
    <row r="538" spans="6:18">
      <c r="F538" s="73"/>
      <c r="R538"/>
    </row>
    <row r="539" spans="6:18">
      <c r="F539" s="73"/>
      <c r="R539"/>
    </row>
    <row r="540" spans="6:18">
      <c r="F540" s="73"/>
      <c r="R540"/>
    </row>
    <row r="541" spans="6:18">
      <c r="F541" s="73"/>
      <c r="R541"/>
    </row>
    <row r="542" spans="6:18">
      <c r="F542" s="73"/>
      <c r="R542"/>
    </row>
    <row r="543" spans="6:18">
      <c r="F543" s="73"/>
      <c r="R543"/>
    </row>
    <row r="544" spans="6:18">
      <c r="F544" s="73"/>
      <c r="R544"/>
    </row>
    <row r="545" spans="6:18">
      <c r="F545" s="73"/>
      <c r="R545"/>
    </row>
    <row r="546" spans="6:18">
      <c r="F546" s="73"/>
      <c r="R546"/>
    </row>
    <row r="547" spans="6:18">
      <c r="F547" s="73"/>
      <c r="R547"/>
    </row>
    <row r="548" spans="6:18">
      <c r="F548" s="73"/>
      <c r="R548"/>
    </row>
    <row r="549" spans="6:18">
      <c r="F549" s="73"/>
      <c r="R549"/>
    </row>
    <row r="550" spans="6:18">
      <c r="F550" s="73"/>
      <c r="R550"/>
    </row>
    <row r="551" spans="6:18">
      <c r="F551" s="73"/>
      <c r="R551"/>
    </row>
    <row r="552" spans="6:18">
      <c r="F552" s="73"/>
      <c r="R552"/>
    </row>
    <row r="553" spans="6:18">
      <c r="F553" s="73"/>
      <c r="R553"/>
    </row>
    <row r="554" spans="6:18">
      <c r="F554" s="73"/>
      <c r="R554"/>
    </row>
    <row r="555" spans="6:18">
      <c r="F555" s="73"/>
      <c r="R555"/>
    </row>
    <row r="556" spans="6:18">
      <c r="F556" s="73"/>
      <c r="R556"/>
    </row>
    <row r="557" spans="6:18">
      <c r="F557" s="73"/>
      <c r="R557"/>
    </row>
    <row r="558" spans="6:18">
      <c r="F558" s="73"/>
      <c r="R558"/>
    </row>
    <row r="559" spans="6:18">
      <c r="F559" s="73"/>
      <c r="R559"/>
    </row>
    <row r="560" spans="6:18">
      <c r="F560" s="73"/>
      <c r="R560"/>
    </row>
    <row r="561" spans="6:18">
      <c r="F561" s="73"/>
      <c r="R561"/>
    </row>
    <row r="562" spans="6:18">
      <c r="F562" s="73"/>
      <c r="R562"/>
    </row>
    <row r="563" spans="6:18">
      <c r="F563" s="73"/>
      <c r="R563"/>
    </row>
    <row r="564" spans="6:18">
      <c r="F564" s="73"/>
      <c r="R564"/>
    </row>
    <row r="565" spans="6:18">
      <c r="F565" s="73"/>
      <c r="R565"/>
    </row>
    <row r="566" spans="6:18">
      <c r="F566" s="73"/>
      <c r="R566"/>
    </row>
    <row r="567" spans="6:18">
      <c r="F567" s="73"/>
      <c r="R567"/>
    </row>
    <row r="568" spans="6:18">
      <c r="F568" s="73"/>
      <c r="R568"/>
    </row>
    <row r="569" spans="6:18">
      <c r="F569" s="73"/>
      <c r="R569"/>
    </row>
    <row r="570" spans="6:18">
      <c r="F570" s="73"/>
      <c r="R570"/>
    </row>
    <row r="571" spans="6:18">
      <c r="F571" s="73"/>
      <c r="R571"/>
    </row>
    <row r="572" spans="6:18">
      <c r="F572" s="73"/>
      <c r="R572"/>
    </row>
    <row r="573" spans="6:18">
      <c r="F573" s="73"/>
      <c r="R573"/>
    </row>
    <row r="574" spans="6:18">
      <c r="F574" s="73"/>
      <c r="R574"/>
    </row>
    <row r="575" spans="6:18">
      <c r="F575" s="73"/>
      <c r="R575"/>
    </row>
    <row r="576" spans="6:18">
      <c r="F576" s="73"/>
      <c r="R576"/>
    </row>
    <row r="577" spans="6:18">
      <c r="F577" s="73"/>
      <c r="R577"/>
    </row>
    <row r="578" spans="6:18">
      <c r="F578" s="73"/>
      <c r="R578"/>
    </row>
    <row r="579" spans="6:18">
      <c r="F579" s="73"/>
      <c r="R579"/>
    </row>
    <row r="580" spans="6:18">
      <c r="F580" s="73"/>
      <c r="R580"/>
    </row>
    <row r="581" spans="6:18">
      <c r="F581" s="73"/>
      <c r="R581"/>
    </row>
    <row r="582" spans="6:18">
      <c r="F582" s="73"/>
      <c r="R582"/>
    </row>
    <row r="583" spans="6:18">
      <c r="F583" s="73"/>
      <c r="R583"/>
    </row>
    <row r="584" spans="6:18">
      <c r="F584" s="73"/>
      <c r="R584"/>
    </row>
    <row r="585" spans="6:18">
      <c r="F585" s="73"/>
      <c r="R585"/>
    </row>
    <row r="586" spans="6:18">
      <c r="F586" s="73"/>
      <c r="R586"/>
    </row>
    <row r="587" spans="6:18">
      <c r="F587" s="73"/>
      <c r="R587"/>
    </row>
    <row r="588" spans="6:18">
      <c r="F588" s="73"/>
      <c r="R588"/>
    </row>
    <row r="589" spans="6:18">
      <c r="F589" s="73"/>
      <c r="R589"/>
    </row>
    <row r="590" spans="6:18">
      <c r="F590" s="73"/>
      <c r="R590"/>
    </row>
    <row r="591" spans="6:18">
      <c r="F591" s="73"/>
      <c r="R591"/>
    </row>
    <row r="592" spans="6:18">
      <c r="F592" s="73"/>
      <c r="R592"/>
    </row>
    <row r="593" spans="6:18">
      <c r="F593" s="73"/>
      <c r="R593"/>
    </row>
    <row r="594" spans="6:18">
      <c r="F594" s="73"/>
      <c r="R594"/>
    </row>
    <row r="595" spans="6:18">
      <c r="F595" s="73"/>
      <c r="R595"/>
    </row>
    <row r="596" spans="6:18">
      <c r="F596" s="73"/>
      <c r="R596"/>
    </row>
    <row r="597" spans="6:18">
      <c r="F597" s="73"/>
      <c r="R597"/>
    </row>
    <row r="598" spans="6:18">
      <c r="F598" s="73"/>
      <c r="R598"/>
    </row>
    <row r="599" spans="6:18">
      <c r="F599" s="73"/>
      <c r="R599"/>
    </row>
    <row r="600" spans="6:18">
      <c r="F600" s="73"/>
      <c r="R600"/>
    </row>
    <row r="601" spans="6:18">
      <c r="F601" s="73"/>
      <c r="R601"/>
    </row>
    <row r="602" spans="6:18">
      <c r="F602" s="73"/>
      <c r="R602"/>
    </row>
    <row r="603" spans="6:18">
      <c r="F603" s="73"/>
      <c r="R603"/>
    </row>
    <row r="604" spans="6:18">
      <c r="F604" s="73"/>
      <c r="R604"/>
    </row>
    <row r="605" spans="6:18">
      <c r="F605" s="73"/>
      <c r="R605"/>
    </row>
    <row r="606" spans="6:18">
      <c r="F606" s="73"/>
      <c r="R606"/>
    </row>
    <row r="607" spans="6:18">
      <c r="F607" s="73"/>
      <c r="R607"/>
    </row>
    <row r="608" spans="6:18">
      <c r="F608" s="73"/>
      <c r="R608"/>
    </row>
    <row r="609" spans="6:18">
      <c r="F609" s="73"/>
      <c r="R609"/>
    </row>
    <row r="610" spans="6:18">
      <c r="F610" s="73"/>
      <c r="R610"/>
    </row>
    <row r="611" spans="6:18">
      <c r="F611" s="73"/>
      <c r="R611"/>
    </row>
    <row r="612" spans="6:18">
      <c r="F612" s="73"/>
      <c r="R612"/>
    </row>
    <row r="613" spans="6:18">
      <c r="F613" s="73"/>
      <c r="R613"/>
    </row>
    <row r="614" spans="6:18">
      <c r="F614" s="73"/>
      <c r="R614"/>
    </row>
    <row r="615" spans="6:18">
      <c r="F615" s="73"/>
      <c r="R615"/>
    </row>
    <row r="616" spans="6:18">
      <c r="F616" s="73"/>
      <c r="R616"/>
    </row>
    <row r="617" spans="6:18">
      <c r="F617" s="73"/>
      <c r="R617"/>
    </row>
    <row r="618" spans="6:18">
      <c r="F618" s="73"/>
      <c r="R618"/>
    </row>
    <row r="619" spans="6:18">
      <c r="F619" s="73"/>
      <c r="R619"/>
    </row>
    <row r="620" spans="6:18">
      <c r="F620" s="73"/>
      <c r="R620"/>
    </row>
    <row r="621" spans="6:18">
      <c r="F621" s="73"/>
      <c r="R621"/>
    </row>
    <row r="622" spans="6:18">
      <c r="F622" s="73"/>
      <c r="R622"/>
    </row>
    <row r="623" spans="6:18">
      <c r="F623" s="73"/>
      <c r="R623"/>
    </row>
    <row r="624" spans="6:18">
      <c r="F624" s="73"/>
      <c r="R624"/>
    </row>
    <row r="625" spans="6:18">
      <c r="F625" s="73"/>
      <c r="R625"/>
    </row>
    <row r="626" spans="6:18">
      <c r="F626" s="73"/>
      <c r="R626"/>
    </row>
    <row r="627" spans="6:18">
      <c r="F627" s="73"/>
      <c r="R627"/>
    </row>
    <row r="628" spans="6:18">
      <c r="F628" s="73"/>
      <c r="R628"/>
    </row>
    <row r="629" spans="6:18">
      <c r="F629" s="73"/>
      <c r="R629"/>
    </row>
    <row r="630" spans="6:18">
      <c r="F630" s="73"/>
      <c r="R630"/>
    </row>
    <row r="631" spans="6:18">
      <c r="F631" s="73"/>
      <c r="R631"/>
    </row>
    <row r="632" spans="6:18">
      <c r="F632" s="73"/>
      <c r="R632"/>
    </row>
    <row r="633" spans="6:18">
      <c r="F633" s="73"/>
      <c r="R633"/>
    </row>
    <row r="634" spans="6:18">
      <c r="F634" s="73"/>
      <c r="R634"/>
    </row>
    <row r="635" spans="6:18">
      <c r="F635" s="73"/>
      <c r="R635"/>
    </row>
    <row r="636" spans="6:18">
      <c r="F636" s="73"/>
      <c r="R636"/>
    </row>
    <row r="637" spans="6:18">
      <c r="F637" s="73"/>
      <c r="R637"/>
    </row>
    <row r="638" spans="6:18">
      <c r="F638" s="73"/>
      <c r="R638"/>
    </row>
    <row r="639" spans="6:18">
      <c r="F639" s="73"/>
      <c r="R639"/>
    </row>
    <row r="640" spans="6:18">
      <c r="F640" s="73"/>
      <c r="R640"/>
    </row>
    <row r="641" spans="6:18">
      <c r="F641" s="73"/>
      <c r="R641"/>
    </row>
    <row r="642" spans="6:18">
      <c r="F642" s="73"/>
      <c r="R642"/>
    </row>
    <row r="643" spans="6:18">
      <c r="F643" s="73"/>
      <c r="R643"/>
    </row>
    <row r="644" spans="6:18">
      <c r="F644" s="73"/>
      <c r="R644"/>
    </row>
    <row r="645" spans="6:18">
      <c r="F645" s="73"/>
      <c r="R645"/>
    </row>
    <row r="646" spans="6:18">
      <c r="F646" s="73"/>
      <c r="R646"/>
    </row>
    <row r="647" spans="6:18">
      <c r="F647" s="73"/>
      <c r="R647"/>
    </row>
    <row r="648" spans="6:18">
      <c r="F648" s="73"/>
      <c r="R648"/>
    </row>
    <row r="649" spans="6:18">
      <c r="F649" s="73"/>
      <c r="R649"/>
    </row>
    <row r="650" spans="6:18">
      <c r="F650" s="73"/>
      <c r="R650"/>
    </row>
    <row r="651" spans="6:18">
      <c r="F651" s="73"/>
      <c r="R651"/>
    </row>
    <row r="652" spans="6:18">
      <c r="F652" s="73"/>
      <c r="R652"/>
    </row>
    <row r="653" spans="6:18">
      <c r="F653" s="73"/>
      <c r="R653"/>
    </row>
    <row r="654" spans="6:18">
      <c r="F654" s="73"/>
      <c r="R654"/>
    </row>
    <row r="655" spans="6:18">
      <c r="F655" s="73"/>
      <c r="R655"/>
    </row>
    <row r="656" spans="6:18">
      <c r="F656" s="73"/>
      <c r="R656"/>
    </row>
    <row r="657" spans="6:18">
      <c r="F657" s="73"/>
      <c r="R657"/>
    </row>
    <row r="658" spans="6:18">
      <c r="F658" s="73"/>
      <c r="R658"/>
    </row>
    <row r="659" spans="6:18">
      <c r="F659" s="73"/>
      <c r="R659"/>
    </row>
    <row r="660" spans="6:18">
      <c r="F660" s="73"/>
      <c r="R660"/>
    </row>
    <row r="661" spans="6:18">
      <c r="F661" s="73"/>
      <c r="R661"/>
    </row>
    <row r="662" spans="6:18">
      <c r="F662" s="73"/>
      <c r="R662"/>
    </row>
    <row r="663" spans="6:18">
      <c r="F663" s="73"/>
      <c r="R663"/>
    </row>
    <row r="664" spans="6:18">
      <c r="F664" s="73"/>
      <c r="R664"/>
    </row>
    <row r="665" spans="6:18">
      <c r="F665" s="73"/>
      <c r="R665"/>
    </row>
    <row r="666" spans="6:18">
      <c r="F666" s="73"/>
      <c r="R666"/>
    </row>
    <row r="667" spans="6:18">
      <c r="F667" s="73"/>
      <c r="R667"/>
    </row>
    <row r="668" spans="6:18">
      <c r="F668" s="73"/>
      <c r="R668"/>
    </row>
    <row r="669" spans="6:18">
      <c r="F669" s="73"/>
      <c r="R669"/>
    </row>
    <row r="670" spans="6:18">
      <c r="F670" s="73"/>
      <c r="R670"/>
    </row>
    <row r="671" spans="6:18">
      <c r="F671" s="73"/>
      <c r="R671"/>
    </row>
    <row r="672" spans="6:18">
      <c r="F672" s="73"/>
      <c r="R672"/>
    </row>
    <row r="673" spans="6:18">
      <c r="F673" s="73"/>
      <c r="R673"/>
    </row>
    <row r="674" spans="6:18">
      <c r="F674" s="73"/>
      <c r="R674"/>
    </row>
    <row r="675" spans="6:18">
      <c r="F675" s="73"/>
      <c r="R675"/>
    </row>
    <row r="676" spans="6:18">
      <c r="F676" s="73"/>
      <c r="R676"/>
    </row>
    <row r="677" spans="6:18">
      <c r="F677" s="73"/>
      <c r="R677"/>
    </row>
    <row r="678" spans="6:18">
      <c r="F678" s="73"/>
      <c r="R678"/>
    </row>
    <row r="679" spans="6:18">
      <c r="F679" s="73"/>
      <c r="R679"/>
    </row>
    <row r="680" spans="6:18">
      <c r="F680" s="73"/>
      <c r="R680"/>
    </row>
    <row r="681" spans="6:18">
      <c r="F681" s="73"/>
      <c r="R681"/>
    </row>
    <row r="682" spans="6:18">
      <c r="F682" s="73"/>
      <c r="R682"/>
    </row>
    <row r="683" spans="6:18">
      <c r="F683" s="73"/>
      <c r="R683"/>
    </row>
    <row r="684" spans="6:18">
      <c r="F684" s="73"/>
      <c r="R684"/>
    </row>
    <row r="685" spans="6:18">
      <c r="F685" s="73"/>
      <c r="R685"/>
    </row>
    <row r="686" spans="6:18">
      <c r="F686" s="73"/>
      <c r="R686"/>
    </row>
    <row r="687" spans="6:18">
      <c r="F687" s="73"/>
      <c r="R687"/>
    </row>
    <row r="688" spans="6:18">
      <c r="F688" s="73"/>
      <c r="R688"/>
    </row>
    <row r="689" spans="6:18">
      <c r="F689" s="73"/>
      <c r="R689"/>
    </row>
    <row r="690" spans="6:18">
      <c r="F690" s="73"/>
      <c r="R690"/>
    </row>
    <row r="691" spans="6:18">
      <c r="F691" s="73"/>
      <c r="R691"/>
    </row>
    <row r="692" spans="6:18">
      <c r="F692" s="73"/>
      <c r="R692"/>
    </row>
    <row r="693" spans="6:18">
      <c r="F693" s="73"/>
      <c r="R693"/>
    </row>
    <row r="694" spans="6:18">
      <c r="F694" s="73"/>
      <c r="R694"/>
    </row>
    <row r="695" spans="6:18">
      <c r="F695" s="73"/>
      <c r="R695"/>
    </row>
    <row r="696" spans="6:18">
      <c r="F696" s="73"/>
      <c r="R696"/>
    </row>
    <row r="697" spans="6:18">
      <c r="F697" s="73"/>
      <c r="R697"/>
    </row>
    <row r="698" spans="6:18">
      <c r="F698" s="73"/>
      <c r="R698"/>
    </row>
    <row r="699" spans="6:18">
      <c r="F699" s="73"/>
      <c r="R699"/>
    </row>
    <row r="700" spans="6:18">
      <c r="F700" s="73"/>
      <c r="R700"/>
    </row>
    <row r="701" spans="6:18">
      <c r="F701" s="73"/>
      <c r="R701"/>
    </row>
    <row r="702" spans="6:18">
      <c r="F702" s="73"/>
      <c r="R702"/>
    </row>
    <row r="703" spans="6:18">
      <c r="F703" s="73"/>
      <c r="R703"/>
    </row>
    <row r="704" spans="6:18">
      <c r="F704" s="73"/>
      <c r="R704"/>
    </row>
    <row r="705" spans="6:18">
      <c r="F705" s="73"/>
      <c r="R705"/>
    </row>
    <row r="706" spans="6:18">
      <c r="F706" s="73"/>
      <c r="R706"/>
    </row>
    <row r="707" spans="6:18">
      <c r="F707" s="73"/>
      <c r="R707"/>
    </row>
    <row r="708" spans="6:18">
      <c r="F708" s="73"/>
      <c r="R708"/>
    </row>
    <row r="709" spans="6:18">
      <c r="F709" s="73"/>
      <c r="R709"/>
    </row>
    <row r="710" spans="6:18">
      <c r="F710" s="73"/>
      <c r="R710"/>
    </row>
    <row r="711" spans="6:18">
      <c r="F711" s="73"/>
      <c r="R711"/>
    </row>
    <row r="712" spans="6:18">
      <c r="F712" s="73"/>
      <c r="R712"/>
    </row>
    <row r="713" spans="6:18">
      <c r="F713" s="73"/>
      <c r="R713"/>
    </row>
    <row r="714" spans="6:18">
      <c r="F714" s="73"/>
      <c r="R714"/>
    </row>
    <row r="715" spans="6:18">
      <c r="F715" s="73"/>
      <c r="R715"/>
    </row>
    <row r="716" spans="6:18">
      <c r="F716" s="73"/>
      <c r="R716"/>
    </row>
    <row r="717" spans="6:18">
      <c r="F717" s="73"/>
      <c r="R717"/>
    </row>
    <row r="718" spans="6:18">
      <c r="F718" s="73"/>
      <c r="R718"/>
    </row>
    <row r="719" spans="6:18">
      <c r="F719" s="73"/>
      <c r="R719"/>
    </row>
    <row r="720" spans="6:18">
      <c r="F720" s="73"/>
      <c r="R720"/>
    </row>
    <row r="721" spans="6:18">
      <c r="F721" s="73"/>
      <c r="R721"/>
    </row>
    <row r="722" spans="6:18">
      <c r="F722" s="73"/>
      <c r="R722"/>
    </row>
    <row r="723" spans="6:18">
      <c r="F723" s="73"/>
      <c r="R723"/>
    </row>
    <row r="724" spans="6:18">
      <c r="F724" s="73"/>
      <c r="R724"/>
    </row>
    <row r="725" spans="6:18">
      <c r="F725" s="73"/>
      <c r="R725"/>
    </row>
    <row r="726" spans="6:18">
      <c r="F726" s="73"/>
      <c r="R726"/>
    </row>
    <row r="727" spans="6:18">
      <c r="F727" s="73"/>
      <c r="R727"/>
    </row>
    <row r="728" spans="6:18">
      <c r="F728" s="73"/>
      <c r="R728"/>
    </row>
    <row r="729" spans="6:18">
      <c r="F729" s="73"/>
      <c r="R729"/>
    </row>
    <row r="730" spans="6:18">
      <c r="F730" s="73"/>
      <c r="R730"/>
    </row>
    <row r="731" spans="6:18">
      <c r="F731" s="73"/>
      <c r="R731"/>
    </row>
    <row r="732" spans="6:18">
      <c r="F732" s="73"/>
      <c r="R732"/>
    </row>
    <row r="733" spans="6:18">
      <c r="F733" s="73"/>
      <c r="R733"/>
    </row>
    <row r="734" spans="6:18">
      <c r="F734" s="73"/>
      <c r="R734"/>
    </row>
    <row r="735" spans="6:18">
      <c r="F735" s="73"/>
      <c r="R735"/>
    </row>
    <row r="736" spans="6:18">
      <c r="F736" s="73"/>
      <c r="R736"/>
    </row>
    <row r="737" spans="6:18">
      <c r="F737" s="73"/>
      <c r="R737"/>
    </row>
    <row r="738" spans="6:18">
      <c r="F738" s="73"/>
      <c r="R738"/>
    </row>
    <row r="739" spans="6:18">
      <c r="F739" s="73"/>
      <c r="R739"/>
    </row>
    <row r="740" spans="6:18">
      <c r="F740" s="73"/>
      <c r="R740"/>
    </row>
    <row r="741" spans="6:18">
      <c r="F741" s="73"/>
      <c r="R741"/>
    </row>
    <row r="742" spans="6:18">
      <c r="F742" s="73"/>
      <c r="R742"/>
    </row>
    <row r="743" spans="6:18">
      <c r="F743" s="73"/>
      <c r="R743"/>
    </row>
    <row r="744" spans="6:18">
      <c r="F744" s="73"/>
      <c r="R744"/>
    </row>
    <row r="745" spans="6:18">
      <c r="F745" s="73"/>
      <c r="R745"/>
    </row>
    <row r="746" spans="6:18">
      <c r="F746" s="73"/>
      <c r="R746"/>
    </row>
    <row r="747" spans="6:18">
      <c r="F747" s="73"/>
      <c r="R747"/>
    </row>
    <row r="748" spans="6:18">
      <c r="F748" s="73"/>
      <c r="R748"/>
    </row>
    <row r="749" spans="6:18">
      <c r="F749" s="73"/>
      <c r="R749"/>
    </row>
    <row r="750" spans="6:18">
      <c r="F750" s="73"/>
      <c r="R750"/>
    </row>
    <row r="751" spans="6:18">
      <c r="F751" s="73"/>
      <c r="R751"/>
    </row>
    <row r="752" spans="6:18">
      <c r="F752" s="73"/>
      <c r="R752"/>
    </row>
    <row r="753" spans="6:18">
      <c r="F753" s="73"/>
      <c r="R753"/>
    </row>
    <row r="754" spans="6:18">
      <c r="F754" s="73"/>
      <c r="R754"/>
    </row>
    <row r="755" spans="6:18">
      <c r="F755" s="73"/>
      <c r="R755"/>
    </row>
    <row r="756" spans="6:18">
      <c r="F756" s="73"/>
      <c r="R756"/>
    </row>
    <row r="757" spans="6:18">
      <c r="F757" s="73"/>
      <c r="R757"/>
    </row>
    <row r="758" spans="6:18">
      <c r="F758" s="73"/>
      <c r="R758"/>
    </row>
    <row r="759" spans="6:18">
      <c r="F759" s="73"/>
      <c r="R759"/>
    </row>
    <row r="760" spans="6:18">
      <c r="F760" s="73"/>
      <c r="R760"/>
    </row>
    <row r="761" spans="6:18">
      <c r="F761" s="73"/>
      <c r="R761"/>
    </row>
    <row r="762" spans="6:18">
      <c r="F762" s="73"/>
      <c r="R762"/>
    </row>
    <row r="763" spans="6:18">
      <c r="F763" s="73"/>
      <c r="R763"/>
    </row>
    <row r="764" spans="6:18">
      <c r="F764" s="73"/>
      <c r="R764"/>
    </row>
    <row r="765" spans="6:18">
      <c r="F765" s="73"/>
      <c r="R765"/>
    </row>
    <row r="766" spans="6:18">
      <c r="F766" s="73"/>
      <c r="R766"/>
    </row>
    <row r="767" spans="6:18">
      <c r="F767" s="73"/>
      <c r="R767"/>
    </row>
    <row r="768" spans="6:18">
      <c r="F768" s="73"/>
      <c r="R768"/>
    </row>
    <row r="769" spans="6:18">
      <c r="F769" s="73"/>
      <c r="R769"/>
    </row>
    <row r="770" spans="6:18">
      <c r="F770" s="73"/>
      <c r="R770"/>
    </row>
    <row r="771" spans="6:18">
      <c r="F771" s="73"/>
      <c r="R771"/>
    </row>
    <row r="772" spans="6:18">
      <c r="F772" s="73"/>
      <c r="R772"/>
    </row>
    <row r="773" spans="6:18">
      <c r="F773" s="73"/>
      <c r="R773"/>
    </row>
    <row r="774" spans="6:18">
      <c r="F774" s="73"/>
      <c r="R774"/>
    </row>
    <row r="775" spans="6:18">
      <c r="F775" s="73"/>
      <c r="R775"/>
    </row>
    <row r="776" spans="6:18">
      <c r="F776" s="73"/>
      <c r="R776"/>
    </row>
    <row r="777" spans="6:18">
      <c r="F777" s="73"/>
      <c r="R777"/>
    </row>
    <row r="778" spans="6:18">
      <c r="F778" s="73"/>
      <c r="R778"/>
    </row>
    <row r="779" spans="6:18">
      <c r="F779" s="73"/>
      <c r="R779"/>
    </row>
    <row r="780" spans="6:18">
      <c r="F780" s="73"/>
      <c r="R780"/>
    </row>
    <row r="781" spans="6:18">
      <c r="F781" s="73"/>
      <c r="R781"/>
    </row>
    <row r="782" spans="6:18">
      <c r="F782" s="73"/>
      <c r="R782"/>
    </row>
    <row r="783" spans="6:18">
      <c r="F783" s="73"/>
      <c r="R783"/>
    </row>
    <row r="784" spans="6:18">
      <c r="F784" s="73"/>
      <c r="R784"/>
    </row>
    <row r="785" spans="6:18">
      <c r="F785" s="73"/>
      <c r="R785"/>
    </row>
    <row r="786" spans="6:18">
      <c r="F786" s="73"/>
      <c r="R786"/>
    </row>
    <row r="787" spans="6:18">
      <c r="F787" s="73"/>
      <c r="R787"/>
    </row>
    <row r="788" spans="6:18">
      <c r="F788" s="73"/>
      <c r="R788"/>
    </row>
    <row r="789" spans="6:18">
      <c r="F789" s="73"/>
      <c r="R789"/>
    </row>
    <row r="790" spans="6:18">
      <c r="F790" s="73"/>
      <c r="R790"/>
    </row>
    <row r="791" spans="6:18">
      <c r="F791" s="73"/>
      <c r="R791"/>
    </row>
    <row r="792" spans="6:18">
      <c r="F792" s="73"/>
      <c r="R792"/>
    </row>
    <row r="793" spans="6:18">
      <c r="F793" s="73"/>
      <c r="R793"/>
    </row>
    <row r="794" spans="6:18">
      <c r="F794" s="73"/>
      <c r="R794"/>
    </row>
    <row r="795" spans="6:18">
      <c r="F795" s="73"/>
      <c r="R795"/>
    </row>
    <row r="796" spans="6:18">
      <c r="F796" s="73"/>
      <c r="R796"/>
    </row>
    <row r="797" spans="6:18">
      <c r="F797" s="73"/>
      <c r="R797"/>
    </row>
    <row r="798" spans="6:18">
      <c r="F798" s="73"/>
      <c r="R798"/>
    </row>
    <row r="799" spans="6:18">
      <c r="F799" s="73"/>
      <c r="R799"/>
    </row>
    <row r="800" spans="6:18">
      <c r="F800" s="73"/>
      <c r="R800"/>
    </row>
    <row r="801" spans="6:18">
      <c r="F801" s="73"/>
      <c r="R801"/>
    </row>
    <row r="802" spans="6:18">
      <c r="F802" s="73"/>
      <c r="R802"/>
    </row>
    <row r="803" spans="6:18">
      <c r="F803" s="73"/>
      <c r="R803"/>
    </row>
    <row r="804" spans="6:18">
      <c r="F804" s="73"/>
      <c r="R804"/>
    </row>
    <row r="805" spans="6:18">
      <c r="F805" s="73"/>
      <c r="R805"/>
    </row>
    <row r="806" spans="6:18">
      <c r="F806" s="73"/>
      <c r="R806"/>
    </row>
    <row r="807" spans="6:18">
      <c r="F807" s="73"/>
      <c r="R807"/>
    </row>
    <row r="808" spans="6:18">
      <c r="F808" s="73"/>
      <c r="R808"/>
    </row>
    <row r="809" spans="6:18">
      <c r="F809" s="73"/>
      <c r="R809"/>
    </row>
    <row r="810" spans="6:18">
      <c r="F810" s="73"/>
      <c r="R810"/>
    </row>
    <row r="811" spans="6:18">
      <c r="F811" s="73"/>
      <c r="R811"/>
    </row>
    <row r="812" spans="6:18">
      <c r="F812" s="73"/>
      <c r="R812"/>
    </row>
    <row r="813" spans="6:18">
      <c r="F813" s="73"/>
      <c r="R813"/>
    </row>
    <row r="814" spans="6:18">
      <c r="F814" s="73"/>
      <c r="R814"/>
    </row>
    <row r="815" spans="6:18">
      <c r="F815" s="73"/>
      <c r="R815"/>
    </row>
    <row r="816" spans="6:18">
      <c r="F816" s="73"/>
      <c r="R816"/>
    </row>
    <row r="817" spans="6:18">
      <c r="F817" s="73"/>
      <c r="R817"/>
    </row>
    <row r="818" spans="6:18">
      <c r="F818" s="73"/>
      <c r="R818"/>
    </row>
    <row r="819" spans="6:18">
      <c r="F819" s="73"/>
      <c r="R819"/>
    </row>
    <row r="820" spans="6:18">
      <c r="F820" s="73"/>
      <c r="R820"/>
    </row>
    <row r="821" spans="6:18">
      <c r="F821" s="73"/>
      <c r="R821"/>
    </row>
    <row r="822" spans="6:18">
      <c r="F822" s="73"/>
      <c r="R822"/>
    </row>
    <row r="823" spans="6:18">
      <c r="F823" s="73"/>
      <c r="R823"/>
    </row>
    <row r="824" spans="6:18">
      <c r="F824" s="73"/>
      <c r="R824"/>
    </row>
    <row r="825" spans="6:18">
      <c r="F825" s="73"/>
      <c r="R825"/>
    </row>
    <row r="826" spans="6:18">
      <c r="F826" s="73"/>
      <c r="R826"/>
    </row>
    <row r="827" spans="6:18">
      <c r="F827" s="73"/>
      <c r="R827"/>
    </row>
    <row r="828" spans="6:18">
      <c r="F828" s="73"/>
      <c r="R828"/>
    </row>
    <row r="829" spans="6:18">
      <c r="F829" s="73"/>
      <c r="R829"/>
    </row>
    <row r="830" spans="6:18">
      <c r="F830" s="73"/>
      <c r="R830"/>
    </row>
    <row r="831" spans="6:18">
      <c r="F831" s="73"/>
      <c r="R831"/>
    </row>
    <row r="832" spans="6:18">
      <c r="F832" s="73"/>
      <c r="R832"/>
    </row>
    <row r="833" spans="6:18">
      <c r="F833" s="73"/>
      <c r="R833"/>
    </row>
    <row r="834" spans="6:18">
      <c r="F834" s="73"/>
      <c r="R834"/>
    </row>
    <row r="835" spans="6:18">
      <c r="F835" s="73"/>
      <c r="R835"/>
    </row>
    <row r="836" spans="6:18">
      <c r="F836" s="73"/>
      <c r="R836"/>
    </row>
    <row r="837" spans="6:18">
      <c r="F837" s="73"/>
      <c r="R837"/>
    </row>
    <row r="838" spans="6:18">
      <c r="F838" s="73"/>
      <c r="R838"/>
    </row>
    <row r="839" spans="6:18">
      <c r="F839" s="73"/>
      <c r="R839"/>
    </row>
    <row r="840" spans="6:18">
      <c r="F840" s="73"/>
      <c r="R840"/>
    </row>
    <row r="841" spans="6:18">
      <c r="F841" s="73"/>
      <c r="R841"/>
    </row>
    <row r="842" spans="6:18">
      <c r="F842" s="73"/>
      <c r="R842"/>
    </row>
    <row r="843" spans="6:18">
      <c r="F843" s="73"/>
      <c r="R843"/>
    </row>
    <row r="844" spans="6:18">
      <c r="F844" s="73"/>
      <c r="R844"/>
    </row>
    <row r="845" spans="6:18">
      <c r="F845" s="73"/>
      <c r="R845"/>
    </row>
    <row r="846" spans="6:18">
      <c r="F846" s="73"/>
      <c r="R846"/>
    </row>
    <row r="847" spans="6:18">
      <c r="F847" s="73"/>
      <c r="R847"/>
    </row>
    <row r="848" spans="6:18">
      <c r="F848" s="73"/>
      <c r="R848"/>
    </row>
    <row r="849" spans="6:18">
      <c r="F849" s="73"/>
      <c r="R849"/>
    </row>
    <row r="850" spans="6:18">
      <c r="F850" s="73"/>
      <c r="R850"/>
    </row>
    <row r="851" spans="6:18">
      <c r="F851" s="73"/>
      <c r="R851"/>
    </row>
    <row r="852" spans="6:18">
      <c r="F852" s="73"/>
      <c r="R852"/>
    </row>
    <row r="853" spans="6:18">
      <c r="F853" s="73"/>
      <c r="R853"/>
    </row>
    <row r="854" spans="6:18">
      <c r="F854" s="73"/>
      <c r="R854"/>
    </row>
    <row r="855" spans="6:18">
      <c r="F855" s="73"/>
      <c r="R855"/>
    </row>
    <row r="856" spans="6:18">
      <c r="F856" s="73"/>
      <c r="R856"/>
    </row>
    <row r="857" spans="6:18">
      <c r="F857" s="73"/>
      <c r="R857"/>
    </row>
    <row r="858" spans="6:18">
      <c r="F858" s="73"/>
      <c r="R858"/>
    </row>
    <row r="859" spans="6:18">
      <c r="F859" s="73"/>
      <c r="R859"/>
    </row>
    <row r="860" spans="6:18">
      <c r="F860" s="73"/>
      <c r="R860"/>
    </row>
    <row r="861" spans="6:18">
      <c r="F861" s="73"/>
      <c r="R861"/>
    </row>
    <row r="862" spans="6:18">
      <c r="F862" s="73"/>
      <c r="R862"/>
    </row>
    <row r="863" spans="6:18">
      <c r="F863" s="73"/>
      <c r="R863"/>
    </row>
    <row r="864" spans="6:18">
      <c r="F864" s="73"/>
      <c r="R864"/>
    </row>
    <row r="865" spans="6:18">
      <c r="F865" s="73"/>
      <c r="R865"/>
    </row>
    <row r="866" spans="6:18">
      <c r="F866" s="73"/>
      <c r="R866"/>
    </row>
    <row r="867" spans="6:18">
      <c r="F867" s="73"/>
      <c r="R867"/>
    </row>
    <row r="868" spans="6:18">
      <c r="F868" s="73"/>
      <c r="R868"/>
    </row>
    <row r="869" spans="6:18">
      <c r="F869" s="73"/>
      <c r="R869"/>
    </row>
    <row r="870" spans="6:18">
      <c r="F870" s="73"/>
      <c r="R870"/>
    </row>
    <row r="871" spans="6:18">
      <c r="F871" s="73"/>
      <c r="R871"/>
    </row>
    <row r="872" spans="6:18">
      <c r="F872" s="73"/>
      <c r="R872"/>
    </row>
    <row r="873" spans="6:18">
      <c r="F873" s="73"/>
      <c r="R873"/>
    </row>
    <row r="874" spans="6:18">
      <c r="F874" s="73"/>
      <c r="R874"/>
    </row>
    <row r="875" spans="6:18">
      <c r="F875" s="73"/>
      <c r="R875"/>
    </row>
    <row r="876" spans="6:18">
      <c r="F876" s="73"/>
      <c r="R876"/>
    </row>
    <row r="877" spans="6:18">
      <c r="F877" s="73"/>
      <c r="R877"/>
    </row>
    <row r="878" spans="6:18">
      <c r="F878" s="73"/>
      <c r="R878"/>
    </row>
    <row r="879" spans="6:18">
      <c r="F879" s="73"/>
      <c r="R879"/>
    </row>
    <row r="880" spans="6:18">
      <c r="F880" s="73"/>
      <c r="R880"/>
    </row>
    <row r="881" spans="6:18">
      <c r="F881" s="73"/>
      <c r="R881"/>
    </row>
    <row r="882" spans="6:18">
      <c r="F882" s="73"/>
      <c r="R882"/>
    </row>
    <row r="883" spans="6:18">
      <c r="F883" s="73"/>
      <c r="R883"/>
    </row>
  </sheetData>
  <phoneticPr fontId="0" type="noConversion"/>
  <pageMargins left="0.35433070866141736" right="0.74803149606299213" top="0.39370078740157483" bottom="0.59055118110236227" header="0.51181102362204722" footer="0.51181102362204722"/>
  <pageSetup paperSize="9" orientation="landscape" horizontalDpi="3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898"/>
  <sheetViews>
    <sheetView workbookViewId="0">
      <selection activeCell="D8" sqref="D8"/>
    </sheetView>
  </sheetViews>
  <sheetFormatPr defaultRowHeight="12.75"/>
  <cols>
    <col min="1" max="1" width="2.28515625" customWidth="1"/>
    <col min="2" max="2" width="3.28515625" customWidth="1"/>
    <col min="3" max="3" width="11.5703125" customWidth="1"/>
    <col min="4" max="4" width="3.42578125" customWidth="1"/>
    <col min="5" max="5" width="11.28515625" style="309" customWidth="1"/>
    <col min="6" max="6" width="10.140625" style="309" customWidth="1"/>
    <col min="7" max="7" width="9.85546875" customWidth="1"/>
    <col min="8" max="8" width="3.42578125" customWidth="1"/>
    <col min="9" max="9" width="10" customWidth="1"/>
    <col min="10" max="10" width="7.140625" customWidth="1"/>
    <col min="11" max="13" width="11.7109375" customWidth="1"/>
    <col min="14" max="14" width="4.42578125" customWidth="1"/>
    <col min="15" max="15" width="2.85546875" customWidth="1"/>
    <col min="16" max="16" width="3" customWidth="1"/>
    <col min="17" max="17" width="11.42578125" customWidth="1"/>
    <col min="18" max="18" width="3.5703125" style="72" customWidth="1"/>
    <col min="19" max="19" width="7.28515625" customWidth="1"/>
  </cols>
  <sheetData>
    <row r="1" spans="1:18">
      <c r="A1" s="45" t="s">
        <v>215</v>
      </c>
    </row>
    <row r="2" spans="1:18">
      <c r="F2" s="73"/>
      <c r="R2"/>
    </row>
    <row r="3" spans="1:18">
      <c r="A3" s="84" t="s">
        <v>33</v>
      </c>
      <c r="B3" s="59"/>
      <c r="C3" s="332">
        <v>500</v>
      </c>
      <c r="D3" s="332"/>
      <c r="E3" s="200">
        <v>40987</v>
      </c>
      <c r="F3" s="73"/>
      <c r="R3"/>
    </row>
    <row r="4" spans="1:18">
      <c r="A4" s="47"/>
      <c r="B4" s="59">
        <v>12</v>
      </c>
      <c r="C4" s="104">
        <v>100</v>
      </c>
      <c r="D4" s="89" t="s">
        <v>27</v>
      </c>
      <c r="E4" s="119"/>
      <c r="F4" s="73"/>
      <c r="R4"/>
    </row>
    <row r="5" spans="1:18">
      <c r="A5" s="47"/>
      <c r="B5" s="107">
        <v>13</v>
      </c>
      <c r="C5" s="114">
        <v>100</v>
      </c>
      <c r="D5" s="108" t="s">
        <v>27</v>
      </c>
      <c r="E5" s="414"/>
      <c r="F5" s="73"/>
      <c r="R5"/>
    </row>
    <row r="6" spans="1:18">
      <c r="A6" s="47"/>
      <c r="B6" s="107">
        <v>14</v>
      </c>
      <c r="C6" s="114">
        <v>100</v>
      </c>
      <c r="D6" s="108" t="s">
        <v>27</v>
      </c>
      <c r="E6" s="414"/>
      <c r="F6" s="73"/>
      <c r="R6"/>
    </row>
    <row r="7" spans="1:18">
      <c r="A7" s="47"/>
      <c r="B7" s="107">
        <v>15</v>
      </c>
      <c r="C7" s="114">
        <v>100</v>
      </c>
      <c r="D7" s="108" t="s">
        <v>27</v>
      </c>
      <c r="E7" s="414"/>
      <c r="F7" s="73"/>
      <c r="R7"/>
    </row>
    <row r="8" spans="1:18">
      <c r="A8" s="47"/>
      <c r="B8" s="107">
        <v>16</v>
      </c>
      <c r="C8" s="88">
        <v>100</v>
      </c>
      <c r="D8" s="108" t="s">
        <v>27</v>
      </c>
      <c r="E8" s="414"/>
      <c r="F8" s="73"/>
      <c r="R8"/>
    </row>
    <row r="9" spans="1:18" ht="13.5" thickBot="1">
      <c r="A9" s="47"/>
      <c r="B9" s="47"/>
      <c r="C9" s="129">
        <f>SUM(C4:C8)</f>
        <v>500</v>
      </c>
      <c r="D9" s="47"/>
      <c r="E9" s="414"/>
      <c r="F9" s="73"/>
      <c r="R9"/>
    </row>
    <row r="10" spans="1:18" ht="13.5" thickTop="1">
      <c r="F10" s="73"/>
      <c r="R10"/>
    </row>
    <row r="11" spans="1:18">
      <c r="F11" s="73"/>
      <c r="R11"/>
    </row>
    <row r="12" spans="1:18">
      <c r="F12" s="73"/>
      <c r="R12"/>
    </row>
    <row r="13" spans="1:18">
      <c r="F13" s="73"/>
      <c r="R13"/>
    </row>
    <row r="14" spans="1:18">
      <c r="F14" s="73"/>
      <c r="R14"/>
    </row>
    <row r="15" spans="1:18">
      <c r="F15" s="73"/>
      <c r="R15"/>
    </row>
    <row r="16" spans="1:18">
      <c r="F16" s="73"/>
      <c r="R16"/>
    </row>
    <row r="17" spans="6:18">
      <c r="F17" s="73"/>
      <c r="R17"/>
    </row>
    <row r="18" spans="6:18">
      <c r="F18" s="73"/>
      <c r="R18"/>
    </row>
    <row r="19" spans="6:18">
      <c r="F19" s="73"/>
      <c r="R19"/>
    </row>
    <row r="20" spans="6:18">
      <c r="F20" s="73"/>
      <c r="R20"/>
    </row>
    <row r="21" spans="6:18">
      <c r="F21" s="73"/>
      <c r="R21"/>
    </row>
    <row r="22" spans="6:18">
      <c r="F22" s="73"/>
      <c r="R22"/>
    </row>
    <row r="23" spans="6:18">
      <c r="F23" s="73"/>
      <c r="R23"/>
    </row>
    <row r="24" spans="6:18">
      <c r="F24" s="73"/>
      <c r="R24"/>
    </row>
    <row r="25" spans="6:18">
      <c r="F25" s="73"/>
      <c r="R25"/>
    </row>
    <row r="26" spans="6:18">
      <c r="F26" s="73"/>
      <c r="R26"/>
    </row>
    <row r="27" spans="6:18">
      <c r="F27" s="73"/>
      <c r="R27"/>
    </row>
    <row r="28" spans="6:18">
      <c r="F28" s="73"/>
      <c r="R28"/>
    </row>
    <row r="29" spans="6:18">
      <c r="F29" s="73"/>
      <c r="R29"/>
    </row>
    <row r="30" spans="6:18">
      <c r="F30" s="73"/>
      <c r="R30"/>
    </row>
    <row r="31" spans="6:18">
      <c r="F31" s="73"/>
      <c r="R31"/>
    </row>
    <row r="32" spans="6:18">
      <c r="F32" s="73"/>
      <c r="R32"/>
    </row>
    <row r="33" spans="6:18">
      <c r="F33" s="73"/>
      <c r="R33"/>
    </row>
    <row r="34" spans="6:18">
      <c r="F34" s="73"/>
      <c r="R34"/>
    </row>
    <row r="35" spans="6:18">
      <c r="F35" s="73"/>
      <c r="R35"/>
    </row>
    <row r="36" spans="6:18">
      <c r="F36" s="73"/>
      <c r="R36"/>
    </row>
    <row r="37" spans="6:18">
      <c r="F37" s="73"/>
      <c r="R37"/>
    </row>
    <row r="38" spans="6:18">
      <c r="F38" s="73"/>
      <c r="R38"/>
    </row>
    <row r="39" spans="6:18">
      <c r="F39" s="73"/>
      <c r="R39"/>
    </row>
    <row r="40" spans="6:18">
      <c r="F40" s="73"/>
      <c r="R40"/>
    </row>
    <row r="41" spans="6:18">
      <c r="F41" s="73"/>
      <c r="R41"/>
    </row>
    <row r="42" spans="6:18">
      <c r="F42" s="73"/>
      <c r="R42"/>
    </row>
    <row r="43" spans="6:18">
      <c r="F43" s="73"/>
      <c r="R43"/>
    </row>
    <row r="44" spans="6:18">
      <c r="F44" s="73"/>
      <c r="R44"/>
    </row>
    <row r="45" spans="6:18">
      <c r="F45" s="73"/>
      <c r="R45"/>
    </row>
    <row r="46" spans="6:18">
      <c r="F46" s="73"/>
      <c r="R46"/>
    </row>
    <row r="47" spans="6:18">
      <c r="F47" s="73"/>
      <c r="R47"/>
    </row>
    <row r="48" spans="6:18">
      <c r="F48" s="73"/>
      <c r="R48"/>
    </row>
    <row r="49" spans="6:18">
      <c r="F49" s="73"/>
      <c r="R49"/>
    </row>
    <row r="50" spans="6:18">
      <c r="F50" s="73"/>
      <c r="R50"/>
    </row>
    <row r="51" spans="6:18">
      <c r="F51" s="73"/>
      <c r="R51"/>
    </row>
    <row r="52" spans="6:18">
      <c r="F52" s="73"/>
      <c r="R52"/>
    </row>
    <row r="53" spans="6:18">
      <c r="F53" s="73"/>
      <c r="R53"/>
    </row>
    <row r="54" spans="6:18">
      <c r="F54" s="73"/>
      <c r="R54"/>
    </row>
    <row r="55" spans="6:18">
      <c r="F55" s="73"/>
      <c r="R55"/>
    </row>
    <row r="56" spans="6:18">
      <c r="F56" s="73"/>
      <c r="R56"/>
    </row>
    <row r="57" spans="6:18">
      <c r="F57" s="73"/>
      <c r="R57"/>
    </row>
    <row r="58" spans="6:18">
      <c r="F58" s="73"/>
      <c r="R58"/>
    </row>
    <row r="59" spans="6:18">
      <c r="F59" s="73"/>
      <c r="R59"/>
    </row>
    <row r="60" spans="6:18">
      <c r="F60" s="73"/>
      <c r="R60"/>
    </row>
    <row r="61" spans="6:18">
      <c r="F61" s="73"/>
      <c r="R61"/>
    </row>
    <row r="62" spans="6:18">
      <c r="F62" s="73"/>
      <c r="R62"/>
    </row>
    <row r="63" spans="6:18">
      <c r="F63" s="73"/>
      <c r="R63"/>
    </row>
    <row r="64" spans="6:18">
      <c r="F64" s="73"/>
      <c r="R64"/>
    </row>
    <row r="65" spans="6:18">
      <c r="F65" s="73"/>
      <c r="R65"/>
    </row>
    <row r="66" spans="6:18">
      <c r="F66" s="73"/>
      <c r="R66"/>
    </row>
    <row r="67" spans="6:18">
      <c r="F67" s="73"/>
      <c r="R67"/>
    </row>
    <row r="68" spans="6:18">
      <c r="F68" s="73"/>
      <c r="R68"/>
    </row>
    <row r="69" spans="6:18">
      <c r="F69" s="73"/>
      <c r="R69"/>
    </row>
    <row r="70" spans="6:18">
      <c r="F70" s="73"/>
      <c r="R70"/>
    </row>
    <row r="71" spans="6:18">
      <c r="F71" s="73"/>
      <c r="R71"/>
    </row>
    <row r="72" spans="6:18">
      <c r="F72" s="73"/>
      <c r="R72"/>
    </row>
    <row r="73" spans="6:18">
      <c r="F73" s="73"/>
      <c r="R73"/>
    </row>
    <row r="74" spans="6:18">
      <c r="F74" s="73"/>
      <c r="R74"/>
    </row>
    <row r="75" spans="6:18">
      <c r="F75" s="73"/>
      <c r="R75"/>
    </row>
    <row r="76" spans="6:18">
      <c r="F76" s="73"/>
      <c r="R76"/>
    </row>
    <row r="77" spans="6:18">
      <c r="F77" s="73"/>
      <c r="R77"/>
    </row>
    <row r="78" spans="6:18">
      <c r="F78" s="73"/>
      <c r="R78"/>
    </row>
    <row r="79" spans="6:18">
      <c r="F79" s="73"/>
      <c r="R79"/>
    </row>
    <row r="80" spans="6:18">
      <c r="F80" s="73"/>
      <c r="R80"/>
    </row>
    <row r="81" spans="6:18">
      <c r="F81" s="73"/>
      <c r="R81"/>
    </row>
    <row r="82" spans="6:18">
      <c r="F82" s="73"/>
      <c r="R82"/>
    </row>
    <row r="83" spans="6:18">
      <c r="F83" s="73"/>
      <c r="R83"/>
    </row>
    <row r="84" spans="6:18">
      <c r="F84" s="73"/>
      <c r="R84"/>
    </row>
    <row r="85" spans="6:18">
      <c r="F85" s="73"/>
      <c r="R85"/>
    </row>
    <row r="86" spans="6:18">
      <c r="F86" s="73"/>
      <c r="R86"/>
    </row>
    <row r="87" spans="6:18">
      <c r="F87" s="73"/>
      <c r="R87"/>
    </row>
    <row r="88" spans="6:18">
      <c r="F88" s="73"/>
      <c r="R88"/>
    </row>
    <row r="89" spans="6:18">
      <c r="F89" s="73"/>
      <c r="R89"/>
    </row>
    <row r="90" spans="6:18">
      <c r="F90" s="73"/>
      <c r="R90"/>
    </row>
    <row r="91" spans="6:18">
      <c r="F91" s="73"/>
      <c r="R91"/>
    </row>
    <row r="92" spans="6:18">
      <c r="F92" s="73"/>
      <c r="R92"/>
    </row>
    <row r="93" spans="6:18">
      <c r="F93" s="73"/>
      <c r="R93"/>
    </row>
    <row r="94" spans="6:18">
      <c r="F94" s="73"/>
      <c r="R94"/>
    </row>
    <row r="95" spans="6:18">
      <c r="F95" s="73"/>
      <c r="R95"/>
    </row>
    <row r="96" spans="6:18">
      <c r="F96" s="73"/>
      <c r="R96"/>
    </row>
    <row r="97" spans="6:18">
      <c r="F97" s="73"/>
      <c r="R97"/>
    </row>
    <row r="98" spans="6:18">
      <c r="F98" s="73"/>
      <c r="R98"/>
    </row>
    <row r="99" spans="6:18">
      <c r="F99" s="73"/>
      <c r="R99"/>
    </row>
    <row r="100" spans="6:18">
      <c r="F100" s="73"/>
      <c r="R100"/>
    </row>
    <row r="101" spans="6:18">
      <c r="F101" s="73"/>
      <c r="R101"/>
    </row>
    <row r="102" spans="6:18">
      <c r="F102" s="73"/>
      <c r="R102"/>
    </row>
    <row r="103" spans="6:18">
      <c r="F103" s="73"/>
      <c r="R103"/>
    </row>
    <row r="104" spans="6:18">
      <c r="F104" s="73"/>
      <c r="R104"/>
    </row>
    <row r="105" spans="6:18">
      <c r="F105" s="73"/>
      <c r="R105"/>
    </row>
    <row r="106" spans="6:18">
      <c r="F106" s="73"/>
      <c r="R106"/>
    </row>
    <row r="107" spans="6:18">
      <c r="F107" s="73"/>
      <c r="R107"/>
    </row>
    <row r="108" spans="6:18">
      <c r="F108" s="73"/>
      <c r="R108"/>
    </row>
    <row r="109" spans="6:18">
      <c r="F109" s="73"/>
      <c r="R109"/>
    </row>
    <row r="110" spans="6:18">
      <c r="F110" s="73"/>
      <c r="R110"/>
    </row>
    <row r="111" spans="6:18">
      <c r="F111" s="73"/>
      <c r="R111"/>
    </row>
    <row r="112" spans="6:18">
      <c r="F112" s="73"/>
      <c r="R112"/>
    </row>
    <row r="113" spans="6:18">
      <c r="F113" s="73"/>
      <c r="R113"/>
    </row>
    <row r="114" spans="6:18">
      <c r="F114" s="73"/>
      <c r="R114"/>
    </row>
    <row r="115" spans="6:18">
      <c r="F115" s="73"/>
      <c r="R115"/>
    </row>
    <row r="116" spans="6:18">
      <c r="F116" s="73"/>
      <c r="R116"/>
    </row>
    <row r="117" spans="6:18">
      <c r="F117" s="73"/>
      <c r="R117"/>
    </row>
    <row r="118" spans="6:18">
      <c r="F118" s="73"/>
      <c r="R118"/>
    </row>
    <row r="119" spans="6:18">
      <c r="F119" s="73"/>
      <c r="R119"/>
    </row>
    <row r="120" spans="6:18">
      <c r="F120" s="73"/>
      <c r="R120"/>
    </row>
    <row r="121" spans="6:18">
      <c r="F121" s="73"/>
      <c r="R121"/>
    </row>
    <row r="122" spans="6:18">
      <c r="F122" s="73"/>
      <c r="R122"/>
    </row>
    <row r="123" spans="6:18">
      <c r="F123" s="73"/>
      <c r="R123"/>
    </row>
    <row r="124" spans="6:18">
      <c r="F124" s="73"/>
      <c r="R124"/>
    </row>
    <row r="125" spans="6:18">
      <c r="F125" s="73"/>
      <c r="R125"/>
    </row>
    <row r="126" spans="6:18">
      <c r="F126" s="73"/>
      <c r="R126"/>
    </row>
    <row r="127" spans="6:18">
      <c r="F127" s="73"/>
      <c r="R127"/>
    </row>
    <row r="128" spans="6:18">
      <c r="F128" s="73"/>
      <c r="R128"/>
    </row>
    <row r="129" spans="6:18">
      <c r="F129" s="73"/>
      <c r="R129"/>
    </row>
    <row r="130" spans="6:18">
      <c r="F130" s="73"/>
      <c r="R130"/>
    </row>
    <row r="131" spans="6:18">
      <c r="F131" s="73"/>
      <c r="R131"/>
    </row>
    <row r="132" spans="6:18">
      <c r="F132" s="73"/>
      <c r="R132"/>
    </row>
    <row r="133" spans="6:18">
      <c r="F133" s="73"/>
      <c r="R133"/>
    </row>
    <row r="134" spans="6:18">
      <c r="F134" s="73"/>
      <c r="R134"/>
    </row>
    <row r="135" spans="6:18">
      <c r="F135" s="73"/>
      <c r="R135"/>
    </row>
    <row r="136" spans="6:18">
      <c r="F136" s="73"/>
      <c r="R136"/>
    </row>
    <row r="137" spans="6:18">
      <c r="F137" s="73"/>
      <c r="R137"/>
    </row>
    <row r="138" spans="6:18">
      <c r="F138" s="73"/>
      <c r="R138"/>
    </row>
    <row r="139" spans="6:18">
      <c r="F139" s="73"/>
      <c r="R139"/>
    </row>
    <row r="140" spans="6:18">
      <c r="F140" s="73"/>
      <c r="R140"/>
    </row>
    <row r="141" spans="6:18">
      <c r="F141" s="73"/>
      <c r="R141"/>
    </row>
    <row r="142" spans="6:18">
      <c r="F142" s="73"/>
      <c r="R142"/>
    </row>
    <row r="143" spans="6:18">
      <c r="F143" s="73"/>
      <c r="R143"/>
    </row>
    <row r="144" spans="6:18">
      <c r="F144" s="73"/>
      <c r="R144"/>
    </row>
    <row r="145" spans="6:18">
      <c r="F145" s="73"/>
      <c r="R145"/>
    </row>
    <row r="146" spans="6:18">
      <c r="F146" s="73"/>
      <c r="R146"/>
    </row>
    <row r="147" spans="6:18">
      <c r="F147" s="73"/>
      <c r="R147"/>
    </row>
    <row r="148" spans="6:18">
      <c r="F148" s="73"/>
      <c r="R148"/>
    </row>
    <row r="149" spans="6:18">
      <c r="F149" s="73"/>
      <c r="R149"/>
    </row>
    <row r="150" spans="6:18">
      <c r="F150" s="73"/>
      <c r="R150"/>
    </row>
    <row r="151" spans="6:18">
      <c r="F151" s="73"/>
      <c r="R151"/>
    </row>
    <row r="152" spans="6:18">
      <c r="F152" s="73"/>
      <c r="R152"/>
    </row>
    <row r="153" spans="6:18">
      <c r="F153" s="73"/>
      <c r="R153"/>
    </row>
    <row r="154" spans="6:18">
      <c r="F154" s="73"/>
      <c r="R154"/>
    </row>
    <row r="155" spans="6:18">
      <c r="F155" s="73"/>
      <c r="R155"/>
    </row>
    <row r="156" spans="6:18">
      <c r="F156" s="73"/>
      <c r="R156"/>
    </row>
    <row r="157" spans="6:18">
      <c r="F157" s="73"/>
      <c r="R157"/>
    </row>
    <row r="158" spans="6:18">
      <c r="F158" s="73"/>
      <c r="R158"/>
    </row>
    <row r="159" spans="6:18">
      <c r="F159" s="73"/>
      <c r="R159"/>
    </row>
    <row r="160" spans="6:18">
      <c r="F160" s="73"/>
      <c r="R160"/>
    </row>
    <row r="161" spans="6:18">
      <c r="F161" s="73"/>
      <c r="R161"/>
    </row>
    <row r="162" spans="6:18">
      <c r="F162" s="73"/>
      <c r="R162"/>
    </row>
    <row r="163" spans="6:18">
      <c r="F163" s="73"/>
      <c r="R163"/>
    </row>
    <row r="164" spans="6:18">
      <c r="F164" s="73"/>
      <c r="R164"/>
    </row>
    <row r="165" spans="6:18">
      <c r="F165" s="73"/>
      <c r="R165"/>
    </row>
    <row r="166" spans="6:18">
      <c r="F166" s="73"/>
      <c r="R166"/>
    </row>
    <row r="167" spans="6:18">
      <c r="F167" s="73"/>
      <c r="R167"/>
    </row>
    <row r="168" spans="6:18">
      <c r="F168" s="73"/>
      <c r="R168"/>
    </row>
    <row r="169" spans="6:18">
      <c r="F169" s="73"/>
      <c r="R169"/>
    </row>
    <row r="170" spans="6:18">
      <c r="F170" s="73"/>
      <c r="R170"/>
    </row>
    <row r="171" spans="6:18">
      <c r="F171" s="73"/>
      <c r="R171"/>
    </row>
    <row r="172" spans="6:18">
      <c r="F172" s="73"/>
      <c r="R172"/>
    </row>
    <row r="173" spans="6:18">
      <c r="F173" s="73"/>
      <c r="R173"/>
    </row>
    <row r="174" spans="6:18">
      <c r="F174" s="73"/>
      <c r="R174"/>
    </row>
    <row r="175" spans="6:18">
      <c r="F175" s="73"/>
      <c r="R175"/>
    </row>
    <row r="176" spans="6:18">
      <c r="F176" s="73"/>
      <c r="R176"/>
    </row>
    <row r="177" spans="6:18">
      <c r="F177" s="73"/>
      <c r="R177"/>
    </row>
    <row r="178" spans="6:18">
      <c r="F178" s="73"/>
      <c r="R178"/>
    </row>
    <row r="179" spans="6:18">
      <c r="F179" s="73"/>
      <c r="R179"/>
    </row>
    <row r="180" spans="6:18">
      <c r="F180" s="73"/>
      <c r="R180"/>
    </row>
    <row r="181" spans="6:18">
      <c r="F181" s="73"/>
      <c r="R181"/>
    </row>
    <row r="182" spans="6:18">
      <c r="F182" s="73"/>
      <c r="R182"/>
    </row>
    <row r="183" spans="6:18">
      <c r="F183" s="73"/>
      <c r="R183"/>
    </row>
    <row r="184" spans="6:18">
      <c r="F184" s="73"/>
      <c r="R184"/>
    </row>
    <row r="185" spans="6:18">
      <c r="F185" s="73"/>
      <c r="R185"/>
    </row>
    <row r="186" spans="6:18">
      <c r="F186" s="73"/>
      <c r="R186"/>
    </row>
    <row r="187" spans="6:18">
      <c r="F187" s="73"/>
      <c r="R187"/>
    </row>
    <row r="188" spans="6:18">
      <c r="F188" s="73"/>
      <c r="R188"/>
    </row>
    <row r="189" spans="6:18">
      <c r="F189" s="73"/>
      <c r="R189"/>
    </row>
    <row r="190" spans="6:18">
      <c r="F190" s="73"/>
      <c r="R190"/>
    </row>
    <row r="191" spans="6:18">
      <c r="F191" s="73"/>
      <c r="R191"/>
    </row>
    <row r="192" spans="6:18">
      <c r="F192" s="73"/>
      <c r="R192"/>
    </row>
    <row r="193" spans="6:18">
      <c r="F193" s="73"/>
      <c r="R193"/>
    </row>
    <row r="194" spans="6:18">
      <c r="F194" s="73"/>
      <c r="R194"/>
    </row>
    <row r="195" spans="6:18">
      <c r="F195" s="73"/>
      <c r="R195"/>
    </row>
    <row r="196" spans="6:18">
      <c r="F196" s="73"/>
      <c r="R196"/>
    </row>
    <row r="197" spans="6:18">
      <c r="F197" s="73"/>
      <c r="R197"/>
    </row>
    <row r="198" spans="6:18">
      <c r="F198" s="73"/>
      <c r="R198"/>
    </row>
    <row r="199" spans="6:18">
      <c r="F199" s="73"/>
      <c r="R199"/>
    </row>
    <row r="200" spans="6:18">
      <c r="F200" s="73"/>
      <c r="R200"/>
    </row>
    <row r="201" spans="6:18">
      <c r="F201" s="73"/>
      <c r="R201"/>
    </row>
    <row r="202" spans="6:18">
      <c r="F202" s="73"/>
      <c r="R202"/>
    </row>
    <row r="203" spans="6:18">
      <c r="F203" s="73"/>
      <c r="R203"/>
    </row>
    <row r="204" spans="6:18">
      <c r="F204" s="73"/>
      <c r="R204"/>
    </row>
    <row r="205" spans="6:18">
      <c r="F205" s="73"/>
      <c r="R205"/>
    </row>
    <row r="206" spans="6:18">
      <c r="F206" s="73"/>
      <c r="R206"/>
    </row>
    <row r="207" spans="6:18">
      <c r="F207" s="73"/>
      <c r="R207"/>
    </row>
    <row r="208" spans="6:18">
      <c r="F208" s="73"/>
      <c r="R208"/>
    </row>
    <row r="209" spans="6:18">
      <c r="F209" s="73"/>
      <c r="R209"/>
    </row>
    <row r="210" spans="6:18">
      <c r="F210" s="73"/>
      <c r="R210"/>
    </row>
    <row r="211" spans="6:18">
      <c r="F211" s="73"/>
      <c r="R211"/>
    </row>
    <row r="212" spans="6:18">
      <c r="F212" s="73"/>
      <c r="R212"/>
    </row>
    <row r="213" spans="6:18">
      <c r="F213" s="73"/>
      <c r="R213"/>
    </row>
    <row r="214" spans="6:18">
      <c r="F214" s="73"/>
      <c r="R214"/>
    </row>
    <row r="215" spans="6:18">
      <c r="F215" s="73"/>
      <c r="R215"/>
    </row>
    <row r="216" spans="6:18">
      <c r="F216" s="73"/>
      <c r="R216"/>
    </row>
    <row r="217" spans="6:18">
      <c r="F217" s="73"/>
      <c r="R217"/>
    </row>
    <row r="218" spans="6:18">
      <c r="F218" s="73"/>
      <c r="R218"/>
    </row>
    <row r="219" spans="6:18">
      <c r="F219" s="73"/>
      <c r="R219"/>
    </row>
    <row r="220" spans="6:18">
      <c r="F220" s="73"/>
      <c r="R220"/>
    </row>
    <row r="221" spans="6:18">
      <c r="F221" s="73"/>
      <c r="R221"/>
    </row>
    <row r="222" spans="6:18">
      <c r="F222" s="73"/>
      <c r="R222"/>
    </row>
    <row r="223" spans="6:18">
      <c r="F223" s="73"/>
      <c r="R223"/>
    </row>
    <row r="224" spans="6:18">
      <c r="F224" s="73"/>
      <c r="R224"/>
    </row>
    <row r="225" spans="6:18">
      <c r="F225" s="73"/>
      <c r="R225"/>
    </row>
    <row r="226" spans="6:18">
      <c r="F226" s="73"/>
      <c r="R226"/>
    </row>
    <row r="227" spans="6:18">
      <c r="F227" s="73"/>
      <c r="R227"/>
    </row>
    <row r="228" spans="6:18">
      <c r="F228" s="73"/>
      <c r="R228"/>
    </row>
    <row r="229" spans="6:18">
      <c r="F229" s="73"/>
      <c r="R229"/>
    </row>
    <row r="230" spans="6:18">
      <c r="F230" s="73"/>
      <c r="R230"/>
    </row>
    <row r="231" spans="6:18">
      <c r="F231" s="73"/>
      <c r="R231"/>
    </row>
    <row r="232" spans="6:18">
      <c r="F232" s="73"/>
      <c r="R232"/>
    </row>
    <row r="233" spans="6:18">
      <c r="F233" s="73"/>
      <c r="R233"/>
    </row>
    <row r="234" spans="6:18">
      <c r="F234" s="73"/>
      <c r="R234"/>
    </row>
    <row r="235" spans="6:18">
      <c r="F235" s="73"/>
      <c r="R235"/>
    </row>
    <row r="236" spans="6:18">
      <c r="F236" s="73"/>
      <c r="R236"/>
    </row>
    <row r="237" spans="6:18">
      <c r="F237" s="73"/>
      <c r="R237"/>
    </row>
    <row r="238" spans="6:18">
      <c r="F238" s="73"/>
      <c r="R238"/>
    </row>
    <row r="239" spans="6:18">
      <c r="F239" s="73"/>
      <c r="R239"/>
    </row>
    <row r="240" spans="6:18">
      <c r="F240" s="73"/>
      <c r="R240"/>
    </row>
    <row r="241" spans="6:18">
      <c r="F241" s="73"/>
      <c r="R241"/>
    </row>
    <row r="242" spans="6:18">
      <c r="F242" s="73"/>
      <c r="R242"/>
    </row>
    <row r="243" spans="6:18">
      <c r="F243" s="73"/>
      <c r="R243"/>
    </row>
    <row r="244" spans="6:18">
      <c r="F244" s="73"/>
      <c r="R244"/>
    </row>
    <row r="245" spans="6:18">
      <c r="F245" s="73"/>
      <c r="R245"/>
    </row>
    <row r="246" spans="6:18">
      <c r="F246" s="73"/>
      <c r="R246"/>
    </row>
    <row r="247" spans="6:18">
      <c r="F247" s="73"/>
      <c r="R247"/>
    </row>
    <row r="248" spans="6:18">
      <c r="F248" s="73"/>
      <c r="R248"/>
    </row>
    <row r="249" spans="6:18">
      <c r="F249" s="73"/>
      <c r="R249"/>
    </row>
    <row r="250" spans="6:18">
      <c r="F250" s="73"/>
      <c r="R250"/>
    </row>
    <row r="251" spans="6:18">
      <c r="F251" s="73"/>
      <c r="R251"/>
    </row>
    <row r="252" spans="6:18">
      <c r="F252" s="73"/>
      <c r="R252"/>
    </row>
    <row r="253" spans="6:18">
      <c r="F253" s="73"/>
      <c r="R253"/>
    </row>
    <row r="254" spans="6:18">
      <c r="F254" s="73"/>
      <c r="R254"/>
    </row>
    <row r="255" spans="6:18">
      <c r="F255" s="73"/>
      <c r="R255"/>
    </row>
    <row r="256" spans="6:18">
      <c r="F256" s="73"/>
      <c r="R256"/>
    </row>
    <row r="257" spans="6:18">
      <c r="F257" s="73"/>
      <c r="R257"/>
    </row>
    <row r="258" spans="6:18">
      <c r="F258" s="73"/>
      <c r="R258"/>
    </row>
    <row r="259" spans="6:18">
      <c r="F259" s="73"/>
      <c r="R259"/>
    </row>
    <row r="260" spans="6:18">
      <c r="F260" s="73"/>
      <c r="R260"/>
    </row>
    <row r="261" spans="6:18">
      <c r="F261" s="73"/>
      <c r="R261"/>
    </row>
    <row r="262" spans="6:18">
      <c r="F262" s="73"/>
      <c r="R262"/>
    </row>
    <row r="263" spans="6:18">
      <c r="F263" s="73"/>
      <c r="R263"/>
    </row>
    <row r="264" spans="6:18">
      <c r="F264" s="73"/>
      <c r="R264"/>
    </row>
    <row r="265" spans="6:18">
      <c r="F265" s="73"/>
      <c r="R265"/>
    </row>
    <row r="266" spans="6:18">
      <c r="F266" s="73"/>
      <c r="R266"/>
    </row>
    <row r="267" spans="6:18">
      <c r="F267" s="73"/>
      <c r="R267"/>
    </row>
    <row r="268" spans="6:18">
      <c r="F268" s="73"/>
      <c r="R268"/>
    </row>
    <row r="269" spans="6:18">
      <c r="F269" s="73"/>
      <c r="R269"/>
    </row>
    <row r="270" spans="6:18">
      <c r="F270" s="73"/>
      <c r="R270"/>
    </row>
    <row r="271" spans="6:18">
      <c r="F271" s="73"/>
      <c r="R271"/>
    </row>
    <row r="272" spans="6:18">
      <c r="F272" s="73"/>
      <c r="R272"/>
    </row>
    <row r="273" spans="6:18">
      <c r="F273" s="73"/>
      <c r="R273"/>
    </row>
    <row r="274" spans="6:18">
      <c r="F274" s="73"/>
      <c r="R274"/>
    </row>
    <row r="275" spans="6:18">
      <c r="F275" s="73"/>
      <c r="R275"/>
    </row>
    <row r="276" spans="6:18">
      <c r="F276" s="73"/>
      <c r="R276"/>
    </row>
    <row r="277" spans="6:18">
      <c r="F277" s="73"/>
      <c r="R277"/>
    </row>
    <row r="278" spans="6:18">
      <c r="F278" s="73"/>
      <c r="R278"/>
    </row>
    <row r="279" spans="6:18">
      <c r="F279" s="73"/>
      <c r="R279"/>
    </row>
    <row r="280" spans="6:18">
      <c r="F280" s="73"/>
      <c r="R280"/>
    </row>
    <row r="281" spans="6:18">
      <c r="F281" s="73"/>
      <c r="R281"/>
    </row>
    <row r="282" spans="6:18">
      <c r="F282" s="73"/>
      <c r="R282"/>
    </row>
    <row r="283" spans="6:18">
      <c r="F283" s="73"/>
      <c r="R283"/>
    </row>
    <row r="284" spans="6:18">
      <c r="F284" s="73"/>
      <c r="R284"/>
    </row>
    <row r="285" spans="6:18">
      <c r="F285" s="73"/>
      <c r="R285"/>
    </row>
    <row r="286" spans="6:18">
      <c r="F286" s="73"/>
      <c r="R286"/>
    </row>
    <row r="287" spans="6:18">
      <c r="F287" s="73"/>
      <c r="R287"/>
    </row>
    <row r="288" spans="6:18">
      <c r="F288" s="73"/>
      <c r="R288"/>
    </row>
    <row r="289" spans="6:18">
      <c r="F289" s="73"/>
      <c r="R289"/>
    </row>
    <row r="290" spans="6:18">
      <c r="F290" s="73"/>
      <c r="R290"/>
    </row>
    <row r="291" spans="6:18">
      <c r="F291" s="73"/>
      <c r="R291"/>
    </row>
    <row r="292" spans="6:18">
      <c r="F292" s="73"/>
      <c r="R292"/>
    </row>
    <row r="293" spans="6:18">
      <c r="F293" s="73"/>
      <c r="R293"/>
    </row>
    <row r="294" spans="6:18">
      <c r="F294" s="73"/>
      <c r="R294"/>
    </row>
    <row r="295" spans="6:18">
      <c r="F295" s="73"/>
      <c r="R295"/>
    </row>
    <row r="296" spans="6:18">
      <c r="F296" s="73"/>
      <c r="R296"/>
    </row>
    <row r="297" spans="6:18">
      <c r="F297" s="73"/>
      <c r="R297"/>
    </row>
    <row r="298" spans="6:18">
      <c r="F298" s="73"/>
      <c r="R298"/>
    </row>
    <row r="299" spans="6:18">
      <c r="F299" s="73"/>
      <c r="R299"/>
    </row>
    <row r="300" spans="6:18">
      <c r="F300" s="73"/>
      <c r="R300"/>
    </row>
    <row r="301" spans="6:18">
      <c r="F301" s="73"/>
      <c r="R301"/>
    </row>
    <row r="302" spans="6:18">
      <c r="F302" s="73"/>
      <c r="R302"/>
    </row>
    <row r="303" spans="6:18">
      <c r="F303" s="73"/>
      <c r="R303"/>
    </row>
    <row r="304" spans="6:18">
      <c r="F304" s="73"/>
      <c r="R304"/>
    </row>
    <row r="305" spans="6:18">
      <c r="F305" s="73"/>
      <c r="R305"/>
    </row>
    <row r="306" spans="6:18">
      <c r="F306" s="73"/>
      <c r="R306"/>
    </row>
    <row r="307" spans="6:18">
      <c r="F307" s="73"/>
      <c r="R307"/>
    </row>
    <row r="308" spans="6:18">
      <c r="F308" s="73"/>
      <c r="R308"/>
    </row>
    <row r="309" spans="6:18">
      <c r="F309" s="73"/>
      <c r="R309"/>
    </row>
    <row r="310" spans="6:18">
      <c r="F310" s="73"/>
      <c r="R310"/>
    </row>
    <row r="311" spans="6:18">
      <c r="F311" s="73"/>
      <c r="R311"/>
    </row>
    <row r="312" spans="6:18">
      <c r="F312" s="73"/>
      <c r="R312"/>
    </row>
    <row r="313" spans="6:18">
      <c r="F313" s="73"/>
      <c r="R313"/>
    </row>
    <row r="314" spans="6:18">
      <c r="F314" s="73"/>
      <c r="R314"/>
    </row>
    <row r="315" spans="6:18">
      <c r="F315" s="73"/>
      <c r="R315"/>
    </row>
    <row r="316" spans="6:18">
      <c r="F316" s="73"/>
      <c r="R316"/>
    </row>
    <row r="317" spans="6:18">
      <c r="F317" s="73"/>
      <c r="R317"/>
    </row>
    <row r="318" spans="6:18">
      <c r="F318" s="73"/>
      <c r="R318"/>
    </row>
    <row r="319" spans="6:18">
      <c r="F319" s="73"/>
      <c r="R319"/>
    </row>
    <row r="320" spans="6:18">
      <c r="F320" s="73"/>
      <c r="R320"/>
    </row>
    <row r="321" spans="6:18">
      <c r="F321" s="73"/>
      <c r="R321"/>
    </row>
    <row r="322" spans="6:18">
      <c r="F322" s="73"/>
      <c r="R322"/>
    </row>
    <row r="323" spans="6:18">
      <c r="F323" s="73"/>
      <c r="R323"/>
    </row>
    <row r="324" spans="6:18">
      <c r="F324" s="73"/>
      <c r="R324"/>
    </row>
    <row r="325" spans="6:18">
      <c r="F325" s="73"/>
      <c r="R325"/>
    </row>
    <row r="326" spans="6:18">
      <c r="F326" s="73"/>
      <c r="R326"/>
    </row>
    <row r="327" spans="6:18">
      <c r="F327" s="73"/>
      <c r="R327"/>
    </row>
    <row r="328" spans="6:18">
      <c r="F328" s="73"/>
      <c r="R328"/>
    </row>
    <row r="329" spans="6:18">
      <c r="F329" s="73"/>
      <c r="R329"/>
    </row>
    <row r="330" spans="6:18">
      <c r="F330" s="73"/>
      <c r="R330"/>
    </row>
    <row r="331" spans="6:18">
      <c r="F331" s="73"/>
      <c r="R331"/>
    </row>
    <row r="332" spans="6:18">
      <c r="F332" s="73"/>
      <c r="R332"/>
    </row>
    <row r="333" spans="6:18">
      <c r="F333" s="73"/>
      <c r="R333"/>
    </row>
    <row r="334" spans="6:18">
      <c r="F334" s="73"/>
      <c r="R334"/>
    </row>
    <row r="335" spans="6:18">
      <c r="F335" s="73"/>
      <c r="R335"/>
    </row>
    <row r="336" spans="6:18">
      <c r="F336" s="73"/>
      <c r="R336"/>
    </row>
    <row r="337" spans="6:18">
      <c r="F337" s="73"/>
      <c r="R337"/>
    </row>
    <row r="338" spans="6:18">
      <c r="F338" s="73"/>
      <c r="R338"/>
    </row>
    <row r="339" spans="6:18">
      <c r="F339" s="73"/>
      <c r="R339"/>
    </row>
    <row r="340" spans="6:18">
      <c r="F340" s="73"/>
      <c r="R340"/>
    </row>
    <row r="341" spans="6:18">
      <c r="F341" s="73"/>
      <c r="R341"/>
    </row>
    <row r="342" spans="6:18">
      <c r="F342" s="73"/>
      <c r="R342"/>
    </row>
    <row r="343" spans="6:18">
      <c r="F343" s="73"/>
      <c r="R343"/>
    </row>
    <row r="344" spans="6:18">
      <c r="F344" s="73"/>
      <c r="R344"/>
    </row>
    <row r="345" spans="6:18">
      <c r="F345" s="73"/>
      <c r="R345"/>
    </row>
    <row r="346" spans="6:18">
      <c r="F346" s="73"/>
      <c r="R346"/>
    </row>
    <row r="347" spans="6:18">
      <c r="F347" s="73"/>
      <c r="R347"/>
    </row>
    <row r="348" spans="6:18">
      <c r="F348" s="73"/>
      <c r="R348"/>
    </row>
    <row r="349" spans="6:18">
      <c r="F349" s="73"/>
      <c r="R349"/>
    </row>
    <row r="350" spans="6:18">
      <c r="F350" s="73"/>
      <c r="R350"/>
    </row>
    <row r="351" spans="6:18">
      <c r="F351" s="73"/>
      <c r="R351"/>
    </row>
    <row r="352" spans="6:18">
      <c r="F352" s="73"/>
      <c r="R352"/>
    </row>
    <row r="353" spans="6:18">
      <c r="F353" s="73"/>
      <c r="R353"/>
    </row>
    <row r="354" spans="6:18">
      <c r="F354" s="73"/>
      <c r="R354"/>
    </row>
    <row r="355" spans="6:18">
      <c r="F355" s="73"/>
      <c r="R355"/>
    </row>
    <row r="356" spans="6:18">
      <c r="F356" s="73"/>
      <c r="R356"/>
    </row>
    <row r="357" spans="6:18">
      <c r="F357" s="73"/>
      <c r="R357"/>
    </row>
    <row r="358" spans="6:18">
      <c r="F358" s="73"/>
      <c r="R358"/>
    </row>
    <row r="359" spans="6:18">
      <c r="F359" s="73"/>
      <c r="R359"/>
    </row>
    <row r="360" spans="6:18">
      <c r="F360" s="73"/>
      <c r="R360"/>
    </row>
    <row r="361" spans="6:18">
      <c r="F361" s="73"/>
      <c r="R361"/>
    </row>
    <row r="362" spans="6:18">
      <c r="F362" s="73"/>
      <c r="R362"/>
    </row>
    <row r="363" spans="6:18">
      <c r="F363" s="73"/>
      <c r="R363"/>
    </row>
    <row r="364" spans="6:18">
      <c r="F364" s="73"/>
      <c r="R364"/>
    </row>
    <row r="365" spans="6:18">
      <c r="F365" s="73"/>
      <c r="R365"/>
    </row>
    <row r="366" spans="6:18">
      <c r="F366" s="73"/>
      <c r="R366"/>
    </row>
    <row r="367" spans="6:18">
      <c r="F367" s="73"/>
      <c r="R367"/>
    </row>
    <row r="368" spans="6:18">
      <c r="F368" s="73"/>
      <c r="R368"/>
    </row>
    <row r="369" spans="6:18">
      <c r="F369" s="73"/>
      <c r="R369"/>
    </row>
    <row r="370" spans="6:18">
      <c r="F370" s="73"/>
      <c r="R370"/>
    </row>
    <row r="371" spans="6:18">
      <c r="F371" s="73"/>
      <c r="R371"/>
    </row>
    <row r="372" spans="6:18">
      <c r="F372" s="73"/>
      <c r="R372"/>
    </row>
    <row r="373" spans="6:18">
      <c r="F373" s="73"/>
      <c r="R373"/>
    </row>
    <row r="374" spans="6:18">
      <c r="F374" s="73"/>
      <c r="R374"/>
    </row>
    <row r="375" spans="6:18">
      <c r="F375" s="73"/>
      <c r="R375"/>
    </row>
    <row r="376" spans="6:18">
      <c r="F376" s="73"/>
      <c r="R376"/>
    </row>
    <row r="377" spans="6:18">
      <c r="F377" s="73"/>
      <c r="R377"/>
    </row>
    <row r="378" spans="6:18">
      <c r="F378" s="73"/>
      <c r="R378"/>
    </row>
    <row r="379" spans="6:18">
      <c r="F379" s="73"/>
      <c r="R379"/>
    </row>
    <row r="380" spans="6:18">
      <c r="F380" s="73"/>
      <c r="R380"/>
    </row>
    <row r="381" spans="6:18">
      <c r="F381" s="73"/>
      <c r="R381"/>
    </row>
    <row r="382" spans="6:18">
      <c r="F382" s="73"/>
      <c r="R382"/>
    </row>
    <row r="383" spans="6:18">
      <c r="F383" s="73"/>
      <c r="R383"/>
    </row>
    <row r="384" spans="6:18">
      <c r="F384" s="73"/>
      <c r="R384"/>
    </row>
    <row r="385" spans="6:18">
      <c r="F385" s="73"/>
      <c r="R385"/>
    </row>
    <row r="386" spans="6:18">
      <c r="F386" s="73"/>
      <c r="R386"/>
    </row>
    <row r="387" spans="6:18">
      <c r="F387" s="73"/>
      <c r="R387"/>
    </row>
    <row r="388" spans="6:18">
      <c r="F388" s="73"/>
      <c r="R388"/>
    </row>
    <row r="389" spans="6:18">
      <c r="F389" s="73"/>
      <c r="R389"/>
    </row>
    <row r="390" spans="6:18">
      <c r="F390" s="73"/>
      <c r="R390"/>
    </row>
    <row r="391" spans="6:18">
      <c r="F391" s="73"/>
      <c r="R391"/>
    </row>
    <row r="392" spans="6:18">
      <c r="F392" s="73"/>
      <c r="R392"/>
    </row>
    <row r="393" spans="6:18">
      <c r="F393" s="73"/>
      <c r="R393"/>
    </row>
    <row r="394" spans="6:18">
      <c r="F394" s="73"/>
      <c r="R394"/>
    </row>
    <row r="395" spans="6:18">
      <c r="F395" s="73"/>
      <c r="R395"/>
    </row>
    <row r="396" spans="6:18">
      <c r="F396" s="73"/>
      <c r="R396"/>
    </row>
    <row r="397" spans="6:18">
      <c r="F397" s="73"/>
      <c r="R397"/>
    </row>
    <row r="398" spans="6:18">
      <c r="F398" s="73"/>
      <c r="R398"/>
    </row>
    <row r="399" spans="6:18">
      <c r="F399" s="73"/>
      <c r="R399"/>
    </row>
    <row r="400" spans="6:18">
      <c r="F400" s="73"/>
      <c r="R400"/>
    </row>
    <row r="401" spans="6:18">
      <c r="F401" s="73"/>
      <c r="R401"/>
    </row>
    <row r="402" spans="6:18">
      <c r="F402" s="73"/>
      <c r="R402"/>
    </row>
    <row r="403" spans="6:18">
      <c r="F403" s="73"/>
      <c r="R403"/>
    </row>
    <row r="404" spans="6:18">
      <c r="F404" s="73"/>
      <c r="R404"/>
    </row>
    <row r="405" spans="6:18">
      <c r="F405" s="73"/>
      <c r="R405"/>
    </row>
    <row r="406" spans="6:18">
      <c r="F406" s="73"/>
      <c r="R406"/>
    </row>
    <row r="407" spans="6:18">
      <c r="F407" s="73"/>
      <c r="R407"/>
    </row>
    <row r="408" spans="6:18">
      <c r="F408" s="73"/>
      <c r="R408"/>
    </row>
    <row r="409" spans="6:18">
      <c r="F409" s="73"/>
      <c r="R409"/>
    </row>
    <row r="410" spans="6:18">
      <c r="F410" s="73"/>
      <c r="R410"/>
    </row>
    <row r="411" spans="6:18">
      <c r="F411" s="73"/>
      <c r="R411"/>
    </row>
    <row r="412" spans="6:18">
      <c r="F412" s="73"/>
      <c r="R412"/>
    </row>
    <row r="413" spans="6:18">
      <c r="F413" s="73"/>
      <c r="R413"/>
    </row>
    <row r="414" spans="6:18">
      <c r="F414" s="73"/>
      <c r="R414"/>
    </row>
    <row r="415" spans="6:18">
      <c r="F415" s="73"/>
      <c r="R415"/>
    </row>
    <row r="416" spans="6:18">
      <c r="F416" s="73"/>
      <c r="R416"/>
    </row>
    <row r="417" spans="6:18">
      <c r="F417" s="73"/>
      <c r="R417"/>
    </row>
    <row r="418" spans="6:18">
      <c r="F418" s="73"/>
      <c r="R418"/>
    </row>
    <row r="419" spans="6:18">
      <c r="F419" s="73"/>
      <c r="R419"/>
    </row>
    <row r="420" spans="6:18">
      <c r="F420" s="73"/>
      <c r="R420"/>
    </row>
    <row r="421" spans="6:18">
      <c r="F421" s="73"/>
      <c r="R421"/>
    </row>
    <row r="422" spans="6:18">
      <c r="F422" s="73"/>
      <c r="R422"/>
    </row>
    <row r="423" spans="6:18">
      <c r="F423" s="73"/>
      <c r="R423"/>
    </row>
    <row r="424" spans="6:18">
      <c r="F424" s="73"/>
      <c r="R424"/>
    </row>
    <row r="425" spans="6:18">
      <c r="F425" s="73"/>
      <c r="R425"/>
    </row>
    <row r="426" spans="6:18">
      <c r="F426" s="73"/>
      <c r="R426"/>
    </row>
    <row r="427" spans="6:18">
      <c r="F427" s="73"/>
      <c r="R427"/>
    </row>
    <row r="428" spans="6:18">
      <c r="F428" s="73"/>
      <c r="R428"/>
    </row>
    <row r="429" spans="6:18">
      <c r="F429" s="73"/>
      <c r="R429"/>
    </row>
    <row r="430" spans="6:18">
      <c r="F430" s="73"/>
      <c r="R430"/>
    </row>
    <row r="431" spans="6:18">
      <c r="F431" s="73"/>
      <c r="R431"/>
    </row>
    <row r="432" spans="6:18">
      <c r="F432" s="73"/>
      <c r="R432"/>
    </row>
    <row r="433" spans="6:18">
      <c r="F433" s="73"/>
      <c r="R433"/>
    </row>
    <row r="434" spans="6:18">
      <c r="F434" s="73"/>
      <c r="R434"/>
    </row>
    <row r="435" spans="6:18">
      <c r="F435" s="73"/>
      <c r="R435"/>
    </row>
    <row r="436" spans="6:18">
      <c r="F436" s="73"/>
      <c r="R436"/>
    </row>
    <row r="437" spans="6:18">
      <c r="F437" s="73"/>
      <c r="R437"/>
    </row>
    <row r="438" spans="6:18">
      <c r="F438" s="73"/>
      <c r="R438"/>
    </row>
    <row r="439" spans="6:18">
      <c r="F439" s="73"/>
      <c r="R439"/>
    </row>
    <row r="440" spans="6:18">
      <c r="F440" s="73"/>
      <c r="R440"/>
    </row>
    <row r="441" spans="6:18">
      <c r="F441" s="73"/>
      <c r="R441"/>
    </row>
    <row r="442" spans="6:18">
      <c r="F442" s="73"/>
      <c r="R442"/>
    </row>
    <row r="443" spans="6:18">
      <c r="F443" s="73"/>
      <c r="R443"/>
    </row>
    <row r="444" spans="6:18">
      <c r="F444" s="73"/>
      <c r="R444"/>
    </row>
    <row r="445" spans="6:18">
      <c r="F445" s="73"/>
      <c r="R445"/>
    </row>
    <row r="446" spans="6:18">
      <c r="F446" s="73"/>
      <c r="R446"/>
    </row>
    <row r="447" spans="6:18">
      <c r="F447" s="73"/>
      <c r="R447"/>
    </row>
    <row r="448" spans="6:18">
      <c r="F448" s="73"/>
      <c r="R448"/>
    </row>
    <row r="449" spans="6:18">
      <c r="F449" s="73"/>
      <c r="R449"/>
    </row>
    <row r="450" spans="6:18">
      <c r="F450" s="73"/>
      <c r="R450"/>
    </row>
    <row r="451" spans="6:18">
      <c r="F451" s="73"/>
      <c r="R451"/>
    </row>
    <row r="452" spans="6:18">
      <c r="F452" s="73"/>
      <c r="R452"/>
    </row>
    <row r="453" spans="6:18">
      <c r="F453" s="73"/>
      <c r="R453"/>
    </row>
    <row r="454" spans="6:18">
      <c r="F454" s="73"/>
      <c r="R454"/>
    </row>
    <row r="455" spans="6:18">
      <c r="F455" s="73"/>
      <c r="R455"/>
    </row>
    <row r="456" spans="6:18">
      <c r="F456" s="73"/>
      <c r="R456"/>
    </row>
    <row r="457" spans="6:18">
      <c r="F457" s="73"/>
      <c r="R457"/>
    </row>
    <row r="458" spans="6:18">
      <c r="F458" s="73"/>
      <c r="R458"/>
    </row>
    <row r="459" spans="6:18">
      <c r="F459" s="73"/>
      <c r="R459"/>
    </row>
    <row r="460" spans="6:18">
      <c r="F460" s="73"/>
      <c r="R460"/>
    </row>
    <row r="461" spans="6:18">
      <c r="F461" s="73"/>
      <c r="R461"/>
    </row>
    <row r="462" spans="6:18">
      <c r="F462" s="73"/>
      <c r="R462"/>
    </row>
    <row r="463" spans="6:18">
      <c r="F463" s="73"/>
      <c r="R463"/>
    </row>
    <row r="464" spans="6:18">
      <c r="F464" s="73"/>
      <c r="R464"/>
    </row>
    <row r="465" spans="6:18">
      <c r="F465" s="73"/>
      <c r="R465"/>
    </row>
    <row r="466" spans="6:18">
      <c r="F466" s="73"/>
      <c r="R466"/>
    </row>
    <row r="467" spans="6:18">
      <c r="F467" s="73"/>
      <c r="R467"/>
    </row>
    <row r="468" spans="6:18">
      <c r="F468" s="73"/>
      <c r="R468"/>
    </row>
    <row r="469" spans="6:18">
      <c r="F469" s="73"/>
      <c r="R469"/>
    </row>
    <row r="470" spans="6:18">
      <c r="F470" s="73"/>
      <c r="R470"/>
    </row>
    <row r="471" spans="6:18">
      <c r="F471" s="73"/>
      <c r="R471"/>
    </row>
    <row r="472" spans="6:18">
      <c r="F472" s="73"/>
      <c r="R472"/>
    </row>
    <row r="473" spans="6:18">
      <c r="F473" s="73"/>
      <c r="R473"/>
    </row>
    <row r="474" spans="6:18">
      <c r="F474" s="73"/>
      <c r="R474"/>
    </row>
    <row r="475" spans="6:18">
      <c r="F475" s="73"/>
      <c r="R475"/>
    </row>
    <row r="476" spans="6:18">
      <c r="F476" s="73"/>
      <c r="R476"/>
    </row>
    <row r="477" spans="6:18">
      <c r="F477" s="73"/>
      <c r="R477"/>
    </row>
    <row r="478" spans="6:18">
      <c r="F478" s="73"/>
      <c r="R478"/>
    </row>
    <row r="479" spans="6:18">
      <c r="F479" s="73"/>
      <c r="R479"/>
    </row>
    <row r="480" spans="6:18">
      <c r="F480" s="73"/>
      <c r="R480"/>
    </row>
    <row r="481" spans="6:18">
      <c r="F481" s="73"/>
      <c r="R481"/>
    </row>
    <row r="482" spans="6:18">
      <c r="F482" s="73"/>
      <c r="R482"/>
    </row>
    <row r="483" spans="6:18">
      <c r="F483" s="73"/>
      <c r="R483"/>
    </row>
    <row r="484" spans="6:18">
      <c r="F484" s="73"/>
      <c r="R484"/>
    </row>
    <row r="485" spans="6:18">
      <c r="F485" s="73"/>
      <c r="R485"/>
    </row>
    <row r="486" spans="6:18">
      <c r="F486" s="73"/>
      <c r="R486"/>
    </row>
    <row r="487" spans="6:18">
      <c r="F487" s="73"/>
      <c r="R487"/>
    </row>
    <row r="488" spans="6:18">
      <c r="F488" s="73"/>
      <c r="R488"/>
    </row>
    <row r="489" spans="6:18">
      <c r="F489" s="73"/>
      <c r="R489"/>
    </row>
    <row r="490" spans="6:18">
      <c r="F490" s="73"/>
      <c r="R490"/>
    </row>
    <row r="491" spans="6:18">
      <c r="F491" s="73"/>
      <c r="R491"/>
    </row>
    <row r="492" spans="6:18">
      <c r="F492" s="73"/>
      <c r="R492"/>
    </row>
    <row r="493" spans="6:18">
      <c r="F493" s="73"/>
      <c r="R493"/>
    </row>
    <row r="494" spans="6:18">
      <c r="F494" s="73"/>
      <c r="R494"/>
    </row>
    <row r="495" spans="6:18">
      <c r="F495" s="73"/>
      <c r="R495"/>
    </row>
    <row r="496" spans="6:18">
      <c r="F496" s="73"/>
      <c r="R496"/>
    </row>
    <row r="497" spans="6:18">
      <c r="F497" s="73"/>
      <c r="R497"/>
    </row>
    <row r="498" spans="6:18">
      <c r="F498" s="73"/>
      <c r="R498"/>
    </row>
    <row r="499" spans="6:18">
      <c r="F499" s="73"/>
      <c r="R499"/>
    </row>
    <row r="500" spans="6:18">
      <c r="F500" s="73"/>
      <c r="R500"/>
    </row>
    <row r="501" spans="6:18">
      <c r="F501" s="73"/>
      <c r="R501"/>
    </row>
    <row r="502" spans="6:18">
      <c r="F502" s="73"/>
      <c r="R502"/>
    </row>
    <row r="503" spans="6:18">
      <c r="F503" s="73"/>
      <c r="R503"/>
    </row>
    <row r="504" spans="6:18">
      <c r="F504" s="73"/>
      <c r="R504"/>
    </row>
    <row r="505" spans="6:18">
      <c r="F505" s="73"/>
      <c r="R505"/>
    </row>
    <row r="506" spans="6:18">
      <c r="F506" s="73"/>
      <c r="R506"/>
    </row>
    <row r="507" spans="6:18">
      <c r="F507" s="73"/>
      <c r="R507"/>
    </row>
    <row r="508" spans="6:18">
      <c r="F508" s="73"/>
      <c r="R508"/>
    </row>
    <row r="509" spans="6:18">
      <c r="F509" s="73"/>
      <c r="R509"/>
    </row>
    <row r="510" spans="6:18">
      <c r="F510" s="73"/>
      <c r="R510"/>
    </row>
    <row r="511" spans="6:18">
      <c r="F511" s="73"/>
      <c r="R511"/>
    </row>
    <row r="512" spans="6:18">
      <c r="F512" s="73"/>
      <c r="R512"/>
    </row>
    <row r="513" spans="6:18">
      <c r="F513" s="73"/>
      <c r="R513"/>
    </row>
    <row r="514" spans="6:18">
      <c r="F514" s="73"/>
      <c r="R514"/>
    </row>
    <row r="515" spans="6:18">
      <c r="F515" s="73"/>
      <c r="R515"/>
    </row>
    <row r="516" spans="6:18">
      <c r="F516" s="73"/>
      <c r="R516"/>
    </row>
    <row r="517" spans="6:18">
      <c r="F517" s="73"/>
      <c r="R517"/>
    </row>
    <row r="518" spans="6:18">
      <c r="F518" s="73"/>
      <c r="R518"/>
    </row>
    <row r="519" spans="6:18">
      <c r="F519" s="73"/>
      <c r="R519"/>
    </row>
    <row r="520" spans="6:18">
      <c r="F520" s="73"/>
      <c r="R520"/>
    </row>
    <row r="521" spans="6:18">
      <c r="F521" s="73"/>
      <c r="R521"/>
    </row>
    <row r="522" spans="6:18">
      <c r="F522" s="73"/>
      <c r="R522"/>
    </row>
    <row r="523" spans="6:18">
      <c r="F523" s="73"/>
      <c r="R523"/>
    </row>
    <row r="524" spans="6:18">
      <c r="F524" s="73"/>
      <c r="R524"/>
    </row>
    <row r="525" spans="6:18">
      <c r="F525" s="73"/>
      <c r="R525"/>
    </row>
    <row r="526" spans="6:18">
      <c r="F526" s="73"/>
      <c r="R526"/>
    </row>
    <row r="527" spans="6:18">
      <c r="F527" s="73"/>
      <c r="R527"/>
    </row>
    <row r="528" spans="6:18">
      <c r="F528" s="73"/>
      <c r="R528"/>
    </row>
    <row r="529" spans="6:18">
      <c r="F529" s="73"/>
      <c r="R529"/>
    </row>
    <row r="530" spans="6:18">
      <c r="F530" s="73"/>
      <c r="R530"/>
    </row>
    <row r="531" spans="6:18">
      <c r="F531" s="73"/>
      <c r="R531"/>
    </row>
    <row r="532" spans="6:18">
      <c r="F532" s="73"/>
      <c r="R532"/>
    </row>
    <row r="533" spans="6:18">
      <c r="F533" s="73"/>
      <c r="R533"/>
    </row>
    <row r="534" spans="6:18">
      <c r="F534" s="73"/>
      <c r="R534"/>
    </row>
    <row r="535" spans="6:18">
      <c r="F535" s="73"/>
      <c r="R535"/>
    </row>
    <row r="536" spans="6:18">
      <c r="F536" s="73"/>
      <c r="R536"/>
    </row>
    <row r="537" spans="6:18">
      <c r="F537" s="73"/>
      <c r="R537"/>
    </row>
    <row r="538" spans="6:18">
      <c r="F538" s="73"/>
      <c r="R538"/>
    </row>
    <row r="539" spans="6:18">
      <c r="F539" s="73"/>
      <c r="R539"/>
    </row>
    <row r="540" spans="6:18">
      <c r="F540" s="73"/>
      <c r="R540"/>
    </row>
    <row r="541" spans="6:18">
      <c r="F541" s="73"/>
      <c r="R541"/>
    </row>
    <row r="542" spans="6:18">
      <c r="F542" s="73"/>
      <c r="R542"/>
    </row>
    <row r="543" spans="6:18">
      <c r="F543" s="73"/>
      <c r="R543"/>
    </row>
    <row r="544" spans="6:18">
      <c r="F544" s="73"/>
      <c r="R544"/>
    </row>
    <row r="545" spans="6:18">
      <c r="F545" s="73"/>
      <c r="R545"/>
    </row>
    <row r="546" spans="6:18">
      <c r="F546" s="73"/>
      <c r="R546"/>
    </row>
    <row r="547" spans="6:18">
      <c r="F547" s="73"/>
      <c r="R547"/>
    </row>
    <row r="548" spans="6:18">
      <c r="F548" s="73"/>
      <c r="R548"/>
    </row>
    <row r="549" spans="6:18">
      <c r="F549" s="73"/>
      <c r="R549"/>
    </row>
    <row r="550" spans="6:18">
      <c r="F550" s="73"/>
      <c r="R550"/>
    </row>
    <row r="551" spans="6:18">
      <c r="F551" s="73"/>
      <c r="R551"/>
    </row>
    <row r="552" spans="6:18">
      <c r="F552" s="73"/>
      <c r="R552"/>
    </row>
    <row r="553" spans="6:18">
      <c r="F553" s="73"/>
      <c r="R553"/>
    </row>
    <row r="554" spans="6:18">
      <c r="F554" s="73"/>
      <c r="R554"/>
    </row>
    <row r="555" spans="6:18">
      <c r="F555" s="73"/>
      <c r="R555"/>
    </row>
    <row r="556" spans="6:18">
      <c r="F556" s="73"/>
      <c r="R556"/>
    </row>
    <row r="557" spans="6:18">
      <c r="F557" s="73"/>
      <c r="R557"/>
    </row>
    <row r="558" spans="6:18">
      <c r="F558" s="73"/>
      <c r="R558"/>
    </row>
    <row r="559" spans="6:18">
      <c r="F559" s="73"/>
      <c r="R559"/>
    </row>
    <row r="560" spans="6:18">
      <c r="F560" s="73"/>
      <c r="R560"/>
    </row>
    <row r="561" spans="6:18">
      <c r="F561" s="73"/>
      <c r="R561"/>
    </row>
    <row r="562" spans="6:18">
      <c r="F562" s="73"/>
      <c r="R562"/>
    </row>
    <row r="563" spans="6:18">
      <c r="F563" s="73"/>
      <c r="R563"/>
    </row>
    <row r="564" spans="6:18">
      <c r="F564" s="73"/>
      <c r="R564"/>
    </row>
    <row r="565" spans="6:18">
      <c r="F565" s="73"/>
      <c r="R565"/>
    </row>
    <row r="566" spans="6:18">
      <c r="F566" s="73"/>
      <c r="R566"/>
    </row>
    <row r="567" spans="6:18">
      <c r="F567" s="73"/>
      <c r="R567"/>
    </row>
    <row r="568" spans="6:18">
      <c r="F568" s="73"/>
      <c r="R568"/>
    </row>
    <row r="569" spans="6:18">
      <c r="F569" s="73"/>
      <c r="R569"/>
    </row>
    <row r="570" spans="6:18">
      <c r="F570" s="73"/>
      <c r="R570"/>
    </row>
    <row r="571" spans="6:18">
      <c r="F571" s="73"/>
      <c r="R571"/>
    </row>
    <row r="572" spans="6:18">
      <c r="F572" s="73"/>
      <c r="R572"/>
    </row>
    <row r="573" spans="6:18">
      <c r="F573" s="73"/>
      <c r="R573"/>
    </row>
    <row r="574" spans="6:18">
      <c r="F574" s="73"/>
      <c r="R574"/>
    </row>
    <row r="575" spans="6:18">
      <c r="F575" s="73"/>
      <c r="R575"/>
    </row>
    <row r="576" spans="6:18">
      <c r="F576" s="73"/>
      <c r="R576"/>
    </row>
    <row r="577" spans="6:18">
      <c r="F577" s="73"/>
      <c r="R577"/>
    </row>
    <row r="578" spans="6:18">
      <c r="F578" s="73"/>
      <c r="R578"/>
    </row>
    <row r="579" spans="6:18">
      <c r="F579" s="73"/>
      <c r="R579"/>
    </row>
    <row r="580" spans="6:18">
      <c r="F580" s="73"/>
      <c r="R580"/>
    </row>
    <row r="581" spans="6:18">
      <c r="F581" s="73"/>
      <c r="R581"/>
    </row>
    <row r="582" spans="6:18">
      <c r="F582" s="73"/>
      <c r="R582"/>
    </row>
    <row r="583" spans="6:18">
      <c r="F583" s="73"/>
      <c r="R583"/>
    </row>
    <row r="584" spans="6:18">
      <c r="F584" s="73"/>
      <c r="R584"/>
    </row>
    <row r="585" spans="6:18">
      <c r="F585" s="73"/>
      <c r="R585"/>
    </row>
    <row r="586" spans="6:18">
      <c r="F586" s="73"/>
      <c r="R586"/>
    </row>
    <row r="587" spans="6:18">
      <c r="F587" s="73"/>
      <c r="R587"/>
    </row>
    <row r="588" spans="6:18">
      <c r="F588" s="73"/>
      <c r="R588"/>
    </row>
    <row r="589" spans="6:18">
      <c r="F589" s="73"/>
      <c r="R589"/>
    </row>
    <row r="590" spans="6:18">
      <c r="F590" s="73"/>
      <c r="R590"/>
    </row>
    <row r="591" spans="6:18">
      <c r="F591" s="73"/>
      <c r="R591"/>
    </row>
    <row r="592" spans="6:18">
      <c r="F592" s="73"/>
      <c r="R592"/>
    </row>
    <row r="593" spans="6:18">
      <c r="F593" s="73"/>
      <c r="R593"/>
    </row>
    <row r="594" spans="6:18">
      <c r="F594" s="73"/>
      <c r="R594"/>
    </row>
    <row r="595" spans="6:18">
      <c r="F595" s="73"/>
      <c r="R595"/>
    </row>
    <row r="596" spans="6:18">
      <c r="F596" s="73"/>
      <c r="R596"/>
    </row>
    <row r="597" spans="6:18">
      <c r="F597" s="73"/>
      <c r="R597"/>
    </row>
    <row r="598" spans="6:18">
      <c r="F598" s="73"/>
      <c r="R598"/>
    </row>
    <row r="599" spans="6:18">
      <c r="F599" s="73"/>
      <c r="R599"/>
    </row>
    <row r="600" spans="6:18">
      <c r="F600" s="73"/>
      <c r="R600"/>
    </row>
    <row r="601" spans="6:18">
      <c r="F601" s="73"/>
      <c r="R601"/>
    </row>
    <row r="602" spans="6:18">
      <c r="F602" s="73"/>
      <c r="R602"/>
    </row>
    <row r="603" spans="6:18">
      <c r="F603" s="73"/>
      <c r="R603"/>
    </row>
    <row r="604" spans="6:18">
      <c r="F604" s="73"/>
      <c r="R604"/>
    </row>
    <row r="605" spans="6:18">
      <c r="F605" s="73"/>
      <c r="R605"/>
    </row>
    <row r="606" spans="6:18">
      <c r="F606" s="73"/>
      <c r="R606"/>
    </row>
    <row r="607" spans="6:18">
      <c r="F607" s="73"/>
      <c r="R607"/>
    </row>
    <row r="608" spans="6:18">
      <c r="F608" s="73"/>
      <c r="R608"/>
    </row>
    <row r="609" spans="6:18">
      <c r="F609" s="73"/>
      <c r="R609"/>
    </row>
    <row r="610" spans="6:18">
      <c r="F610" s="73"/>
      <c r="R610"/>
    </row>
    <row r="611" spans="6:18">
      <c r="F611" s="73"/>
      <c r="R611"/>
    </row>
    <row r="612" spans="6:18">
      <c r="F612" s="73"/>
      <c r="R612"/>
    </row>
    <row r="613" spans="6:18">
      <c r="F613" s="73"/>
      <c r="R613"/>
    </row>
    <row r="614" spans="6:18">
      <c r="F614" s="73"/>
      <c r="R614"/>
    </row>
    <row r="615" spans="6:18">
      <c r="F615" s="73"/>
      <c r="R615"/>
    </row>
    <row r="616" spans="6:18">
      <c r="F616" s="73"/>
      <c r="R616"/>
    </row>
    <row r="617" spans="6:18">
      <c r="F617" s="73"/>
      <c r="R617"/>
    </row>
    <row r="618" spans="6:18">
      <c r="F618" s="73"/>
      <c r="R618"/>
    </row>
    <row r="619" spans="6:18">
      <c r="F619" s="73"/>
      <c r="R619"/>
    </row>
    <row r="620" spans="6:18">
      <c r="F620" s="73"/>
      <c r="R620"/>
    </row>
    <row r="621" spans="6:18">
      <c r="F621" s="73"/>
      <c r="R621"/>
    </row>
    <row r="622" spans="6:18">
      <c r="F622" s="73"/>
      <c r="R622"/>
    </row>
    <row r="623" spans="6:18">
      <c r="F623" s="73"/>
      <c r="R623"/>
    </row>
    <row r="624" spans="6:18">
      <c r="F624" s="73"/>
      <c r="R624"/>
    </row>
    <row r="625" spans="6:18">
      <c r="F625" s="73"/>
      <c r="R625"/>
    </row>
    <row r="626" spans="6:18">
      <c r="F626" s="73"/>
      <c r="R626"/>
    </row>
    <row r="627" spans="6:18">
      <c r="F627" s="73"/>
      <c r="R627"/>
    </row>
    <row r="628" spans="6:18">
      <c r="F628" s="73"/>
      <c r="R628"/>
    </row>
    <row r="629" spans="6:18">
      <c r="F629" s="73"/>
      <c r="R629"/>
    </row>
    <row r="630" spans="6:18">
      <c r="F630" s="73"/>
      <c r="R630"/>
    </row>
    <row r="631" spans="6:18">
      <c r="F631" s="73"/>
      <c r="R631"/>
    </row>
    <row r="632" spans="6:18">
      <c r="F632" s="73"/>
      <c r="R632"/>
    </row>
    <row r="633" spans="6:18">
      <c r="F633" s="73"/>
      <c r="R633"/>
    </row>
    <row r="634" spans="6:18">
      <c r="F634" s="73"/>
      <c r="R634"/>
    </row>
    <row r="635" spans="6:18">
      <c r="F635" s="73"/>
      <c r="R635"/>
    </row>
    <row r="636" spans="6:18">
      <c r="F636" s="73"/>
      <c r="R636"/>
    </row>
    <row r="637" spans="6:18">
      <c r="F637" s="73"/>
      <c r="R637"/>
    </row>
    <row r="638" spans="6:18">
      <c r="F638" s="73"/>
      <c r="R638"/>
    </row>
    <row r="639" spans="6:18">
      <c r="F639" s="73"/>
      <c r="R639"/>
    </row>
    <row r="640" spans="6:18">
      <c r="F640" s="73"/>
      <c r="R640"/>
    </row>
    <row r="641" spans="6:18">
      <c r="F641" s="73"/>
      <c r="R641"/>
    </row>
    <row r="642" spans="6:18">
      <c r="F642" s="73"/>
      <c r="R642"/>
    </row>
    <row r="643" spans="6:18">
      <c r="F643" s="73"/>
      <c r="R643"/>
    </row>
    <row r="644" spans="6:18">
      <c r="F644" s="73"/>
      <c r="R644"/>
    </row>
    <row r="645" spans="6:18">
      <c r="F645" s="73"/>
      <c r="R645"/>
    </row>
    <row r="646" spans="6:18">
      <c r="F646" s="73"/>
      <c r="R646"/>
    </row>
    <row r="647" spans="6:18">
      <c r="F647" s="73"/>
      <c r="R647"/>
    </row>
    <row r="648" spans="6:18">
      <c r="F648" s="73"/>
      <c r="R648"/>
    </row>
    <row r="649" spans="6:18">
      <c r="F649" s="73"/>
      <c r="R649"/>
    </row>
    <row r="650" spans="6:18">
      <c r="F650" s="73"/>
      <c r="R650"/>
    </row>
    <row r="651" spans="6:18">
      <c r="F651" s="73"/>
      <c r="R651"/>
    </row>
    <row r="652" spans="6:18">
      <c r="F652" s="73"/>
      <c r="R652"/>
    </row>
    <row r="653" spans="6:18">
      <c r="F653" s="73"/>
      <c r="R653"/>
    </row>
    <row r="654" spans="6:18">
      <c r="F654" s="73"/>
      <c r="R654"/>
    </row>
    <row r="655" spans="6:18">
      <c r="F655" s="73"/>
      <c r="R655"/>
    </row>
    <row r="656" spans="6:18">
      <c r="F656" s="73"/>
      <c r="R656"/>
    </row>
    <row r="657" spans="6:18">
      <c r="F657" s="73"/>
      <c r="R657"/>
    </row>
    <row r="658" spans="6:18">
      <c r="F658" s="73"/>
      <c r="R658"/>
    </row>
    <row r="659" spans="6:18">
      <c r="F659" s="73"/>
      <c r="R659"/>
    </row>
    <row r="660" spans="6:18">
      <c r="F660" s="73"/>
      <c r="R660"/>
    </row>
    <row r="661" spans="6:18">
      <c r="F661" s="73"/>
      <c r="R661"/>
    </row>
    <row r="662" spans="6:18">
      <c r="F662" s="73"/>
      <c r="R662"/>
    </row>
    <row r="663" spans="6:18">
      <c r="F663" s="73"/>
      <c r="R663"/>
    </row>
    <row r="664" spans="6:18">
      <c r="F664" s="73"/>
      <c r="R664"/>
    </row>
    <row r="665" spans="6:18">
      <c r="F665" s="73"/>
      <c r="R665"/>
    </row>
    <row r="666" spans="6:18">
      <c r="F666" s="73"/>
      <c r="R666"/>
    </row>
    <row r="667" spans="6:18">
      <c r="F667" s="73"/>
      <c r="R667"/>
    </row>
    <row r="668" spans="6:18">
      <c r="F668" s="73"/>
      <c r="R668"/>
    </row>
    <row r="669" spans="6:18">
      <c r="F669" s="73"/>
      <c r="R669"/>
    </row>
    <row r="670" spans="6:18">
      <c r="F670" s="73"/>
      <c r="R670"/>
    </row>
    <row r="671" spans="6:18">
      <c r="F671" s="73"/>
      <c r="R671"/>
    </row>
    <row r="672" spans="6:18">
      <c r="F672" s="73"/>
      <c r="R672"/>
    </row>
    <row r="673" spans="6:18">
      <c r="F673" s="73"/>
      <c r="R673"/>
    </row>
    <row r="674" spans="6:18">
      <c r="F674" s="73"/>
      <c r="R674"/>
    </row>
    <row r="675" spans="6:18">
      <c r="F675" s="73"/>
      <c r="R675"/>
    </row>
    <row r="676" spans="6:18">
      <c r="F676" s="73"/>
      <c r="R676"/>
    </row>
    <row r="677" spans="6:18">
      <c r="F677" s="73"/>
      <c r="R677"/>
    </row>
    <row r="678" spans="6:18">
      <c r="F678" s="73"/>
      <c r="R678"/>
    </row>
    <row r="679" spans="6:18">
      <c r="F679" s="73"/>
      <c r="R679"/>
    </row>
    <row r="680" spans="6:18">
      <c r="F680" s="73"/>
      <c r="R680"/>
    </row>
    <row r="681" spans="6:18">
      <c r="F681" s="73"/>
      <c r="R681"/>
    </row>
    <row r="682" spans="6:18">
      <c r="F682" s="73"/>
      <c r="R682"/>
    </row>
    <row r="683" spans="6:18">
      <c r="F683" s="73"/>
      <c r="R683"/>
    </row>
    <row r="684" spans="6:18">
      <c r="F684" s="73"/>
      <c r="R684"/>
    </row>
    <row r="685" spans="6:18">
      <c r="F685" s="73"/>
      <c r="R685"/>
    </row>
    <row r="686" spans="6:18">
      <c r="F686" s="73"/>
      <c r="R686"/>
    </row>
    <row r="687" spans="6:18">
      <c r="F687" s="73"/>
      <c r="R687"/>
    </row>
    <row r="688" spans="6:18">
      <c r="F688" s="73"/>
      <c r="R688"/>
    </row>
    <row r="689" spans="6:18">
      <c r="F689" s="73"/>
      <c r="R689"/>
    </row>
    <row r="690" spans="6:18">
      <c r="F690" s="73"/>
      <c r="R690"/>
    </row>
    <row r="691" spans="6:18">
      <c r="F691" s="73"/>
      <c r="R691"/>
    </row>
    <row r="692" spans="6:18">
      <c r="F692" s="73"/>
      <c r="R692"/>
    </row>
    <row r="693" spans="6:18">
      <c r="F693" s="73"/>
      <c r="R693"/>
    </row>
    <row r="694" spans="6:18">
      <c r="F694" s="73"/>
      <c r="R694"/>
    </row>
    <row r="695" spans="6:18">
      <c r="F695" s="73"/>
      <c r="R695"/>
    </row>
    <row r="696" spans="6:18">
      <c r="F696" s="73"/>
      <c r="R696"/>
    </row>
    <row r="697" spans="6:18">
      <c r="F697" s="73"/>
      <c r="R697"/>
    </row>
    <row r="698" spans="6:18">
      <c r="F698" s="73"/>
      <c r="R698"/>
    </row>
    <row r="699" spans="6:18">
      <c r="F699" s="73"/>
      <c r="R699"/>
    </row>
    <row r="700" spans="6:18">
      <c r="F700" s="73"/>
      <c r="R700"/>
    </row>
    <row r="701" spans="6:18">
      <c r="F701" s="73"/>
      <c r="R701"/>
    </row>
    <row r="702" spans="6:18">
      <c r="F702" s="73"/>
      <c r="R702"/>
    </row>
    <row r="703" spans="6:18">
      <c r="F703" s="73"/>
      <c r="R703"/>
    </row>
    <row r="704" spans="6:18">
      <c r="F704" s="73"/>
      <c r="R704"/>
    </row>
    <row r="705" spans="6:18">
      <c r="F705" s="73"/>
      <c r="R705"/>
    </row>
    <row r="706" spans="6:18">
      <c r="F706" s="73"/>
      <c r="R706"/>
    </row>
    <row r="707" spans="6:18">
      <c r="F707" s="73"/>
      <c r="R707"/>
    </row>
    <row r="708" spans="6:18">
      <c r="F708" s="73"/>
      <c r="R708"/>
    </row>
    <row r="709" spans="6:18">
      <c r="F709" s="73"/>
      <c r="R709"/>
    </row>
    <row r="710" spans="6:18">
      <c r="F710" s="73"/>
      <c r="R710"/>
    </row>
    <row r="711" spans="6:18">
      <c r="F711" s="73"/>
      <c r="R711"/>
    </row>
    <row r="712" spans="6:18">
      <c r="F712" s="73"/>
      <c r="R712"/>
    </row>
    <row r="713" spans="6:18">
      <c r="F713" s="73"/>
      <c r="R713"/>
    </row>
    <row r="714" spans="6:18">
      <c r="F714" s="73"/>
      <c r="R714"/>
    </row>
    <row r="715" spans="6:18">
      <c r="F715" s="73"/>
      <c r="R715"/>
    </row>
    <row r="716" spans="6:18">
      <c r="F716" s="73"/>
      <c r="R716"/>
    </row>
    <row r="717" spans="6:18">
      <c r="F717" s="73"/>
      <c r="R717"/>
    </row>
    <row r="718" spans="6:18">
      <c r="F718" s="73"/>
      <c r="R718"/>
    </row>
    <row r="719" spans="6:18">
      <c r="F719" s="73"/>
      <c r="R719"/>
    </row>
    <row r="720" spans="6:18">
      <c r="F720" s="73"/>
      <c r="R720"/>
    </row>
    <row r="721" spans="6:18">
      <c r="F721" s="73"/>
      <c r="R721"/>
    </row>
    <row r="722" spans="6:18">
      <c r="F722" s="73"/>
      <c r="R722"/>
    </row>
    <row r="723" spans="6:18">
      <c r="F723" s="73"/>
      <c r="R723"/>
    </row>
    <row r="724" spans="6:18">
      <c r="F724" s="73"/>
      <c r="R724"/>
    </row>
    <row r="725" spans="6:18">
      <c r="F725" s="73"/>
      <c r="R725"/>
    </row>
    <row r="726" spans="6:18">
      <c r="F726" s="73"/>
      <c r="R726"/>
    </row>
    <row r="727" spans="6:18">
      <c r="F727" s="73"/>
      <c r="R727"/>
    </row>
    <row r="728" spans="6:18">
      <c r="F728" s="73"/>
      <c r="R728"/>
    </row>
    <row r="729" spans="6:18">
      <c r="F729" s="73"/>
      <c r="R729"/>
    </row>
    <row r="730" spans="6:18">
      <c r="F730" s="73"/>
      <c r="R730"/>
    </row>
    <row r="731" spans="6:18">
      <c r="F731" s="73"/>
      <c r="R731"/>
    </row>
    <row r="732" spans="6:18">
      <c r="F732" s="73"/>
      <c r="R732"/>
    </row>
    <row r="733" spans="6:18">
      <c r="F733" s="73"/>
      <c r="R733"/>
    </row>
    <row r="734" spans="6:18">
      <c r="F734" s="73"/>
      <c r="R734"/>
    </row>
    <row r="735" spans="6:18">
      <c r="F735" s="73"/>
      <c r="R735"/>
    </row>
    <row r="736" spans="6:18">
      <c r="F736" s="73"/>
      <c r="R736"/>
    </row>
    <row r="737" spans="6:18">
      <c r="F737" s="73"/>
      <c r="R737"/>
    </row>
    <row r="738" spans="6:18">
      <c r="F738" s="73"/>
      <c r="R738"/>
    </row>
    <row r="739" spans="6:18">
      <c r="F739" s="73"/>
      <c r="R739"/>
    </row>
    <row r="740" spans="6:18">
      <c r="F740" s="73"/>
      <c r="R740"/>
    </row>
    <row r="741" spans="6:18">
      <c r="F741" s="73"/>
      <c r="R741"/>
    </row>
    <row r="742" spans="6:18">
      <c r="F742" s="73"/>
      <c r="R742"/>
    </row>
    <row r="743" spans="6:18">
      <c r="F743" s="73"/>
      <c r="R743"/>
    </row>
    <row r="744" spans="6:18">
      <c r="F744" s="73"/>
      <c r="R744"/>
    </row>
    <row r="745" spans="6:18">
      <c r="F745" s="73"/>
      <c r="R745"/>
    </row>
    <row r="746" spans="6:18">
      <c r="F746" s="73"/>
      <c r="R746"/>
    </row>
    <row r="747" spans="6:18">
      <c r="F747" s="73"/>
      <c r="R747"/>
    </row>
    <row r="748" spans="6:18">
      <c r="F748" s="73"/>
      <c r="R748"/>
    </row>
    <row r="749" spans="6:18">
      <c r="F749" s="73"/>
      <c r="R749"/>
    </row>
    <row r="750" spans="6:18">
      <c r="F750" s="73"/>
      <c r="R750"/>
    </row>
    <row r="751" spans="6:18">
      <c r="F751" s="73"/>
      <c r="R751"/>
    </row>
    <row r="752" spans="6:18">
      <c r="F752" s="73"/>
      <c r="R752"/>
    </row>
    <row r="753" spans="6:18">
      <c r="F753" s="73"/>
      <c r="R753"/>
    </row>
    <row r="754" spans="6:18">
      <c r="F754" s="73"/>
      <c r="R754"/>
    </row>
    <row r="755" spans="6:18">
      <c r="F755" s="73"/>
      <c r="R755"/>
    </row>
    <row r="756" spans="6:18">
      <c r="F756" s="73"/>
      <c r="R756"/>
    </row>
    <row r="757" spans="6:18">
      <c r="F757" s="73"/>
      <c r="R757"/>
    </row>
    <row r="758" spans="6:18">
      <c r="F758" s="73"/>
      <c r="R758"/>
    </row>
    <row r="759" spans="6:18">
      <c r="F759" s="73"/>
      <c r="R759"/>
    </row>
    <row r="760" spans="6:18">
      <c r="F760" s="73"/>
      <c r="R760"/>
    </row>
    <row r="761" spans="6:18">
      <c r="F761" s="73"/>
      <c r="R761"/>
    </row>
    <row r="762" spans="6:18">
      <c r="F762" s="73"/>
      <c r="R762"/>
    </row>
    <row r="763" spans="6:18">
      <c r="F763" s="73"/>
      <c r="R763"/>
    </row>
    <row r="764" spans="6:18">
      <c r="F764" s="73"/>
      <c r="R764"/>
    </row>
    <row r="765" spans="6:18">
      <c r="F765" s="73"/>
      <c r="R765"/>
    </row>
    <row r="766" spans="6:18">
      <c r="F766" s="73"/>
      <c r="R766"/>
    </row>
    <row r="767" spans="6:18">
      <c r="F767" s="73"/>
      <c r="R767"/>
    </row>
    <row r="768" spans="6:18">
      <c r="F768" s="73"/>
      <c r="R768"/>
    </row>
    <row r="769" spans="6:18">
      <c r="F769" s="73"/>
      <c r="R769"/>
    </row>
    <row r="770" spans="6:18">
      <c r="F770" s="73"/>
      <c r="R770"/>
    </row>
    <row r="771" spans="6:18">
      <c r="F771" s="73"/>
      <c r="R771"/>
    </row>
    <row r="772" spans="6:18">
      <c r="F772" s="73"/>
      <c r="R772"/>
    </row>
    <row r="773" spans="6:18">
      <c r="F773" s="73"/>
      <c r="R773"/>
    </row>
    <row r="774" spans="6:18">
      <c r="F774" s="73"/>
      <c r="R774"/>
    </row>
    <row r="775" spans="6:18">
      <c r="F775" s="73"/>
      <c r="R775"/>
    </row>
    <row r="776" spans="6:18">
      <c r="F776" s="73"/>
      <c r="R776"/>
    </row>
    <row r="777" spans="6:18">
      <c r="F777" s="73"/>
      <c r="R777"/>
    </row>
    <row r="778" spans="6:18">
      <c r="F778" s="73"/>
      <c r="R778"/>
    </row>
    <row r="779" spans="6:18">
      <c r="F779" s="73"/>
      <c r="R779"/>
    </row>
    <row r="780" spans="6:18">
      <c r="F780" s="73"/>
      <c r="R780"/>
    </row>
    <row r="781" spans="6:18">
      <c r="F781" s="73"/>
      <c r="R781"/>
    </row>
    <row r="782" spans="6:18">
      <c r="F782" s="73"/>
      <c r="R782"/>
    </row>
    <row r="783" spans="6:18">
      <c r="F783" s="73"/>
      <c r="R783"/>
    </row>
    <row r="784" spans="6:18">
      <c r="F784" s="73"/>
      <c r="R784"/>
    </row>
    <row r="785" spans="6:18">
      <c r="F785" s="73"/>
      <c r="R785"/>
    </row>
    <row r="786" spans="6:18">
      <c r="F786" s="73"/>
      <c r="R786"/>
    </row>
    <row r="787" spans="6:18">
      <c r="F787" s="73"/>
      <c r="R787"/>
    </row>
    <row r="788" spans="6:18">
      <c r="F788" s="73"/>
      <c r="R788"/>
    </row>
    <row r="789" spans="6:18">
      <c r="F789" s="73"/>
      <c r="R789"/>
    </row>
    <row r="790" spans="6:18">
      <c r="F790" s="73"/>
      <c r="R790"/>
    </row>
    <row r="791" spans="6:18">
      <c r="F791" s="73"/>
      <c r="R791"/>
    </row>
    <row r="792" spans="6:18">
      <c r="F792" s="73"/>
      <c r="R792"/>
    </row>
    <row r="793" spans="6:18">
      <c r="F793" s="73"/>
      <c r="R793"/>
    </row>
    <row r="794" spans="6:18">
      <c r="F794" s="73"/>
      <c r="R794"/>
    </row>
    <row r="795" spans="6:18">
      <c r="F795" s="73"/>
      <c r="R795"/>
    </row>
    <row r="796" spans="6:18">
      <c r="F796" s="73"/>
      <c r="R796"/>
    </row>
    <row r="797" spans="6:18">
      <c r="F797" s="73"/>
      <c r="R797"/>
    </row>
    <row r="798" spans="6:18">
      <c r="F798" s="73"/>
      <c r="R798"/>
    </row>
    <row r="799" spans="6:18">
      <c r="F799" s="73"/>
      <c r="R799"/>
    </row>
    <row r="800" spans="6:18">
      <c r="F800" s="73"/>
      <c r="R800"/>
    </row>
    <row r="801" spans="6:18">
      <c r="F801" s="73"/>
      <c r="R801"/>
    </row>
    <row r="802" spans="6:18">
      <c r="F802" s="73"/>
      <c r="R802"/>
    </row>
    <row r="803" spans="6:18">
      <c r="F803" s="73"/>
      <c r="R803"/>
    </row>
    <row r="804" spans="6:18">
      <c r="F804" s="73"/>
      <c r="R804"/>
    </row>
    <row r="805" spans="6:18">
      <c r="F805" s="73"/>
      <c r="R805"/>
    </row>
    <row r="806" spans="6:18">
      <c r="F806" s="73"/>
      <c r="R806"/>
    </row>
    <row r="807" spans="6:18">
      <c r="F807" s="73"/>
      <c r="R807"/>
    </row>
    <row r="808" spans="6:18">
      <c r="F808" s="73"/>
      <c r="R808"/>
    </row>
    <row r="809" spans="6:18">
      <c r="F809" s="73"/>
      <c r="R809"/>
    </row>
    <row r="810" spans="6:18">
      <c r="F810" s="73"/>
      <c r="R810"/>
    </row>
    <row r="811" spans="6:18">
      <c r="F811" s="73"/>
      <c r="R811"/>
    </row>
    <row r="812" spans="6:18">
      <c r="F812" s="73"/>
      <c r="R812"/>
    </row>
    <row r="813" spans="6:18">
      <c r="F813" s="73"/>
      <c r="R813"/>
    </row>
    <row r="814" spans="6:18">
      <c r="F814" s="73"/>
      <c r="R814"/>
    </row>
    <row r="815" spans="6:18">
      <c r="F815" s="73"/>
      <c r="R815"/>
    </row>
    <row r="816" spans="6:18">
      <c r="F816" s="73"/>
      <c r="R816"/>
    </row>
    <row r="817" spans="6:18">
      <c r="F817" s="73"/>
      <c r="R817"/>
    </row>
    <row r="818" spans="6:18">
      <c r="F818" s="73"/>
      <c r="R818"/>
    </row>
    <row r="819" spans="6:18">
      <c r="F819" s="73"/>
      <c r="R819"/>
    </row>
    <row r="820" spans="6:18">
      <c r="F820" s="73"/>
      <c r="R820"/>
    </row>
    <row r="821" spans="6:18">
      <c r="F821" s="73"/>
      <c r="R821"/>
    </row>
    <row r="822" spans="6:18">
      <c r="F822" s="73"/>
      <c r="R822"/>
    </row>
    <row r="823" spans="6:18">
      <c r="F823" s="73"/>
      <c r="R823"/>
    </row>
    <row r="824" spans="6:18">
      <c r="F824" s="73"/>
      <c r="R824"/>
    </row>
    <row r="825" spans="6:18">
      <c r="F825" s="73"/>
      <c r="R825"/>
    </row>
    <row r="826" spans="6:18">
      <c r="F826" s="73"/>
      <c r="R826"/>
    </row>
    <row r="827" spans="6:18">
      <c r="F827" s="73"/>
      <c r="R827"/>
    </row>
    <row r="828" spans="6:18">
      <c r="F828" s="73"/>
      <c r="R828"/>
    </row>
    <row r="829" spans="6:18">
      <c r="F829" s="73"/>
      <c r="R829"/>
    </row>
    <row r="830" spans="6:18">
      <c r="F830" s="73"/>
      <c r="R830"/>
    </row>
    <row r="831" spans="6:18">
      <c r="F831" s="73"/>
      <c r="R831"/>
    </row>
    <row r="832" spans="6:18">
      <c r="F832" s="73"/>
      <c r="R832"/>
    </row>
    <row r="833" spans="6:18">
      <c r="F833" s="73"/>
      <c r="R833"/>
    </row>
    <row r="834" spans="6:18">
      <c r="F834" s="73"/>
      <c r="R834"/>
    </row>
    <row r="835" spans="6:18">
      <c r="F835" s="73"/>
      <c r="R835"/>
    </row>
    <row r="836" spans="6:18">
      <c r="F836" s="73"/>
      <c r="R836"/>
    </row>
    <row r="837" spans="6:18">
      <c r="F837" s="73"/>
      <c r="R837"/>
    </row>
    <row r="838" spans="6:18">
      <c r="F838" s="73"/>
      <c r="R838"/>
    </row>
    <row r="839" spans="6:18">
      <c r="F839" s="73"/>
      <c r="R839"/>
    </row>
    <row r="840" spans="6:18">
      <c r="F840" s="73"/>
      <c r="R840"/>
    </row>
    <row r="841" spans="6:18">
      <c r="F841" s="73"/>
      <c r="R841"/>
    </row>
    <row r="842" spans="6:18">
      <c r="F842" s="73"/>
      <c r="R842"/>
    </row>
    <row r="843" spans="6:18">
      <c r="F843" s="73"/>
      <c r="R843"/>
    </row>
    <row r="844" spans="6:18">
      <c r="F844" s="73"/>
      <c r="R844"/>
    </row>
    <row r="845" spans="6:18">
      <c r="F845" s="73"/>
      <c r="R845"/>
    </row>
    <row r="846" spans="6:18">
      <c r="F846" s="73"/>
      <c r="R846"/>
    </row>
    <row r="847" spans="6:18">
      <c r="F847" s="73"/>
      <c r="R847"/>
    </row>
    <row r="848" spans="6:18">
      <c r="F848" s="73"/>
      <c r="R848"/>
    </row>
    <row r="849" spans="6:18">
      <c r="F849" s="73"/>
      <c r="R849"/>
    </row>
    <row r="850" spans="6:18">
      <c r="F850" s="73"/>
      <c r="R850"/>
    </row>
    <row r="851" spans="6:18">
      <c r="F851" s="73"/>
      <c r="R851"/>
    </row>
    <row r="852" spans="6:18">
      <c r="F852" s="73"/>
      <c r="R852"/>
    </row>
    <row r="853" spans="6:18">
      <c r="F853" s="73"/>
      <c r="R853"/>
    </row>
    <row r="854" spans="6:18">
      <c r="F854" s="73"/>
      <c r="R854"/>
    </row>
    <row r="855" spans="6:18">
      <c r="F855" s="73"/>
      <c r="R855"/>
    </row>
    <row r="856" spans="6:18">
      <c r="F856" s="73"/>
      <c r="R856"/>
    </row>
    <row r="857" spans="6:18">
      <c r="F857" s="73"/>
      <c r="R857"/>
    </row>
    <row r="858" spans="6:18">
      <c r="F858" s="73"/>
      <c r="R858"/>
    </row>
    <row r="859" spans="6:18">
      <c r="F859" s="73"/>
      <c r="R859"/>
    </row>
    <row r="860" spans="6:18">
      <c r="F860" s="73"/>
      <c r="R860"/>
    </row>
    <row r="861" spans="6:18">
      <c r="F861" s="73"/>
      <c r="R861"/>
    </row>
    <row r="862" spans="6:18">
      <c r="F862" s="73"/>
      <c r="R862"/>
    </row>
    <row r="863" spans="6:18">
      <c r="F863" s="73"/>
      <c r="R863"/>
    </row>
    <row r="864" spans="6:18">
      <c r="F864" s="73"/>
      <c r="R864"/>
    </row>
    <row r="865" spans="6:18">
      <c r="F865" s="73"/>
      <c r="R865"/>
    </row>
    <row r="866" spans="6:18">
      <c r="F866" s="73"/>
      <c r="R866"/>
    </row>
    <row r="867" spans="6:18">
      <c r="F867" s="73"/>
      <c r="R867"/>
    </row>
    <row r="868" spans="6:18">
      <c r="F868" s="73"/>
      <c r="R868"/>
    </row>
    <row r="869" spans="6:18">
      <c r="F869" s="73"/>
      <c r="R869"/>
    </row>
    <row r="870" spans="6:18">
      <c r="F870" s="73"/>
      <c r="R870"/>
    </row>
    <row r="871" spans="6:18">
      <c r="F871" s="73"/>
      <c r="R871"/>
    </row>
    <row r="872" spans="6:18">
      <c r="F872" s="73"/>
      <c r="R872"/>
    </row>
    <row r="873" spans="6:18">
      <c r="F873" s="73"/>
      <c r="R873"/>
    </row>
    <row r="874" spans="6:18">
      <c r="F874" s="73"/>
      <c r="R874"/>
    </row>
    <row r="875" spans="6:18">
      <c r="F875" s="73"/>
      <c r="R875"/>
    </row>
    <row r="876" spans="6:18">
      <c r="F876" s="73"/>
      <c r="R876"/>
    </row>
    <row r="877" spans="6:18">
      <c r="F877" s="73"/>
      <c r="R877"/>
    </row>
    <row r="878" spans="6:18">
      <c r="F878" s="73"/>
      <c r="R878"/>
    </row>
    <row r="879" spans="6:18">
      <c r="F879" s="73"/>
      <c r="R879"/>
    </row>
    <row r="880" spans="6:18">
      <c r="F880" s="73"/>
      <c r="R880"/>
    </row>
    <row r="881" spans="6:18">
      <c r="F881" s="73"/>
      <c r="R881"/>
    </row>
    <row r="882" spans="6:18">
      <c r="F882" s="73"/>
      <c r="R882"/>
    </row>
    <row r="883" spans="6:18">
      <c r="F883" s="73"/>
      <c r="R883"/>
    </row>
    <row r="884" spans="6:18">
      <c r="F884" s="73"/>
      <c r="R884"/>
    </row>
    <row r="885" spans="6:18">
      <c r="F885" s="73"/>
      <c r="R885"/>
    </row>
    <row r="886" spans="6:18">
      <c r="F886" s="73"/>
      <c r="R886"/>
    </row>
    <row r="887" spans="6:18">
      <c r="F887" s="73"/>
      <c r="R887"/>
    </row>
    <row r="888" spans="6:18">
      <c r="F888" s="73"/>
      <c r="R888"/>
    </row>
    <row r="889" spans="6:18">
      <c r="F889" s="73"/>
      <c r="R889"/>
    </row>
    <row r="890" spans="6:18">
      <c r="F890" s="73"/>
      <c r="R890"/>
    </row>
    <row r="891" spans="6:18">
      <c r="F891" s="73"/>
      <c r="R891"/>
    </row>
    <row r="892" spans="6:18">
      <c r="F892" s="73"/>
      <c r="R892"/>
    </row>
    <row r="893" spans="6:18">
      <c r="F893" s="73"/>
      <c r="R893"/>
    </row>
    <row r="894" spans="6:18">
      <c r="F894" s="73"/>
      <c r="R894"/>
    </row>
    <row r="895" spans="6:18">
      <c r="F895" s="73"/>
      <c r="R895"/>
    </row>
    <row r="896" spans="6:18">
      <c r="F896" s="73"/>
      <c r="R896"/>
    </row>
    <row r="897" spans="6:18">
      <c r="F897" s="73"/>
      <c r="R897"/>
    </row>
    <row r="898" spans="6:18">
      <c r="F898" s="73"/>
      <c r="R898"/>
    </row>
  </sheetData>
  <pageMargins left="0.35433070866141736" right="0.74803149606299213" top="0.39370078740157483" bottom="0.59055118110236227" header="0.51181102362204722" footer="0.51181102362204722"/>
  <pageSetup paperSize="9" orientation="landscape" horizontalDpi="3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76"/>
  <sheetViews>
    <sheetView workbookViewId="0">
      <selection activeCell="G85" sqref="G85"/>
    </sheetView>
  </sheetViews>
  <sheetFormatPr defaultColWidth="8.85546875" defaultRowHeight="12.75"/>
  <cols>
    <col min="1" max="1" width="7.85546875" style="24" customWidth="1"/>
    <col min="2" max="3" width="8.7109375" style="5" customWidth="1"/>
    <col min="4" max="4" width="6.85546875" style="5" customWidth="1"/>
    <col min="5" max="5" width="8.42578125" style="5" customWidth="1"/>
    <col min="6" max="6" width="8.7109375" style="5" customWidth="1"/>
    <col min="7" max="7" width="7.42578125" style="5" customWidth="1"/>
    <col min="8" max="8" width="7" style="5" customWidth="1"/>
    <col min="9" max="9" width="7.140625" style="5" customWidth="1"/>
    <col min="10" max="10" width="8.140625" style="5" customWidth="1"/>
    <col min="11" max="11" width="8.85546875" style="17" customWidth="1"/>
    <col min="12" max="12" width="10.42578125" style="5" customWidth="1"/>
    <col min="13" max="16384" width="8.85546875" style="5"/>
  </cols>
  <sheetData>
    <row r="1" spans="1:13" s="1" customFormat="1" ht="18">
      <c r="A1" s="935" t="s">
        <v>320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</row>
    <row r="2" spans="1:13" ht="30" customHeight="1" thickBot="1">
      <c r="A2" s="2"/>
      <c r="B2" s="147">
        <v>14</v>
      </c>
      <c r="C2" s="936" t="s">
        <v>330</v>
      </c>
      <c r="D2" s="937"/>
      <c r="E2" s="3"/>
      <c r="F2" s="4"/>
      <c r="G2" s="4"/>
      <c r="H2" s="4"/>
      <c r="I2" s="4"/>
      <c r="J2" s="4"/>
      <c r="K2" s="34"/>
      <c r="L2" s="4"/>
    </row>
    <row r="3" spans="1:13" s="6" customFormat="1" ht="13.5" thickBot="1">
      <c r="A3" s="49"/>
      <c r="B3" s="146" t="s">
        <v>1</v>
      </c>
      <c r="C3" s="50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38" t="s">
        <v>9</v>
      </c>
      <c r="K3" s="20" t="s">
        <v>10</v>
      </c>
      <c r="M3" s="465"/>
    </row>
    <row r="4" spans="1:13">
      <c r="A4" s="207" t="s">
        <v>11</v>
      </c>
      <c r="B4" s="285" t="s">
        <v>12</v>
      </c>
      <c r="C4" s="65">
        <v>960</v>
      </c>
      <c r="D4" s="66">
        <v>0</v>
      </c>
      <c r="E4" s="66">
        <v>63.36</v>
      </c>
      <c r="F4" s="66">
        <v>896.64</v>
      </c>
      <c r="G4" s="66">
        <v>9.6</v>
      </c>
      <c r="H4" s="66">
        <v>0</v>
      </c>
      <c r="I4" s="66">
        <v>-50</v>
      </c>
      <c r="J4" s="66">
        <v>0</v>
      </c>
      <c r="K4" s="67">
        <v>937.04</v>
      </c>
      <c r="M4" s="466"/>
    </row>
    <row r="5" spans="1:13">
      <c r="A5" s="103" t="s">
        <v>13</v>
      </c>
      <c r="B5" s="145" t="s">
        <v>14</v>
      </c>
      <c r="C5" s="68">
        <v>891.6</v>
      </c>
      <c r="D5" s="69">
        <v>0</v>
      </c>
      <c r="E5" s="69">
        <v>58.85</v>
      </c>
      <c r="F5" s="69">
        <v>832.75</v>
      </c>
      <c r="G5" s="69">
        <v>8.92</v>
      </c>
      <c r="H5" s="69">
        <v>0</v>
      </c>
      <c r="I5" s="69">
        <v>50</v>
      </c>
      <c r="J5" s="69">
        <v>0</v>
      </c>
      <c r="K5" s="70">
        <v>773.84</v>
      </c>
      <c r="M5" s="466"/>
    </row>
    <row r="6" spans="1:13">
      <c r="A6" s="103" t="s">
        <v>104</v>
      </c>
      <c r="B6" s="145" t="s">
        <v>15</v>
      </c>
      <c r="C6" s="68">
        <v>646.4</v>
      </c>
      <c r="D6" s="69">
        <v>0</v>
      </c>
      <c r="E6" s="69">
        <v>42.66</v>
      </c>
      <c r="F6" s="69">
        <v>603.74</v>
      </c>
      <c r="G6" s="69">
        <v>6.46</v>
      </c>
      <c r="H6" s="69">
        <v>0</v>
      </c>
      <c r="I6" s="69">
        <v>-50</v>
      </c>
      <c r="J6" s="69">
        <v>0</v>
      </c>
      <c r="K6" s="70">
        <v>647.27</v>
      </c>
      <c r="M6" s="466"/>
    </row>
    <row r="7" spans="1:13">
      <c r="A7" s="103" t="s">
        <v>26</v>
      </c>
      <c r="B7" s="145" t="s">
        <v>16</v>
      </c>
      <c r="C7" s="68">
        <v>2428</v>
      </c>
      <c r="D7" s="69">
        <v>0</v>
      </c>
      <c r="E7" s="69">
        <v>160.25</v>
      </c>
      <c r="F7" s="69">
        <v>2267.75</v>
      </c>
      <c r="G7" s="69">
        <v>24.28</v>
      </c>
      <c r="H7" s="69">
        <v>188</v>
      </c>
      <c r="I7" s="69">
        <v>700</v>
      </c>
      <c r="J7" s="69">
        <v>378.25</v>
      </c>
      <c r="K7" s="70">
        <v>977.22</v>
      </c>
      <c r="L7" s="221"/>
      <c r="M7" s="466"/>
    </row>
    <row r="8" spans="1:13">
      <c r="A8" s="103" t="s">
        <v>53</v>
      </c>
      <c r="B8" s="451" t="s">
        <v>52</v>
      </c>
      <c r="C8" s="68">
        <v>1290.4000000000001</v>
      </c>
      <c r="D8" s="69">
        <v>0</v>
      </c>
      <c r="E8" s="69">
        <v>0</v>
      </c>
      <c r="F8" s="69">
        <v>1290.4000000000001</v>
      </c>
      <c r="G8" s="69">
        <v>12.9</v>
      </c>
      <c r="H8" s="69">
        <v>12</v>
      </c>
      <c r="I8" s="69">
        <v>100</v>
      </c>
      <c r="J8" s="69">
        <v>0</v>
      </c>
      <c r="K8" s="70">
        <v>1165.5</v>
      </c>
      <c r="M8" s="466"/>
    </row>
    <row r="9" spans="1:13">
      <c r="A9" s="103" t="s">
        <v>208</v>
      </c>
      <c r="B9" s="451" t="s">
        <v>207</v>
      </c>
      <c r="C9" s="68">
        <v>700</v>
      </c>
      <c r="D9" s="69">
        <v>0</v>
      </c>
      <c r="E9" s="69">
        <v>0</v>
      </c>
      <c r="F9" s="69">
        <v>700</v>
      </c>
      <c r="G9" s="69">
        <v>7</v>
      </c>
      <c r="H9" s="69">
        <v>0</v>
      </c>
      <c r="I9" s="69">
        <v>100</v>
      </c>
      <c r="J9" s="69">
        <v>0</v>
      </c>
      <c r="K9" s="70">
        <v>593</v>
      </c>
      <c r="M9" s="466"/>
    </row>
    <row r="10" spans="1:13">
      <c r="A10" s="103" t="s">
        <v>104</v>
      </c>
      <c r="B10" s="145" t="s">
        <v>54</v>
      </c>
      <c r="C10" s="68">
        <v>500</v>
      </c>
      <c r="D10" s="69">
        <v>0</v>
      </c>
      <c r="E10" s="69">
        <v>0</v>
      </c>
      <c r="F10" s="69">
        <v>500</v>
      </c>
      <c r="G10" s="69">
        <v>0</v>
      </c>
      <c r="H10" s="69">
        <v>0</v>
      </c>
      <c r="I10" s="69">
        <v>-300</v>
      </c>
      <c r="J10" s="69">
        <v>0</v>
      </c>
      <c r="K10" s="70">
        <v>800</v>
      </c>
      <c r="M10" s="466"/>
    </row>
    <row r="11" spans="1:13">
      <c r="A11" s="199" t="s">
        <v>34</v>
      </c>
      <c r="B11" s="148" t="s">
        <v>48</v>
      </c>
      <c r="C11" s="157"/>
      <c r="D11" s="158"/>
      <c r="E11" s="158"/>
      <c r="F11" s="158"/>
      <c r="G11" s="158"/>
      <c r="H11" s="158"/>
      <c r="I11" s="158"/>
      <c r="J11" s="159"/>
      <c r="K11" s="143">
        <v>950</v>
      </c>
      <c r="M11" s="466"/>
    </row>
    <row r="12" spans="1:13" ht="13.5" thickBot="1">
      <c r="A12" s="208" t="s">
        <v>94</v>
      </c>
      <c r="B12" s="144" t="s">
        <v>95</v>
      </c>
      <c r="C12" s="160"/>
      <c r="D12" s="161"/>
      <c r="E12" s="161"/>
      <c r="F12" s="161"/>
      <c r="G12" s="161"/>
      <c r="H12" s="161"/>
      <c r="I12" s="161"/>
      <c r="J12" s="162"/>
      <c r="K12" s="79">
        <v>825</v>
      </c>
      <c r="M12" s="466"/>
    </row>
    <row r="13" spans="1:13" ht="13.5" thickBot="1">
      <c r="A13" s="21"/>
      <c r="B13" s="61" t="s">
        <v>0</v>
      </c>
      <c r="C13" s="109">
        <f t="shared" ref="C13:J13" si="0">SUM(C4:C10)</f>
        <v>7416.4</v>
      </c>
      <c r="D13" s="62">
        <f t="shared" si="0"/>
        <v>0</v>
      </c>
      <c r="E13" s="62">
        <f t="shared" si="0"/>
        <v>325.12</v>
      </c>
      <c r="F13" s="62">
        <f t="shared" si="0"/>
        <v>7091.2800000000007</v>
      </c>
      <c r="G13" s="62">
        <f t="shared" si="0"/>
        <v>69.16</v>
      </c>
      <c r="H13" s="62">
        <f t="shared" si="0"/>
        <v>200</v>
      </c>
      <c r="I13" s="62">
        <f t="shared" si="0"/>
        <v>550</v>
      </c>
      <c r="J13" s="62">
        <f t="shared" si="0"/>
        <v>378.25</v>
      </c>
      <c r="K13" s="110">
        <f>SUM(K4:K12)</f>
        <v>7668.87</v>
      </c>
      <c r="M13" s="4"/>
    </row>
    <row r="14" spans="1:13" ht="12.75" customHeight="1">
      <c r="A14" s="21"/>
      <c r="B14" s="64"/>
      <c r="C14" s="28"/>
      <c r="D14" s="28"/>
      <c r="E14" s="28"/>
      <c r="F14" s="28"/>
      <c r="G14" s="28"/>
      <c r="H14" s="28"/>
      <c r="I14" s="28"/>
      <c r="J14" s="28"/>
      <c r="K14" s="76"/>
      <c r="M14" s="4"/>
    </row>
    <row r="15" spans="1:13" ht="30" customHeight="1" thickBot="1">
      <c r="A15" s="2"/>
      <c r="B15" s="147">
        <v>15</v>
      </c>
      <c r="C15" s="936" t="s">
        <v>331</v>
      </c>
      <c r="D15" s="937"/>
      <c r="E15" s="3"/>
      <c r="F15" s="4"/>
      <c r="G15" s="4"/>
      <c r="H15" s="4"/>
      <c r="I15" s="4"/>
      <c r="J15" s="4"/>
      <c r="K15" s="34"/>
      <c r="L15" s="4"/>
    </row>
    <row r="16" spans="1:13" s="6" customFormat="1" ht="13.5" thickBot="1">
      <c r="A16" s="49"/>
      <c r="B16" s="146" t="s">
        <v>1</v>
      </c>
      <c r="C16" s="50" t="s">
        <v>2</v>
      </c>
      <c r="D16" s="38" t="s">
        <v>3</v>
      </c>
      <c r="E16" s="38" t="s">
        <v>4</v>
      </c>
      <c r="F16" s="38" t="s">
        <v>5</v>
      </c>
      <c r="G16" s="38" t="s">
        <v>6</v>
      </c>
      <c r="H16" s="38" t="s">
        <v>7</v>
      </c>
      <c r="I16" s="38" t="s">
        <v>8</v>
      </c>
      <c r="J16" s="38" t="s">
        <v>9</v>
      </c>
      <c r="K16" s="20" t="s">
        <v>10</v>
      </c>
    </row>
    <row r="17" spans="1:12">
      <c r="A17" s="207" t="s">
        <v>11</v>
      </c>
      <c r="B17" s="285" t="s">
        <v>12</v>
      </c>
      <c r="C17" s="65">
        <v>960</v>
      </c>
      <c r="D17" s="66">
        <v>0</v>
      </c>
      <c r="E17" s="66">
        <v>63.36</v>
      </c>
      <c r="F17" s="66">
        <v>896.64</v>
      </c>
      <c r="G17" s="66">
        <v>9.6</v>
      </c>
      <c r="H17" s="66">
        <v>0</v>
      </c>
      <c r="I17" s="66">
        <v>-50</v>
      </c>
      <c r="J17" s="66">
        <v>0</v>
      </c>
      <c r="K17" s="67">
        <v>937.04</v>
      </c>
    </row>
    <row r="18" spans="1:12">
      <c r="A18" s="103" t="s">
        <v>13</v>
      </c>
      <c r="B18" s="145" t="s">
        <v>14</v>
      </c>
      <c r="C18" s="68">
        <v>891.6</v>
      </c>
      <c r="D18" s="69">
        <v>0</v>
      </c>
      <c r="E18" s="69">
        <v>58.85</v>
      </c>
      <c r="F18" s="69">
        <v>832.75</v>
      </c>
      <c r="G18" s="69">
        <v>8.92</v>
      </c>
      <c r="H18" s="69">
        <v>0</v>
      </c>
      <c r="I18" s="69">
        <v>50</v>
      </c>
      <c r="J18" s="69">
        <v>0</v>
      </c>
      <c r="K18" s="70">
        <v>773.84</v>
      </c>
    </row>
    <row r="19" spans="1:12">
      <c r="A19" s="103" t="s">
        <v>104</v>
      </c>
      <c r="B19" s="145" t="s">
        <v>15</v>
      </c>
      <c r="C19" s="68">
        <v>646.4</v>
      </c>
      <c r="D19" s="69">
        <v>0</v>
      </c>
      <c r="E19" s="69">
        <v>42.66</v>
      </c>
      <c r="F19" s="69">
        <v>603.74</v>
      </c>
      <c r="G19" s="69">
        <v>6.46</v>
      </c>
      <c r="H19" s="69">
        <v>0</v>
      </c>
      <c r="I19" s="69">
        <v>-50</v>
      </c>
      <c r="J19" s="69">
        <v>0</v>
      </c>
      <c r="K19" s="70">
        <v>647.27</v>
      </c>
    </row>
    <row r="20" spans="1:12">
      <c r="A20" s="103" t="s">
        <v>26</v>
      </c>
      <c r="B20" s="145" t="s">
        <v>16</v>
      </c>
      <c r="C20" s="68">
        <v>2428</v>
      </c>
      <c r="D20" s="69">
        <v>0</v>
      </c>
      <c r="E20" s="69">
        <v>160.25</v>
      </c>
      <c r="F20" s="69">
        <v>2267.75</v>
      </c>
      <c r="G20" s="69">
        <v>24.28</v>
      </c>
      <c r="H20" s="69">
        <v>188</v>
      </c>
      <c r="I20" s="69">
        <v>700</v>
      </c>
      <c r="J20" s="69">
        <v>378.25</v>
      </c>
      <c r="K20" s="70">
        <v>977.22</v>
      </c>
    </row>
    <row r="21" spans="1:12">
      <c r="A21" s="103" t="s">
        <v>53</v>
      </c>
      <c r="B21" s="451" t="s">
        <v>52</v>
      </c>
      <c r="C21" s="68">
        <v>1290.4000000000001</v>
      </c>
      <c r="D21" s="69">
        <v>0</v>
      </c>
      <c r="E21" s="69">
        <v>0</v>
      </c>
      <c r="F21" s="69">
        <v>1290.4000000000001</v>
      </c>
      <c r="G21" s="69">
        <v>12.9</v>
      </c>
      <c r="H21" s="69">
        <v>12</v>
      </c>
      <c r="I21" s="69">
        <v>100</v>
      </c>
      <c r="J21" s="69">
        <v>0</v>
      </c>
      <c r="K21" s="70">
        <v>1165.5</v>
      </c>
      <c r="L21" s="120"/>
    </row>
    <row r="22" spans="1:12">
      <c r="A22" s="103" t="s">
        <v>208</v>
      </c>
      <c r="B22" s="451" t="s">
        <v>207</v>
      </c>
      <c r="C22" s="68">
        <v>700</v>
      </c>
      <c r="D22" s="69">
        <v>0</v>
      </c>
      <c r="E22" s="69">
        <v>0</v>
      </c>
      <c r="F22" s="69">
        <v>700</v>
      </c>
      <c r="G22" s="69">
        <v>7</v>
      </c>
      <c r="H22" s="69">
        <v>0</v>
      </c>
      <c r="I22" s="69">
        <v>100</v>
      </c>
      <c r="J22" s="69">
        <v>0</v>
      </c>
      <c r="K22" s="70">
        <v>593</v>
      </c>
      <c r="L22" s="120"/>
    </row>
    <row r="23" spans="1:12">
      <c r="A23" s="103" t="s">
        <v>104</v>
      </c>
      <c r="B23" s="145" t="s">
        <v>54</v>
      </c>
      <c r="C23" s="68">
        <v>500</v>
      </c>
      <c r="D23" s="69">
        <v>0</v>
      </c>
      <c r="E23" s="69">
        <v>0</v>
      </c>
      <c r="F23" s="69">
        <v>500</v>
      </c>
      <c r="G23" s="69">
        <v>0</v>
      </c>
      <c r="H23" s="69">
        <v>0</v>
      </c>
      <c r="I23" s="69">
        <v>100</v>
      </c>
      <c r="J23" s="69">
        <v>0</v>
      </c>
      <c r="K23" s="70">
        <v>400</v>
      </c>
    </row>
    <row r="24" spans="1:12">
      <c r="A24" s="199" t="s">
        <v>34</v>
      </c>
      <c r="B24" s="148" t="s">
        <v>48</v>
      </c>
      <c r="C24" s="157"/>
      <c r="D24" s="158"/>
      <c r="E24" s="158"/>
      <c r="F24" s="158"/>
      <c r="G24" s="158"/>
      <c r="H24" s="158"/>
      <c r="I24" s="158"/>
      <c r="J24" s="159"/>
      <c r="K24" s="143">
        <v>950</v>
      </c>
    </row>
    <row r="25" spans="1:12" ht="13.5" thickBot="1">
      <c r="A25" s="208" t="s">
        <v>94</v>
      </c>
      <c r="B25" s="144" t="s">
        <v>95</v>
      </c>
      <c r="C25" s="160"/>
      <c r="D25" s="161"/>
      <c r="E25" s="161"/>
      <c r="F25" s="161"/>
      <c r="G25" s="161"/>
      <c r="H25" s="161"/>
      <c r="I25" s="161"/>
      <c r="J25" s="162"/>
      <c r="K25" s="79">
        <v>825</v>
      </c>
    </row>
    <row r="26" spans="1:12" ht="13.5" thickBot="1">
      <c r="A26" s="21"/>
      <c r="B26" s="61" t="s">
        <v>0</v>
      </c>
      <c r="C26" s="109">
        <f t="shared" ref="C26:J26" si="1">SUM(C17:C24)</f>
        <v>7416.4</v>
      </c>
      <c r="D26" s="62">
        <f t="shared" si="1"/>
        <v>0</v>
      </c>
      <c r="E26" s="62">
        <f t="shared" si="1"/>
        <v>325.12</v>
      </c>
      <c r="F26" s="62">
        <f t="shared" si="1"/>
        <v>7091.2800000000007</v>
      </c>
      <c r="G26" s="62">
        <f t="shared" si="1"/>
        <v>69.16</v>
      </c>
      <c r="H26" s="62">
        <f t="shared" si="1"/>
        <v>200</v>
      </c>
      <c r="I26" s="62">
        <f t="shared" si="1"/>
        <v>950</v>
      </c>
      <c r="J26" s="62">
        <f t="shared" si="1"/>
        <v>378.25</v>
      </c>
      <c r="K26" s="110">
        <f>SUM(K17:K25)</f>
        <v>7268.87</v>
      </c>
    </row>
    <row r="27" spans="1:12" ht="12.75" customHeight="1">
      <c r="A27" s="21"/>
      <c r="B27" s="64"/>
      <c r="C27" s="76"/>
      <c r="D27" s="76"/>
      <c r="E27" s="76"/>
      <c r="F27" s="76"/>
      <c r="G27" s="76"/>
      <c r="H27" s="76"/>
      <c r="I27" s="76"/>
      <c r="J27" s="76"/>
      <c r="K27" s="76"/>
    </row>
    <row r="28" spans="1:12" ht="30" customHeight="1" thickBot="1">
      <c r="A28" s="2"/>
      <c r="B28" s="147">
        <v>16</v>
      </c>
      <c r="C28" s="936" t="s">
        <v>332</v>
      </c>
      <c r="D28" s="937"/>
      <c r="E28" s="3"/>
      <c r="F28" s="4"/>
      <c r="G28" s="4"/>
      <c r="H28" s="4"/>
      <c r="I28" s="4"/>
      <c r="J28" s="4"/>
      <c r="K28" s="34"/>
      <c r="L28" s="4"/>
    </row>
    <row r="29" spans="1:12" s="6" customFormat="1" ht="13.5" thickBot="1">
      <c r="A29" s="49"/>
      <c r="B29" s="146" t="s">
        <v>1</v>
      </c>
      <c r="C29" s="50" t="s">
        <v>2</v>
      </c>
      <c r="D29" s="38" t="s">
        <v>3</v>
      </c>
      <c r="E29" s="38" t="s">
        <v>4</v>
      </c>
      <c r="F29" s="38" t="s">
        <v>5</v>
      </c>
      <c r="G29" s="38" t="s">
        <v>6</v>
      </c>
      <c r="H29" s="38" t="s">
        <v>7</v>
      </c>
      <c r="I29" s="38" t="s">
        <v>8</v>
      </c>
      <c r="J29" s="38" t="s">
        <v>9</v>
      </c>
      <c r="K29" s="20" t="s">
        <v>10</v>
      </c>
    </row>
    <row r="30" spans="1:12">
      <c r="A30" s="207" t="s">
        <v>11</v>
      </c>
      <c r="B30" s="285" t="s">
        <v>12</v>
      </c>
      <c r="C30" s="65">
        <v>960</v>
      </c>
      <c r="D30" s="66">
        <v>0</v>
      </c>
      <c r="E30" s="66">
        <v>63.36</v>
      </c>
      <c r="F30" s="66">
        <v>896.64</v>
      </c>
      <c r="G30" s="66">
        <v>9.6</v>
      </c>
      <c r="H30" s="66">
        <v>0</v>
      </c>
      <c r="I30" s="66">
        <v>-50</v>
      </c>
      <c r="J30" s="66">
        <v>0</v>
      </c>
      <c r="K30" s="67">
        <v>937.04</v>
      </c>
    </row>
    <row r="31" spans="1:12">
      <c r="A31" s="103" t="s">
        <v>13</v>
      </c>
      <c r="B31" s="145" t="s">
        <v>14</v>
      </c>
      <c r="C31" s="68">
        <v>891.6</v>
      </c>
      <c r="D31" s="69">
        <v>0</v>
      </c>
      <c r="E31" s="69">
        <v>58.85</v>
      </c>
      <c r="F31" s="69">
        <v>832.75</v>
      </c>
      <c r="G31" s="69">
        <v>8.92</v>
      </c>
      <c r="H31" s="69">
        <v>0</v>
      </c>
      <c r="I31" s="69">
        <v>50</v>
      </c>
      <c r="J31" s="69">
        <v>0</v>
      </c>
      <c r="K31" s="70">
        <v>773.84</v>
      </c>
    </row>
    <row r="32" spans="1:12">
      <c r="A32" s="103" t="s">
        <v>104</v>
      </c>
      <c r="B32" s="145" t="s">
        <v>15</v>
      </c>
      <c r="C32" s="68">
        <v>646.4</v>
      </c>
      <c r="D32" s="69">
        <v>0</v>
      </c>
      <c r="E32" s="69">
        <v>42.66</v>
      </c>
      <c r="F32" s="69">
        <v>603.74</v>
      </c>
      <c r="G32" s="69">
        <v>6.46</v>
      </c>
      <c r="H32" s="69">
        <v>0</v>
      </c>
      <c r="I32" s="69">
        <v>-50</v>
      </c>
      <c r="J32" s="69">
        <v>0</v>
      </c>
      <c r="K32" s="70">
        <v>647.27</v>
      </c>
    </row>
    <row r="33" spans="1:12">
      <c r="A33" s="103" t="s">
        <v>26</v>
      </c>
      <c r="B33" s="145" t="s">
        <v>16</v>
      </c>
      <c r="C33" s="68">
        <v>2428</v>
      </c>
      <c r="D33" s="69">
        <v>0</v>
      </c>
      <c r="E33" s="69">
        <v>160.25</v>
      </c>
      <c r="F33" s="69">
        <v>2267.75</v>
      </c>
      <c r="G33" s="69">
        <v>24.28</v>
      </c>
      <c r="H33" s="69">
        <v>188</v>
      </c>
      <c r="I33" s="69">
        <v>700</v>
      </c>
      <c r="J33" s="69">
        <v>378.25</v>
      </c>
      <c r="K33" s="70">
        <v>977.22</v>
      </c>
      <c r="L33" s="415"/>
    </row>
    <row r="34" spans="1:12">
      <c r="A34" s="103" t="s">
        <v>53</v>
      </c>
      <c r="B34" s="451" t="s">
        <v>52</v>
      </c>
      <c r="C34" s="68">
        <v>1290.4000000000001</v>
      </c>
      <c r="D34" s="69">
        <v>0</v>
      </c>
      <c r="E34" s="69">
        <v>0</v>
      </c>
      <c r="F34" s="69">
        <v>1290.4000000000001</v>
      </c>
      <c r="G34" s="69">
        <v>12.9</v>
      </c>
      <c r="H34" s="69">
        <v>12</v>
      </c>
      <c r="I34" s="69">
        <v>100</v>
      </c>
      <c r="J34" s="69">
        <v>0</v>
      </c>
      <c r="K34" s="70">
        <v>1165.5</v>
      </c>
      <c r="L34" s="415"/>
    </row>
    <row r="35" spans="1:12">
      <c r="A35" s="103" t="s">
        <v>208</v>
      </c>
      <c r="B35" s="451" t="s">
        <v>207</v>
      </c>
      <c r="C35" s="68">
        <v>800</v>
      </c>
      <c r="D35" s="69">
        <v>0</v>
      </c>
      <c r="E35" s="69">
        <v>0</v>
      </c>
      <c r="F35" s="69">
        <v>800</v>
      </c>
      <c r="G35" s="69">
        <v>8</v>
      </c>
      <c r="H35" s="69">
        <v>0</v>
      </c>
      <c r="I35" s="69">
        <v>100</v>
      </c>
      <c r="J35" s="69">
        <v>0</v>
      </c>
      <c r="K35" s="70">
        <v>692</v>
      </c>
      <c r="L35" s="415"/>
    </row>
    <row r="36" spans="1:12">
      <c r="A36" s="103" t="s">
        <v>104</v>
      </c>
      <c r="B36" s="145" t="s">
        <v>54</v>
      </c>
      <c r="C36" s="68">
        <v>500</v>
      </c>
      <c r="D36" s="69">
        <v>0</v>
      </c>
      <c r="E36" s="69">
        <v>0</v>
      </c>
      <c r="F36" s="69">
        <v>500</v>
      </c>
      <c r="G36" s="69">
        <v>0</v>
      </c>
      <c r="H36" s="69">
        <v>0</v>
      </c>
      <c r="I36" s="69">
        <v>100</v>
      </c>
      <c r="J36" s="69">
        <v>0</v>
      </c>
      <c r="K36" s="70">
        <v>400</v>
      </c>
    </row>
    <row r="37" spans="1:12">
      <c r="A37" s="199" t="s">
        <v>34</v>
      </c>
      <c r="B37" s="148" t="s">
        <v>48</v>
      </c>
      <c r="C37" s="157"/>
      <c r="D37" s="158"/>
      <c r="E37" s="158"/>
      <c r="F37" s="158"/>
      <c r="G37" s="158"/>
      <c r="H37" s="158"/>
      <c r="I37" s="158"/>
      <c r="J37" s="159"/>
      <c r="K37" s="143">
        <v>950</v>
      </c>
    </row>
    <row r="38" spans="1:12" ht="13.5" thickBot="1">
      <c r="A38" s="208" t="s">
        <v>94</v>
      </c>
      <c r="B38" s="144" t="s">
        <v>95</v>
      </c>
      <c r="C38" s="160"/>
      <c r="D38" s="161"/>
      <c r="E38" s="161"/>
      <c r="F38" s="161"/>
      <c r="G38" s="161"/>
      <c r="H38" s="161"/>
      <c r="I38" s="161"/>
      <c r="J38" s="162"/>
      <c r="K38" s="79">
        <v>825</v>
      </c>
    </row>
    <row r="39" spans="1:12" ht="13.5" thickBot="1">
      <c r="A39" s="21"/>
      <c r="B39" s="61" t="s">
        <v>0</v>
      </c>
      <c r="C39" s="109">
        <f t="shared" ref="C39:J39" si="2">SUM(C30:C36)</f>
        <v>7516.4</v>
      </c>
      <c r="D39" s="62">
        <f t="shared" si="2"/>
        <v>0</v>
      </c>
      <c r="E39" s="62">
        <f t="shared" si="2"/>
        <v>325.12</v>
      </c>
      <c r="F39" s="62">
        <f t="shared" si="2"/>
        <v>7191.2800000000007</v>
      </c>
      <c r="G39" s="62">
        <f t="shared" si="2"/>
        <v>70.16</v>
      </c>
      <c r="H39" s="62">
        <f t="shared" si="2"/>
        <v>200</v>
      </c>
      <c r="I39" s="62">
        <f t="shared" si="2"/>
        <v>950</v>
      </c>
      <c r="J39" s="62">
        <f t="shared" si="2"/>
        <v>378.25</v>
      </c>
      <c r="K39" s="110">
        <f>SUM(K30:K38)</f>
        <v>7367.87</v>
      </c>
    </row>
    <row r="40" spans="1:12" ht="12.75" customHeight="1">
      <c r="A40" s="21"/>
      <c r="B40" s="64"/>
      <c r="C40" s="76"/>
      <c r="D40" s="76"/>
      <c r="E40" s="76"/>
      <c r="F40" s="76"/>
      <c r="G40" s="76"/>
      <c r="H40" s="76"/>
      <c r="I40" s="76"/>
      <c r="J40" s="76"/>
      <c r="K40" s="76"/>
    </row>
    <row r="41" spans="1:12" ht="30" customHeight="1" thickBot="1">
      <c r="A41" s="2"/>
      <c r="B41" s="147">
        <v>17</v>
      </c>
      <c r="C41" s="936" t="s">
        <v>333</v>
      </c>
      <c r="D41" s="937"/>
      <c r="E41" s="3"/>
      <c r="F41" s="4"/>
      <c r="G41" s="4"/>
      <c r="H41" s="4"/>
      <c r="I41" s="4"/>
      <c r="J41" s="4"/>
      <c r="K41" s="34"/>
      <c r="L41" s="4"/>
    </row>
    <row r="42" spans="1:12" s="6" customFormat="1" ht="13.5" thickBot="1">
      <c r="A42" s="49"/>
      <c r="B42" s="146" t="s">
        <v>1</v>
      </c>
      <c r="C42" s="50" t="s">
        <v>2</v>
      </c>
      <c r="D42" s="38" t="s">
        <v>3</v>
      </c>
      <c r="E42" s="38" t="s">
        <v>4</v>
      </c>
      <c r="F42" s="38" t="s">
        <v>5</v>
      </c>
      <c r="G42" s="38" t="s">
        <v>6</v>
      </c>
      <c r="H42" s="38" t="s">
        <v>7</v>
      </c>
      <c r="I42" s="38" t="s">
        <v>8</v>
      </c>
      <c r="J42" s="38" t="s">
        <v>9</v>
      </c>
      <c r="K42" s="20" t="s">
        <v>10</v>
      </c>
    </row>
    <row r="43" spans="1:12">
      <c r="A43" s="207" t="s">
        <v>11</v>
      </c>
      <c r="B43" s="285" t="s">
        <v>12</v>
      </c>
      <c r="C43" s="65">
        <v>960</v>
      </c>
      <c r="D43" s="66">
        <v>0</v>
      </c>
      <c r="E43" s="66">
        <v>63.36</v>
      </c>
      <c r="F43" s="66">
        <v>896.64</v>
      </c>
      <c r="G43" s="66">
        <v>9.6</v>
      </c>
      <c r="H43" s="66">
        <v>0</v>
      </c>
      <c r="I43" s="66">
        <v>-50</v>
      </c>
      <c r="J43" s="66">
        <v>0</v>
      </c>
      <c r="K43" s="67">
        <v>937.04</v>
      </c>
    </row>
    <row r="44" spans="1:12">
      <c r="A44" s="103" t="s">
        <v>13</v>
      </c>
      <c r="B44" s="145" t="s">
        <v>14</v>
      </c>
      <c r="C44" s="68">
        <v>891.6</v>
      </c>
      <c r="D44" s="69">
        <v>0</v>
      </c>
      <c r="E44" s="69">
        <v>58.85</v>
      </c>
      <c r="F44" s="69">
        <v>832.75</v>
      </c>
      <c r="G44" s="69">
        <v>8.92</v>
      </c>
      <c r="H44" s="69">
        <v>0</v>
      </c>
      <c r="I44" s="69">
        <v>50</v>
      </c>
      <c r="J44" s="69">
        <v>0</v>
      </c>
      <c r="K44" s="70">
        <v>773.84</v>
      </c>
    </row>
    <row r="45" spans="1:12">
      <c r="A45" s="103" t="s">
        <v>104</v>
      </c>
      <c r="B45" s="145" t="s">
        <v>15</v>
      </c>
      <c r="C45" s="68">
        <v>646.4</v>
      </c>
      <c r="D45" s="69">
        <v>0</v>
      </c>
      <c r="E45" s="69">
        <v>42.66</v>
      </c>
      <c r="F45" s="69">
        <v>603.74</v>
      </c>
      <c r="G45" s="69">
        <v>6.46</v>
      </c>
      <c r="H45" s="69">
        <v>0</v>
      </c>
      <c r="I45" s="69">
        <v>-50</v>
      </c>
      <c r="J45" s="69">
        <v>0</v>
      </c>
      <c r="K45" s="70">
        <v>647.27</v>
      </c>
    </row>
    <row r="46" spans="1:12">
      <c r="A46" s="103" t="s">
        <v>26</v>
      </c>
      <c r="B46" s="145" t="s">
        <v>16</v>
      </c>
      <c r="C46" s="68">
        <v>2428</v>
      </c>
      <c r="D46" s="69">
        <v>0</v>
      </c>
      <c r="E46" s="69">
        <v>160.25</v>
      </c>
      <c r="F46" s="69">
        <v>2267.75</v>
      </c>
      <c r="G46" s="69">
        <v>24.28</v>
      </c>
      <c r="H46" s="69">
        <v>188</v>
      </c>
      <c r="I46" s="69">
        <v>600</v>
      </c>
      <c r="J46" s="69">
        <v>378.25</v>
      </c>
      <c r="K46" s="70">
        <v>1077.22</v>
      </c>
      <c r="L46" s="120"/>
    </row>
    <row r="47" spans="1:12">
      <c r="A47" s="103" t="s">
        <v>53</v>
      </c>
      <c r="B47" s="451" t="s">
        <v>52</v>
      </c>
      <c r="C47" s="68">
        <v>1290.4000000000001</v>
      </c>
      <c r="D47" s="69">
        <v>0</v>
      </c>
      <c r="E47" s="69">
        <v>0</v>
      </c>
      <c r="F47" s="69">
        <v>1290.4000000000001</v>
      </c>
      <c r="G47" s="69">
        <v>12.9</v>
      </c>
      <c r="H47" s="69">
        <v>12</v>
      </c>
      <c r="I47" s="69">
        <v>100</v>
      </c>
      <c r="J47" s="69">
        <v>0</v>
      </c>
      <c r="K47" s="70">
        <v>1165.5</v>
      </c>
      <c r="L47" s="120"/>
    </row>
    <row r="48" spans="1:12">
      <c r="A48" s="103" t="s">
        <v>208</v>
      </c>
      <c r="B48" s="451" t="s">
        <v>207</v>
      </c>
      <c r="C48" s="68">
        <v>800</v>
      </c>
      <c r="D48" s="69">
        <v>0</v>
      </c>
      <c r="E48" s="69">
        <v>0</v>
      </c>
      <c r="F48" s="69">
        <v>800</v>
      </c>
      <c r="G48" s="69">
        <v>8</v>
      </c>
      <c r="H48" s="69">
        <v>0</v>
      </c>
      <c r="I48" s="69">
        <v>0</v>
      </c>
      <c r="J48" s="69">
        <v>0</v>
      </c>
      <c r="K48" s="70">
        <v>792</v>
      </c>
      <c r="L48" s="120"/>
    </row>
    <row r="49" spans="1:12">
      <c r="A49" s="103" t="s">
        <v>104</v>
      </c>
      <c r="B49" s="145" t="s">
        <v>54</v>
      </c>
      <c r="C49" s="68">
        <v>500</v>
      </c>
      <c r="D49" s="69">
        <v>0</v>
      </c>
      <c r="E49" s="69">
        <v>0</v>
      </c>
      <c r="F49" s="69">
        <v>500</v>
      </c>
      <c r="G49" s="69">
        <v>0</v>
      </c>
      <c r="H49" s="69">
        <v>0</v>
      </c>
      <c r="I49" s="69">
        <v>100</v>
      </c>
      <c r="J49" s="69">
        <v>0</v>
      </c>
      <c r="K49" s="70">
        <v>400</v>
      </c>
    </row>
    <row r="50" spans="1:12">
      <c r="A50" s="199" t="s">
        <v>34</v>
      </c>
      <c r="B50" s="148" t="s">
        <v>48</v>
      </c>
      <c r="C50" s="434"/>
      <c r="D50" s="435"/>
      <c r="E50" s="435"/>
      <c r="F50" s="435"/>
      <c r="G50" s="435"/>
      <c r="H50" s="435"/>
      <c r="I50" s="435"/>
      <c r="J50" s="442"/>
      <c r="K50" s="432">
        <v>950</v>
      </c>
    </row>
    <row r="51" spans="1:12">
      <c r="A51" s="222" t="s">
        <v>142</v>
      </c>
      <c r="B51" s="220" t="s">
        <v>143</v>
      </c>
      <c r="C51" s="438"/>
      <c r="D51" s="439"/>
      <c r="E51" s="439"/>
      <c r="F51" s="439"/>
      <c r="G51" s="439"/>
      <c r="H51" s="439"/>
      <c r="I51" s="439"/>
      <c r="J51" s="443"/>
      <c r="K51" s="432">
        <v>150</v>
      </c>
    </row>
    <row r="52" spans="1:12">
      <c r="A52" s="155" t="s">
        <v>156</v>
      </c>
      <c r="B52" s="220" t="s">
        <v>143</v>
      </c>
      <c r="C52" s="440"/>
      <c r="D52" s="441"/>
      <c r="E52" s="441"/>
      <c r="F52" s="441"/>
      <c r="G52" s="441"/>
      <c r="H52" s="441"/>
      <c r="I52" s="441"/>
      <c r="J52" s="444"/>
      <c r="K52" s="432">
        <v>100</v>
      </c>
    </row>
    <row r="53" spans="1:12" ht="13.5" thickBot="1">
      <c r="A53" s="156" t="s">
        <v>94</v>
      </c>
      <c r="B53" s="375" t="s">
        <v>95</v>
      </c>
      <c r="C53" s="436"/>
      <c r="D53" s="437"/>
      <c r="E53" s="437"/>
      <c r="F53" s="437"/>
      <c r="G53" s="437"/>
      <c r="H53" s="437"/>
      <c r="I53" s="437"/>
      <c r="J53" s="445"/>
      <c r="K53" s="433">
        <v>825</v>
      </c>
    </row>
    <row r="54" spans="1:12" ht="13.5" thickBot="1">
      <c r="A54" s="21"/>
      <c r="B54" s="61" t="s">
        <v>0</v>
      </c>
      <c r="C54" s="109">
        <f t="shared" ref="C54:J54" si="3">SUM(C43:C50)</f>
        <v>7516.4</v>
      </c>
      <c r="D54" s="62">
        <f t="shared" si="3"/>
        <v>0</v>
      </c>
      <c r="E54" s="62">
        <f t="shared" si="3"/>
        <v>325.12</v>
      </c>
      <c r="F54" s="62">
        <f t="shared" si="3"/>
        <v>7191.2800000000007</v>
      </c>
      <c r="G54" s="62">
        <f t="shared" si="3"/>
        <v>70.16</v>
      </c>
      <c r="H54" s="62">
        <f t="shared" si="3"/>
        <v>200</v>
      </c>
      <c r="I54" s="62">
        <f t="shared" si="3"/>
        <v>750</v>
      </c>
      <c r="J54" s="62">
        <f t="shared" si="3"/>
        <v>378.25</v>
      </c>
      <c r="K54" s="110">
        <f>SUM(K43:K53)</f>
        <v>7817.87</v>
      </c>
    </row>
    <row r="55" spans="1:12" hidden="1">
      <c r="A55" s="21"/>
      <c r="B55" s="64"/>
      <c r="C55" s="28"/>
      <c r="D55" s="28"/>
      <c r="E55" s="28"/>
      <c r="F55" s="28"/>
      <c r="G55" s="28"/>
      <c r="H55" s="28"/>
      <c r="I55" s="28"/>
      <c r="J55" s="28"/>
      <c r="K55" s="76"/>
    </row>
    <row r="56" spans="1:12" ht="13.5" hidden="1" customHeight="1">
      <c r="A56" s="224"/>
      <c r="B56" s="122" t="s">
        <v>56</v>
      </c>
      <c r="C56" s="123" t="s">
        <v>57</v>
      </c>
      <c r="D56" s="450"/>
      <c r="E56" s="450"/>
      <c r="F56" s="938">
        <f>Nikki!E385</f>
        <v>7648.33</v>
      </c>
      <c r="G56" s="938"/>
      <c r="H56" s="225"/>
      <c r="I56" s="225"/>
      <c r="J56" s="100"/>
      <c r="K56" s="449"/>
      <c r="L56" s="121"/>
    </row>
    <row r="57" spans="1:12" ht="12.75" hidden="1" customHeight="1">
      <c r="A57" s="224"/>
      <c r="B57" s="122" t="s">
        <v>58</v>
      </c>
      <c r="C57" s="123" t="s">
        <v>172</v>
      </c>
      <c r="D57" s="450"/>
      <c r="E57" s="450"/>
      <c r="F57" s="938">
        <f>Nikki!E386</f>
        <v>870.67000000000007</v>
      </c>
      <c r="G57" s="938"/>
      <c r="H57" s="225"/>
      <c r="I57" s="225" t="s">
        <v>191</v>
      </c>
      <c r="J57" s="118"/>
      <c r="K57" s="449"/>
      <c r="L57" s="121"/>
    </row>
    <row r="58" spans="1:12" ht="12.75" hidden="1" customHeight="1">
      <c r="A58" s="224"/>
      <c r="B58" s="122" t="s">
        <v>59</v>
      </c>
      <c r="C58" s="123" t="s">
        <v>60</v>
      </c>
      <c r="D58" s="450"/>
      <c r="E58" s="450"/>
      <c r="F58" s="938">
        <v>2500</v>
      </c>
      <c r="G58" s="938"/>
      <c r="H58" s="126"/>
      <c r="I58" s="44"/>
      <c r="J58" s="112"/>
      <c r="K58" s="449"/>
      <c r="L58" s="121"/>
    </row>
    <row r="59" spans="1:12" ht="12.75" hidden="1" customHeight="1">
      <c r="A59" s="224"/>
      <c r="B59" s="122" t="s">
        <v>59</v>
      </c>
      <c r="C59" s="123" t="s">
        <v>61</v>
      </c>
      <c r="D59" s="450"/>
      <c r="E59" s="450"/>
      <c r="F59" s="938">
        <v>268</v>
      </c>
      <c r="G59" s="938"/>
      <c r="H59" s="126"/>
      <c r="I59" s="125"/>
      <c r="J59" s="939"/>
      <c r="K59" s="939"/>
      <c r="L59" s="121"/>
    </row>
    <row r="60" spans="1:12" ht="12.75" hidden="1" customHeight="1">
      <c r="A60" s="224"/>
      <c r="B60" s="122" t="s">
        <v>62</v>
      </c>
      <c r="C60" s="123" t="s">
        <v>63</v>
      </c>
      <c r="D60" s="450"/>
      <c r="E60" s="450"/>
      <c r="F60" s="938">
        <v>601.12</v>
      </c>
      <c r="G60" s="938"/>
      <c r="H60" s="124"/>
      <c r="I60" s="125"/>
      <c r="J60" s="449"/>
      <c r="K60" s="449"/>
      <c r="L60" s="121"/>
    </row>
    <row r="61" spans="1:12" ht="12.75" hidden="1" customHeight="1">
      <c r="A61" s="224"/>
      <c r="B61" s="122" t="s">
        <v>62</v>
      </c>
      <c r="C61" s="123" t="s">
        <v>64</v>
      </c>
      <c r="D61" s="450"/>
      <c r="E61" s="450"/>
      <c r="F61" s="938">
        <v>383.94</v>
      </c>
      <c r="G61" s="938"/>
      <c r="H61" s="124"/>
      <c r="I61" s="125"/>
      <c r="J61" s="449"/>
      <c r="K61" s="449"/>
      <c r="L61" s="121"/>
    </row>
    <row r="62" spans="1:12" ht="12.75" hidden="1" customHeight="1">
      <c r="A62" s="224"/>
      <c r="B62" s="122" t="s">
        <v>62</v>
      </c>
      <c r="C62" s="123" t="s">
        <v>101</v>
      </c>
      <c r="D62" s="450"/>
      <c r="E62" s="450"/>
      <c r="F62" s="938">
        <v>550</v>
      </c>
      <c r="G62" s="938"/>
      <c r="H62" s="124"/>
      <c r="I62" s="125"/>
      <c r="J62" s="449"/>
      <c r="K62" s="449"/>
      <c r="L62" s="121"/>
    </row>
    <row r="63" spans="1:12" ht="12.75" hidden="1" customHeight="1">
      <c r="A63" s="224"/>
      <c r="B63" s="122"/>
      <c r="C63" s="123" t="s">
        <v>146</v>
      </c>
      <c r="D63" s="450"/>
      <c r="E63" s="450"/>
      <c r="F63" s="938">
        <v>2500</v>
      </c>
      <c r="G63" s="938"/>
      <c r="H63" s="225"/>
      <c r="I63" s="125"/>
      <c r="J63" s="449"/>
      <c r="K63" s="449"/>
      <c r="L63" s="121"/>
    </row>
    <row r="64" spans="1:12" ht="12.75" hidden="1" customHeight="1">
      <c r="A64" s="224"/>
      <c r="B64" s="122" t="s">
        <v>66</v>
      </c>
      <c r="C64" s="123" t="s">
        <v>67</v>
      </c>
      <c r="D64" s="450"/>
      <c r="E64" s="450"/>
      <c r="F64" s="938">
        <v>8000</v>
      </c>
      <c r="G64" s="938"/>
      <c r="H64" s="126"/>
      <c r="I64" s="125"/>
      <c r="J64" s="449"/>
      <c r="K64" s="449"/>
      <c r="L64" s="121"/>
    </row>
    <row r="65" spans="1:12" ht="12.75" hidden="1" customHeight="1">
      <c r="A65" s="224"/>
      <c r="B65" s="122" t="s">
        <v>65</v>
      </c>
      <c r="C65" s="123" t="s">
        <v>228</v>
      </c>
      <c r="D65" s="450"/>
      <c r="E65" s="450"/>
      <c r="F65" s="938">
        <v>1000</v>
      </c>
      <c r="G65" s="938"/>
      <c r="H65" s="126"/>
      <c r="I65" s="125"/>
      <c r="J65" s="449"/>
      <c r="K65" s="449"/>
      <c r="L65" s="121"/>
    </row>
    <row r="66" spans="1:12" ht="12.75" hidden="1" customHeight="1">
      <c r="A66" s="224"/>
      <c r="B66" s="122" t="s">
        <v>68</v>
      </c>
      <c r="C66" s="123" t="s">
        <v>69</v>
      </c>
      <c r="D66" s="450"/>
      <c r="E66" s="450"/>
      <c r="F66" s="938">
        <v>1200</v>
      </c>
      <c r="G66" s="938"/>
      <c r="H66" s="130"/>
      <c r="I66" s="125"/>
      <c r="J66" s="449"/>
      <c r="K66" s="449"/>
      <c r="L66" s="121"/>
    </row>
    <row r="67" spans="1:12" ht="12.75" hidden="1" customHeight="1">
      <c r="A67" s="224"/>
      <c r="B67" s="122" t="s">
        <v>68</v>
      </c>
      <c r="C67" s="123" t="s">
        <v>147</v>
      </c>
      <c r="D67" s="450"/>
      <c r="E67" s="450"/>
      <c r="F67" s="938">
        <f>120000*15%/12</f>
        <v>1500</v>
      </c>
      <c r="G67" s="938"/>
      <c r="H67" s="130"/>
      <c r="I67" s="125"/>
      <c r="J67" s="449"/>
      <c r="K67" s="449"/>
      <c r="L67" s="121"/>
    </row>
    <row r="68" spans="1:12" ht="12.75" hidden="1" customHeight="1">
      <c r="A68" s="224"/>
      <c r="B68" s="122" t="s">
        <v>81</v>
      </c>
      <c r="C68" s="123" t="s">
        <v>69</v>
      </c>
      <c r="D68" s="450"/>
      <c r="E68" s="450"/>
      <c r="F68" s="938">
        <v>1800</v>
      </c>
      <c r="G68" s="938"/>
      <c r="H68" s="130"/>
      <c r="I68" s="125"/>
      <c r="J68" s="449"/>
      <c r="K68" s="449"/>
      <c r="L68" s="121"/>
    </row>
    <row r="69" spans="1:12" ht="12.75" hidden="1" customHeight="1">
      <c r="A69" s="224"/>
      <c r="B69" s="122" t="s">
        <v>58</v>
      </c>
      <c r="C69" s="123" t="s">
        <v>148</v>
      </c>
      <c r="D69" s="450"/>
      <c r="E69" s="450"/>
      <c r="F69" s="938">
        <v>0</v>
      </c>
      <c r="G69" s="938"/>
      <c r="H69" s="130"/>
      <c r="I69" s="125"/>
      <c r="J69" s="449"/>
      <c r="K69" s="449"/>
      <c r="L69" s="121"/>
    </row>
    <row r="70" spans="1:12" ht="12.75" hidden="1" customHeight="1">
      <c r="A70" s="224"/>
      <c r="B70" s="122" t="s">
        <v>272</v>
      </c>
      <c r="C70" s="123" t="s">
        <v>274</v>
      </c>
      <c r="D70" s="450"/>
      <c r="E70" s="450"/>
      <c r="F70" s="938">
        <v>500</v>
      </c>
      <c r="G70" s="938"/>
      <c r="H70" s="130"/>
      <c r="I70" s="125"/>
      <c r="J70" s="449"/>
      <c r="K70" s="449"/>
      <c r="L70" s="121"/>
    </row>
    <row r="71" spans="1:12" ht="12.75" hidden="1" customHeight="1">
      <c r="A71" s="224"/>
      <c r="B71" s="122" t="s">
        <v>273</v>
      </c>
      <c r="C71" s="123" t="s">
        <v>275</v>
      </c>
      <c r="D71" s="450"/>
      <c r="E71" s="450"/>
      <c r="F71" s="938">
        <v>500</v>
      </c>
      <c r="G71" s="938"/>
      <c r="H71" s="130"/>
      <c r="I71" s="125"/>
      <c r="J71" s="449"/>
      <c r="K71" s="449"/>
      <c r="L71" s="121"/>
    </row>
    <row r="72" spans="1:12" ht="12.75" hidden="1" customHeight="1">
      <c r="A72" s="224"/>
      <c r="B72" s="122" t="s">
        <v>70</v>
      </c>
      <c r="C72" s="123" t="s">
        <v>73</v>
      </c>
      <c r="D72" s="450"/>
      <c r="E72" s="450"/>
      <c r="F72" s="938">
        <v>0</v>
      </c>
      <c r="G72" s="938"/>
      <c r="H72" s="124"/>
      <c r="I72" s="125">
        <v>500</v>
      </c>
      <c r="J72" s="449"/>
      <c r="K72" s="449"/>
      <c r="L72" s="121"/>
    </row>
    <row r="73" spans="1:12" ht="12.75" hidden="1" customHeight="1">
      <c r="A73" s="224"/>
      <c r="B73" s="122" t="s">
        <v>71</v>
      </c>
      <c r="C73" s="123" t="s">
        <v>74</v>
      </c>
      <c r="D73" s="450"/>
      <c r="E73" s="450"/>
      <c r="F73" s="938">
        <v>0</v>
      </c>
      <c r="G73" s="938"/>
      <c r="H73" s="124"/>
      <c r="I73" s="125">
        <v>500</v>
      </c>
      <c r="J73" s="449"/>
      <c r="K73" s="449"/>
      <c r="L73" s="121"/>
    </row>
    <row r="74" spans="1:12" ht="12.75" hidden="1" customHeight="1">
      <c r="A74" s="224"/>
      <c r="B74" s="122" t="s">
        <v>72</v>
      </c>
      <c r="C74" s="123" t="s">
        <v>75</v>
      </c>
      <c r="D74" s="450"/>
      <c r="E74" s="450"/>
      <c r="F74" s="938">
        <v>0</v>
      </c>
      <c r="G74" s="938"/>
      <c r="H74" s="124"/>
      <c r="I74" s="125">
        <v>500</v>
      </c>
      <c r="J74" s="449"/>
      <c r="K74" s="449"/>
      <c r="L74" s="121"/>
    </row>
    <row r="75" spans="1:12" ht="12.75" hidden="1" customHeight="1">
      <c r="A75" s="224"/>
      <c r="B75" s="122" t="s">
        <v>59</v>
      </c>
      <c r="C75" s="123" t="s">
        <v>82</v>
      </c>
      <c r="D75" s="450"/>
      <c r="E75" s="450"/>
      <c r="F75" s="938">
        <v>11000</v>
      </c>
      <c r="G75" s="938"/>
      <c r="H75" s="124"/>
      <c r="I75" s="125"/>
      <c r="J75" s="449"/>
      <c r="K75" s="449"/>
      <c r="L75" s="121"/>
    </row>
    <row r="76" spans="1:12" ht="12.75" hidden="1" customHeight="1" thickBot="1">
      <c r="A76" s="224"/>
      <c r="B76" s="223" t="s">
        <v>102</v>
      </c>
      <c r="C76" s="123" t="s">
        <v>83</v>
      </c>
      <c r="D76" s="450"/>
      <c r="E76" s="450"/>
      <c r="F76" s="940">
        <v>11000</v>
      </c>
      <c r="G76" s="940"/>
      <c r="H76" s="124"/>
      <c r="I76" s="125"/>
      <c r="J76" s="449"/>
      <c r="K76" s="449"/>
      <c r="L76" s="121"/>
    </row>
    <row r="77" spans="1:12" ht="12.75" hidden="1" customHeight="1" thickTop="1">
      <c r="A77" s="122"/>
      <c r="B77" s="122"/>
      <c r="C77" s="123"/>
      <c r="D77" s="450"/>
      <c r="E77" s="450"/>
      <c r="F77" s="941">
        <f>SUM(F56:G76)</f>
        <v>51822.06</v>
      </c>
      <c r="G77" s="941"/>
      <c r="H77" s="124"/>
      <c r="I77" s="125"/>
      <c r="J77" s="939"/>
      <c r="K77" s="939"/>
      <c r="L77" s="121"/>
    </row>
    <row r="78" spans="1:12" ht="12.75" hidden="1" customHeight="1">
      <c r="A78" s="122"/>
      <c r="B78" s="122"/>
      <c r="C78" s="123"/>
      <c r="D78" s="450"/>
      <c r="E78" s="450"/>
      <c r="F78" s="942">
        <f>F77+K54</f>
        <v>59639.93</v>
      </c>
      <c r="G78" s="943"/>
      <c r="H78" s="124"/>
      <c r="I78" s="125"/>
      <c r="J78" s="939"/>
      <c r="K78" s="939"/>
      <c r="L78" s="121"/>
    </row>
    <row r="79" spans="1:12" ht="18.75" customHeight="1">
      <c r="A79" s="21"/>
      <c r="B79" s="64"/>
      <c r="C79" s="28"/>
      <c r="D79" s="28"/>
      <c r="E79" s="28"/>
      <c r="F79" s="28"/>
      <c r="G79" s="28"/>
      <c r="H79" s="28"/>
      <c r="I79" s="28"/>
      <c r="J79" s="28"/>
      <c r="K79" s="28"/>
    </row>
    <row r="80" spans="1:12" s="8" customFormat="1" ht="1.9" customHeight="1">
      <c r="A80" s="22"/>
      <c r="K80" s="35"/>
    </row>
    <row r="81" spans="1:11" s="9" customFormat="1" ht="16.149999999999999" customHeight="1">
      <c r="A81" s="23" t="s">
        <v>18</v>
      </c>
      <c r="K81" s="36"/>
    </row>
    <row r="82" spans="1:11" s="8" customFormat="1" ht="1.9" customHeight="1">
      <c r="A82" s="22"/>
      <c r="K82" s="35"/>
    </row>
    <row r="83" spans="1:11" ht="13.5" thickBot="1"/>
    <row r="84" spans="1:11" s="17" customFormat="1" thickBot="1">
      <c r="A84" s="455" t="s">
        <v>1</v>
      </c>
      <c r="B84" s="10" t="s">
        <v>2</v>
      </c>
      <c r="C84" s="11" t="s">
        <v>3</v>
      </c>
      <c r="D84" s="11" t="s">
        <v>4</v>
      </c>
      <c r="E84" s="11" t="s">
        <v>5</v>
      </c>
      <c r="F84" s="11" t="s">
        <v>6</v>
      </c>
      <c r="G84" s="11" t="s">
        <v>7</v>
      </c>
      <c r="H84" s="11" t="s">
        <v>8</v>
      </c>
      <c r="I84" s="11" t="s">
        <v>9</v>
      </c>
      <c r="J84" s="13" t="s">
        <v>10</v>
      </c>
      <c r="K84" s="459" t="s">
        <v>19</v>
      </c>
    </row>
    <row r="85" spans="1:11" s="15" customFormat="1" ht="12">
      <c r="A85" s="456" t="s">
        <v>12</v>
      </c>
      <c r="B85" s="500">
        <v>960</v>
      </c>
      <c r="C85" s="501">
        <v>0</v>
      </c>
      <c r="D85" s="501">
        <v>63.36</v>
      </c>
      <c r="E85" s="501">
        <v>896.64</v>
      </c>
      <c r="F85" s="501">
        <v>9.6</v>
      </c>
      <c r="G85" s="501">
        <v>0</v>
      </c>
      <c r="H85" s="501">
        <v>-50</v>
      </c>
      <c r="I85" s="501">
        <v>0</v>
      </c>
      <c r="J85" s="502">
        <v>937.04</v>
      </c>
      <c r="K85" s="460">
        <v>41002</v>
      </c>
    </row>
    <row r="86" spans="1:11" s="15" customFormat="1" ht="12">
      <c r="A86" s="456" t="s">
        <v>12</v>
      </c>
      <c r="B86" s="68">
        <v>960</v>
      </c>
      <c r="C86" s="69">
        <v>0</v>
      </c>
      <c r="D86" s="69">
        <v>63.36</v>
      </c>
      <c r="E86" s="69">
        <v>896.64</v>
      </c>
      <c r="F86" s="69">
        <v>9.6</v>
      </c>
      <c r="G86" s="69">
        <v>0</v>
      </c>
      <c r="H86" s="69">
        <v>-50</v>
      </c>
      <c r="I86" s="69">
        <v>0</v>
      </c>
      <c r="J86" s="70">
        <v>937.04</v>
      </c>
      <c r="K86" s="461">
        <v>41009</v>
      </c>
    </row>
    <row r="87" spans="1:11" s="15" customFormat="1" ht="12">
      <c r="A87" s="457" t="s">
        <v>12</v>
      </c>
      <c r="B87" s="416">
        <v>960</v>
      </c>
      <c r="C87" s="417">
        <v>0</v>
      </c>
      <c r="D87" s="417">
        <v>63.36</v>
      </c>
      <c r="E87" s="417">
        <v>896.64</v>
      </c>
      <c r="F87" s="417">
        <v>9.6</v>
      </c>
      <c r="G87" s="417">
        <v>0</v>
      </c>
      <c r="H87" s="417">
        <v>-50</v>
      </c>
      <c r="I87" s="417">
        <v>0</v>
      </c>
      <c r="J87" s="418">
        <v>937.04</v>
      </c>
      <c r="K87" s="461">
        <v>41016</v>
      </c>
    </row>
    <row r="88" spans="1:11" s="15" customFormat="1" thickBot="1">
      <c r="A88" s="458" t="s">
        <v>12</v>
      </c>
      <c r="B88" s="77">
        <v>960</v>
      </c>
      <c r="C88" s="78">
        <v>0</v>
      </c>
      <c r="D88" s="78">
        <v>63.36</v>
      </c>
      <c r="E88" s="78">
        <v>896.64</v>
      </c>
      <c r="F88" s="78">
        <v>9.6</v>
      </c>
      <c r="G88" s="78">
        <v>0</v>
      </c>
      <c r="H88" s="78">
        <v>-50</v>
      </c>
      <c r="I88" s="78">
        <v>0</v>
      </c>
      <c r="J88" s="79">
        <v>937.04</v>
      </c>
      <c r="K88" s="461">
        <v>41023</v>
      </c>
    </row>
    <row r="89" spans="1:11" s="15" customFormat="1" thickBot="1">
      <c r="A89" s="455" t="s">
        <v>0</v>
      </c>
      <c r="B89" s="463">
        <f t="shared" ref="B89:J89" si="4">SUM(B85:B88)</f>
        <v>3840</v>
      </c>
      <c r="C89" s="454">
        <f t="shared" si="4"/>
        <v>0</v>
      </c>
      <c r="D89" s="454">
        <f t="shared" si="4"/>
        <v>253.44</v>
      </c>
      <c r="E89" s="454">
        <f t="shared" si="4"/>
        <v>3586.56</v>
      </c>
      <c r="F89" s="454">
        <f t="shared" si="4"/>
        <v>38.4</v>
      </c>
      <c r="G89" s="454">
        <f t="shared" si="4"/>
        <v>0</v>
      </c>
      <c r="H89" s="454">
        <f t="shared" si="4"/>
        <v>-200</v>
      </c>
      <c r="I89" s="454">
        <f t="shared" si="4"/>
        <v>0</v>
      </c>
      <c r="J89" s="464">
        <f t="shared" si="4"/>
        <v>3748.16</v>
      </c>
      <c r="K89" s="462"/>
    </row>
    <row r="90" spans="1:11" s="15" customFormat="1" ht="8.1" customHeight="1" thickBot="1">
      <c r="A90" s="17"/>
      <c r="K90" s="17"/>
    </row>
    <row r="91" spans="1:11" s="17" customFormat="1" thickBot="1">
      <c r="A91" s="10" t="s">
        <v>1</v>
      </c>
      <c r="B91" s="11" t="s">
        <v>2</v>
      </c>
      <c r="C91" s="11" t="s">
        <v>3</v>
      </c>
      <c r="D91" s="11" t="s">
        <v>4</v>
      </c>
      <c r="E91" s="11" t="s">
        <v>5</v>
      </c>
      <c r="F91" s="11" t="s">
        <v>6</v>
      </c>
      <c r="G91" s="11" t="s">
        <v>7</v>
      </c>
      <c r="H91" s="11" t="s">
        <v>8</v>
      </c>
      <c r="I91" s="11" t="s">
        <v>9</v>
      </c>
      <c r="J91" s="12" t="s">
        <v>10</v>
      </c>
      <c r="K91" s="13" t="s">
        <v>19</v>
      </c>
    </row>
    <row r="92" spans="1:11" s="15" customFormat="1" ht="12">
      <c r="A92" s="25" t="s">
        <v>14</v>
      </c>
      <c r="B92" s="68">
        <v>891.6</v>
      </c>
      <c r="C92" s="69">
        <v>0</v>
      </c>
      <c r="D92" s="69">
        <v>58.85</v>
      </c>
      <c r="E92" s="69">
        <v>832.75</v>
      </c>
      <c r="F92" s="69">
        <v>8.92</v>
      </c>
      <c r="G92" s="69">
        <v>0</v>
      </c>
      <c r="H92" s="69">
        <v>50</v>
      </c>
      <c r="I92" s="69">
        <v>0</v>
      </c>
      <c r="J92" s="70">
        <v>773.84</v>
      </c>
      <c r="K92" s="460">
        <v>41002</v>
      </c>
    </row>
    <row r="93" spans="1:11" s="15" customFormat="1" ht="12">
      <c r="A93" s="26" t="s">
        <v>14</v>
      </c>
      <c r="B93" s="68">
        <v>891.6</v>
      </c>
      <c r="C93" s="69">
        <v>0</v>
      </c>
      <c r="D93" s="69">
        <v>58.85</v>
      </c>
      <c r="E93" s="69">
        <v>832.75</v>
      </c>
      <c r="F93" s="69">
        <v>8.92</v>
      </c>
      <c r="G93" s="69">
        <v>0</v>
      </c>
      <c r="H93" s="69">
        <v>50</v>
      </c>
      <c r="I93" s="69">
        <v>0</v>
      </c>
      <c r="J93" s="70">
        <v>773.84</v>
      </c>
      <c r="K93" s="461">
        <v>41009</v>
      </c>
    </row>
    <row r="94" spans="1:11" s="15" customFormat="1" ht="12">
      <c r="A94" s="26" t="s">
        <v>14</v>
      </c>
      <c r="B94" s="68">
        <v>891.6</v>
      </c>
      <c r="C94" s="69">
        <v>0</v>
      </c>
      <c r="D94" s="69">
        <v>58.85</v>
      </c>
      <c r="E94" s="69">
        <v>832.75</v>
      </c>
      <c r="F94" s="69">
        <v>8.92</v>
      </c>
      <c r="G94" s="69">
        <v>0</v>
      </c>
      <c r="H94" s="69">
        <v>50</v>
      </c>
      <c r="I94" s="69">
        <v>0</v>
      </c>
      <c r="J94" s="70">
        <v>773.84</v>
      </c>
      <c r="K94" s="461">
        <v>41016</v>
      </c>
    </row>
    <row r="95" spans="1:11" s="15" customFormat="1" thickBot="1">
      <c r="A95" s="26" t="s">
        <v>14</v>
      </c>
      <c r="B95" s="68">
        <v>891.6</v>
      </c>
      <c r="C95" s="69">
        <v>0</v>
      </c>
      <c r="D95" s="69">
        <v>58.85</v>
      </c>
      <c r="E95" s="69">
        <v>832.75</v>
      </c>
      <c r="F95" s="69">
        <v>8.92</v>
      </c>
      <c r="G95" s="69">
        <v>0</v>
      </c>
      <c r="H95" s="69">
        <v>50</v>
      </c>
      <c r="I95" s="69">
        <v>0</v>
      </c>
      <c r="J95" s="70">
        <v>773.84</v>
      </c>
      <c r="K95" s="461">
        <v>41023</v>
      </c>
    </row>
    <row r="96" spans="1:11" s="15" customFormat="1" thickBot="1">
      <c r="A96" s="10" t="s">
        <v>0</v>
      </c>
      <c r="B96" s="16">
        <f t="shared" ref="B96:J96" si="5">SUM(B92:B95)</f>
        <v>3566.4</v>
      </c>
      <c r="C96" s="16">
        <f t="shared" si="5"/>
        <v>0</v>
      </c>
      <c r="D96" s="16">
        <f t="shared" si="5"/>
        <v>235.4</v>
      </c>
      <c r="E96" s="16">
        <f t="shared" si="5"/>
        <v>3331</v>
      </c>
      <c r="F96" s="16">
        <f t="shared" si="5"/>
        <v>35.68</v>
      </c>
      <c r="G96" s="16">
        <f t="shared" si="5"/>
        <v>0</v>
      </c>
      <c r="H96" s="16">
        <f t="shared" si="5"/>
        <v>200</v>
      </c>
      <c r="I96" s="16">
        <f t="shared" si="5"/>
        <v>0</v>
      </c>
      <c r="J96" s="27">
        <f t="shared" si="5"/>
        <v>3095.36</v>
      </c>
      <c r="K96" s="30"/>
    </row>
    <row r="97" spans="1:11" s="15" customFormat="1" ht="8.1" customHeight="1" thickBot="1">
      <c r="A97" s="17"/>
      <c r="K97" s="17"/>
    </row>
    <row r="98" spans="1:11" s="17" customFormat="1" thickBot="1">
      <c r="A98" s="10" t="s">
        <v>1</v>
      </c>
      <c r="B98" s="11" t="s">
        <v>2</v>
      </c>
      <c r="C98" s="11" t="s">
        <v>3</v>
      </c>
      <c r="D98" s="11" t="s">
        <v>4</v>
      </c>
      <c r="E98" s="11" t="s">
        <v>5</v>
      </c>
      <c r="F98" s="11" t="s">
        <v>6</v>
      </c>
      <c r="G98" s="11" t="s">
        <v>7</v>
      </c>
      <c r="H98" s="11" t="s">
        <v>8</v>
      </c>
      <c r="I98" s="11" t="s">
        <v>9</v>
      </c>
      <c r="J98" s="12" t="s">
        <v>10</v>
      </c>
      <c r="K98" s="13" t="s">
        <v>19</v>
      </c>
    </row>
    <row r="99" spans="1:11" s="15" customFormat="1" ht="12">
      <c r="A99" s="26" t="s">
        <v>15</v>
      </c>
      <c r="B99" s="68">
        <v>646.4</v>
      </c>
      <c r="C99" s="69">
        <v>0</v>
      </c>
      <c r="D99" s="69">
        <v>42.66</v>
      </c>
      <c r="E99" s="69">
        <v>603.74</v>
      </c>
      <c r="F99" s="69">
        <v>6.46</v>
      </c>
      <c r="G99" s="69">
        <v>0</v>
      </c>
      <c r="H99" s="69">
        <v>-50</v>
      </c>
      <c r="I99" s="69">
        <v>0</v>
      </c>
      <c r="J99" s="70">
        <v>647.27</v>
      </c>
      <c r="K99" s="460">
        <v>41002</v>
      </c>
    </row>
    <row r="100" spans="1:11" s="15" customFormat="1" ht="12">
      <c r="A100" s="26" t="s">
        <v>15</v>
      </c>
      <c r="B100" s="68">
        <v>646.4</v>
      </c>
      <c r="C100" s="69">
        <v>0</v>
      </c>
      <c r="D100" s="69">
        <v>42.66</v>
      </c>
      <c r="E100" s="69">
        <v>603.74</v>
      </c>
      <c r="F100" s="69">
        <v>6.46</v>
      </c>
      <c r="G100" s="69">
        <v>0</v>
      </c>
      <c r="H100" s="69">
        <v>-50</v>
      </c>
      <c r="I100" s="69">
        <v>0</v>
      </c>
      <c r="J100" s="70">
        <v>647.27</v>
      </c>
      <c r="K100" s="461">
        <v>41009</v>
      </c>
    </row>
    <row r="101" spans="1:11" s="15" customFormat="1" ht="12">
      <c r="A101" s="26" t="s">
        <v>15</v>
      </c>
      <c r="B101" s="68">
        <v>646.4</v>
      </c>
      <c r="C101" s="69">
        <v>0</v>
      </c>
      <c r="D101" s="69">
        <v>42.66</v>
      </c>
      <c r="E101" s="69">
        <v>603.74</v>
      </c>
      <c r="F101" s="69">
        <v>6.46</v>
      </c>
      <c r="G101" s="69">
        <v>0</v>
      </c>
      <c r="H101" s="69">
        <v>-50</v>
      </c>
      <c r="I101" s="69">
        <v>0</v>
      </c>
      <c r="J101" s="70">
        <v>647.27</v>
      </c>
      <c r="K101" s="461">
        <v>41016</v>
      </c>
    </row>
    <row r="102" spans="1:11" s="15" customFormat="1" thickBot="1">
      <c r="A102" s="26" t="s">
        <v>15</v>
      </c>
      <c r="B102" s="68">
        <v>646.4</v>
      </c>
      <c r="C102" s="69">
        <v>0</v>
      </c>
      <c r="D102" s="69">
        <v>42.66</v>
      </c>
      <c r="E102" s="69">
        <v>603.74</v>
      </c>
      <c r="F102" s="69">
        <v>6.46</v>
      </c>
      <c r="G102" s="69">
        <v>0</v>
      </c>
      <c r="H102" s="69">
        <v>-50</v>
      </c>
      <c r="I102" s="69">
        <v>0</v>
      </c>
      <c r="J102" s="70">
        <v>647.27</v>
      </c>
      <c r="K102" s="461">
        <v>41023</v>
      </c>
    </row>
    <row r="103" spans="1:11" s="15" customFormat="1" thickBot="1">
      <c r="A103" s="10" t="s">
        <v>0</v>
      </c>
      <c r="B103" s="16">
        <f t="shared" ref="B103:J103" si="6">SUM(B99:B102)</f>
        <v>2585.6</v>
      </c>
      <c r="C103" s="16">
        <f t="shared" si="6"/>
        <v>0</v>
      </c>
      <c r="D103" s="16">
        <f t="shared" si="6"/>
        <v>170.64</v>
      </c>
      <c r="E103" s="16">
        <f t="shared" si="6"/>
        <v>2414.96</v>
      </c>
      <c r="F103" s="16">
        <f t="shared" si="6"/>
        <v>25.84</v>
      </c>
      <c r="G103" s="16">
        <f t="shared" si="6"/>
        <v>0</v>
      </c>
      <c r="H103" s="16">
        <f t="shared" si="6"/>
        <v>-200</v>
      </c>
      <c r="I103" s="16">
        <f t="shared" si="6"/>
        <v>0</v>
      </c>
      <c r="J103" s="27">
        <f t="shared" si="6"/>
        <v>2589.08</v>
      </c>
      <c r="K103" s="30"/>
    </row>
    <row r="104" spans="1:11" s="15" customFormat="1" ht="8.1" customHeight="1" thickBot="1">
      <c r="A104" s="17"/>
      <c r="K104" s="17"/>
    </row>
    <row r="105" spans="1:11" s="17" customFormat="1" thickBot="1">
      <c r="A105" s="10" t="s">
        <v>1</v>
      </c>
      <c r="B105" s="11" t="s">
        <v>2</v>
      </c>
      <c r="C105" s="11" t="s">
        <v>3</v>
      </c>
      <c r="D105" s="11" t="s">
        <v>4</v>
      </c>
      <c r="E105" s="11" t="s">
        <v>5</v>
      </c>
      <c r="F105" s="11" t="s">
        <v>6</v>
      </c>
      <c r="G105" s="11" t="s">
        <v>7</v>
      </c>
      <c r="H105" s="11" t="s">
        <v>8</v>
      </c>
      <c r="I105" s="11" t="s">
        <v>9</v>
      </c>
      <c r="J105" s="12" t="s">
        <v>10</v>
      </c>
      <c r="K105" s="13" t="s">
        <v>19</v>
      </c>
    </row>
    <row r="106" spans="1:11" s="15" customFormat="1" ht="12">
      <c r="A106" s="26" t="s">
        <v>16</v>
      </c>
      <c r="B106" s="68">
        <v>2428</v>
      </c>
      <c r="C106" s="69">
        <v>0</v>
      </c>
      <c r="D106" s="69">
        <v>160.25</v>
      </c>
      <c r="E106" s="69">
        <v>2267.75</v>
      </c>
      <c r="F106" s="69">
        <v>24.28</v>
      </c>
      <c r="G106" s="69">
        <v>188</v>
      </c>
      <c r="H106" s="69">
        <v>700</v>
      </c>
      <c r="I106" s="69">
        <v>378.25</v>
      </c>
      <c r="J106" s="70">
        <v>977.22</v>
      </c>
      <c r="K106" s="460">
        <v>41002</v>
      </c>
    </row>
    <row r="107" spans="1:11" s="15" customFormat="1" ht="12">
      <c r="A107" s="26" t="s">
        <v>16</v>
      </c>
      <c r="B107" s="68">
        <v>2428</v>
      </c>
      <c r="C107" s="69">
        <v>0</v>
      </c>
      <c r="D107" s="69">
        <v>160.25</v>
      </c>
      <c r="E107" s="69">
        <v>2267.75</v>
      </c>
      <c r="F107" s="69">
        <v>24.28</v>
      </c>
      <c r="G107" s="69">
        <v>188</v>
      </c>
      <c r="H107" s="69">
        <v>700</v>
      </c>
      <c r="I107" s="69">
        <v>378.25</v>
      </c>
      <c r="J107" s="70">
        <v>977.22</v>
      </c>
      <c r="K107" s="461">
        <v>41009</v>
      </c>
    </row>
    <row r="108" spans="1:11" s="15" customFormat="1" ht="12">
      <c r="A108" s="26" t="s">
        <v>16</v>
      </c>
      <c r="B108" s="68">
        <v>2428</v>
      </c>
      <c r="C108" s="69">
        <v>0</v>
      </c>
      <c r="D108" s="69">
        <v>160.25</v>
      </c>
      <c r="E108" s="69">
        <v>2267.75</v>
      </c>
      <c r="F108" s="69">
        <v>24.28</v>
      </c>
      <c r="G108" s="69">
        <v>188</v>
      </c>
      <c r="H108" s="69">
        <v>700</v>
      </c>
      <c r="I108" s="69">
        <v>378.25</v>
      </c>
      <c r="J108" s="70">
        <v>977.22</v>
      </c>
      <c r="K108" s="461">
        <v>41016</v>
      </c>
    </row>
    <row r="109" spans="1:11" s="15" customFormat="1" thickBot="1">
      <c r="A109" s="26" t="s">
        <v>16</v>
      </c>
      <c r="B109" s="68">
        <v>2428</v>
      </c>
      <c r="C109" s="69">
        <v>0</v>
      </c>
      <c r="D109" s="69">
        <v>160.25</v>
      </c>
      <c r="E109" s="69">
        <v>2267.75</v>
      </c>
      <c r="F109" s="69">
        <v>24.28</v>
      </c>
      <c r="G109" s="69">
        <v>188</v>
      </c>
      <c r="H109" s="69">
        <v>600</v>
      </c>
      <c r="I109" s="69">
        <v>378.25</v>
      </c>
      <c r="J109" s="70">
        <v>1077.22</v>
      </c>
      <c r="K109" s="461">
        <v>41023</v>
      </c>
    </row>
    <row r="110" spans="1:11" s="15" customFormat="1" thickBot="1">
      <c r="A110" s="10" t="s">
        <v>0</v>
      </c>
      <c r="B110" s="16">
        <f t="shared" ref="B110:J110" si="7">SUM(B106:B109)</f>
        <v>9712</v>
      </c>
      <c r="C110" s="16">
        <f t="shared" si="7"/>
        <v>0</v>
      </c>
      <c r="D110" s="16">
        <f t="shared" si="7"/>
        <v>641</v>
      </c>
      <c r="E110" s="16">
        <f t="shared" si="7"/>
        <v>9071</v>
      </c>
      <c r="F110" s="16">
        <f t="shared" si="7"/>
        <v>97.12</v>
      </c>
      <c r="G110" s="16">
        <f t="shared" si="7"/>
        <v>752</v>
      </c>
      <c r="H110" s="16">
        <f t="shared" si="7"/>
        <v>2700</v>
      </c>
      <c r="I110" s="16">
        <f t="shared" si="7"/>
        <v>1513</v>
      </c>
      <c r="J110" s="27">
        <f t="shared" si="7"/>
        <v>4008.88</v>
      </c>
      <c r="K110" s="30"/>
    </row>
    <row r="111" spans="1:11" s="15" customFormat="1" thickBot="1">
      <c r="A111" s="17"/>
      <c r="K111" s="17"/>
    </row>
    <row r="112" spans="1:11" s="17" customFormat="1" thickBot="1">
      <c r="A112" s="10" t="s">
        <v>1</v>
      </c>
      <c r="B112" s="11" t="s">
        <v>2</v>
      </c>
      <c r="C112" s="11" t="s">
        <v>3</v>
      </c>
      <c r="D112" s="11" t="s">
        <v>4</v>
      </c>
      <c r="E112" s="11" t="s">
        <v>5</v>
      </c>
      <c r="F112" s="11" t="s">
        <v>6</v>
      </c>
      <c r="G112" s="11" t="s">
        <v>7</v>
      </c>
      <c r="H112" s="11" t="s">
        <v>8</v>
      </c>
      <c r="I112" s="11" t="s">
        <v>9</v>
      </c>
      <c r="J112" s="12" t="s">
        <v>10</v>
      </c>
      <c r="K112" s="13" t="s">
        <v>19</v>
      </c>
    </row>
    <row r="113" spans="1:11" s="15" customFormat="1" ht="12">
      <c r="A113" s="26" t="s">
        <v>52</v>
      </c>
      <c r="B113" s="68">
        <v>1290.4000000000001</v>
      </c>
      <c r="C113" s="69">
        <v>0</v>
      </c>
      <c r="D113" s="69">
        <v>0</v>
      </c>
      <c r="E113" s="69">
        <v>1290.4000000000001</v>
      </c>
      <c r="F113" s="69">
        <v>12.9</v>
      </c>
      <c r="G113" s="69">
        <v>12</v>
      </c>
      <c r="H113" s="69">
        <v>100</v>
      </c>
      <c r="I113" s="69">
        <v>0</v>
      </c>
      <c r="J113" s="70">
        <v>1165.5</v>
      </c>
      <c r="K113" s="460">
        <v>41002</v>
      </c>
    </row>
    <row r="114" spans="1:11" s="15" customFormat="1" ht="12">
      <c r="A114" s="26" t="s">
        <v>52</v>
      </c>
      <c r="B114" s="68">
        <v>1290.4000000000001</v>
      </c>
      <c r="C114" s="69">
        <v>0</v>
      </c>
      <c r="D114" s="69">
        <v>0</v>
      </c>
      <c r="E114" s="69">
        <v>1290.4000000000001</v>
      </c>
      <c r="F114" s="69">
        <v>12.9</v>
      </c>
      <c r="G114" s="69">
        <v>12</v>
      </c>
      <c r="H114" s="69">
        <v>100</v>
      </c>
      <c r="I114" s="69">
        <v>0</v>
      </c>
      <c r="J114" s="70">
        <v>1165.5</v>
      </c>
      <c r="K114" s="461">
        <v>41009</v>
      </c>
    </row>
    <row r="115" spans="1:11" s="15" customFormat="1" ht="12">
      <c r="A115" s="26" t="s">
        <v>52</v>
      </c>
      <c r="B115" s="68">
        <v>1290.4000000000001</v>
      </c>
      <c r="C115" s="69">
        <v>0</v>
      </c>
      <c r="D115" s="69">
        <v>0</v>
      </c>
      <c r="E115" s="69">
        <v>1290.4000000000001</v>
      </c>
      <c r="F115" s="69">
        <v>12.9</v>
      </c>
      <c r="G115" s="69">
        <v>12</v>
      </c>
      <c r="H115" s="69">
        <v>100</v>
      </c>
      <c r="I115" s="69">
        <v>0</v>
      </c>
      <c r="J115" s="70">
        <v>1165.5</v>
      </c>
      <c r="K115" s="461">
        <v>41016</v>
      </c>
    </row>
    <row r="116" spans="1:11" s="15" customFormat="1" thickBot="1">
      <c r="A116" s="26" t="s">
        <v>52</v>
      </c>
      <c r="B116" s="68">
        <v>1290.4000000000001</v>
      </c>
      <c r="C116" s="69">
        <v>0</v>
      </c>
      <c r="D116" s="69">
        <v>0</v>
      </c>
      <c r="E116" s="69">
        <v>1290.4000000000001</v>
      </c>
      <c r="F116" s="69">
        <v>12.9</v>
      </c>
      <c r="G116" s="69">
        <v>12</v>
      </c>
      <c r="H116" s="69">
        <v>100</v>
      </c>
      <c r="I116" s="69">
        <v>0</v>
      </c>
      <c r="J116" s="70">
        <v>1165.5</v>
      </c>
      <c r="K116" s="461">
        <v>41023</v>
      </c>
    </row>
    <row r="117" spans="1:11" s="15" customFormat="1" thickBot="1">
      <c r="A117" s="10" t="s">
        <v>0</v>
      </c>
      <c r="B117" s="16">
        <f t="shared" ref="B117:J117" si="8">SUM(B113:B116)</f>
        <v>5161.6000000000004</v>
      </c>
      <c r="C117" s="16">
        <f t="shared" si="8"/>
        <v>0</v>
      </c>
      <c r="D117" s="16">
        <f t="shared" si="8"/>
        <v>0</v>
      </c>
      <c r="E117" s="16">
        <f t="shared" si="8"/>
        <v>5161.6000000000004</v>
      </c>
      <c r="F117" s="16">
        <f t="shared" si="8"/>
        <v>51.6</v>
      </c>
      <c r="G117" s="16">
        <f t="shared" si="8"/>
        <v>48</v>
      </c>
      <c r="H117" s="16">
        <f t="shared" si="8"/>
        <v>400</v>
      </c>
      <c r="I117" s="16">
        <f t="shared" si="8"/>
        <v>0</v>
      </c>
      <c r="J117" s="27">
        <f t="shared" si="8"/>
        <v>4662</v>
      </c>
      <c r="K117" s="30"/>
    </row>
    <row r="118" spans="1:11" s="15" customFormat="1" thickBot="1">
      <c r="A118" s="17"/>
      <c r="K118" s="17"/>
    </row>
    <row r="119" spans="1:11" s="17" customFormat="1" thickBot="1">
      <c r="A119" s="10" t="s">
        <v>1</v>
      </c>
      <c r="B119" s="11" t="s">
        <v>2</v>
      </c>
      <c r="C119" s="11" t="s">
        <v>3</v>
      </c>
      <c r="D119" s="11" t="s">
        <v>4</v>
      </c>
      <c r="E119" s="11" t="s">
        <v>5</v>
      </c>
      <c r="F119" s="11" t="s">
        <v>6</v>
      </c>
      <c r="G119" s="11" t="s">
        <v>7</v>
      </c>
      <c r="H119" s="11" t="s">
        <v>8</v>
      </c>
      <c r="I119" s="11" t="s">
        <v>9</v>
      </c>
      <c r="J119" s="12" t="s">
        <v>10</v>
      </c>
      <c r="K119" s="13" t="s">
        <v>19</v>
      </c>
    </row>
    <row r="120" spans="1:11" s="15" customFormat="1" ht="12">
      <c r="A120" s="26" t="s">
        <v>207</v>
      </c>
      <c r="B120" s="68">
        <v>700</v>
      </c>
      <c r="C120" s="69">
        <v>0</v>
      </c>
      <c r="D120" s="69">
        <v>0</v>
      </c>
      <c r="E120" s="69">
        <v>700</v>
      </c>
      <c r="F120" s="69">
        <v>7</v>
      </c>
      <c r="G120" s="69">
        <v>0</v>
      </c>
      <c r="H120" s="69">
        <v>100</v>
      </c>
      <c r="I120" s="69">
        <v>0</v>
      </c>
      <c r="J120" s="70">
        <v>593</v>
      </c>
      <c r="K120" s="460">
        <v>41002</v>
      </c>
    </row>
    <row r="121" spans="1:11" s="15" customFormat="1" ht="12">
      <c r="A121" s="26" t="s">
        <v>207</v>
      </c>
      <c r="B121" s="68">
        <v>700</v>
      </c>
      <c r="C121" s="69">
        <v>0</v>
      </c>
      <c r="D121" s="69">
        <v>0</v>
      </c>
      <c r="E121" s="69">
        <v>700</v>
      </c>
      <c r="F121" s="69">
        <v>7</v>
      </c>
      <c r="G121" s="69">
        <v>0</v>
      </c>
      <c r="H121" s="69">
        <v>100</v>
      </c>
      <c r="I121" s="69">
        <v>0</v>
      </c>
      <c r="J121" s="70">
        <v>593</v>
      </c>
      <c r="K121" s="461">
        <v>41009</v>
      </c>
    </row>
    <row r="122" spans="1:11" s="15" customFormat="1" ht="12">
      <c r="A122" s="26" t="s">
        <v>207</v>
      </c>
      <c r="B122" s="68">
        <v>800</v>
      </c>
      <c r="C122" s="69">
        <v>0</v>
      </c>
      <c r="D122" s="69">
        <v>0</v>
      </c>
      <c r="E122" s="69">
        <v>800</v>
      </c>
      <c r="F122" s="69">
        <v>8</v>
      </c>
      <c r="G122" s="69">
        <v>0</v>
      </c>
      <c r="H122" s="69">
        <v>100</v>
      </c>
      <c r="I122" s="69">
        <v>0</v>
      </c>
      <c r="J122" s="70">
        <v>692</v>
      </c>
      <c r="K122" s="461">
        <v>41016</v>
      </c>
    </row>
    <row r="123" spans="1:11" s="15" customFormat="1" thickBot="1">
      <c r="A123" s="26" t="s">
        <v>207</v>
      </c>
      <c r="B123" s="68">
        <v>800</v>
      </c>
      <c r="C123" s="69">
        <v>0</v>
      </c>
      <c r="D123" s="69">
        <v>0</v>
      </c>
      <c r="E123" s="69">
        <v>800</v>
      </c>
      <c r="F123" s="69">
        <v>8</v>
      </c>
      <c r="G123" s="69">
        <v>0</v>
      </c>
      <c r="H123" s="69">
        <v>0</v>
      </c>
      <c r="I123" s="69">
        <v>0</v>
      </c>
      <c r="J123" s="70">
        <v>792</v>
      </c>
      <c r="K123" s="461">
        <v>41023</v>
      </c>
    </row>
    <row r="124" spans="1:11" s="15" customFormat="1" thickBot="1">
      <c r="A124" s="10" t="s">
        <v>0</v>
      </c>
      <c r="B124" s="16">
        <f t="shared" ref="B124:J124" si="9">SUM(B120:B123)</f>
        <v>3000</v>
      </c>
      <c r="C124" s="16">
        <f t="shared" si="9"/>
        <v>0</v>
      </c>
      <c r="D124" s="16">
        <f t="shared" si="9"/>
        <v>0</v>
      </c>
      <c r="E124" s="16">
        <f t="shared" si="9"/>
        <v>3000</v>
      </c>
      <c r="F124" s="16">
        <f t="shared" si="9"/>
        <v>30</v>
      </c>
      <c r="G124" s="16">
        <f t="shared" si="9"/>
        <v>0</v>
      </c>
      <c r="H124" s="16">
        <f t="shared" si="9"/>
        <v>300</v>
      </c>
      <c r="I124" s="16">
        <f t="shared" si="9"/>
        <v>0</v>
      </c>
      <c r="J124" s="27">
        <f t="shared" si="9"/>
        <v>2670</v>
      </c>
      <c r="K124" s="30"/>
    </row>
    <row r="125" spans="1:11" s="15" customFormat="1" thickBot="1">
      <c r="A125" s="17"/>
      <c r="K125" s="17"/>
    </row>
    <row r="126" spans="1:11" s="17" customFormat="1" thickBot="1">
      <c r="A126" s="394" t="s">
        <v>1</v>
      </c>
      <c r="B126" s="393" t="s">
        <v>2</v>
      </c>
      <c r="C126" s="19" t="s">
        <v>3</v>
      </c>
      <c r="D126" s="19" t="s">
        <v>4</v>
      </c>
      <c r="E126" s="19" t="s">
        <v>5</v>
      </c>
      <c r="F126" s="19" t="s">
        <v>6</v>
      </c>
      <c r="G126" s="19" t="s">
        <v>7</v>
      </c>
      <c r="H126" s="19" t="s">
        <v>8</v>
      </c>
      <c r="I126" s="19" t="s">
        <v>9</v>
      </c>
      <c r="J126" s="96" t="s">
        <v>10</v>
      </c>
      <c r="K126" s="29" t="s">
        <v>19</v>
      </c>
    </row>
    <row r="127" spans="1:11">
      <c r="A127" s="395" t="s">
        <v>12</v>
      </c>
      <c r="B127" s="65">
        <v>960</v>
      </c>
      <c r="C127" s="66">
        <v>0</v>
      </c>
      <c r="D127" s="66">
        <v>63.36</v>
      </c>
      <c r="E127" s="66">
        <v>896.64</v>
      </c>
      <c r="F127" s="66">
        <v>9.6</v>
      </c>
      <c r="G127" s="66">
        <v>0</v>
      </c>
      <c r="H127" s="66">
        <v>-50</v>
      </c>
      <c r="I127" s="66">
        <v>0</v>
      </c>
      <c r="J127" s="67">
        <v>937.04</v>
      </c>
      <c r="K127" s="473">
        <v>41002</v>
      </c>
    </row>
    <row r="128" spans="1:11">
      <c r="A128" s="396" t="s">
        <v>14</v>
      </c>
      <c r="B128" s="68">
        <v>891.6</v>
      </c>
      <c r="C128" s="69">
        <v>0</v>
      </c>
      <c r="D128" s="69">
        <v>58.85</v>
      </c>
      <c r="E128" s="69">
        <v>832.75</v>
      </c>
      <c r="F128" s="69">
        <v>8.92</v>
      </c>
      <c r="G128" s="69">
        <v>0</v>
      </c>
      <c r="H128" s="69">
        <v>50</v>
      </c>
      <c r="I128" s="69">
        <v>0</v>
      </c>
      <c r="J128" s="70">
        <v>773.84</v>
      </c>
      <c r="K128" s="32">
        <v>41002</v>
      </c>
    </row>
    <row r="129" spans="1:11">
      <c r="A129" s="396" t="s">
        <v>15</v>
      </c>
      <c r="B129" s="68">
        <v>646.4</v>
      </c>
      <c r="C129" s="69">
        <v>0</v>
      </c>
      <c r="D129" s="69">
        <v>42.66</v>
      </c>
      <c r="E129" s="69">
        <v>603.74</v>
      </c>
      <c r="F129" s="69">
        <v>6.46</v>
      </c>
      <c r="G129" s="69">
        <v>0</v>
      </c>
      <c r="H129" s="69">
        <v>-50</v>
      </c>
      <c r="I129" s="69">
        <v>0</v>
      </c>
      <c r="J129" s="70">
        <v>647.27</v>
      </c>
      <c r="K129" s="32">
        <v>41002</v>
      </c>
    </row>
    <row r="130" spans="1:11">
      <c r="A130" s="396" t="s">
        <v>16</v>
      </c>
      <c r="B130" s="68">
        <v>2428</v>
      </c>
      <c r="C130" s="69">
        <v>0</v>
      </c>
      <c r="D130" s="69">
        <v>160.25</v>
      </c>
      <c r="E130" s="69">
        <v>2267.75</v>
      </c>
      <c r="F130" s="69">
        <v>24.28</v>
      </c>
      <c r="G130" s="69">
        <v>188</v>
      </c>
      <c r="H130" s="69">
        <v>700</v>
      </c>
      <c r="I130" s="69">
        <v>378.25</v>
      </c>
      <c r="J130" s="70">
        <v>977.22</v>
      </c>
      <c r="K130" s="32">
        <v>41002</v>
      </c>
    </row>
    <row r="131" spans="1:11">
      <c r="A131" s="410" t="s">
        <v>52</v>
      </c>
      <c r="B131" s="68">
        <v>1290.4000000000001</v>
      </c>
      <c r="C131" s="69">
        <v>0</v>
      </c>
      <c r="D131" s="69">
        <v>0</v>
      </c>
      <c r="E131" s="69">
        <v>1290.4000000000001</v>
      </c>
      <c r="F131" s="69">
        <v>12.9</v>
      </c>
      <c r="G131" s="69">
        <v>12</v>
      </c>
      <c r="H131" s="69">
        <v>100</v>
      </c>
      <c r="I131" s="69">
        <v>0</v>
      </c>
      <c r="J131" s="70">
        <v>1165.5</v>
      </c>
      <c r="K131" s="32">
        <v>41002</v>
      </c>
    </row>
    <row r="132" spans="1:11" ht="13.5" thickBot="1">
      <c r="A132" s="411" t="s">
        <v>207</v>
      </c>
      <c r="B132" s="77">
        <v>700</v>
      </c>
      <c r="C132" s="78">
        <v>0</v>
      </c>
      <c r="D132" s="78">
        <v>0</v>
      </c>
      <c r="E132" s="78">
        <v>700</v>
      </c>
      <c r="F132" s="78">
        <v>7</v>
      </c>
      <c r="G132" s="78">
        <v>0</v>
      </c>
      <c r="H132" s="78">
        <v>100</v>
      </c>
      <c r="I132" s="78">
        <v>0</v>
      </c>
      <c r="J132" s="79">
        <v>593</v>
      </c>
      <c r="K132" s="51">
        <v>41002</v>
      </c>
    </row>
    <row r="133" spans="1:11">
      <c r="A133" s="397" t="s">
        <v>12</v>
      </c>
      <c r="B133" s="65">
        <v>960</v>
      </c>
      <c r="C133" s="66">
        <v>0</v>
      </c>
      <c r="D133" s="66">
        <v>63.36</v>
      </c>
      <c r="E133" s="66">
        <v>896.64</v>
      </c>
      <c r="F133" s="66">
        <v>9.6</v>
      </c>
      <c r="G133" s="66">
        <v>0</v>
      </c>
      <c r="H133" s="66">
        <v>-50</v>
      </c>
      <c r="I133" s="66">
        <v>0</v>
      </c>
      <c r="J133" s="67">
        <v>937.04</v>
      </c>
      <c r="K133" s="31">
        <v>41009</v>
      </c>
    </row>
    <row r="134" spans="1:11">
      <c r="A134" s="396" t="s">
        <v>14</v>
      </c>
      <c r="B134" s="68">
        <v>891.6</v>
      </c>
      <c r="C134" s="69">
        <v>0</v>
      </c>
      <c r="D134" s="69">
        <v>58.85</v>
      </c>
      <c r="E134" s="69">
        <v>832.75</v>
      </c>
      <c r="F134" s="69">
        <v>8.92</v>
      </c>
      <c r="G134" s="69">
        <v>0</v>
      </c>
      <c r="H134" s="69">
        <v>50</v>
      </c>
      <c r="I134" s="69">
        <v>0</v>
      </c>
      <c r="J134" s="70">
        <v>773.84</v>
      </c>
      <c r="K134" s="32">
        <v>41009</v>
      </c>
    </row>
    <row r="135" spans="1:11">
      <c r="A135" s="396" t="s">
        <v>15</v>
      </c>
      <c r="B135" s="68">
        <v>646.4</v>
      </c>
      <c r="C135" s="69">
        <v>0</v>
      </c>
      <c r="D135" s="69">
        <v>42.66</v>
      </c>
      <c r="E135" s="69">
        <v>603.74</v>
      </c>
      <c r="F135" s="69">
        <v>6.46</v>
      </c>
      <c r="G135" s="69">
        <v>0</v>
      </c>
      <c r="H135" s="69">
        <v>-50</v>
      </c>
      <c r="I135" s="69">
        <v>0</v>
      </c>
      <c r="J135" s="70">
        <v>647.27</v>
      </c>
      <c r="K135" s="32">
        <v>41009</v>
      </c>
    </row>
    <row r="136" spans="1:11">
      <c r="A136" s="396" t="s">
        <v>16</v>
      </c>
      <c r="B136" s="68">
        <v>2428</v>
      </c>
      <c r="C136" s="69">
        <v>0</v>
      </c>
      <c r="D136" s="69">
        <v>160.25</v>
      </c>
      <c r="E136" s="69">
        <v>2267.75</v>
      </c>
      <c r="F136" s="69">
        <v>24.28</v>
      </c>
      <c r="G136" s="69">
        <v>188</v>
      </c>
      <c r="H136" s="69">
        <v>700</v>
      </c>
      <c r="I136" s="69">
        <v>378.25</v>
      </c>
      <c r="J136" s="70">
        <v>977.22</v>
      </c>
      <c r="K136" s="32">
        <v>41009</v>
      </c>
    </row>
    <row r="137" spans="1:11">
      <c r="A137" s="410" t="s">
        <v>52</v>
      </c>
      <c r="B137" s="68">
        <v>1290.4000000000001</v>
      </c>
      <c r="C137" s="69">
        <v>0</v>
      </c>
      <c r="D137" s="69">
        <v>0</v>
      </c>
      <c r="E137" s="69">
        <v>1290.4000000000001</v>
      </c>
      <c r="F137" s="69">
        <v>12.9</v>
      </c>
      <c r="G137" s="69">
        <v>12</v>
      </c>
      <c r="H137" s="69">
        <v>100</v>
      </c>
      <c r="I137" s="69">
        <v>0</v>
      </c>
      <c r="J137" s="70">
        <v>1165.5</v>
      </c>
      <c r="K137" s="32">
        <v>41009</v>
      </c>
    </row>
    <row r="138" spans="1:11" ht="13.5" thickBot="1">
      <c r="A138" s="412" t="s">
        <v>207</v>
      </c>
      <c r="B138" s="68">
        <v>700</v>
      </c>
      <c r="C138" s="69">
        <v>0</v>
      </c>
      <c r="D138" s="69">
        <v>0</v>
      </c>
      <c r="E138" s="69">
        <v>700</v>
      </c>
      <c r="F138" s="69">
        <v>7</v>
      </c>
      <c r="G138" s="69">
        <v>0</v>
      </c>
      <c r="H138" s="69">
        <v>100</v>
      </c>
      <c r="I138" s="69">
        <v>0</v>
      </c>
      <c r="J138" s="70">
        <v>593</v>
      </c>
      <c r="K138" s="33">
        <v>41009</v>
      </c>
    </row>
    <row r="139" spans="1:11">
      <c r="A139" s="395" t="s">
        <v>12</v>
      </c>
      <c r="B139" s="65">
        <v>960</v>
      </c>
      <c r="C139" s="66">
        <v>0</v>
      </c>
      <c r="D139" s="66">
        <v>63.36</v>
      </c>
      <c r="E139" s="66">
        <v>896.64</v>
      </c>
      <c r="F139" s="66">
        <v>9.6</v>
      </c>
      <c r="G139" s="66">
        <v>0</v>
      </c>
      <c r="H139" s="66">
        <v>-50</v>
      </c>
      <c r="I139" s="66">
        <v>0</v>
      </c>
      <c r="J139" s="67">
        <v>937.04</v>
      </c>
      <c r="K139" s="474">
        <v>41016</v>
      </c>
    </row>
    <row r="140" spans="1:11">
      <c r="A140" s="396" t="s">
        <v>14</v>
      </c>
      <c r="B140" s="68">
        <v>891.6</v>
      </c>
      <c r="C140" s="69">
        <v>0</v>
      </c>
      <c r="D140" s="69">
        <v>58.85</v>
      </c>
      <c r="E140" s="69">
        <v>832.75</v>
      </c>
      <c r="F140" s="69">
        <v>8.92</v>
      </c>
      <c r="G140" s="69">
        <v>0</v>
      </c>
      <c r="H140" s="69">
        <v>50</v>
      </c>
      <c r="I140" s="69">
        <v>0</v>
      </c>
      <c r="J140" s="70">
        <v>773.84</v>
      </c>
      <c r="K140" s="461">
        <v>41016</v>
      </c>
    </row>
    <row r="141" spans="1:11">
      <c r="A141" s="396" t="s">
        <v>15</v>
      </c>
      <c r="B141" s="68">
        <v>646.4</v>
      </c>
      <c r="C141" s="69">
        <v>0</v>
      </c>
      <c r="D141" s="69">
        <v>42.66</v>
      </c>
      <c r="E141" s="69">
        <v>603.74</v>
      </c>
      <c r="F141" s="69">
        <v>6.46</v>
      </c>
      <c r="G141" s="69">
        <v>0</v>
      </c>
      <c r="H141" s="69">
        <v>-50</v>
      </c>
      <c r="I141" s="69">
        <v>0</v>
      </c>
      <c r="J141" s="70">
        <v>647.27</v>
      </c>
      <c r="K141" s="461">
        <v>41016</v>
      </c>
    </row>
    <row r="142" spans="1:11">
      <c r="A142" s="396" t="s">
        <v>16</v>
      </c>
      <c r="B142" s="68">
        <v>2428</v>
      </c>
      <c r="C142" s="69">
        <v>0</v>
      </c>
      <c r="D142" s="69">
        <v>160.25</v>
      </c>
      <c r="E142" s="69">
        <v>2267.75</v>
      </c>
      <c r="F142" s="69">
        <v>24.28</v>
      </c>
      <c r="G142" s="69">
        <v>188</v>
      </c>
      <c r="H142" s="69">
        <v>700</v>
      </c>
      <c r="I142" s="69">
        <v>378.25</v>
      </c>
      <c r="J142" s="70">
        <v>977.22</v>
      </c>
      <c r="K142" s="461">
        <v>41016</v>
      </c>
    </row>
    <row r="143" spans="1:11">
      <c r="A143" s="410" t="s">
        <v>52</v>
      </c>
      <c r="B143" s="68">
        <v>1290.4000000000001</v>
      </c>
      <c r="C143" s="69">
        <v>0</v>
      </c>
      <c r="D143" s="69">
        <v>0</v>
      </c>
      <c r="E143" s="69">
        <v>1290.4000000000001</v>
      </c>
      <c r="F143" s="69">
        <v>12.9</v>
      </c>
      <c r="G143" s="69">
        <v>12</v>
      </c>
      <c r="H143" s="69">
        <v>100</v>
      </c>
      <c r="I143" s="69">
        <v>0</v>
      </c>
      <c r="J143" s="70">
        <v>1165.5</v>
      </c>
      <c r="K143" s="461">
        <v>41016</v>
      </c>
    </row>
    <row r="144" spans="1:11" ht="13.5" thickBot="1">
      <c r="A144" s="411" t="s">
        <v>207</v>
      </c>
      <c r="B144" s="77">
        <v>800</v>
      </c>
      <c r="C144" s="78">
        <v>0</v>
      </c>
      <c r="D144" s="78">
        <v>0</v>
      </c>
      <c r="E144" s="78">
        <v>800</v>
      </c>
      <c r="F144" s="78">
        <v>8</v>
      </c>
      <c r="G144" s="78">
        <v>0</v>
      </c>
      <c r="H144" s="78">
        <v>100</v>
      </c>
      <c r="I144" s="78">
        <v>0</v>
      </c>
      <c r="J144" s="79">
        <v>692</v>
      </c>
      <c r="K144" s="475">
        <v>41016</v>
      </c>
    </row>
    <row r="145" spans="1:11">
      <c r="A145" s="395" t="s">
        <v>12</v>
      </c>
      <c r="B145" s="65">
        <v>960</v>
      </c>
      <c r="C145" s="66">
        <v>0</v>
      </c>
      <c r="D145" s="66">
        <v>63.36</v>
      </c>
      <c r="E145" s="66">
        <v>896.64</v>
      </c>
      <c r="F145" s="66">
        <v>9.6</v>
      </c>
      <c r="G145" s="66">
        <v>0</v>
      </c>
      <c r="H145" s="66">
        <v>-50</v>
      </c>
      <c r="I145" s="66">
        <v>0</v>
      </c>
      <c r="J145" s="67">
        <v>937.04</v>
      </c>
      <c r="K145" s="31">
        <v>41023</v>
      </c>
    </row>
    <row r="146" spans="1:11">
      <c r="A146" s="396" t="s">
        <v>14</v>
      </c>
      <c r="B146" s="68">
        <v>891.6</v>
      </c>
      <c r="C146" s="69">
        <v>0</v>
      </c>
      <c r="D146" s="69">
        <v>58.85</v>
      </c>
      <c r="E146" s="69">
        <v>832.75</v>
      </c>
      <c r="F146" s="69">
        <v>8.92</v>
      </c>
      <c r="G146" s="69">
        <v>0</v>
      </c>
      <c r="H146" s="69">
        <v>50</v>
      </c>
      <c r="I146" s="69">
        <v>0</v>
      </c>
      <c r="J146" s="70">
        <v>773.84</v>
      </c>
      <c r="K146" s="32">
        <v>41023</v>
      </c>
    </row>
    <row r="147" spans="1:11">
      <c r="A147" s="396" t="s">
        <v>15</v>
      </c>
      <c r="B147" s="68">
        <v>646.4</v>
      </c>
      <c r="C147" s="69">
        <v>0</v>
      </c>
      <c r="D147" s="69">
        <v>42.66</v>
      </c>
      <c r="E147" s="69">
        <v>603.74</v>
      </c>
      <c r="F147" s="69">
        <v>6.46</v>
      </c>
      <c r="G147" s="69">
        <v>0</v>
      </c>
      <c r="H147" s="69">
        <v>-50</v>
      </c>
      <c r="I147" s="69">
        <v>0</v>
      </c>
      <c r="J147" s="70">
        <v>647.27</v>
      </c>
      <c r="K147" s="32">
        <v>41023</v>
      </c>
    </row>
    <row r="148" spans="1:11">
      <c r="A148" s="396" t="s">
        <v>16</v>
      </c>
      <c r="B148" s="68">
        <v>2428</v>
      </c>
      <c r="C148" s="69">
        <v>0</v>
      </c>
      <c r="D148" s="69">
        <v>160.25</v>
      </c>
      <c r="E148" s="69">
        <v>2267.75</v>
      </c>
      <c r="F148" s="69">
        <v>24.28</v>
      </c>
      <c r="G148" s="69">
        <v>188</v>
      </c>
      <c r="H148" s="69">
        <v>600</v>
      </c>
      <c r="I148" s="69">
        <v>378.25</v>
      </c>
      <c r="J148" s="70">
        <v>1077.22</v>
      </c>
      <c r="K148" s="32">
        <v>41023</v>
      </c>
    </row>
    <row r="149" spans="1:11">
      <c r="A149" s="410" t="s">
        <v>52</v>
      </c>
      <c r="B149" s="68">
        <v>1290.4000000000001</v>
      </c>
      <c r="C149" s="69">
        <v>0</v>
      </c>
      <c r="D149" s="69">
        <v>0</v>
      </c>
      <c r="E149" s="69">
        <v>1290.4000000000001</v>
      </c>
      <c r="F149" s="69">
        <v>12.9</v>
      </c>
      <c r="G149" s="69">
        <v>12</v>
      </c>
      <c r="H149" s="69">
        <v>100</v>
      </c>
      <c r="I149" s="69">
        <v>0</v>
      </c>
      <c r="J149" s="70">
        <v>1165.5</v>
      </c>
      <c r="K149" s="32">
        <v>41023</v>
      </c>
    </row>
    <row r="150" spans="1:11" ht="13.5" thickBot="1">
      <c r="A150" s="411" t="s">
        <v>207</v>
      </c>
      <c r="B150" s="77">
        <v>800</v>
      </c>
      <c r="C150" s="78">
        <v>0</v>
      </c>
      <c r="D150" s="78">
        <v>0</v>
      </c>
      <c r="E150" s="78">
        <v>800</v>
      </c>
      <c r="F150" s="78">
        <v>8</v>
      </c>
      <c r="G150" s="78">
        <v>0</v>
      </c>
      <c r="H150" s="78">
        <v>0</v>
      </c>
      <c r="I150" s="78">
        <v>0</v>
      </c>
      <c r="J150" s="79">
        <v>792</v>
      </c>
      <c r="K150" s="33">
        <v>41023</v>
      </c>
    </row>
    <row r="151" spans="1:11" ht="13.5" thickBot="1">
      <c r="A151" s="391" t="s">
        <v>0</v>
      </c>
      <c r="B151" s="512">
        <f t="shared" ref="B151:J151" si="10">SUM(B127:B150)</f>
        <v>27865.600000000002</v>
      </c>
      <c r="C151" s="512">
        <f t="shared" si="10"/>
        <v>0</v>
      </c>
      <c r="D151" s="512">
        <f t="shared" si="10"/>
        <v>1300.48</v>
      </c>
      <c r="E151" s="512">
        <f t="shared" si="10"/>
        <v>26565.120000000006</v>
      </c>
      <c r="F151" s="512">
        <f t="shared" si="10"/>
        <v>278.64</v>
      </c>
      <c r="G151" s="512">
        <f t="shared" si="10"/>
        <v>800</v>
      </c>
      <c r="H151" s="512">
        <f t="shared" si="10"/>
        <v>3200</v>
      </c>
      <c r="I151" s="512">
        <f t="shared" si="10"/>
        <v>1513</v>
      </c>
      <c r="J151" s="512">
        <f t="shared" si="10"/>
        <v>20773.48</v>
      </c>
      <c r="K151" s="286"/>
    </row>
    <row r="152" spans="1:11">
      <c r="A152" s="17"/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1">
      <c r="A153" s="17"/>
      <c r="B153" s="54" t="s">
        <v>20</v>
      </c>
      <c r="C153" s="53">
        <f>E151-I151</f>
        <v>25052.120000000006</v>
      </c>
      <c r="D153" s="53"/>
      <c r="E153" s="55" t="s">
        <v>21</v>
      </c>
      <c r="F153" s="53">
        <f>G151</f>
        <v>800</v>
      </c>
      <c r="G153" s="15"/>
      <c r="H153" s="15"/>
      <c r="I153" s="15"/>
      <c r="J153" s="15"/>
    </row>
    <row r="154" spans="1:11" s="17" customFormat="1" ht="12">
      <c r="B154" s="54"/>
      <c r="C154" s="53"/>
      <c r="D154" s="53"/>
      <c r="E154" s="55"/>
      <c r="F154" s="53"/>
      <c r="G154" s="15"/>
      <c r="H154" s="15"/>
      <c r="I154" s="15"/>
      <c r="J154" s="15"/>
    </row>
    <row r="155" spans="1:11" s="15" customFormat="1" ht="12">
      <c r="A155" s="17"/>
      <c r="B155" s="54" t="s">
        <v>22</v>
      </c>
      <c r="C155" s="53">
        <f>C153</f>
        <v>25052.120000000006</v>
      </c>
      <c r="D155" s="53"/>
      <c r="E155" s="55" t="s">
        <v>23</v>
      </c>
      <c r="F155" s="53">
        <f>C155*1%</f>
        <v>250.52120000000008</v>
      </c>
      <c r="K155" s="17"/>
    </row>
    <row r="156" spans="1:11" s="15" customFormat="1" ht="12">
      <c r="A156" s="17"/>
      <c r="B156" s="54"/>
      <c r="C156" s="53"/>
      <c r="D156" s="53"/>
      <c r="E156" s="55"/>
      <c r="F156" s="53"/>
      <c r="K156" s="17"/>
    </row>
    <row r="157" spans="1:11" s="15" customFormat="1" ht="12">
      <c r="A157" s="17"/>
      <c r="B157" s="54" t="s">
        <v>24</v>
      </c>
      <c r="C157" s="53">
        <f>E151</f>
        <v>26565.120000000006</v>
      </c>
      <c r="D157" s="53"/>
      <c r="E157" s="55" t="s">
        <v>25</v>
      </c>
      <c r="F157" s="53">
        <f>C157*2%</f>
        <v>531.30240000000015</v>
      </c>
      <c r="K157" s="17"/>
    </row>
    <row r="158" spans="1:11" s="15" customFormat="1" thickBot="1">
      <c r="A158" s="17"/>
      <c r="B158" s="18"/>
      <c r="C158" s="53"/>
      <c r="D158" s="53"/>
      <c r="E158" s="55"/>
      <c r="F158" s="57"/>
      <c r="K158" s="17"/>
    </row>
    <row r="159" spans="1:11" s="15" customFormat="1" thickTop="1">
      <c r="A159" s="17"/>
      <c r="B159" s="18"/>
      <c r="C159" s="53"/>
      <c r="D159" s="53"/>
      <c r="E159" s="55" t="s">
        <v>0</v>
      </c>
      <c r="F159" s="56">
        <f>SUM(F153:F158)</f>
        <v>1581.8236000000002</v>
      </c>
      <c r="K159" s="17"/>
    </row>
    <row r="160" spans="1:11" s="15" customFormat="1" ht="12">
      <c r="A160" s="17"/>
      <c r="K160" s="17"/>
    </row>
    <row r="161" spans="1:11" s="15" customFormat="1" ht="12">
      <c r="A161" s="17"/>
      <c r="B161" s="14"/>
      <c r="K161" s="17"/>
    </row>
    <row r="162" spans="1:11" s="15" customFormat="1" ht="12">
      <c r="A162" s="17"/>
      <c r="B162" s="14"/>
      <c r="K162" s="17"/>
    </row>
    <row r="163" spans="1:11" s="15" customFormat="1" ht="12">
      <c r="A163" s="17"/>
      <c r="B163" s="14"/>
      <c r="K163" s="17"/>
    </row>
    <row r="164" spans="1:11" s="15" customFormat="1" ht="12">
      <c r="A164" s="17"/>
      <c r="B164" s="14"/>
      <c r="K164" s="17"/>
    </row>
    <row r="165" spans="1:11" s="15" customFormat="1" ht="12">
      <c r="A165" s="17"/>
      <c r="B165" s="14"/>
      <c r="K165" s="17"/>
    </row>
    <row r="166" spans="1:11" s="15" customFormat="1" ht="12">
      <c r="A166" s="17"/>
      <c r="B166" s="14"/>
      <c r="K166" s="17"/>
    </row>
    <row r="167" spans="1:11" s="15" customFormat="1" ht="12">
      <c r="A167" s="17"/>
      <c r="K167" s="17"/>
    </row>
    <row r="168" spans="1:11" s="15" customFormat="1" ht="12">
      <c r="A168" s="17"/>
      <c r="K168" s="17"/>
    </row>
    <row r="169" spans="1:11" s="15" customFormat="1" ht="12">
      <c r="A169" s="17"/>
      <c r="K169" s="17"/>
    </row>
    <row r="170" spans="1:11" s="15" customFormat="1" ht="12">
      <c r="A170" s="17"/>
      <c r="K170" s="17"/>
    </row>
    <row r="171" spans="1:11" s="15" customFormat="1" ht="12">
      <c r="A171" s="17"/>
      <c r="K171" s="17"/>
    </row>
    <row r="172" spans="1:11" s="15" customFormat="1" ht="12">
      <c r="A172" s="17"/>
      <c r="K172" s="17"/>
    </row>
    <row r="173" spans="1:11" s="15" customFormat="1">
      <c r="A173" s="24"/>
      <c r="B173" s="5"/>
      <c r="C173" s="5"/>
      <c r="D173" s="5"/>
      <c r="E173" s="5"/>
      <c r="F173" s="5"/>
      <c r="G173" s="5"/>
      <c r="H173" s="5"/>
      <c r="I173" s="5"/>
      <c r="J173" s="5"/>
      <c r="K173" s="17"/>
    </row>
    <row r="174" spans="1:11" s="15" customFormat="1">
      <c r="A174" s="24"/>
      <c r="B174" s="5"/>
      <c r="C174" s="5"/>
      <c r="D174" s="5"/>
      <c r="E174" s="5"/>
      <c r="F174" s="5"/>
      <c r="G174" s="5"/>
      <c r="H174" s="5"/>
      <c r="I174" s="5"/>
      <c r="J174" s="5"/>
      <c r="K174" s="17"/>
    </row>
    <row r="175" spans="1:11" s="15" customFormat="1">
      <c r="A175" s="24"/>
      <c r="B175" s="5"/>
      <c r="C175" s="5"/>
      <c r="D175" s="5"/>
      <c r="E175" s="5"/>
      <c r="F175" s="5"/>
      <c r="G175" s="5"/>
      <c r="H175" s="5"/>
      <c r="I175" s="5"/>
      <c r="J175" s="5"/>
      <c r="K175" s="17"/>
    </row>
    <row r="176" spans="1:11" s="15" customFormat="1">
      <c r="A176" s="24"/>
      <c r="B176" s="5"/>
      <c r="C176" s="5"/>
      <c r="D176" s="5"/>
      <c r="E176" s="5"/>
      <c r="F176" s="5"/>
      <c r="G176" s="5"/>
      <c r="H176" s="5"/>
      <c r="I176" s="5"/>
      <c r="J176" s="5"/>
      <c r="K176" s="17"/>
    </row>
  </sheetData>
  <mergeCells count="31">
    <mergeCell ref="F78:G78"/>
    <mergeCell ref="J78:K78"/>
    <mergeCell ref="F73:G73"/>
    <mergeCell ref="F74:G74"/>
    <mergeCell ref="F75:G75"/>
    <mergeCell ref="F76:G76"/>
    <mergeCell ref="F77:G77"/>
    <mergeCell ref="J77:K77"/>
    <mergeCell ref="F72:G72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60:G60"/>
    <mergeCell ref="A1:K1"/>
    <mergeCell ref="C2:D2"/>
    <mergeCell ref="C15:D15"/>
    <mergeCell ref="C28:D28"/>
    <mergeCell ref="C41:D41"/>
    <mergeCell ref="F56:G56"/>
    <mergeCell ref="F57:G57"/>
    <mergeCell ref="F58:G58"/>
    <mergeCell ref="F59:G59"/>
    <mergeCell ref="J59:K59"/>
  </mergeCells>
  <printOptions horizontalCentered="1"/>
  <pageMargins left="0.74803149606299213" right="0.74803149606299213" top="0.51181102362204722" bottom="0.51181102362204722" header="0.31496062992125984" footer="0.31496062992125984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6"/>
  <sheetViews>
    <sheetView workbookViewId="0">
      <selection activeCell="D6" sqref="D6"/>
    </sheetView>
  </sheetViews>
  <sheetFormatPr defaultRowHeight="12.75"/>
  <cols>
    <col min="1" max="1" width="2.28515625" customWidth="1"/>
    <col min="2" max="2" width="3.28515625" customWidth="1"/>
    <col min="3" max="3" width="11.5703125" customWidth="1"/>
    <col min="4" max="4" width="3.42578125" customWidth="1"/>
    <col min="5" max="5" width="11.28515625" style="330" customWidth="1"/>
    <col min="6" max="6" width="10.140625" style="330" customWidth="1"/>
    <col min="7" max="7" width="9.85546875" customWidth="1"/>
    <col min="8" max="8" width="3.42578125" customWidth="1"/>
    <col min="9" max="9" width="10" customWidth="1"/>
    <col min="10" max="10" width="7.140625" customWidth="1"/>
    <col min="11" max="13" width="11.7109375" customWidth="1"/>
    <col min="14" max="14" width="4.42578125" customWidth="1"/>
    <col min="15" max="15" width="2.85546875" customWidth="1"/>
    <col min="16" max="16" width="3" customWidth="1"/>
    <col min="17" max="17" width="11.42578125" customWidth="1"/>
    <col min="18" max="18" width="3.5703125" style="72" customWidth="1"/>
    <col min="19" max="19" width="7.28515625" customWidth="1"/>
  </cols>
  <sheetData>
    <row r="1" spans="1:18">
      <c r="A1" s="45" t="s">
        <v>339</v>
      </c>
    </row>
    <row r="2" spans="1:18">
      <c r="F2" s="73"/>
      <c r="R2"/>
    </row>
    <row r="3" spans="1:18">
      <c r="A3" s="84" t="s">
        <v>33</v>
      </c>
      <c r="B3" s="59"/>
      <c r="C3" s="332">
        <v>300</v>
      </c>
      <c r="D3" s="332"/>
      <c r="E3" s="200">
        <v>41003</v>
      </c>
      <c r="F3" s="73"/>
      <c r="R3"/>
    </row>
    <row r="4" spans="1:18">
      <c r="A4" s="47"/>
      <c r="B4" s="59">
        <v>15</v>
      </c>
      <c r="C4" s="104">
        <v>100</v>
      </c>
      <c r="D4" s="89" t="s">
        <v>27</v>
      </c>
      <c r="E4" s="119"/>
      <c r="F4" s="73"/>
      <c r="R4"/>
    </row>
    <row r="5" spans="1:18">
      <c r="A5" s="47"/>
      <c r="B5" s="107">
        <v>16</v>
      </c>
      <c r="C5" s="114">
        <v>100</v>
      </c>
      <c r="D5" s="108" t="s">
        <v>27</v>
      </c>
      <c r="E5" s="478"/>
      <c r="F5" s="73"/>
      <c r="R5"/>
    </row>
    <row r="6" spans="1:18">
      <c r="A6" s="47"/>
      <c r="B6" s="107">
        <v>17</v>
      </c>
      <c r="C6" s="88">
        <v>100</v>
      </c>
      <c r="D6" s="108" t="s">
        <v>27</v>
      </c>
      <c r="E6" s="478"/>
      <c r="F6" s="73"/>
      <c r="R6"/>
    </row>
    <row r="7" spans="1:18" ht="13.5" thickBot="1">
      <c r="A7" s="47"/>
      <c r="B7" s="47"/>
      <c r="C7" s="129">
        <f>SUM(C4:C6)</f>
        <v>300</v>
      </c>
      <c r="D7" s="47"/>
      <c r="E7" s="478"/>
      <c r="F7" s="73"/>
      <c r="R7"/>
    </row>
    <row r="8" spans="1:18" ht="13.5" thickTop="1">
      <c r="F8" s="73"/>
      <c r="R8"/>
    </row>
    <row r="9" spans="1:18">
      <c r="F9" s="73"/>
      <c r="R9"/>
    </row>
    <row r="10" spans="1:18">
      <c r="F10" s="73"/>
      <c r="R10"/>
    </row>
    <row r="11" spans="1:18">
      <c r="F11" s="73"/>
      <c r="R11"/>
    </row>
    <row r="12" spans="1:18">
      <c r="F12" s="73"/>
      <c r="R12"/>
    </row>
    <row r="13" spans="1:18">
      <c r="F13" s="73"/>
      <c r="R13"/>
    </row>
    <row r="14" spans="1:18">
      <c r="F14" s="73"/>
      <c r="R14"/>
    </row>
    <row r="15" spans="1:18">
      <c r="F15" s="73"/>
      <c r="R15"/>
    </row>
    <row r="16" spans="1:18">
      <c r="F16" s="73"/>
      <c r="R16"/>
    </row>
    <row r="17" spans="6:18">
      <c r="F17" s="73"/>
      <c r="R17"/>
    </row>
    <row r="18" spans="6:18">
      <c r="F18" s="73"/>
      <c r="R18"/>
    </row>
    <row r="19" spans="6:18">
      <c r="F19" s="73"/>
      <c r="R19"/>
    </row>
    <row r="20" spans="6:18">
      <c r="F20" s="73"/>
      <c r="R20"/>
    </row>
    <row r="21" spans="6:18">
      <c r="F21" s="73"/>
      <c r="R21"/>
    </row>
    <row r="22" spans="6:18">
      <c r="F22" s="73"/>
      <c r="R22"/>
    </row>
    <row r="23" spans="6:18">
      <c r="F23" s="73"/>
      <c r="R23"/>
    </row>
    <row r="24" spans="6:18">
      <c r="F24" s="73"/>
      <c r="R24"/>
    </row>
    <row r="25" spans="6:18">
      <c r="F25" s="73"/>
      <c r="R25"/>
    </row>
    <row r="26" spans="6:18">
      <c r="F26" s="73"/>
      <c r="R26"/>
    </row>
    <row r="27" spans="6:18">
      <c r="F27" s="73"/>
      <c r="R27"/>
    </row>
    <row r="28" spans="6:18">
      <c r="F28" s="73"/>
      <c r="R28"/>
    </row>
    <row r="29" spans="6:18">
      <c r="F29" s="73"/>
      <c r="R29"/>
    </row>
    <row r="30" spans="6:18">
      <c r="F30" s="73"/>
      <c r="R30"/>
    </row>
    <row r="31" spans="6:18">
      <c r="F31" s="73"/>
      <c r="R31"/>
    </row>
    <row r="32" spans="6:18">
      <c r="F32" s="73"/>
      <c r="R32"/>
    </row>
    <row r="33" spans="6:18">
      <c r="F33" s="73"/>
      <c r="R33"/>
    </row>
    <row r="34" spans="6:18">
      <c r="F34" s="73"/>
      <c r="R34"/>
    </row>
    <row r="35" spans="6:18">
      <c r="F35" s="73"/>
      <c r="R35"/>
    </row>
    <row r="36" spans="6:18">
      <c r="F36" s="73"/>
      <c r="R36"/>
    </row>
    <row r="37" spans="6:18">
      <c r="F37" s="73"/>
      <c r="R37"/>
    </row>
    <row r="38" spans="6:18">
      <c r="F38" s="73"/>
      <c r="R38"/>
    </row>
    <row r="39" spans="6:18">
      <c r="F39" s="73"/>
      <c r="R39"/>
    </row>
    <row r="40" spans="6:18">
      <c r="F40" s="73"/>
      <c r="R40"/>
    </row>
    <row r="41" spans="6:18">
      <c r="F41" s="73"/>
      <c r="R41"/>
    </row>
    <row r="42" spans="6:18">
      <c r="F42" s="73"/>
      <c r="R42"/>
    </row>
    <row r="43" spans="6:18">
      <c r="F43" s="73"/>
      <c r="R43"/>
    </row>
    <row r="44" spans="6:18">
      <c r="F44" s="73"/>
      <c r="R44"/>
    </row>
    <row r="45" spans="6:18">
      <c r="F45" s="73"/>
      <c r="R45"/>
    </row>
    <row r="46" spans="6:18">
      <c r="F46" s="73"/>
      <c r="R46"/>
    </row>
    <row r="47" spans="6:18">
      <c r="F47" s="73"/>
      <c r="R47"/>
    </row>
    <row r="48" spans="6:18">
      <c r="F48" s="73"/>
      <c r="R48"/>
    </row>
    <row r="49" spans="6:18">
      <c r="F49" s="73"/>
      <c r="R49"/>
    </row>
    <row r="50" spans="6:18">
      <c r="F50" s="73"/>
      <c r="R50"/>
    </row>
    <row r="51" spans="6:18">
      <c r="F51" s="73"/>
      <c r="R51"/>
    </row>
    <row r="52" spans="6:18">
      <c r="F52" s="73"/>
      <c r="R52"/>
    </row>
    <row r="53" spans="6:18">
      <c r="F53" s="73"/>
      <c r="R53"/>
    </row>
    <row r="54" spans="6:18">
      <c r="F54" s="73"/>
      <c r="R54"/>
    </row>
    <row r="55" spans="6:18">
      <c r="F55" s="73"/>
      <c r="R55"/>
    </row>
    <row r="56" spans="6:18">
      <c r="F56" s="73"/>
      <c r="R56"/>
    </row>
    <row r="57" spans="6:18">
      <c r="F57" s="73"/>
      <c r="R57"/>
    </row>
    <row r="58" spans="6:18">
      <c r="F58" s="73"/>
      <c r="R58"/>
    </row>
    <row r="59" spans="6:18">
      <c r="F59" s="73"/>
      <c r="R59"/>
    </row>
    <row r="60" spans="6:18">
      <c r="F60" s="73"/>
      <c r="R60"/>
    </row>
    <row r="61" spans="6:18">
      <c r="F61" s="73"/>
      <c r="R61"/>
    </row>
    <row r="62" spans="6:18">
      <c r="F62" s="73"/>
      <c r="R62"/>
    </row>
    <row r="63" spans="6:18">
      <c r="F63" s="73"/>
      <c r="R63"/>
    </row>
    <row r="64" spans="6:18">
      <c r="F64" s="73"/>
      <c r="R64"/>
    </row>
    <row r="65" spans="6:18">
      <c r="F65" s="73"/>
      <c r="R65"/>
    </row>
    <row r="66" spans="6:18">
      <c r="F66" s="73"/>
      <c r="R66"/>
    </row>
    <row r="67" spans="6:18">
      <c r="F67" s="73"/>
      <c r="R67"/>
    </row>
    <row r="68" spans="6:18">
      <c r="F68" s="73"/>
      <c r="R68"/>
    </row>
    <row r="69" spans="6:18">
      <c r="F69" s="73"/>
      <c r="R69"/>
    </row>
    <row r="70" spans="6:18">
      <c r="F70" s="73"/>
      <c r="R70"/>
    </row>
    <row r="71" spans="6:18">
      <c r="F71" s="73"/>
      <c r="R71"/>
    </row>
    <row r="72" spans="6:18">
      <c r="F72" s="73"/>
      <c r="R72"/>
    </row>
    <row r="73" spans="6:18">
      <c r="F73" s="73"/>
      <c r="R73"/>
    </row>
    <row r="74" spans="6:18">
      <c r="F74" s="73"/>
      <c r="R74"/>
    </row>
    <row r="75" spans="6:18">
      <c r="F75" s="73"/>
      <c r="R75"/>
    </row>
    <row r="76" spans="6:18">
      <c r="F76" s="73"/>
      <c r="R76"/>
    </row>
    <row r="77" spans="6:18">
      <c r="F77" s="73"/>
      <c r="R77"/>
    </row>
    <row r="78" spans="6:18">
      <c r="F78" s="73"/>
      <c r="R78"/>
    </row>
    <row r="79" spans="6:18">
      <c r="F79" s="73"/>
      <c r="R79"/>
    </row>
    <row r="80" spans="6:18">
      <c r="F80" s="73"/>
      <c r="R80"/>
    </row>
    <row r="81" spans="6:18">
      <c r="F81" s="73"/>
      <c r="R81"/>
    </row>
    <row r="82" spans="6:18">
      <c r="F82" s="73"/>
      <c r="R82"/>
    </row>
    <row r="83" spans="6:18">
      <c r="F83" s="73"/>
      <c r="R83"/>
    </row>
    <row r="84" spans="6:18">
      <c r="F84" s="73"/>
      <c r="R84"/>
    </row>
    <row r="85" spans="6:18">
      <c r="F85" s="73"/>
      <c r="R85"/>
    </row>
    <row r="86" spans="6:18">
      <c r="F86" s="73"/>
      <c r="R86"/>
    </row>
    <row r="87" spans="6:18">
      <c r="F87" s="73"/>
      <c r="R87"/>
    </row>
    <row r="88" spans="6:18">
      <c r="F88" s="73"/>
      <c r="R88"/>
    </row>
    <row r="89" spans="6:18">
      <c r="F89" s="73"/>
      <c r="R89"/>
    </row>
    <row r="90" spans="6:18">
      <c r="F90" s="73"/>
      <c r="R90"/>
    </row>
    <row r="91" spans="6:18">
      <c r="F91" s="73"/>
      <c r="R91"/>
    </row>
    <row r="92" spans="6:18">
      <c r="F92" s="73"/>
      <c r="R92"/>
    </row>
    <row r="93" spans="6:18">
      <c r="F93" s="73"/>
      <c r="R93"/>
    </row>
    <row r="94" spans="6:18">
      <c r="F94" s="73"/>
      <c r="R94"/>
    </row>
    <row r="95" spans="6:18">
      <c r="F95" s="73"/>
      <c r="R95"/>
    </row>
    <row r="96" spans="6:18">
      <c r="F96" s="73"/>
      <c r="R96"/>
    </row>
    <row r="97" spans="6:18">
      <c r="F97" s="73"/>
      <c r="R97"/>
    </row>
    <row r="98" spans="6:18">
      <c r="F98" s="73"/>
      <c r="R98"/>
    </row>
    <row r="99" spans="6:18">
      <c r="F99" s="73"/>
      <c r="R99"/>
    </row>
    <row r="100" spans="6:18">
      <c r="F100" s="73"/>
      <c r="R100"/>
    </row>
    <row r="101" spans="6:18">
      <c r="F101" s="73"/>
      <c r="R101"/>
    </row>
    <row r="102" spans="6:18">
      <c r="F102" s="73"/>
      <c r="R102"/>
    </row>
    <row r="103" spans="6:18">
      <c r="F103" s="73"/>
      <c r="R103"/>
    </row>
    <row r="104" spans="6:18">
      <c r="F104" s="73"/>
      <c r="R104"/>
    </row>
    <row r="105" spans="6:18">
      <c r="F105" s="73"/>
      <c r="R105"/>
    </row>
    <row r="106" spans="6:18">
      <c r="F106" s="73"/>
      <c r="R106"/>
    </row>
    <row r="107" spans="6:18">
      <c r="F107" s="73"/>
      <c r="R107"/>
    </row>
    <row r="108" spans="6:18">
      <c r="F108" s="73"/>
      <c r="R108"/>
    </row>
    <row r="109" spans="6:18">
      <c r="F109" s="73"/>
      <c r="R109"/>
    </row>
    <row r="110" spans="6:18">
      <c r="F110" s="73"/>
      <c r="R110"/>
    </row>
    <row r="111" spans="6:18">
      <c r="F111" s="73"/>
      <c r="R111"/>
    </row>
    <row r="112" spans="6:18">
      <c r="F112" s="73"/>
      <c r="R112"/>
    </row>
    <row r="113" spans="6:18">
      <c r="F113" s="73"/>
      <c r="R113"/>
    </row>
    <row r="114" spans="6:18">
      <c r="F114" s="73"/>
      <c r="R114"/>
    </row>
    <row r="115" spans="6:18">
      <c r="F115" s="73"/>
      <c r="R115"/>
    </row>
    <row r="116" spans="6:18">
      <c r="F116" s="73"/>
      <c r="R116"/>
    </row>
    <row r="117" spans="6:18">
      <c r="F117" s="73"/>
      <c r="R117"/>
    </row>
    <row r="118" spans="6:18">
      <c r="F118" s="73"/>
      <c r="R118"/>
    </row>
    <row r="119" spans="6:18">
      <c r="F119" s="73"/>
      <c r="R119"/>
    </row>
    <row r="120" spans="6:18">
      <c r="F120" s="73"/>
      <c r="R120"/>
    </row>
    <row r="121" spans="6:18">
      <c r="F121" s="73"/>
      <c r="R121"/>
    </row>
    <row r="122" spans="6:18">
      <c r="F122" s="73"/>
      <c r="R122"/>
    </row>
    <row r="123" spans="6:18">
      <c r="F123" s="73"/>
      <c r="R123"/>
    </row>
    <row r="124" spans="6:18">
      <c r="F124" s="73"/>
      <c r="R124"/>
    </row>
    <row r="125" spans="6:18">
      <c r="F125" s="73"/>
      <c r="R125"/>
    </row>
    <row r="126" spans="6:18">
      <c r="F126" s="73"/>
      <c r="R126"/>
    </row>
    <row r="127" spans="6:18">
      <c r="F127" s="73"/>
      <c r="R127"/>
    </row>
    <row r="128" spans="6:18">
      <c r="F128" s="73"/>
      <c r="R128"/>
    </row>
    <row r="129" spans="6:18">
      <c r="F129" s="73"/>
      <c r="R129"/>
    </row>
    <row r="130" spans="6:18">
      <c r="F130" s="73"/>
      <c r="R130"/>
    </row>
    <row r="131" spans="6:18">
      <c r="F131" s="73"/>
      <c r="R131"/>
    </row>
    <row r="132" spans="6:18">
      <c r="F132" s="73"/>
      <c r="R132"/>
    </row>
    <row r="133" spans="6:18">
      <c r="F133" s="73"/>
      <c r="R133"/>
    </row>
    <row r="134" spans="6:18">
      <c r="F134" s="73"/>
      <c r="R134"/>
    </row>
    <row r="135" spans="6:18">
      <c r="F135" s="73"/>
      <c r="R135"/>
    </row>
    <row r="136" spans="6:18">
      <c r="F136" s="73"/>
      <c r="R136"/>
    </row>
    <row r="137" spans="6:18">
      <c r="F137" s="73"/>
      <c r="R137"/>
    </row>
    <row r="138" spans="6:18">
      <c r="F138" s="73"/>
      <c r="R138"/>
    </row>
    <row r="139" spans="6:18">
      <c r="F139" s="73"/>
      <c r="R139"/>
    </row>
    <row r="140" spans="6:18">
      <c r="F140" s="73"/>
      <c r="R140"/>
    </row>
    <row r="141" spans="6:18">
      <c r="F141" s="73"/>
      <c r="R141"/>
    </row>
    <row r="142" spans="6:18">
      <c r="F142" s="73"/>
      <c r="R142"/>
    </row>
    <row r="143" spans="6:18">
      <c r="F143" s="73"/>
      <c r="R143"/>
    </row>
    <row r="144" spans="6:18">
      <c r="F144" s="73"/>
      <c r="R144"/>
    </row>
    <row r="145" spans="6:18">
      <c r="F145" s="73"/>
      <c r="R145"/>
    </row>
    <row r="146" spans="6:18">
      <c r="F146" s="73"/>
      <c r="R146"/>
    </row>
    <row r="147" spans="6:18">
      <c r="F147" s="73"/>
      <c r="R147"/>
    </row>
    <row r="148" spans="6:18">
      <c r="F148" s="73"/>
      <c r="R148"/>
    </row>
    <row r="149" spans="6:18">
      <c r="F149" s="73"/>
      <c r="R149"/>
    </row>
    <row r="150" spans="6:18">
      <c r="F150" s="73"/>
      <c r="R150"/>
    </row>
    <row r="151" spans="6:18">
      <c r="F151" s="73"/>
      <c r="R151"/>
    </row>
    <row r="152" spans="6:18">
      <c r="F152" s="73"/>
      <c r="R152"/>
    </row>
    <row r="153" spans="6:18">
      <c r="F153" s="73"/>
      <c r="R153"/>
    </row>
    <row r="154" spans="6:18">
      <c r="F154" s="73"/>
      <c r="R154"/>
    </row>
    <row r="155" spans="6:18">
      <c r="F155" s="73"/>
      <c r="R155"/>
    </row>
    <row r="156" spans="6:18">
      <c r="F156" s="73"/>
      <c r="R156"/>
    </row>
    <row r="157" spans="6:18">
      <c r="F157" s="73"/>
      <c r="R157"/>
    </row>
    <row r="158" spans="6:18">
      <c r="F158" s="73"/>
      <c r="R158"/>
    </row>
    <row r="159" spans="6:18">
      <c r="F159" s="73"/>
      <c r="R159"/>
    </row>
    <row r="160" spans="6:18">
      <c r="F160" s="73"/>
      <c r="R160"/>
    </row>
    <row r="161" spans="6:18">
      <c r="F161" s="73"/>
      <c r="R161"/>
    </row>
    <row r="162" spans="6:18">
      <c r="F162" s="73"/>
      <c r="R162"/>
    </row>
    <row r="163" spans="6:18">
      <c r="F163" s="73"/>
      <c r="R163"/>
    </row>
    <row r="164" spans="6:18">
      <c r="F164" s="73"/>
      <c r="R164"/>
    </row>
    <row r="165" spans="6:18">
      <c r="F165" s="73"/>
      <c r="R165"/>
    </row>
    <row r="166" spans="6:18">
      <c r="F166" s="73"/>
      <c r="R166"/>
    </row>
    <row r="167" spans="6:18">
      <c r="F167" s="73"/>
      <c r="R167"/>
    </row>
    <row r="168" spans="6:18">
      <c r="F168" s="73"/>
      <c r="R168"/>
    </row>
    <row r="169" spans="6:18">
      <c r="F169" s="73"/>
      <c r="R169"/>
    </row>
    <row r="170" spans="6:18">
      <c r="F170" s="73"/>
      <c r="R170"/>
    </row>
    <row r="171" spans="6:18">
      <c r="F171" s="73"/>
      <c r="R171"/>
    </row>
    <row r="172" spans="6:18">
      <c r="F172" s="73"/>
      <c r="R172"/>
    </row>
    <row r="173" spans="6:18">
      <c r="F173" s="73"/>
      <c r="R173"/>
    </row>
    <row r="174" spans="6:18">
      <c r="F174" s="73"/>
      <c r="R174"/>
    </row>
    <row r="175" spans="6:18">
      <c r="F175" s="73"/>
      <c r="R175"/>
    </row>
    <row r="176" spans="6:18">
      <c r="F176" s="73"/>
      <c r="R176"/>
    </row>
    <row r="177" spans="6:18">
      <c r="F177" s="73"/>
      <c r="R177"/>
    </row>
    <row r="178" spans="6:18">
      <c r="F178" s="73"/>
      <c r="R178"/>
    </row>
    <row r="179" spans="6:18">
      <c r="F179" s="73"/>
      <c r="R179"/>
    </row>
    <row r="180" spans="6:18">
      <c r="F180" s="73"/>
      <c r="R180"/>
    </row>
    <row r="181" spans="6:18">
      <c r="F181" s="73"/>
      <c r="R181"/>
    </row>
    <row r="182" spans="6:18">
      <c r="F182" s="73"/>
      <c r="R182"/>
    </row>
    <row r="183" spans="6:18">
      <c r="F183" s="73"/>
      <c r="R183"/>
    </row>
    <row r="184" spans="6:18">
      <c r="F184" s="73"/>
      <c r="R184"/>
    </row>
    <row r="185" spans="6:18">
      <c r="F185" s="73"/>
      <c r="R185"/>
    </row>
    <row r="186" spans="6:18">
      <c r="F186" s="73"/>
      <c r="R186"/>
    </row>
    <row r="187" spans="6:18">
      <c r="F187" s="73"/>
      <c r="R187"/>
    </row>
    <row r="188" spans="6:18">
      <c r="F188" s="73"/>
      <c r="R188"/>
    </row>
    <row r="189" spans="6:18">
      <c r="F189" s="73"/>
      <c r="R189"/>
    </row>
    <row r="190" spans="6:18">
      <c r="F190" s="73"/>
      <c r="R190"/>
    </row>
    <row r="191" spans="6:18">
      <c r="F191" s="73"/>
      <c r="R191"/>
    </row>
    <row r="192" spans="6:18">
      <c r="F192" s="73"/>
      <c r="R192"/>
    </row>
    <row r="193" spans="6:18">
      <c r="F193" s="73"/>
      <c r="R193"/>
    </row>
    <row r="194" spans="6:18">
      <c r="F194" s="73"/>
      <c r="R194"/>
    </row>
    <row r="195" spans="6:18">
      <c r="F195" s="73"/>
      <c r="R195"/>
    </row>
    <row r="196" spans="6:18">
      <c r="F196" s="73"/>
      <c r="R196"/>
    </row>
    <row r="197" spans="6:18">
      <c r="F197" s="73"/>
      <c r="R197"/>
    </row>
    <row r="198" spans="6:18">
      <c r="F198" s="73"/>
      <c r="R198"/>
    </row>
    <row r="199" spans="6:18">
      <c r="F199" s="73"/>
      <c r="R199"/>
    </row>
    <row r="200" spans="6:18">
      <c r="F200" s="73"/>
      <c r="R200"/>
    </row>
    <row r="201" spans="6:18">
      <c r="F201" s="73"/>
      <c r="R201"/>
    </row>
    <row r="202" spans="6:18">
      <c r="F202" s="73"/>
      <c r="R202"/>
    </row>
    <row r="203" spans="6:18">
      <c r="F203" s="73"/>
      <c r="R203"/>
    </row>
    <row r="204" spans="6:18">
      <c r="F204" s="73"/>
      <c r="R204"/>
    </row>
    <row r="205" spans="6:18">
      <c r="F205" s="73"/>
      <c r="R205"/>
    </row>
    <row r="206" spans="6:18">
      <c r="F206" s="73"/>
      <c r="R206"/>
    </row>
    <row r="207" spans="6:18">
      <c r="F207" s="73"/>
      <c r="R207"/>
    </row>
    <row r="208" spans="6:18">
      <c r="F208" s="73"/>
      <c r="R208"/>
    </row>
    <row r="209" spans="6:18">
      <c r="F209" s="73"/>
      <c r="R209"/>
    </row>
    <row r="210" spans="6:18">
      <c r="F210" s="73"/>
      <c r="R210"/>
    </row>
    <row r="211" spans="6:18">
      <c r="F211" s="73"/>
      <c r="R211"/>
    </row>
    <row r="212" spans="6:18">
      <c r="F212" s="73"/>
      <c r="R212"/>
    </row>
    <row r="213" spans="6:18">
      <c r="F213" s="73"/>
      <c r="R213"/>
    </row>
    <row r="214" spans="6:18">
      <c r="F214" s="73"/>
      <c r="R214"/>
    </row>
    <row r="215" spans="6:18">
      <c r="F215" s="73"/>
      <c r="R215"/>
    </row>
    <row r="216" spans="6:18">
      <c r="F216" s="73"/>
      <c r="R216"/>
    </row>
    <row r="217" spans="6:18">
      <c r="F217" s="73"/>
      <c r="R217"/>
    </row>
    <row r="218" spans="6:18">
      <c r="F218" s="73"/>
      <c r="R218"/>
    </row>
    <row r="219" spans="6:18">
      <c r="F219" s="73"/>
      <c r="R219"/>
    </row>
    <row r="220" spans="6:18">
      <c r="F220" s="73"/>
      <c r="R220"/>
    </row>
    <row r="221" spans="6:18">
      <c r="F221" s="73"/>
      <c r="R221"/>
    </row>
    <row r="222" spans="6:18">
      <c r="F222" s="73"/>
      <c r="R222"/>
    </row>
    <row r="223" spans="6:18">
      <c r="F223" s="73"/>
      <c r="R223"/>
    </row>
    <row r="224" spans="6:18">
      <c r="F224" s="73"/>
      <c r="R224"/>
    </row>
    <row r="225" spans="6:18">
      <c r="F225" s="73"/>
      <c r="R225"/>
    </row>
    <row r="226" spans="6:18">
      <c r="F226" s="73"/>
      <c r="R226"/>
    </row>
    <row r="227" spans="6:18">
      <c r="F227" s="73"/>
      <c r="R227"/>
    </row>
    <row r="228" spans="6:18">
      <c r="F228" s="73"/>
      <c r="R228"/>
    </row>
    <row r="229" spans="6:18">
      <c r="F229" s="73"/>
      <c r="R229"/>
    </row>
    <row r="230" spans="6:18">
      <c r="F230" s="73"/>
      <c r="R230"/>
    </row>
    <row r="231" spans="6:18">
      <c r="F231" s="73"/>
      <c r="R231"/>
    </row>
    <row r="232" spans="6:18">
      <c r="F232" s="73"/>
      <c r="R232"/>
    </row>
    <row r="233" spans="6:18">
      <c r="F233" s="73"/>
      <c r="R233"/>
    </row>
    <row r="234" spans="6:18">
      <c r="F234" s="73"/>
      <c r="R234"/>
    </row>
    <row r="235" spans="6:18">
      <c r="F235" s="73"/>
      <c r="R235"/>
    </row>
    <row r="236" spans="6:18">
      <c r="F236" s="73"/>
      <c r="R236"/>
    </row>
    <row r="237" spans="6:18">
      <c r="F237" s="73"/>
      <c r="R237"/>
    </row>
    <row r="238" spans="6:18">
      <c r="F238" s="73"/>
      <c r="R238"/>
    </row>
    <row r="239" spans="6:18">
      <c r="F239" s="73"/>
      <c r="R239"/>
    </row>
    <row r="240" spans="6:18">
      <c r="F240" s="73"/>
      <c r="R240"/>
    </row>
    <row r="241" spans="6:18">
      <c r="F241" s="73"/>
      <c r="R241"/>
    </row>
    <row r="242" spans="6:18">
      <c r="F242" s="73"/>
      <c r="R242"/>
    </row>
    <row r="243" spans="6:18">
      <c r="F243" s="73"/>
      <c r="R243"/>
    </row>
    <row r="244" spans="6:18">
      <c r="F244" s="73"/>
      <c r="R244"/>
    </row>
    <row r="245" spans="6:18">
      <c r="F245" s="73"/>
      <c r="R245"/>
    </row>
    <row r="246" spans="6:18">
      <c r="F246" s="73"/>
      <c r="R246"/>
    </row>
    <row r="247" spans="6:18">
      <c r="F247" s="73"/>
      <c r="R247"/>
    </row>
    <row r="248" spans="6:18">
      <c r="F248" s="73"/>
      <c r="R248"/>
    </row>
    <row r="249" spans="6:18">
      <c r="F249" s="73"/>
      <c r="R249"/>
    </row>
    <row r="250" spans="6:18">
      <c r="F250" s="73"/>
      <c r="R250"/>
    </row>
    <row r="251" spans="6:18">
      <c r="F251" s="73"/>
      <c r="R251"/>
    </row>
    <row r="252" spans="6:18">
      <c r="F252" s="73"/>
      <c r="R252"/>
    </row>
    <row r="253" spans="6:18">
      <c r="F253" s="73"/>
      <c r="R253"/>
    </row>
    <row r="254" spans="6:18">
      <c r="F254" s="73"/>
      <c r="R254"/>
    </row>
    <row r="255" spans="6:18">
      <c r="F255" s="73"/>
      <c r="R255"/>
    </row>
    <row r="256" spans="6:18">
      <c r="F256" s="73"/>
      <c r="R256"/>
    </row>
    <row r="257" spans="6:18">
      <c r="F257" s="73"/>
      <c r="R257"/>
    </row>
    <row r="258" spans="6:18">
      <c r="F258" s="73"/>
      <c r="R258"/>
    </row>
    <row r="259" spans="6:18">
      <c r="F259" s="73"/>
      <c r="R259"/>
    </row>
    <row r="260" spans="6:18">
      <c r="F260" s="73"/>
      <c r="R260"/>
    </row>
    <row r="261" spans="6:18">
      <c r="F261" s="73"/>
      <c r="R261"/>
    </row>
    <row r="262" spans="6:18">
      <c r="F262" s="73"/>
      <c r="R262"/>
    </row>
    <row r="263" spans="6:18">
      <c r="F263" s="73"/>
      <c r="R263"/>
    </row>
    <row r="264" spans="6:18">
      <c r="F264" s="73"/>
      <c r="R264"/>
    </row>
    <row r="265" spans="6:18">
      <c r="F265" s="73"/>
      <c r="R265"/>
    </row>
    <row r="266" spans="6:18">
      <c r="F266" s="73"/>
      <c r="R266"/>
    </row>
    <row r="267" spans="6:18">
      <c r="F267" s="73"/>
      <c r="R267"/>
    </row>
    <row r="268" spans="6:18">
      <c r="F268" s="73"/>
      <c r="R268"/>
    </row>
    <row r="269" spans="6:18">
      <c r="F269" s="73"/>
      <c r="R269"/>
    </row>
    <row r="270" spans="6:18">
      <c r="F270" s="73"/>
      <c r="R270"/>
    </row>
    <row r="271" spans="6:18">
      <c r="F271" s="73"/>
      <c r="R271"/>
    </row>
    <row r="272" spans="6:18">
      <c r="F272" s="73"/>
      <c r="R272"/>
    </row>
    <row r="273" spans="6:18">
      <c r="F273" s="73"/>
      <c r="R273"/>
    </row>
    <row r="274" spans="6:18">
      <c r="F274" s="73"/>
      <c r="R274"/>
    </row>
    <row r="275" spans="6:18">
      <c r="F275" s="73"/>
      <c r="R275"/>
    </row>
    <row r="276" spans="6:18">
      <c r="F276" s="73"/>
      <c r="R276"/>
    </row>
    <row r="277" spans="6:18">
      <c r="F277" s="73"/>
      <c r="R277"/>
    </row>
    <row r="278" spans="6:18">
      <c r="F278" s="73"/>
      <c r="R278"/>
    </row>
    <row r="279" spans="6:18">
      <c r="F279" s="73"/>
      <c r="R279"/>
    </row>
    <row r="280" spans="6:18">
      <c r="F280" s="73"/>
      <c r="R280"/>
    </row>
    <row r="281" spans="6:18">
      <c r="F281" s="73"/>
      <c r="R281"/>
    </row>
    <row r="282" spans="6:18">
      <c r="F282" s="73"/>
      <c r="R282"/>
    </row>
    <row r="283" spans="6:18">
      <c r="F283" s="73"/>
      <c r="R283"/>
    </row>
    <row r="284" spans="6:18">
      <c r="F284" s="73"/>
      <c r="R284"/>
    </row>
    <row r="285" spans="6:18">
      <c r="F285" s="73"/>
      <c r="R285"/>
    </row>
    <row r="286" spans="6:18">
      <c r="F286" s="73"/>
      <c r="R286"/>
    </row>
    <row r="287" spans="6:18">
      <c r="F287" s="73"/>
      <c r="R287"/>
    </row>
    <row r="288" spans="6:18">
      <c r="F288" s="73"/>
      <c r="R288"/>
    </row>
    <row r="289" spans="6:18">
      <c r="F289" s="73"/>
      <c r="R289"/>
    </row>
    <row r="290" spans="6:18">
      <c r="F290" s="73"/>
      <c r="R290"/>
    </row>
    <row r="291" spans="6:18">
      <c r="F291" s="73"/>
      <c r="R291"/>
    </row>
    <row r="292" spans="6:18">
      <c r="F292" s="73"/>
      <c r="R292"/>
    </row>
    <row r="293" spans="6:18">
      <c r="F293" s="73"/>
      <c r="R293"/>
    </row>
    <row r="294" spans="6:18">
      <c r="F294" s="73"/>
      <c r="R294"/>
    </row>
    <row r="295" spans="6:18">
      <c r="F295" s="73"/>
      <c r="R295"/>
    </row>
    <row r="296" spans="6:18">
      <c r="F296" s="73"/>
      <c r="R296"/>
    </row>
    <row r="297" spans="6:18">
      <c r="F297" s="73"/>
      <c r="R297"/>
    </row>
    <row r="298" spans="6:18">
      <c r="F298" s="73"/>
      <c r="R298"/>
    </row>
    <row r="299" spans="6:18">
      <c r="F299" s="73"/>
      <c r="R299"/>
    </row>
    <row r="300" spans="6:18">
      <c r="F300" s="73"/>
      <c r="R300"/>
    </row>
    <row r="301" spans="6:18">
      <c r="F301" s="73"/>
      <c r="R301"/>
    </row>
    <row r="302" spans="6:18">
      <c r="F302" s="73"/>
      <c r="R302"/>
    </row>
    <row r="303" spans="6:18">
      <c r="F303" s="73"/>
      <c r="R303"/>
    </row>
    <row r="304" spans="6:18">
      <c r="F304" s="73"/>
      <c r="R304"/>
    </row>
    <row r="305" spans="6:18">
      <c r="F305" s="73"/>
      <c r="R305"/>
    </row>
    <row r="306" spans="6:18">
      <c r="F306" s="73"/>
      <c r="R306"/>
    </row>
    <row r="307" spans="6:18">
      <c r="F307" s="73"/>
      <c r="R307"/>
    </row>
    <row r="308" spans="6:18">
      <c r="F308" s="73"/>
      <c r="R308"/>
    </row>
    <row r="309" spans="6:18">
      <c r="F309" s="73"/>
      <c r="R309"/>
    </row>
    <row r="310" spans="6:18">
      <c r="F310" s="73"/>
      <c r="R310"/>
    </row>
    <row r="311" spans="6:18">
      <c r="F311" s="73"/>
      <c r="R311"/>
    </row>
    <row r="312" spans="6:18">
      <c r="F312" s="73"/>
      <c r="R312"/>
    </row>
    <row r="313" spans="6:18">
      <c r="F313" s="73"/>
      <c r="R313"/>
    </row>
    <row r="314" spans="6:18">
      <c r="F314" s="73"/>
      <c r="R314"/>
    </row>
    <row r="315" spans="6:18">
      <c r="F315" s="73"/>
      <c r="R315"/>
    </row>
    <row r="316" spans="6:18">
      <c r="F316" s="73"/>
      <c r="R316"/>
    </row>
    <row r="317" spans="6:18">
      <c r="F317" s="73"/>
      <c r="R317"/>
    </row>
    <row r="318" spans="6:18">
      <c r="F318" s="73"/>
      <c r="R318"/>
    </row>
    <row r="319" spans="6:18">
      <c r="F319" s="73"/>
      <c r="R319"/>
    </row>
    <row r="320" spans="6:18">
      <c r="F320" s="73"/>
      <c r="R320"/>
    </row>
    <row r="321" spans="6:18">
      <c r="F321" s="73"/>
      <c r="R321"/>
    </row>
    <row r="322" spans="6:18">
      <c r="F322" s="73"/>
      <c r="R322"/>
    </row>
    <row r="323" spans="6:18">
      <c r="F323" s="73"/>
      <c r="R323"/>
    </row>
    <row r="324" spans="6:18">
      <c r="F324" s="73"/>
      <c r="R324"/>
    </row>
    <row r="325" spans="6:18">
      <c r="F325" s="73"/>
      <c r="R325"/>
    </row>
    <row r="326" spans="6:18">
      <c r="F326" s="73"/>
      <c r="R326"/>
    </row>
    <row r="327" spans="6:18">
      <c r="F327" s="73"/>
      <c r="R327"/>
    </row>
    <row r="328" spans="6:18">
      <c r="F328" s="73"/>
      <c r="R328"/>
    </row>
    <row r="329" spans="6:18">
      <c r="F329" s="73"/>
      <c r="R329"/>
    </row>
    <row r="330" spans="6:18">
      <c r="F330" s="73"/>
      <c r="R330"/>
    </row>
    <row r="331" spans="6:18">
      <c r="F331" s="73"/>
      <c r="R331"/>
    </row>
    <row r="332" spans="6:18">
      <c r="F332" s="73"/>
      <c r="R332"/>
    </row>
    <row r="333" spans="6:18">
      <c r="F333" s="73"/>
      <c r="R333"/>
    </row>
    <row r="334" spans="6:18">
      <c r="F334" s="73"/>
      <c r="R334"/>
    </row>
    <row r="335" spans="6:18">
      <c r="F335" s="73"/>
      <c r="R335"/>
    </row>
    <row r="336" spans="6:18">
      <c r="F336" s="73"/>
      <c r="R336"/>
    </row>
    <row r="337" spans="6:18">
      <c r="F337" s="73"/>
      <c r="R337"/>
    </row>
    <row r="338" spans="6:18">
      <c r="F338" s="73"/>
      <c r="R338"/>
    </row>
    <row r="339" spans="6:18">
      <c r="F339" s="73"/>
      <c r="R339"/>
    </row>
    <row r="340" spans="6:18">
      <c r="F340" s="73"/>
      <c r="R340"/>
    </row>
    <row r="341" spans="6:18">
      <c r="F341" s="73"/>
      <c r="R341"/>
    </row>
    <row r="342" spans="6:18">
      <c r="F342" s="73"/>
      <c r="R342"/>
    </row>
    <row r="343" spans="6:18">
      <c r="F343" s="73"/>
      <c r="R343"/>
    </row>
    <row r="344" spans="6:18">
      <c r="F344" s="73"/>
      <c r="R344"/>
    </row>
    <row r="345" spans="6:18">
      <c r="F345" s="73"/>
      <c r="R345"/>
    </row>
    <row r="346" spans="6:18">
      <c r="F346" s="73"/>
      <c r="R346"/>
    </row>
    <row r="347" spans="6:18">
      <c r="F347" s="73"/>
      <c r="R347"/>
    </row>
    <row r="348" spans="6:18">
      <c r="F348" s="73"/>
      <c r="R348"/>
    </row>
    <row r="349" spans="6:18">
      <c r="F349" s="73"/>
      <c r="R349"/>
    </row>
    <row r="350" spans="6:18">
      <c r="F350" s="73"/>
      <c r="R350"/>
    </row>
    <row r="351" spans="6:18">
      <c r="F351" s="73"/>
      <c r="R351"/>
    </row>
    <row r="352" spans="6:18">
      <c r="F352" s="73"/>
      <c r="R352"/>
    </row>
    <row r="353" spans="6:18">
      <c r="F353" s="73"/>
      <c r="R353"/>
    </row>
    <row r="354" spans="6:18">
      <c r="F354" s="73"/>
      <c r="R354"/>
    </row>
    <row r="355" spans="6:18">
      <c r="F355" s="73"/>
      <c r="R355"/>
    </row>
    <row r="356" spans="6:18">
      <c r="F356" s="73"/>
      <c r="R356"/>
    </row>
    <row r="357" spans="6:18">
      <c r="F357" s="73"/>
      <c r="R357"/>
    </row>
    <row r="358" spans="6:18">
      <c r="F358" s="73"/>
      <c r="R358"/>
    </row>
    <row r="359" spans="6:18">
      <c r="F359" s="73"/>
      <c r="R359"/>
    </row>
    <row r="360" spans="6:18">
      <c r="F360" s="73"/>
      <c r="R360"/>
    </row>
    <row r="361" spans="6:18">
      <c r="F361" s="73"/>
      <c r="R361"/>
    </row>
    <row r="362" spans="6:18">
      <c r="F362" s="73"/>
      <c r="R362"/>
    </row>
    <row r="363" spans="6:18">
      <c r="F363" s="73"/>
      <c r="R363"/>
    </row>
    <row r="364" spans="6:18">
      <c r="F364" s="73"/>
      <c r="R364"/>
    </row>
    <row r="365" spans="6:18">
      <c r="F365" s="73"/>
      <c r="R365"/>
    </row>
    <row r="366" spans="6:18">
      <c r="F366" s="73"/>
      <c r="R366"/>
    </row>
    <row r="367" spans="6:18">
      <c r="F367" s="73"/>
      <c r="R367"/>
    </row>
    <row r="368" spans="6:18">
      <c r="F368" s="73"/>
      <c r="R368"/>
    </row>
    <row r="369" spans="6:18">
      <c r="F369" s="73"/>
      <c r="R369"/>
    </row>
    <row r="370" spans="6:18">
      <c r="F370" s="73"/>
      <c r="R370"/>
    </row>
    <row r="371" spans="6:18">
      <c r="F371" s="73"/>
      <c r="R371"/>
    </row>
    <row r="372" spans="6:18">
      <c r="F372" s="73"/>
      <c r="R372"/>
    </row>
    <row r="373" spans="6:18">
      <c r="F373" s="73"/>
      <c r="R373"/>
    </row>
    <row r="374" spans="6:18">
      <c r="F374" s="73"/>
      <c r="R374"/>
    </row>
    <row r="375" spans="6:18">
      <c r="F375" s="73"/>
      <c r="R375"/>
    </row>
    <row r="376" spans="6:18">
      <c r="F376" s="73"/>
      <c r="R376"/>
    </row>
    <row r="377" spans="6:18">
      <c r="F377" s="73"/>
      <c r="R377"/>
    </row>
    <row r="378" spans="6:18">
      <c r="F378" s="73"/>
      <c r="R378"/>
    </row>
    <row r="379" spans="6:18">
      <c r="F379" s="73"/>
      <c r="R379"/>
    </row>
    <row r="380" spans="6:18">
      <c r="F380" s="73"/>
      <c r="R380"/>
    </row>
    <row r="381" spans="6:18">
      <c r="F381" s="73"/>
      <c r="R381"/>
    </row>
    <row r="382" spans="6:18">
      <c r="F382" s="73"/>
      <c r="R382"/>
    </row>
    <row r="383" spans="6:18">
      <c r="F383" s="73"/>
      <c r="R383"/>
    </row>
    <row r="384" spans="6:18">
      <c r="F384" s="73"/>
      <c r="R384"/>
    </row>
    <row r="385" spans="6:18">
      <c r="F385" s="73"/>
      <c r="R385"/>
    </row>
    <row r="386" spans="6:18">
      <c r="F386" s="73"/>
      <c r="R386"/>
    </row>
    <row r="387" spans="6:18">
      <c r="F387" s="73"/>
      <c r="R387"/>
    </row>
    <row r="388" spans="6:18">
      <c r="F388" s="73"/>
      <c r="R388"/>
    </row>
    <row r="389" spans="6:18">
      <c r="F389" s="73"/>
      <c r="R389"/>
    </row>
    <row r="390" spans="6:18">
      <c r="F390" s="73"/>
      <c r="R390"/>
    </row>
    <row r="391" spans="6:18">
      <c r="F391" s="73"/>
      <c r="R391"/>
    </row>
    <row r="392" spans="6:18">
      <c r="F392" s="73"/>
      <c r="R392"/>
    </row>
    <row r="393" spans="6:18">
      <c r="F393" s="73"/>
      <c r="R393"/>
    </row>
    <row r="394" spans="6:18">
      <c r="F394" s="73"/>
      <c r="R394"/>
    </row>
    <row r="395" spans="6:18">
      <c r="F395" s="73"/>
      <c r="R395"/>
    </row>
    <row r="396" spans="6:18">
      <c r="F396" s="73"/>
      <c r="R396"/>
    </row>
    <row r="397" spans="6:18">
      <c r="F397" s="73"/>
      <c r="R397"/>
    </row>
    <row r="398" spans="6:18">
      <c r="F398" s="73"/>
      <c r="R398"/>
    </row>
    <row r="399" spans="6:18">
      <c r="F399" s="73"/>
      <c r="R399"/>
    </row>
    <row r="400" spans="6:18">
      <c r="F400" s="73"/>
      <c r="R400"/>
    </row>
    <row r="401" spans="6:18">
      <c r="F401" s="73"/>
      <c r="R401"/>
    </row>
    <row r="402" spans="6:18">
      <c r="F402" s="73"/>
      <c r="R402"/>
    </row>
    <row r="403" spans="6:18">
      <c r="F403" s="73"/>
      <c r="R403"/>
    </row>
    <row r="404" spans="6:18">
      <c r="F404" s="73"/>
      <c r="R404"/>
    </row>
    <row r="405" spans="6:18">
      <c r="F405" s="73"/>
      <c r="R405"/>
    </row>
    <row r="406" spans="6:18">
      <c r="F406" s="73"/>
      <c r="R406"/>
    </row>
    <row r="407" spans="6:18">
      <c r="F407" s="73"/>
      <c r="R407"/>
    </row>
    <row r="408" spans="6:18">
      <c r="F408" s="73"/>
      <c r="R408"/>
    </row>
    <row r="409" spans="6:18">
      <c r="F409" s="73"/>
      <c r="R409"/>
    </row>
    <row r="410" spans="6:18">
      <c r="F410" s="73"/>
      <c r="R410"/>
    </row>
    <row r="411" spans="6:18">
      <c r="F411" s="73"/>
      <c r="R411"/>
    </row>
    <row r="412" spans="6:18">
      <c r="F412" s="73"/>
      <c r="R412"/>
    </row>
    <row r="413" spans="6:18">
      <c r="F413" s="73"/>
      <c r="R413"/>
    </row>
    <row r="414" spans="6:18">
      <c r="F414" s="73"/>
      <c r="R414"/>
    </row>
    <row r="415" spans="6:18">
      <c r="F415" s="73"/>
      <c r="R415"/>
    </row>
    <row r="416" spans="6:18">
      <c r="F416" s="73"/>
      <c r="R416"/>
    </row>
    <row r="417" spans="6:18">
      <c r="F417" s="73"/>
      <c r="R417"/>
    </row>
    <row r="418" spans="6:18">
      <c r="F418" s="73"/>
      <c r="R418"/>
    </row>
    <row r="419" spans="6:18">
      <c r="F419" s="73"/>
      <c r="R419"/>
    </row>
    <row r="420" spans="6:18">
      <c r="F420" s="73"/>
      <c r="R420"/>
    </row>
    <row r="421" spans="6:18">
      <c r="F421" s="73"/>
      <c r="R421"/>
    </row>
    <row r="422" spans="6:18">
      <c r="F422" s="73"/>
      <c r="R422"/>
    </row>
    <row r="423" spans="6:18">
      <c r="F423" s="73"/>
      <c r="R423"/>
    </row>
    <row r="424" spans="6:18">
      <c r="F424" s="73"/>
      <c r="R424"/>
    </row>
    <row r="425" spans="6:18">
      <c r="F425" s="73"/>
      <c r="R425"/>
    </row>
    <row r="426" spans="6:18">
      <c r="F426" s="73"/>
      <c r="R426"/>
    </row>
    <row r="427" spans="6:18">
      <c r="F427" s="73"/>
      <c r="R427"/>
    </row>
    <row r="428" spans="6:18">
      <c r="F428" s="73"/>
      <c r="R428"/>
    </row>
    <row r="429" spans="6:18">
      <c r="F429" s="73"/>
      <c r="R429"/>
    </row>
    <row r="430" spans="6:18">
      <c r="F430" s="73"/>
      <c r="R430"/>
    </row>
    <row r="431" spans="6:18">
      <c r="F431" s="73"/>
      <c r="R431"/>
    </row>
    <row r="432" spans="6:18">
      <c r="F432" s="73"/>
      <c r="R432"/>
    </row>
    <row r="433" spans="6:18">
      <c r="F433" s="73"/>
      <c r="R433"/>
    </row>
    <row r="434" spans="6:18">
      <c r="F434" s="73"/>
      <c r="R434"/>
    </row>
    <row r="435" spans="6:18">
      <c r="F435" s="73"/>
      <c r="R435"/>
    </row>
    <row r="436" spans="6:18">
      <c r="F436" s="73"/>
      <c r="R436"/>
    </row>
    <row r="437" spans="6:18">
      <c r="F437" s="73"/>
      <c r="R437"/>
    </row>
    <row r="438" spans="6:18">
      <c r="F438" s="73"/>
      <c r="R438"/>
    </row>
    <row r="439" spans="6:18">
      <c r="F439" s="73"/>
      <c r="R439"/>
    </row>
    <row r="440" spans="6:18">
      <c r="F440" s="73"/>
      <c r="R440"/>
    </row>
    <row r="441" spans="6:18">
      <c r="F441" s="73"/>
      <c r="R441"/>
    </row>
    <row r="442" spans="6:18">
      <c r="F442" s="73"/>
      <c r="R442"/>
    </row>
    <row r="443" spans="6:18">
      <c r="F443" s="73"/>
      <c r="R443"/>
    </row>
    <row r="444" spans="6:18">
      <c r="F444" s="73"/>
      <c r="R444"/>
    </row>
    <row r="445" spans="6:18">
      <c r="F445" s="73"/>
      <c r="R445"/>
    </row>
    <row r="446" spans="6:18">
      <c r="F446" s="73"/>
      <c r="R446"/>
    </row>
    <row r="447" spans="6:18">
      <c r="F447" s="73"/>
      <c r="R447"/>
    </row>
    <row r="448" spans="6:18">
      <c r="F448" s="73"/>
      <c r="R448"/>
    </row>
    <row r="449" spans="6:18">
      <c r="F449" s="73"/>
      <c r="R449"/>
    </row>
    <row r="450" spans="6:18">
      <c r="F450" s="73"/>
      <c r="R450"/>
    </row>
    <row r="451" spans="6:18">
      <c r="F451" s="73"/>
      <c r="R451"/>
    </row>
    <row r="452" spans="6:18">
      <c r="F452" s="73"/>
      <c r="R452"/>
    </row>
    <row r="453" spans="6:18">
      <c r="F453" s="73"/>
      <c r="R453"/>
    </row>
    <row r="454" spans="6:18">
      <c r="F454" s="73"/>
      <c r="R454"/>
    </row>
    <row r="455" spans="6:18">
      <c r="F455" s="73"/>
      <c r="R455"/>
    </row>
    <row r="456" spans="6:18">
      <c r="F456" s="73"/>
      <c r="R456"/>
    </row>
    <row r="457" spans="6:18">
      <c r="F457" s="73"/>
      <c r="R457"/>
    </row>
    <row r="458" spans="6:18">
      <c r="F458" s="73"/>
      <c r="R458"/>
    </row>
    <row r="459" spans="6:18">
      <c r="F459" s="73"/>
      <c r="R459"/>
    </row>
    <row r="460" spans="6:18">
      <c r="F460" s="73"/>
      <c r="R460"/>
    </row>
    <row r="461" spans="6:18">
      <c r="F461" s="73"/>
      <c r="R461"/>
    </row>
    <row r="462" spans="6:18">
      <c r="F462" s="73"/>
      <c r="R462"/>
    </row>
    <row r="463" spans="6:18">
      <c r="F463" s="73"/>
      <c r="R463"/>
    </row>
    <row r="464" spans="6:18">
      <c r="F464" s="73"/>
      <c r="R464"/>
    </row>
    <row r="465" spans="6:18">
      <c r="F465" s="73"/>
      <c r="R465"/>
    </row>
    <row r="466" spans="6:18">
      <c r="F466" s="73"/>
      <c r="R466"/>
    </row>
    <row r="467" spans="6:18">
      <c r="F467" s="73"/>
      <c r="R467"/>
    </row>
    <row r="468" spans="6:18">
      <c r="F468" s="73"/>
      <c r="R468"/>
    </row>
    <row r="469" spans="6:18">
      <c r="F469" s="73"/>
      <c r="R469"/>
    </row>
    <row r="470" spans="6:18">
      <c r="F470" s="73"/>
      <c r="R470"/>
    </row>
    <row r="471" spans="6:18">
      <c r="F471" s="73"/>
      <c r="R471"/>
    </row>
    <row r="472" spans="6:18">
      <c r="F472" s="73"/>
      <c r="R472"/>
    </row>
    <row r="473" spans="6:18">
      <c r="F473" s="73"/>
      <c r="R473"/>
    </row>
    <row r="474" spans="6:18">
      <c r="F474" s="73"/>
      <c r="R474"/>
    </row>
    <row r="475" spans="6:18">
      <c r="F475" s="73"/>
      <c r="R475"/>
    </row>
    <row r="476" spans="6:18">
      <c r="F476" s="73"/>
      <c r="R476"/>
    </row>
    <row r="477" spans="6:18">
      <c r="F477" s="73"/>
      <c r="R477"/>
    </row>
    <row r="478" spans="6:18">
      <c r="F478" s="73"/>
      <c r="R478"/>
    </row>
    <row r="479" spans="6:18">
      <c r="F479" s="73"/>
      <c r="R479"/>
    </row>
    <row r="480" spans="6:18">
      <c r="F480" s="73"/>
      <c r="R480"/>
    </row>
    <row r="481" spans="6:18">
      <c r="F481" s="73"/>
      <c r="R481"/>
    </row>
    <row r="482" spans="6:18">
      <c r="F482" s="73"/>
      <c r="R482"/>
    </row>
    <row r="483" spans="6:18">
      <c r="F483" s="73"/>
      <c r="R483"/>
    </row>
    <row r="484" spans="6:18">
      <c r="F484" s="73"/>
      <c r="R484"/>
    </row>
    <row r="485" spans="6:18">
      <c r="F485" s="73"/>
      <c r="R485"/>
    </row>
    <row r="486" spans="6:18">
      <c r="F486" s="73"/>
      <c r="R486"/>
    </row>
    <row r="487" spans="6:18">
      <c r="F487" s="73"/>
      <c r="R487"/>
    </row>
    <row r="488" spans="6:18">
      <c r="F488" s="73"/>
      <c r="R488"/>
    </row>
    <row r="489" spans="6:18">
      <c r="F489" s="73"/>
      <c r="R489"/>
    </row>
    <row r="490" spans="6:18">
      <c r="F490" s="73"/>
      <c r="R490"/>
    </row>
    <row r="491" spans="6:18">
      <c r="F491" s="73"/>
      <c r="R491"/>
    </row>
    <row r="492" spans="6:18">
      <c r="F492" s="73"/>
      <c r="R492"/>
    </row>
    <row r="493" spans="6:18">
      <c r="F493" s="73"/>
      <c r="R493"/>
    </row>
    <row r="494" spans="6:18">
      <c r="F494" s="73"/>
      <c r="R494"/>
    </row>
    <row r="495" spans="6:18">
      <c r="F495" s="73"/>
      <c r="R495"/>
    </row>
    <row r="496" spans="6:18">
      <c r="F496" s="73"/>
      <c r="R496"/>
    </row>
    <row r="497" spans="6:18">
      <c r="F497" s="73"/>
      <c r="R497"/>
    </row>
    <row r="498" spans="6:18">
      <c r="F498" s="73"/>
      <c r="R498"/>
    </row>
    <row r="499" spans="6:18">
      <c r="F499" s="73"/>
      <c r="R499"/>
    </row>
    <row r="500" spans="6:18">
      <c r="F500" s="73"/>
      <c r="R500"/>
    </row>
    <row r="501" spans="6:18">
      <c r="F501" s="73"/>
      <c r="R501"/>
    </row>
    <row r="502" spans="6:18">
      <c r="F502" s="73"/>
      <c r="R502"/>
    </row>
    <row r="503" spans="6:18">
      <c r="F503" s="73"/>
      <c r="R503"/>
    </row>
    <row r="504" spans="6:18">
      <c r="F504" s="73"/>
      <c r="R504"/>
    </row>
    <row r="505" spans="6:18">
      <c r="F505" s="73"/>
      <c r="R505"/>
    </row>
    <row r="506" spans="6:18">
      <c r="F506" s="73"/>
      <c r="R506"/>
    </row>
    <row r="507" spans="6:18">
      <c r="F507" s="73"/>
      <c r="R507"/>
    </row>
    <row r="508" spans="6:18">
      <c r="F508" s="73"/>
      <c r="R508"/>
    </row>
    <row r="509" spans="6:18">
      <c r="F509" s="73"/>
      <c r="R509"/>
    </row>
    <row r="510" spans="6:18">
      <c r="F510" s="73"/>
      <c r="R510"/>
    </row>
    <row r="511" spans="6:18">
      <c r="F511" s="73"/>
      <c r="R511"/>
    </row>
    <row r="512" spans="6:18">
      <c r="F512" s="73"/>
      <c r="R512"/>
    </row>
    <row r="513" spans="6:18">
      <c r="F513" s="73"/>
      <c r="R513"/>
    </row>
    <row r="514" spans="6:18">
      <c r="F514" s="73"/>
      <c r="R514"/>
    </row>
    <row r="515" spans="6:18">
      <c r="F515" s="73"/>
      <c r="R515"/>
    </row>
    <row r="516" spans="6:18">
      <c r="F516" s="73"/>
      <c r="R516"/>
    </row>
    <row r="517" spans="6:18">
      <c r="F517" s="73"/>
      <c r="R517"/>
    </row>
    <row r="518" spans="6:18">
      <c r="F518" s="73"/>
      <c r="R518"/>
    </row>
    <row r="519" spans="6:18">
      <c r="F519" s="73"/>
      <c r="R519"/>
    </row>
    <row r="520" spans="6:18">
      <c r="F520" s="73"/>
      <c r="R520"/>
    </row>
    <row r="521" spans="6:18">
      <c r="F521" s="73"/>
      <c r="R521"/>
    </row>
    <row r="522" spans="6:18">
      <c r="F522" s="73"/>
      <c r="R522"/>
    </row>
    <row r="523" spans="6:18">
      <c r="F523" s="73"/>
      <c r="R523"/>
    </row>
    <row r="524" spans="6:18">
      <c r="F524" s="73"/>
      <c r="R524"/>
    </row>
    <row r="525" spans="6:18">
      <c r="F525" s="73"/>
      <c r="R525"/>
    </row>
    <row r="526" spans="6:18">
      <c r="F526" s="73"/>
      <c r="R526"/>
    </row>
    <row r="527" spans="6:18">
      <c r="F527" s="73"/>
      <c r="R527"/>
    </row>
    <row r="528" spans="6:18">
      <c r="F528" s="73"/>
      <c r="R528"/>
    </row>
    <row r="529" spans="6:18">
      <c r="F529" s="73"/>
      <c r="R529"/>
    </row>
    <row r="530" spans="6:18">
      <c r="F530" s="73"/>
      <c r="R530"/>
    </row>
    <row r="531" spans="6:18">
      <c r="F531" s="73"/>
      <c r="R531"/>
    </row>
    <row r="532" spans="6:18">
      <c r="F532" s="73"/>
      <c r="R532"/>
    </row>
    <row r="533" spans="6:18">
      <c r="F533" s="73"/>
      <c r="R533"/>
    </row>
    <row r="534" spans="6:18">
      <c r="F534" s="73"/>
      <c r="R534"/>
    </row>
    <row r="535" spans="6:18">
      <c r="F535" s="73"/>
      <c r="R535"/>
    </row>
    <row r="536" spans="6:18">
      <c r="F536" s="73"/>
      <c r="R536"/>
    </row>
    <row r="537" spans="6:18">
      <c r="F537" s="73"/>
      <c r="R537"/>
    </row>
    <row r="538" spans="6:18">
      <c r="F538" s="73"/>
      <c r="R538"/>
    </row>
    <row r="539" spans="6:18">
      <c r="F539" s="73"/>
      <c r="R539"/>
    </row>
    <row r="540" spans="6:18">
      <c r="F540" s="73"/>
      <c r="R540"/>
    </row>
    <row r="541" spans="6:18">
      <c r="F541" s="73"/>
      <c r="R541"/>
    </row>
    <row r="542" spans="6:18">
      <c r="F542" s="73"/>
      <c r="R542"/>
    </row>
    <row r="543" spans="6:18">
      <c r="F543" s="73"/>
      <c r="R543"/>
    </row>
    <row r="544" spans="6:18">
      <c r="F544" s="73"/>
      <c r="R544"/>
    </row>
    <row r="545" spans="6:18">
      <c r="F545" s="73"/>
      <c r="R545"/>
    </row>
    <row r="546" spans="6:18">
      <c r="F546" s="73"/>
      <c r="R546"/>
    </row>
    <row r="547" spans="6:18">
      <c r="F547" s="73"/>
      <c r="R547"/>
    </row>
    <row r="548" spans="6:18">
      <c r="F548" s="73"/>
      <c r="R548"/>
    </row>
    <row r="549" spans="6:18">
      <c r="F549" s="73"/>
      <c r="R549"/>
    </row>
    <row r="550" spans="6:18">
      <c r="F550" s="73"/>
      <c r="R550"/>
    </row>
    <row r="551" spans="6:18">
      <c r="F551" s="73"/>
      <c r="R551"/>
    </row>
    <row r="552" spans="6:18">
      <c r="F552" s="73"/>
      <c r="R552"/>
    </row>
    <row r="553" spans="6:18">
      <c r="F553" s="73"/>
      <c r="R553"/>
    </row>
    <row r="554" spans="6:18">
      <c r="F554" s="73"/>
      <c r="R554"/>
    </row>
    <row r="555" spans="6:18">
      <c r="F555" s="73"/>
      <c r="R555"/>
    </row>
    <row r="556" spans="6:18">
      <c r="F556" s="73"/>
      <c r="R556"/>
    </row>
    <row r="557" spans="6:18">
      <c r="F557" s="73"/>
      <c r="R557"/>
    </row>
    <row r="558" spans="6:18">
      <c r="F558" s="73"/>
      <c r="R558"/>
    </row>
    <row r="559" spans="6:18">
      <c r="F559" s="73"/>
      <c r="R559"/>
    </row>
    <row r="560" spans="6:18">
      <c r="F560" s="73"/>
      <c r="R560"/>
    </row>
    <row r="561" spans="6:18">
      <c r="F561" s="73"/>
      <c r="R561"/>
    </row>
    <row r="562" spans="6:18">
      <c r="F562" s="73"/>
      <c r="R562"/>
    </row>
    <row r="563" spans="6:18">
      <c r="F563" s="73"/>
      <c r="R563"/>
    </row>
    <row r="564" spans="6:18">
      <c r="F564" s="73"/>
      <c r="R564"/>
    </row>
    <row r="565" spans="6:18">
      <c r="F565" s="73"/>
      <c r="R565"/>
    </row>
    <row r="566" spans="6:18">
      <c r="F566" s="73"/>
      <c r="R566"/>
    </row>
    <row r="567" spans="6:18">
      <c r="F567" s="73"/>
      <c r="R567"/>
    </row>
    <row r="568" spans="6:18">
      <c r="F568" s="73"/>
      <c r="R568"/>
    </row>
    <row r="569" spans="6:18">
      <c r="F569" s="73"/>
      <c r="R569"/>
    </row>
    <row r="570" spans="6:18">
      <c r="F570" s="73"/>
      <c r="R570"/>
    </row>
    <row r="571" spans="6:18">
      <c r="F571" s="73"/>
      <c r="R571"/>
    </row>
    <row r="572" spans="6:18">
      <c r="F572" s="73"/>
      <c r="R572"/>
    </row>
    <row r="573" spans="6:18">
      <c r="F573" s="73"/>
      <c r="R573"/>
    </row>
    <row r="574" spans="6:18">
      <c r="F574" s="73"/>
      <c r="R574"/>
    </row>
    <row r="575" spans="6:18">
      <c r="F575" s="73"/>
      <c r="R575"/>
    </row>
    <row r="576" spans="6:18">
      <c r="F576" s="73"/>
      <c r="R576"/>
    </row>
    <row r="577" spans="6:18">
      <c r="F577" s="73"/>
      <c r="R577"/>
    </row>
    <row r="578" spans="6:18">
      <c r="F578" s="73"/>
      <c r="R578"/>
    </row>
    <row r="579" spans="6:18">
      <c r="F579" s="73"/>
      <c r="R579"/>
    </row>
    <row r="580" spans="6:18">
      <c r="F580" s="73"/>
      <c r="R580"/>
    </row>
    <row r="581" spans="6:18">
      <c r="F581" s="73"/>
      <c r="R581"/>
    </row>
    <row r="582" spans="6:18">
      <c r="F582" s="73"/>
      <c r="R582"/>
    </row>
    <row r="583" spans="6:18">
      <c r="F583" s="73"/>
      <c r="R583"/>
    </row>
    <row r="584" spans="6:18">
      <c r="F584" s="73"/>
      <c r="R584"/>
    </row>
    <row r="585" spans="6:18">
      <c r="F585" s="73"/>
      <c r="R585"/>
    </row>
    <row r="586" spans="6:18">
      <c r="F586" s="73"/>
      <c r="R586"/>
    </row>
    <row r="587" spans="6:18">
      <c r="F587" s="73"/>
      <c r="R587"/>
    </row>
    <row r="588" spans="6:18">
      <c r="F588" s="73"/>
      <c r="R588"/>
    </row>
    <row r="589" spans="6:18">
      <c r="F589" s="73"/>
      <c r="R589"/>
    </row>
    <row r="590" spans="6:18">
      <c r="F590" s="73"/>
      <c r="R590"/>
    </row>
    <row r="591" spans="6:18">
      <c r="F591" s="73"/>
      <c r="R591"/>
    </row>
    <row r="592" spans="6:18">
      <c r="F592" s="73"/>
      <c r="R592"/>
    </row>
    <row r="593" spans="6:18">
      <c r="F593" s="73"/>
      <c r="R593"/>
    </row>
    <row r="594" spans="6:18">
      <c r="F594" s="73"/>
      <c r="R594"/>
    </row>
    <row r="595" spans="6:18">
      <c r="F595" s="73"/>
      <c r="R595"/>
    </row>
    <row r="596" spans="6:18">
      <c r="F596" s="73"/>
      <c r="R596"/>
    </row>
    <row r="597" spans="6:18">
      <c r="F597" s="73"/>
      <c r="R597"/>
    </row>
    <row r="598" spans="6:18">
      <c r="F598" s="73"/>
      <c r="R598"/>
    </row>
    <row r="599" spans="6:18">
      <c r="F599" s="73"/>
      <c r="R599"/>
    </row>
    <row r="600" spans="6:18">
      <c r="F600" s="73"/>
      <c r="R600"/>
    </row>
    <row r="601" spans="6:18">
      <c r="F601" s="73"/>
      <c r="R601"/>
    </row>
    <row r="602" spans="6:18">
      <c r="F602" s="73"/>
      <c r="R602"/>
    </row>
    <row r="603" spans="6:18">
      <c r="F603" s="73"/>
      <c r="R603"/>
    </row>
    <row r="604" spans="6:18">
      <c r="F604" s="73"/>
      <c r="R604"/>
    </row>
    <row r="605" spans="6:18">
      <c r="F605" s="73"/>
      <c r="R605"/>
    </row>
    <row r="606" spans="6:18">
      <c r="F606" s="73"/>
      <c r="R606"/>
    </row>
    <row r="607" spans="6:18">
      <c r="F607" s="73"/>
      <c r="R607"/>
    </row>
    <row r="608" spans="6:18">
      <c r="F608" s="73"/>
      <c r="R608"/>
    </row>
    <row r="609" spans="6:18">
      <c r="F609" s="73"/>
      <c r="R609"/>
    </row>
    <row r="610" spans="6:18">
      <c r="F610" s="73"/>
      <c r="R610"/>
    </row>
    <row r="611" spans="6:18">
      <c r="F611" s="73"/>
      <c r="R611"/>
    </row>
    <row r="612" spans="6:18">
      <c r="F612" s="73"/>
      <c r="R612"/>
    </row>
    <row r="613" spans="6:18">
      <c r="F613" s="73"/>
      <c r="R613"/>
    </row>
    <row r="614" spans="6:18">
      <c r="F614" s="73"/>
      <c r="R614"/>
    </row>
    <row r="615" spans="6:18">
      <c r="F615" s="73"/>
      <c r="R615"/>
    </row>
    <row r="616" spans="6:18">
      <c r="F616" s="73"/>
      <c r="R616"/>
    </row>
    <row r="617" spans="6:18">
      <c r="F617" s="73"/>
      <c r="R617"/>
    </row>
    <row r="618" spans="6:18">
      <c r="F618" s="73"/>
      <c r="R618"/>
    </row>
    <row r="619" spans="6:18">
      <c r="F619" s="73"/>
      <c r="R619"/>
    </row>
    <row r="620" spans="6:18">
      <c r="F620" s="73"/>
      <c r="R620"/>
    </row>
    <row r="621" spans="6:18">
      <c r="F621" s="73"/>
      <c r="R621"/>
    </row>
    <row r="622" spans="6:18">
      <c r="F622" s="73"/>
      <c r="R622"/>
    </row>
    <row r="623" spans="6:18">
      <c r="F623" s="73"/>
      <c r="R623"/>
    </row>
    <row r="624" spans="6:18">
      <c r="F624" s="73"/>
      <c r="R624"/>
    </row>
    <row r="625" spans="6:18">
      <c r="F625" s="73"/>
      <c r="R625"/>
    </row>
    <row r="626" spans="6:18">
      <c r="F626" s="73"/>
      <c r="R626"/>
    </row>
    <row r="627" spans="6:18">
      <c r="F627" s="73"/>
      <c r="R627"/>
    </row>
    <row r="628" spans="6:18">
      <c r="F628" s="73"/>
      <c r="R628"/>
    </row>
    <row r="629" spans="6:18">
      <c r="F629" s="73"/>
      <c r="R629"/>
    </row>
    <row r="630" spans="6:18">
      <c r="F630" s="73"/>
      <c r="R630"/>
    </row>
    <row r="631" spans="6:18">
      <c r="F631" s="73"/>
      <c r="R631"/>
    </row>
    <row r="632" spans="6:18">
      <c r="F632" s="73"/>
      <c r="R632"/>
    </row>
    <row r="633" spans="6:18">
      <c r="F633" s="73"/>
      <c r="R633"/>
    </row>
    <row r="634" spans="6:18">
      <c r="F634" s="73"/>
      <c r="R634"/>
    </row>
    <row r="635" spans="6:18">
      <c r="F635" s="73"/>
      <c r="R635"/>
    </row>
    <row r="636" spans="6:18">
      <c r="F636" s="73"/>
      <c r="R636"/>
    </row>
    <row r="637" spans="6:18">
      <c r="F637" s="73"/>
      <c r="R637"/>
    </row>
    <row r="638" spans="6:18">
      <c r="F638" s="73"/>
      <c r="R638"/>
    </row>
    <row r="639" spans="6:18">
      <c r="F639" s="73"/>
      <c r="R639"/>
    </row>
    <row r="640" spans="6:18">
      <c r="F640" s="73"/>
      <c r="R640"/>
    </row>
    <row r="641" spans="6:18">
      <c r="F641" s="73"/>
      <c r="R641"/>
    </row>
    <row r="642" spans="6:18">
      <c r="F642" s="73"/>
      <c r="R642"/>
    </row>
    <row r="643" spans="6:18">
      <c r="F643" s="73"/>
      <c r="R643"/>
    </row>
    <row r="644" spans="6:18">
      <c r="F644" s="73"/>
      <c r="R644"/>
    </row>
    <row r="645" spans="6:18">
      <c r="F645" s="73"/>
      <c r="R645"/>
    </row>
    <row r="646" spans="6:18">
      <c r="F646" s="73"/>
      <c r="R646"/>
    </row>
    <row r="647" spans="6:18">
      <c r="F647" s="73"/>
      <c r="R647"/>
    </row>
    <row r="648" spans="6:18">
      <c r="F648" s="73"/>
      <c r="R648"/>
    </row>
    <row r="649" spans="6:18">
      <c r="F649" s="73"/>
      <c r="R649"/>
    </row>
    <row r="650" spans="6:18">
      <c r="F650" s="73"/>
      <c r="R650"/>
    </row>
    <row r="651" spans="6:18">
      <c r="F651" s="73"/>
      <c r="R651"/>
    </row>
    <row r="652" spans="6:18">
      <c r="F652" s="73"/>
      <c r="R652"/>
    </row>
    <row r="653" spans="6:18">
      <c r="F653" s="73"/>
      <c r="R653"/>
    </row>
    <row r="654" spans="6:18">
      <c r="F654" s="73"/>
      <c r="R654"/>
    </row>
    <row r="655" spans="6:18">
      <c r="F655" s="73"/>
      <c r="R655"/>
    </row>
    <row r="656" spans="6:18">
      <c r="F656" s="73"/>
      <c r="R656"/>
    </row>
    <row r="657" spans="6:18">
      <c r="F657" s="73"/>
      <c r="R657"/>
    </row>
    <row r="658" spans="6:18">
      <c r="F658" s="73"/>
      <c r="R658"/>
    </row>
    <row r="659" spans="6:18">
      <c r="F659" s="73"/>
      <c r="R659"/>
    </row>
    <row r="660" spans="6:18">
      <c r="F660" s="73"/>
      <c r="R660"/>
    </row>
    <row r="661" spans="6:18">
      <c r="F661" s="73"/>
      <c r="R661"/>
    </row>
    <row r="662" spans="6:18">
      <c r="F662" s="73"/>
      <c r="R662"/>
    </row>
    <row r="663" spans="6:18">
      <c r="F663" s="73"/>
      <c r="R663"/>
    </row>
    <row r="664" spans="6:18">
      <c r="F664" s="73"/>
      <c r="R664"/>
    </row>
    <row r="665" spans="6:18">
      <c r="F665" s="73"/>
      <c r="R665"/>
    </row>
    <row r="666" spans="6:18">
      <c r="F666" s="73"/>
      <c r="R666"/>
    </row>
    <row r="667" spans="6:18">
      <c r="F667" s="73"/>
      <c r="R667"/>
    </row>
    <row r="668" spans="6:18">
      <c r="F668" s="73"/>
      <c r="R668"/>
    </row>
    <row r="669" spans="6:18">
      <c r="F669" s="73"/>
      <c r="R669"/>
    </row>
    <row r="670" spans="6:18">
      <c r="F670" s="73"/>
      <c r="R670"/>
    </row>
    <row r="671" spans="6:18">
      <c r="F671" s="73"/>
      <c r="R671"/>
    </row>
    <row r="672" spans="6:18">
      <c r="F672" s="73"/>
      <c r="R672"/>
    </row>
    <row r="673" spans="6:18">
      <c r="F673" s="73"/>
      <c r="R673"/>
    </row>
    <row r="674" spans="6:18">
      <c r="F674" s="73"/>
      <c r="R674"/>
    </row>
    <row r="675" spans="6:18">
      <c r="F675" s="73"/>
      <c r="R675"/>
    </row>
    <row r="676" spans="6:18">
      <c r="F676" s="73"/>
      <c r="R676"/>
    </row>
    <row r="677" spans="6:18">
      <c r="F677" s="73"/>
      <c r="R677"/>
    </row>
    <row r="678" spans="6:18">
      <c r="F678" s="73"/>
      <c r="R678"/>
    </row>
    <row r="679" spans="6:18">
      <c r="F679" s="73"/>
      <c r="R679"/>
    </row>
    <row r="680" spans="6:18">
      <c r="F680" s="73"/>
      <c r="R680"/>
    </row>
    <row r="681" spans="6:18">
      <c r="F681" s="73"/>
      <c r="R681"/>
    </row>
    <row r="682" spans="6:18">
      <c r="F682" s="73"/>
      <c r="R682"/>
    </row>
    <row r="683" spans="6:18">
      <c r="F683" s="73"/>
      <c r="R683"/>
    </row>
    <row r="684" spans="6:18">
      <c r="F684" s="73"/>
      <c r="R684"/>
    </row>
    <row r="685" spans="6:18">
      <c r="F685" s="73"/>
      <c r="R685"/>
    </row>
    <row r="686" spans="6:18">
      <c r="F686" s="73"/>
      <c r="R686"/>
    </row>
    <row r="687" spans="6:18">
      <c r="F687" s="73"/>
      <c r="R687"/>
    </row>
    <row r="688" spans="6:18">
      <c r="F688" s="73"/>
      <c r="R688"/>
    </row>
    <row r="689" spans="6:18">
      <c r="F689" s="73"/>
      <c r="R689"/>
    </row>
    <row r="690" spans="6:18">
      <c r="F690" s="73"/>
      <c r="R690"/>
    </row>
    <row r="691" spans="6:18">
      <c r="F691" s="73"/>
      <c r="R691"/>
    </row>
    <row r="692" spans="6:18">
      <c r="F692" s="73"/>
      <c r="R692"/>
    </row>
    <row r="693" spans="6:18">
      <c r="F693" s="73"/>
      <c r="R693"/>
    </row>
    <row r="694" spans="6:18">
      <c r="F694" s="73"/>
      <c r="R694"/>
    </row>
    <row r="695" spans="6:18">
      <c r="F695" s="73"/>
      <c r="R695"/>
    </row>
    <row r="696" spans="6:18">
      <c r="F696" s="73"/>
      <c r="R696"/>
    </row>
    <row r="697" spans="6:18">
      <c r="F697" s="73"/>
      <c r="R697"/>
    </row>
    <row r="698" spans="6:18">
      <c r="F698" s="73"/>
      <c r="R698"/>
    </row>
    <row r="699" spans="6:18">
      <c r="F699" s="73"/>
      <c r="R699"/>
    </row>
    <row r="700" spans="6:18">
      <c r="F700" s="73"/>
      <c r="R700"/>
    </row>
    <row r="701" spans="6:18">
      <c r="F701" s="73"/>
      <c r="R701"/>
    </row>
    <row r="702" spans="6:18">
      <c r="F702" s="73"/>
      <c r="R702"/>
    </row>
    <row r="703" spans="6:18">
      <c r="F703" s="73"/>
      <c r="R703"/>
    </row>
    <row r="704" spans="6:18">
      <c r="F704" s="73"/>
      <c r="R704"/>
    </row>
    <row r="705" spans="6:18">
      <c r="F705" s="73"/>
      <c r="R705"/>
    </row>
    <row r="706" spans="6:18">
      <c r="F706" s="73"/>
      <c r="R706"/>
    </row>
    <row r="707" spans="6:18">
      <c r="F707" s="73"/>
      <c r="R707"/>
    </row>
    <row r="708" spans="6:18">
      <c r="F708" s="73"/>
      <c r="R708"/>
    </row>
    <row r="709" spans="6:18">
      <c r="F709" s="73"/>
      <c r="R709"/>
    </row>
    <row r="710" spans="6:18">
      <c r="F710" s="73"/>
      <c r="R710"/>
    </row>
    <row r="711" spans="6:18">
      <c r="F711" s="73"/>
      <c r="R711"/>
    </row>
    <row r="712" spans="6:18">
      <c r="F712" s="73"/>
      <c r="R712"/>
    </row>
    <row r="713" spans="6:18">
      <c r="F713" s="73"/>
      <c r="R713"/>
    </row>
    <row r="714" spans="6:18">
      <c r="F714" s="73"/>
      <c r="R714"/>
    </row>
    <row r="715" spans="6:18">
      <c r="F715" s="73"/>
      <c r="R715"/>
    </row>
    <row r="716" spans="6:18">
      <c r="F716" s="73"/>
      <c r="R716"/>
    </row>
    <row r="717" spans="6:18">
      <c r="F717" s="73"/>
      <c r="R717"/>
    </row>
    <row r="718" spans="6:18">
      <c r="F718" s="73"/>
      <c r="R718"/>
    </row>
    <row r="719" spans="6:18">
      <c r="F719" s="73"/>
      <c r="R719"/>
    </row>
    <row r="720" spans="6:18">
      <c r="F720" s="73"/>
      <c r="R720"/>
    </row>
    <row r="721" spans="6:18">
      <c r="F721" s="73"/>
      <c r="R721"/>
    </row>
    <row r="722" spans="6:18">
      <c r="F722" s="73"/>
      <c r="R722"/>
    </row>
    <row r="723" spans="6:18">
      <c r="F723" s="73"/>
      <c r="R723"/>
    </row>
    <row r="724" spans="6:18">
      <c r="F724" s="73"/>
      <c r="R724"/>
    </row>
    <row r="725" spans="6:18">
      <c r="F725" s="73"/>
      <c r="R725"/>
    </row>
    <row r="726" spans="6:18">
      <c r="F726" s="73"/>
      <c r="R726"/>
    </row>
    <row r="727" spans="6:18">
      <c r="F727" s="73"/>
      <c r="R727"/>
    </row>
    <row r="728" spans="6:18">
      <c r="F728" s="73"/>
      <c r="R728"/>
    </row>
    <row r="729" spans="6:18">
      <c r="F729" s="73"/>
      <c r="R729"/>
    </row>
    <row r="730" spans="6:18">
      <c r="F730" s="73"/>
      <c r="R730"/>
    </row>
    <row r="731" spans="6:18">
      <c r="F731" s="73"/>
      <c r="R731"/>
    </row>
    <row r="732" spans="6:18">
      <c r="F732" s="73"/>
      <c r="R732"/>
    </row>
    <row r="733" spans="6:18">
      <c r="F733" s="73"/>
      <c r="R733"/>
    </row>
    <row r="734" spans="6:18">
      <c r="F734" s="73"/>
      <c r="R734"/>
    </row>
    <row r="735" spans="6:18">
      <c r="F735" s="73"/>
      <c r="R735"/>
    </row>
    <row r="736" spans="6:18">
      <c r="F736" s="73"/>
      <c r="R736"/>
    </row>
    <row r="737" spans="6:18">
      <c r="F737" s="73"/>
      <c r="R737"/>
    </row>
    <row r="738" spans="6:18">
      <c r="F738" s="73"/>
      <c r="R738"/>
    </row>
    <row r="739" spans="6:18">
      <c r="F739" s="73"/>
      <c r="R739"/>
    </row>
    <row r="740" spans="6:18">
      <c r="F740" s="73"/>
      <c r="R740"/>
    </row>
    <row r="741" spans="6:18">
      <c r="F741" s="73"/>
      <c r="R741"/>
    </row>
    <row r="742" spans="6:18">
      <c r="F742" s="73"/>
      <c r="R742"/>
    </row>
    <row r="743" spans="6:18">
      <c r="F743" s="73"/>
      <c r="R743"/>
    </row>
    <row r="744" spans="6:18">
      <c r="F744" s="73"/>
      <c r="R744"/>
    </row>
    <row r="745" spans="6:18">
      <c r="F745" s="73"/>
      <c r="R745"/>
    </row>
    <row r="746" spans="6:18">
      <c r="F746" s="73"/>
      <c r="R746"/>
    </row>
    <row r="747" spans="6:18">
      <c r="F747" s="73"/>
      <c r="R747"/>
    </row>
    <row r="748" spans="6:18">
      <c r="F748" s="73"/>
      <c r="R748"/>
    </row>
    <row r="749" spans="6:18">
      <c r="F749" s="73"/>
      <c r="R749"/>
    </row>
    <row r="750" spans="6:18">
      <c r="F750" s="73"/>
      <c r="R750"/>
    </row>
    <row r="751" spans="6:18">
      <c r="F751" s="73"/>
      <c r="R751"/>
    </row>
    <row r="752" spans="6:18">
      <c r="F752" s="73"/>
      <c r="R752"/>
    </row>
    <row r="753" spans="6:18">
      <c r="F753" s="73"/>
      <c r="R753"/>
    </row>
    <row r="754" spans="6:18">
      <c r="F754" s="73"/>
      <c r="R754"/>
    </row>
    <row r="755" spans="6:18">
      <c r="F755" s="73"/>
      <c r="R755"/>
    </row>
    <row r="756" spans="6:18">
      <c r="F756" s="73"/>
      <c r="R756"/>
    </row>
    <row r="757" spans="6:18">
      <c r="F757" s="73"/>
      <c r="R757"/>
    </row>
    <row r="758" spans="6:18">
      <c r="F758" s="73"/>
      <c r="R758"/>
    </row>
    <row r="759" spans="6:18">
      <c r="F759" s="73"/>
      <c r="R759"/>
    </row>
    <row r="760" spans="6:18">
      <c r="F760" s="73"/>
      <c r="R760"/>
    </row>
    <row r="761" spans="6:18">
      <c r="F761" s="73"/>
      <c r="R761"/>
    </row>
    <row r="762" spans="6:18">
      <c r="F762" s="73"/>
      <c r="R762"/>
    </row>
    <row r="763" spans="6:18">
      <c r="F763" s="73"/>
      <c r="R763"/>
    </row>
    <row r="764" spans="6:18">
      <c r="F764" s="73"/>
      <c r="R764"/>
    </row>
    <row r="765" spans="6:18">
      <c r="F765" s="73"/>
      <c r="R765"/>
    </row>
    <row r="766" spans="6:18">
      <c r="F766" s="73"/>
      <c r="R766"/>
    </row>
    <row r="767" spans="6:18">
      <c r="F767" s="73"/>
      <c r="R767"/>
    </row>
    <row r="768" spans="6:18">
      <c r="F768" s="73"/>
      <c r="R768"/>
    </row>
    <row r="769" spans="6:18">
      <c r="F769" s="73"/>
      <c r="R769"/>
    </row>
    <row r="770" spans="6:18">
      <c r="F770" s="73"/>
      <c r="R770"/>
    </row>
    <row r="771" spans="6:18">
      <c r="F771" s="73"/>
      <c r="R771"/>
    </row>
    <row r="772" spans="6:18">
      <c r="F772" s="73"/>
      <c r="R772"/>
    </row>
    <row r="773" spans="6:18">
      <c r="F773" s="73"/>
      <c r="R773"/>
    </row>
    <row r="774" spans="6:18">
      <c r="F774" s="73"/>
      <c r="R774"/>
    </row>
    <row r="775" spans="6:18">
      <c r="F775" s="73"/>
      <c r="R775"/>
    </row>
    <row r="776" spans="6:18">
      <c r="F776" s="73"/>
      <c r="R776"/>
    </row>
    <row r="777" spans="6:18">
      <c r="F777" s="73"/>
      <c r="R777"/>
    </row>
    <row r="778" spans="6:18">
      <c r="F778" s="73"/>
      <c r="R778"/>
    </row>
    <row r="779" spans="6:18">
      <c r="F779" s="73"/>
      <c r="R779"/>
    </row>
    <row r="780" spans="6:18">
      <c r="F780" s="73"/>
      <c r="R780"/>
    </row>
    <row r="781" spans="6:18">
      <c r="F781" s="73"/>
      <c r="R781"/>
    </row>
    <row r="782" spans="6:18">
      <c r="F782" s="73"/>
      <c r="R782"/>
    </row>
    <row r="783" spans="6:18">
      <c r="F783" s="73"/>
      <c r="R783"/>
    </row>
    <row r="784" spans="6:18">
      <c r="F784" s="73"/>
      <c r="R784"/>
    </row>
    <row r="785" spans="6:18">
      <c r="F785" s="73"/>
      <c r="R785"/>
    </row>
    <row r="786" spans="6:18">
      <c r="F786" s="73"/>
      <c r="R786"/>
    </row>
    <row r="787" spans="6:18">
      <c r="F787" s="73"/>
      <c r="R787"/>
    </row>
    <row r="788" spans="6:18">
      <c r="F788" s="73"/>
      <c r="R788"/>
    </row>
    <row r="789" spans="6:18">
      <c r="F789" s="73"/>
      <c r="R789"/>
    </row>
    <row r="790" spans="6:18">
      <c r="F790" s="73"/>
      <c r="R790"/>
    </row>
    <row r="791" spans="6:18">
      <c r="F791" s="73"/>
      <c r="R791"/>
    </row>
    <row r="792" spans="6:18">
      <c r="F792" s="73"/>
      <c r="R792"/>
    </row>
    <row r="793" spans="6:18">
      <c r="F793" s="73"/>
      <c r="R793"/>
    </row>
    <row r="794" spans="6:18">
      <c r="F794" s="73"/>
      <c r="R794"/>
    </row>
    <row r="795" spans="6:18">
      <c r="F795" s="73"/>
      <c r="R795"/>
    </row>
    <row r="796" spans="6:18">
      <c r="F796" s="73"/>
      <c r="R796"/>
    </row>
    <row r="797" spans="6:18">
      <c r="F797" s="73"/>
      <c r="R797"/>
    </row>
    <row r="798" spans="6:18">
      <c r="F798" s="73"/>
      <c r="R798"/>
    </row>
    <row r="799" spans="6:18">
      <c r="F799" s="73"/>
      <c r="R799"/>
    </row>
    <row r="800" spans="6:18">
      <c r="F800" s="73"/>
      <c r="R800"/>
    </row>
    <row r="801" spans="6:18">
      <c r="F801" s="73"/>
      <c r="R801"/>
    </row>
    <row r="802" spans="6:18">
      <c r="F802" s="73"/>
      <c r="R802"/>
    </row>
    <row r="803" spans="6:18">
      <c r="F803" s="73"/>
      <c r="R803"/>
    </row>
    <row r="804" spans="6:18">
      <c r="F804" s="73"/>
      <c r="R804"/>
    </row>
    <row r="805" spans="6:18">
      <c r="F805" s="73"/>
      <c r="R805"/>
    </row>
    <row r="806" spans="6:18">
      <c r="F806" s="73"/>
      <c r="R806"/>
    </row>
    <row r="807" spans="6:18">
      <c r="F807" s="73"/>
      <c r="R807"/>
    </row>
    <row r="808" spans="6:18">
      <c r="F808" s="73"/>
      <c r="R808"/>
    </row>
    <row r="809" spans="6:18">
      <c r="F809" s="73"/>
      <c r="R809"/>
    </row>
    <row r="810" spans="6:18">
      <c r="F810" s="73"/>
      <c r="R810"/>
    </row>
    <row r="811" spans="6:18">
      <c r="F811" s="73"/>
      <c r="R811"/>
    </row>
    <row r="812" spans="6:18">
      <c r="F812" s="73"/>
      <c r="R812"/>
    </row>
    <row r="813" spans="6:18">
      <c r="F813" s="73"/>
      <c r="R813"/>
    </row>
    <row r="814" spans="6:18">
      <c r="F814" s="73"/>
      <c r="R814"/>
    </row>
    <row r="815" spans="6:18">
      <c r="F815" s="73"/>
      <c r="R815"/>
    </row>
    <row r="816" spans="6:18">
      <c r="F816" s="73"/>
      <c r="R816"/>
    </row>
    <row r="817" spans="6:18">
      <c r="F817" s="73"/>
      <c r="R817"/>
    </row>
    <row r="818" spans="6:18">
      <c r="F818" s="73"/>
      <c r="R818"/>
    </row>
    <row r="819" spans="6:18">
      <c r="F819" s="73"/>
      <c r="R819"/>
    </row>
    <row r="820" spans="6:18">
      <c r="F820" s="73"/>
      <c r="R820"/>
    </row>
    <row r="821" spans="6:18">
      <c r="F821" s="73"/>
      <c r="R821"/>
    </row>
    <row r="822" spans="6:18">
      <c r="F822" s="73"/>
      <c r="R822"/>
    </row>
    <row r="823" spans="6:18">
      <c r="F823" s="73"/>
      <c r="R823"/>
    </row>
    <row r="824" spans="6:18">
      <c r="F824" s="73"/>
      <c r="R824"/>
    </row>
    <row r="825" spans="6:18">
      <c r="F825" s="73"/>
      <c r="R825"/>
    </row>
    <row r="826" spans="6:18">
      <c r="F826" s="73"/>
      <c r="R826"/>
    </row>
    <row r="827" spans="6:18">
      <c r="F827" s="73"/>
      <c r="R827"/>
    </row>
    <row r="828" spans="6:18">
      <c r="F828" s="73"/>
      <c r="R828"/>
    </row>
    <row r="829" spans="6:18">
      <c r="F829" s="73"/>
      <c r="R829"/>
    </row>
    <row r="830" spans="6:18">
      <c r="F830" s="73"/>
      <c r="R830"/>
    </row>
    <row r="831" spans="6:18">
      <c r="F831" s="73"/>
      <c r="R831"/>
    </row>
    <row r="832" spans="6:18">
      <c r="F832" s="73"/>
      <c r="R832"/>
    </row>
    <row r="833" spans="6:18">
      <c r="F833" s="73"/>
      <c r="R833"/>
    </row>
    <row r="834" spans="6:18">
      <c r="F834" s="73"/>
      <c r="R834"/>
    </row>
    <row r="835" spans="6:18">
      <c r="F835" s="73"/>
      <c r="R835"/>
    </row>
    <row r="836" spans="6:18">
      <c r="F836" s="73"/>
      <c r="R836"/>
    </row>
    <row r="837" spans="6:18">
      <c r="F837" s="73"/>
      <c r="R837"/>
    </row>
    <row r="838" spans="6:18">
      <c r="F838" s="73"/>
      <c r="R838"/>
    </row>
    <row r="839" spans="6:18">
      <c r="F839" s="73"/>
      <c r="R839"/>
    </row>
    <row r="840" spans="6:18">
      <c r="F840" s="73"/>
      <c r="R840"/>
    </row>
    <row r="841" spans="6:18">
      <c r="F841" s="73"/>
      <c r="R841"/>
    </row>
    <row r="842" spans="6:18">
      <c r="F842" s="73"/>
      <c r="R842"/>
    </row>
    <row r="843" spans="6:18">
      <c r="F843" s="73"/>
      <c r="R843"/>
    </row>
    <row r="844" spans="6:18">
      <c r="F844" s="73"/>
      <c r="R844"/>
    </row>
    <row r="845" spans="6:18">
      <c r="F845" s="73"/>
      <c r="R845"/>
    </row>
    <row r="846" spans="6:18">
      <c r="F846" s="73"/>
      <c r="R846"/>
    </row>
    <row r="847" spans="6:18">
      <c r="F847" s="73"/>
      <c r="R847"/>
    </row>
    <row r="848" spans="6:18">
      <c r="F848" s="73"/>
      <c r="R848"/>
    </row>
    <row r="849" spans="6:18">
      <c r="F849" s="73"/>
      <c r="R849"/>
    </row>
    <row r="850" spans="6:18">
      <c r="F850" s="73"/>
      <c r="R850"/>
    </row>
    <row r="851" spans="6:18">
      <c r="F851" s="73"/>
      <c r="R851"/>
    </row>
    <row r="852" spans="6:18">
      <c r="F852" s="73"/>
      <c r="R852"/>
    </row>
    <row r="853" spans="6:18">
      <c r="F853" s="73"/>
      <c r="R853"/>
    </row>
    <row r="854" spans="6:18">
      <c r="F854" s="73"/>
      <c r="R854"/>
    </row>
    <row r="855" spans="6:18">
      <c r="F855" s="73"/>
      <c r="R855"/>
    </row>
    <row r="856" spans="6:18">
      <c r="F856" s="73"/>
      <c r="R856"/>
    </row>
    <row r="857" spans="6:18">
      <c r="F857" s="73"/>
      <c r="R857"/>
    </row>
    <row r="858" spans="6:18">
      <c r="F858" s="73"/>
      <c r="R858"/>
    </row>
    <row r="859" spans="6:18">
      <c r="F859" s="73"/>
      <c r="R859"/>
    </row>
    <row r="860" spans="6:18">
      <c r="F860" s="73"/>
      <c r="R860"/>
    </row>
    <row r="861" spans="6:18">
      <c r="F861" s="73"/>
      <c r="R861"/>
    </row>
    <row r="862" spans="6:18">
      <c r="F862" s="73"/>
      <c r="R862"/>
    </row>
    <row r="863" spans="6:18">
      <c r="F863" s="73"/>
      <c r="R863"/>
    </row>
    <row r="864" spans="6:18">
      <c r="F864" s="73"/>
      <c r="R864"/>
    </row>
    <row r="865" spans="6:18">
      <c r="F865" s="73"/>
      <c r="R865"/>
    </row>
    <row r="866" spans="6:18">
      <c r="F866" s="73"/>
      <c r="R866"/>
    </row>
    <row r="867" spans="6:18">
      <c r="F867" s="73"/>
      <c r="R867"/>
    </row>
    <row r="868" spans="6:18">
      <c r="F868" s="73"/>
      <c r="R868"/>
    </row>
    <row r="869" spans="6:18">
      <c r="F869" s="73"/>
      <c r="R869"/>
    </row>
    <row r="870" spans="6:18">
      <c r="F870" s="73"/>
      <c r="R870"/>
    </row>
    <row r="871" spans="6:18">
      <c r="F871" s="73"/>
      <c r="R871"/>
    </row>
    <row r="872" spans="6:18">
      <c r="F872" s="73"/>
      <c r="R872"/>
    </row>
    <row r="873" spans="6:18">
      <c r="F873" s="73"/>
      <c r="R873"/>
    </row>
    <row r="874" spans="6:18">
      <c r="F874" s="73"/>
      <c r="R874"/>
    </row>
    <row r="875" spans="6:18">
      <c r="F875" s="73"/>
      <c r="R875"/>
    </row>
    <row r="876" spans="6:18">
      <c r="F876" s="73"/>
      <c r="R876"/>
    </row>
    <row r="877" spans="6:18">
      <c r="F877" s="73"/>
      <c r="R877"/>
    </row>
    <row r="878" spans="6:18">
      <c r="F878" s="73"/>
      <c r="R878"/>
    </row>
    <row r="879" spans="6:18">
      <c r="F879" s="73"/>
      <c r="R879"/>
    </row>
    <row r="880" spans="6:18">
      <c r="F880" s="73"/>
      <c r="R880"/>
    </row>
    <row r="881" spans="6:18">
      <c r="F881" s="73"/>
      <c r="R881"/>
    </row>
    <row r="882" spans="6:18">
      <c r="F882" s="73"/>
      <c r="R882"/>
    </row>
    <row r="883" spans="6:18">
      <c r="F883" s="73"/>
      <c r="R883"/>
    </row>
    <row r="884" spans="6:18">
      <c r="F884" s="73"/>
      <c r="R884"/>
    </row>
    <row r="885" spans="6:18">
      <c r="F885" s="73"/>
      <c r="R885"/>
    </row>
    <row r="886" spans="6:18">
      <c r="F886" s="73"/>
      <c r="R886"/>
    </row>
    <row r="887" spans="6:18">
      <c r="F887" s="73"/>
      <c r="R887"/>
    </row>
    <row r="888" spans="6:18">
      <c r="F888" s="73"/>
      <c r="R888"/>
    </row>
    <row r="889" spans="6:18">
      <c r="F889" s="73"/>
      <c r="R889"/>
    </row>
    <row r="890" spans="6:18">
      <c r="F890" s="73"/>
      <c r="R890"/>
    </row>
    <row r="891" spans="6:18">
      <c r="F891" s="73"/>
      <c r="R891"/>
    </row>
    <row r="892" spans="6:18">
      <c r="F892" s="73"/>
      <c r="R892"/>
    </row>
    <row r="893" spans="6:18">
      <c r="F893" s="73"/>
      <c r="R893"/>
    </row>
    <row r="894" spans="6:18">
      <c r="F894" s="73"/>
      <c r="R894"/>
    </row>
    <row r="895" spans="6:18">
      <c r="F895" s="73"/>
      <c r="R895"/>
    </row>
    <row r="896" spans="6:18">
      <c r="F896" s="73"/>
      <c r="R896"/>
    </row>
  </sheetData>
  <pageMargins left="0.35433070866141736" right="0.74803149606299213" top="0.39370078740157483" bottom="0.59055118110236227" header="0.51181102362204722" footer="0.51181102362204722"/>
  <pageSetup paperSize="9" orientation="landscape" horizontalDpi="3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718"/>
  <sheetViews>
    <sheetView tabSelected="1" topLeftCell="A618" zoomScaleNormal="100" workbookViewId="0">
      <selection activeCell="H719" sqref="H719"/>
    </sheetView>
  </sheetViews>
  <sheetFormatPr defaultRowHeight="12.75"/>
  <cols>
    <col min="1" max="1" width="1.28515625" customWidth="1"/>
    <col min="2" max="2" width="1.7109375" customWidth="1"/>
    <col min="3" max="3" width="2.7109375" customWidth="1"/>
    <col min="4" max="4" width="18.140625" customWidth="1"/>
    <col min="5" max="5" width="13.5703125" style="39" customWidth="1"/>
    <col min="6" max="6" width="2.28515625" customWidth="1"/>
    <col min="7" max="7" width="1.28515625" style="58" customWidth="1"/>
    <col min="8" max="8" width="11.140625" customWidth="1"/>
    <col min="9" max="9" width="13.7109375" customWidth="1"/>
    <col min="10" max="10" width="5" customWidth="1"/>
    <col min="11" max="11" width="5" style="346" customWidth="1"/>
    <col min="12" max="12" width="12.85546875" customWidth="1"/>
    <col min="13" max="13" width="12.140625" style="39" customWidth="1"/>
    <col min="14" max="14" width="11.85546875" customWidth="1"/>
    <col min="15" max="15" width="3" customWidth="1"/>
    <col min="16" max="16" width="12.5703125" style="39" customWidth="1"/>
    <col min="17" max="17" width="12.7109375" style="39" customWidth="1"/>
    <col min="18" max="18" width="11.85546875" style="39" customWidth="1"/>
    <col min="19" max="19" width="13.140625" style="525" customWidth="1"/>
    <col min="20" max="20" width="11.7109375" customWidth="1"/>
    <col min="21" max="21" width="4" customWidth="1"/>
    <col min="22" max="22" width="12.42578125" customWidth="1"/>
    <col min="23" max="23" width="2.85546875" customWidth="1"/>
    <col min="24" max="24" width="7.85546875" customWidth="1"/>
    <col min="25" max="25" width="8.85546875" customWidth="1"/>
    <col min="26" max="26" width="12.7109375" style="39" customWidth="1"/>
    <col min="27" max="27" width="8" style="190" customWidth="1"/>
    <col min="28" max="28" width="11.7109375" style="39" customWidth="1"/>
    <col min="29" max="29" width="11.7109375" customWidth="1"/>
    <col min="30" max="30" width="13" customWidth="1"/>
    <col min="31" max="31" width="10.140625" customWidth="1"/>
    <col min="32" max="32" width="9.85546875" customWidth="1"/>
  </cols>
  <sheetData>
    <row r="1" spans="1:35" ht="16.5" customHeight="1">
      <c r="A1" s="499" t="s">
        <v>28</v>
      </c>
      <c r="B1" s="498"/>
      <c r="G1" s="978"/>
      <c r="H1" s="978"/>
      <c r="I1" s="495"/>
    </row>
    <row r="2" spans="1:35" s="487" customFormat="1" ht="3" customHeight="1">
      <c r="E2" s="488"/>
      <c r="G2" s="489"/>
      <c r="H2" s="490"/>
      <c r="I2" s="496"/>
      <c r="K2" s="491"/>
      <c r="N2" s="488"/>
      <c r="O2" s="488"/>
      <c r="P2" s="488"/>
      <c r="Q2" s="488"/>
      <c r="R2" s="488"/>
      <c r="S2" s="526"/>
      <c r="T2" s="488"/>
      <c r="X2" s="492"/>
      <c r="Y2" s="493"/>
      <c r="Z2" s="494"/>
      <c r="AA2" s="490"/>
      <c r="AB2" s="494"/>
    </row>
    <row r="3" spans="1:35" s="480" customFormat="1" ht="6" customHeight="1">
      <c r="E3" s="481"/>
      <c r="G3" s="482"/>
      <c r="H3" s="483"/>
      <c r="I3" s="497"/>
      <c r="K3" s="484"/>
      <c r="N3" s="481"/>
      <c r="O3" s="481"/>
      <c r="P3" s="481"/>
      <c r="Q3" s="481"/>
      <c r="R3" s="481"/>
      <c r="S3" s="527"/>
      <c r="T3" s="481"/>
      <c r="X3" s="485"/>
      <c r="Y3" s="486"/>
      <c r="Z3" s="105"/>
      <c r="AA3" s="483"/>
      <c r="AB3" s="105"/>
    </row>
    <row r="5" spans="1:35" hidden="1">
      <c r="B5" s="967" t="s">
        <v>112</v>
      </c>
      <c r="C5" s="967"/>
      <c r="D5" s="967"/>
      <c r="E5" s="967"/>
      <c r="G5" s="75"/>
      <c r="H5" s="75"/>
      <c r="I5" s="60"/>
      <c r="L5" s="127"/>
      <c r="M5" s="968" t="s">
        <v>90</v>
      </c>
      <c r="N5" s="205"/>
      <c r="O5" s="205"/>
      <c r="P5" s="969" t="s">
        <v>84</v>
      </c>
      <c r="Q5" s="203"/>
      <c r="R5" s="203"/>
      <c r="S5" s="528"/>
      <c r="V5" s="47"/>
      <c r="W5" s="47"/>
      <c r="X5" s="84"/>
      <c r="Y5" s="84"/>
      <c r="Z5" s="60"/>
      <c r="AA5" s="202"/>
      <c r="AB5" s="60"/>
      <c r="AC5" s="47"/>
      <c r="AD5" s="47"/>
      <c r="AE5" s="47"/>
      <c r="AF5" s="47"/>
      <c r="AG5" s="47"/>
      <c r="AH5" s="47"/>
      <c r="AI5" s="47"/>
    </row>
    <row r="6" spans="1:35" ht="12.75" hidden="1" customHeight="1">
      <c r="C6" s="43" t="s">
        <v>35</v>
      </c>
      <c r="D6" s="39"/>
      <c r="E6" s="99">
        <v>6000</v>
      </c>
      <c r="G6" s="687"/>
      <c r="H6" s="687"/>
      <c r="I6" s="60"/>
      <c r="L6" s="128"/>
      <c r="M6" s="968"/>
      <c r="N6" s="205" t="s">
        <v>88</v>
      </c>
      <c r="O6" s="205"/>
      <c r="P6" s="969"/>
      <c r="Q6" s="203" t="s">
        <v>79</v>
      </c>
      <c r="R6" s="203" t="s">
        <v>89</v>
      </c>
      <c r="S6" s="528"/>
      <c r="V6" s="47"/>
      <c r="W6" s="47"/>
      <c r="X6" s="198"/>
      <c r="Y6" s="191"/>
      <c r="Z6" s="197"/>
      <c r="AA6" s="169"/>
      <c r="AB6" s="170"/>
      <c r="AC6" s="47"/>
      <c r="AD6" s="91"/>
      <c r="AE6" s="47"/>
      <c r="AF6" s="47"/>
      <c r="AG6" s="47"/>
      <c r="AH6" s="47"/>
      <c r="AI6" s="47"/>
    </row>
    <row r="7" spans="1:35" hidden="1">
      <c r="C7" s="43"/>
      <c r="D7" s="39" t="s">
        <v>47</v>
      </c>
      <c r="E7" s="99">
        <f>'[1]FEBRUARY ''11'!$C$37</f>
        <v>854.44</v>
      </c>
      <c r="G7" s="74"/>
      <c r="H7" s="74"/>
      <c r="I7" s="60"/>
      <c r="L7" s="101" t="s">
        <v>91</v>
      </c>
      <c r="M7" s="60">
        <f>[2]Nikki!$K$316</f>
        <v>3653.3297920000032</v>
      </c>
      <c r="N7" s="139">
        <f>M7</f>
        <v>3653.3297920000032</v>
      </c>
      <c r="O7" s="60"/>
      <c r="P7" s="60">
        <f>[2]Nikki!$O$314</f>
        <v>-8946.957278481008</v>
      </c>
      <c r="Q7" s="139">
        <f>P7</f>
        <v>-8946.957278481008</v>
      </c>
      <c r="R7" s="100">
        <f>10050+Q7</f>
        <v>1103.042721518992</v>
      </c>
      <c r="S7" s="532"/>
      <c r="T7" s="71"/>
      <c r="V7" s="47"/>
      <c r="W7" s="47"/>
      <c r="X7" s="171"/>
      <c r="Y7" s="191"/>
      <c r="Z7" s="60"/>
      <c r="AA7" s="202"/>
      <c r="AB7" s="60"/>
      <c r="AC7" s="47"/>
      <c r="AD7" s="172"/>
      <c r="AE7" s="173"/>
      <c r="AF7" s="47"/>
      <c r="AG7" s="47"/>
      <c r="AH7" s="47"/>
      <c r="AI7" s="47"/>
    </row>
    <row r="8" spans="1:35" hidden="1">
      <c r="C8" s="43"/>
      <c r="D8" s="39" t="s">
        <v>107</v>
      </c>
      <c r="E8" s="99">
        <f>'[1]JANUARY ''11'!$C$36</f>
        <v>976.9</v>
      </c>
      <c r="G8" s="74"/>
      <c r="H8" s="74"/>
      <c r="I8" s="60"/>
      <c r="L8" s="181" t="s">
        <v>113</v>
      </c>
      <c r="M8" s="215">
        <v>-670</v>
      </c>
      <c r="N8" s="137">
        <f t="shared" ref="N8:N39" si="0">N7+M8</f>
        <v>2983.3297920000032</v>
      </c>
      <c r="O8" s="60"/>
      <c r="P8" s="213">
        <v>-285.5</v>
      </c>
      <c r="Q8" s="140">
        <f t="shared" ref="Q8:Q20" si="1">Q7+P8</f>
        <v>-9232.457278481008</v>
      </c>
      <c r="R8" s="100">
        <f>10050+Q8</f>
        <v>817.54272151899204</v>
      </c>
      <c r="S8" s="524" t="s">
        <v>115</v>
      </c>
      <c r="T8" s="71"/>
      <c r="V8" s="47"/>
      <c r="W8" s="47"/>
      <c r="X8" s="171"/>
      <c r="Y8" s="192"/>
      <c r="Z8" s="60"/>
      <c r="AA8" s="202"/>
      <c r="AB8" s="60"/>
      <c r="AC8" s="47"/>
      <c r="AD8" s="172"/>
      <c r="AE8" s="173"/>
      <c r="AF8" s="47"/>
      <c r="AG8" s="47"/>
      <c r="AH8" s="47"/>
      <c r="AI8" s="47"/>
    </row>
    <row r="9" spans="1:35" hidden="1">
      <c r="C9" s="43"/>
      <c r="D9" s="131" t="s">
        <v>96</v>
      </c>
      <c r="E9" s="41"/>
      <c r="G9"/>
      <c r="I9" s="60"/>
      <c r="L9" s="181" t="s">
        <v>108</v>
      </c>
      <c r="M9" s="215">
        <v>-293.89999999999998</v>
      </c>
      <c r="N9" s="137">
        <f t="shared" si="0"/>
        <v>2689.4297920000031</v>
      </c>
      <c r="O9" s="134"/>
      <c r="P9" s="213">
        <v>-146.4</v>
      </c>
      <c r="Q9" s="140">
        <f t="shared" si="1"/>
        <v>-9378.8572784810076</v>
      </c>
      <c r="R9" s="100">
        <f t="shared" ref="R9:R20" si="2">10050+Q9</f>
        <v>671.1427215189924</v>
      </c>
      <c r="S9" s="524" t="s">
        <v>116</v>
      </c>
      <c r="V9" s="47"/>
      <c r="W9" s="47"/>
      <c r="X9" s="47"/>
      <c r="Y9" s="192"/>
      <c r="Z9" s="98"/>
      <c r="AA9" s="174"/>
      <c r="AB9" s="175"/>
      <c r="AC9" s="47"/>
      <c r="AD9" s="91"/>
      <c r="AE9" s="173"/>
      <c r="AF9" s="47"/>
      <c r="AG9" s="47"/>
      <c r="AH9" s="47"/>
      <c r="AI9" s="47"/>
    </row>
    <row r="10" spans="1:35" ht="12.75" hidden="1" customHeight="1">
      <c r="C10" s="45" t="s">
        <v>17</v>
      </c>
      <c r="D10" s="39"/>
      <c r="E10" s="39">
        <f>SUM(E6:E9)</f>
        <v>7831.34</v>
      </c>
      <c r="G10" s="691" t="s">
        <v>111</v>
      </c>
      <c r="H10" s="691"/>
      <c r="I10" s="691"/>
      <c r="J10" s="47"/>
      <c r="K10" s="348"/>
      <c r="L10" s="181" t="s">
        <v>114</v>
      </c>
      <c r="M10" s="215">
        <v>-20</v>
      </c>
      <c r="N10" s="137">
        <f t="shared" si="0"/>
        <v>2669.4297920000031</v>
      </c>
      <c r="O10" s="134"/>
      <c r="P10" s="213">
        <v>-220</v>
      </c>
      <c r="Q10" s="140">
        <f t="shared" si="1"/>
        <v>-9598.8572784810076</v>
      </c>
      <c r="R10" s="100">
        <f t="shared" si="2"/>
        <v>451.1427215189924</v>
      </c>
      <c r="S10" s="524" t="s">
        <v>117</v>
      </c>
      <c r="V10" s="47"/>
      <c r="W10" s="47"/>
      <c r="X10" s="47"/>
      <c r="Y10" s="192"/>
      <c r="Z10" s="98"/>
      <c r="AA10" s="174"/>
      <c r="AB10" s="60"/>
      <c r="AC10" s="47"/>
      <c r="AD10" s="172"/>
      <c r="AE10" s="173"/>
      <c r="AF10" s="47"/>
      <c r="AG10" s="47"/>
      <c r="AH10" s="47"/>
      <c r="AI10" s="47"/>
    </row>
    <row r="11" spans="1:35" hidden="1">
      <c r="G11"/>
      <c r="H11" s="58" t="s">
        <v>32</v>
      </c>
      <c r="I11" s="39">
        <v>175.44</v>
      </c>
      <c r="J11" s="117"/>
      <c r="K11" s="348"/>
      <c r="L11" s="181" t="s">
        <v>119</v>
      </c>
      <c r="M11" s="215">
        <v>-149.85</v>
      </c>
      <c r="N11" s="137">
        <f t="shared" si="0"/>
        <v>2519.5797920000032</v>
      </c>
      <c r="O11" s="105"/>
      <c r="P11" s="213">
        <v>-123.84</v>
      </c>
      <c r="Q11" s="140">
        <f t="shared" si="1"/>
        <v>-9722.6972784810077</v>
      </c>
      <c r="R11" s="100">
        <f t="shared" si="2"/>
        <v>327.30272151899226</v>
      </c>
      <c r="S11" s="524" t="s">
        <v>85</v>
      </c>
      <c r="V11" s="47"/>
      <c r="W11" s="47"/>
      <c r="X11" s="171"/>
      <c r="Y11" s="192"/>
      <c r="Z11" s="98"/>
      <c r="AA11" s="174"/>
      <c r="AB11" s="60"/>
      <c r="AC11" s="47"/>
      <c r="AD11" s="172"/>
      <c r="AE11" s="173"/>
      <c r="AF11" s="47"/>
      <c r="AG11" s="47"/>
      <c r="AH11" s="47"/>
      <c r="AI11" s="47"/>
    </row>
    <row r="12" spans="1:35" hidden="1">
      <c r="C12" s="43" t="s">
        <v>29</v>
      </c>
      <c r="G12"/>
      <c r="H12" s="58" t="s">
        <v>41</v>
      </c>
      <c r="I12" s="39">
        <f>4.08+16.89</f>
        <v>20.97</v>
      </c>
      <c r="J12" s="47"/>
      <c r="K12" s="348"/>
      <c r="L12" s="181" t="s">
        <v>118</v>
      </c>
      <c r="M12" s="215">
        <v>-99.2</v>
      </c>
      <c r="N12" s="137">
        <f t="shared" si="0"/>
        <v>2420.3797920000034</v>
      </c>
      <c r="O12" s="105"/>
      <c r="P12" s="213">
        <v>-132.76</v>
      </c>
      <c r="Q12" s="140">
        <f t="shared" si="1"/>
        <v>-9855.457278481008</v>
      </c>
      <c r="R12" s="100">
        <f t="shared" si="2"/>
        <v>194.54272151899204</v>
      </c>
      <c r="S12" s="524" t="s">
        <v>109</v>
      </c>
      <c r="T12" s="47"/>
      <c r="U12" s="47"/>
      <c r="V12" s="183"/>
      <c r="W12" s="183"/>
      <c r="X12" s="47"/>
      <c r="Y12" s="192"/>
      <c r="Z12" s="98"/>
      <c r="AA12" s="174"/>
      <c r="AB12" s="175"/>
      <c r="AC12" s="47"/>
      <c r="AD12" s="176"/>
      <c r="AE12" s="173"/>
      <c r="AF12" s="47"/>
      <c r="AG12" s="47"/>
      <c r="AH12" s="47"/>
      <c r="AI12" s="47"/>
    </row>
    <row r="13" spans="1:35" hidden="1">
      <c r="D13" t="s">
        <v>30</v>
      </c>
      <c r="E13" s="39">
        <f>1204/2</f>
        <v>602</v>
      </c>
      <c r="G13" s="85"/>
      <c r="H13" s="58" t="s">
        <v>43</v>
      </c>
      <c r="I13" s="39">
        <v>7.45</v>
      </c>
      <c r="J13" s="47"/>
      <c r="K13" s="348"/>
      <c r="L13" s="151" t="s">
        <v>120</v>
      </c>
      <c r="M13" s="100">
        <v>-200</v>
      </c>
      <c r="N13" s="137">
        <f t="shared" si="0"/>
        <v>2220.3797920000034</v>
      </c>
      <c r="O13" s="106"/>
      <c r="P13" s="213">
        <v>1500</v>
      </c>
      <c r="Q13" s="140">
        <f t="shared" si="1"/>
        <v>-8355.457278481008</v>
      </c>
      <c r="R13" s="100">
        <f t="shared" si="2"/>
        <v>1694.542721518992</v>
      </c>
      <c r="S13" s="524" t="s">
        <v>103</v>
      </c>
      <c r="T13" s="47"/>
      <c r="U13" s="47"/>
      <c r="V13" s="47"/>
      <c r="W13" s="47"/>
      <c r="X13" s="47"/>
      <c r="Y13" s="192"/>
      <c r="Z13" s="98"/>
      <c r="AA13" s="174"/>
      <c r="AB13" s="60"/>
      <c r="AC13" s="47"/>
      <c r="AD13" s="91"/>
      <c r="AE13" s="173"/>
      <c r="AF13" s="47"/>
      <c r="AG13" s="47"/>
      <c r="AH13" s="47"/>
      <c r="AI13" s="47"/>
    </row>
    <row r="14" spans="1:35" hidden="1">
      <c r="D14" t="s">
        <v>31</v>
      </c>
      <c r="E14" s="99"/>
      <c r="F14" s="86" t="s">
        <v>38</v>
      </c>
      <c r="G14"/>
      <c r="H14" s="58" t="s">
        <v>42</v>
      </c>
      <c r="I14" s="39">
        <v>30.7</v>
      </c>
      <c r="J14" s="47"/>
      <c r="K14" s="348"/>
      <c r="L14" s="151" t="s">
        <v>121</v>
      </c>
      <c r="M14" s="100">
        <v>-131.9</v>
      </c>
      <c r="N14" s="137">
        <f t="shared" si="0"/>
        <v>2088.4797920000033</v>
      </c>
      <c r="O14" s="106"/>
      <c r="P14" s="213">
        <v>-140</v>
      </c>
      <c r="Q14" s="140">
        <f t="shared" si="1"/>
        <v>-8495.457278481008</v>
      </c>
      <c r="R14" s="100">
        <f t="shared" si="2"/>
        <v>1554.542721518992</v>
      </c>
      <c r="S14" s="524" t="s">
        <v>128</v>
      </c>
      <c r="T14" s="47"/>
      <c r="U14" s="47"/>
      <c r="V14" s="47"/>
      <c r="W14" s="47"/>
      <c r="X14" s="47"/>
      <c r="Y14" s="192"/>
      <c r="Z14" s="98"/>
      <c r="AA14" s="174"/>
      <c r="AB14" s="60"/>
      <c r="AC14" s="47"/>
      <c r="AD14" s="172"/>
      <c r="AE14" s="173"/>
      <c r="AF14" s="47"/>
      <c r="AG14" s="47"/>
      <c r="AH14" s="47"/>
      <c r="AI14" s="47"/>
    </row>
    <row r="15" spans="1:35" hidden="1">
      <c r="D15" t="s">
        <v>32</v>
      </c>
      <c r="E15" s="46">
        <f>I18</f>
        <v>376.33</v>
      </c>
      <c r="F15" s="86" t="s">
        <v>38</v>
      </c>
      <c r="G15"/>
      <c r="H15" s="58" t="s">
        <v>44</v>
      </c>
      <c r="I15" s="39">
        <v>3.51</v>
      </c>
      <c r="J15" s="47"/>
      <c r="K15" s="348"/>
      <c r="L15" s="151" t="s">
        <v>122</v>
      </c>
      <c r="M15" s="215">
        <v>-130.9</v>
      </c>
      <c r="N15" s="137">
        <f t="shared" si="0"/>
        <v>1957.5797920000032</v>
      </c>
      <c r="O15" s="106"/>
      <c r="P15" s="100">
        <f>-250-11.5</f>
        <v>-261.5</v>
      </c>
      <c r="Q15" s="140">
        <f t="shared" si="1"/>
        <v>-8756.957278481008</v>
      </c>
      <c r="R15" s="100">
        <f t="shared" si="2"/>
        <v>1293.042721518992</v>
      </c>
      <c r="S15" s="524" t="s">
        <v>129</v>
      </c>
      <c r="T15" s="111"/>
      <c r="U15" s="47"/>
      <c r="V15" s="60"/>
      <c r="W15" s="60"/>
      <c r="X15" s="47"/>
      <c r="Y15" s="192"/>
      <c r="Z15" s="98"/>
      <c r="AA15" s="174"/>
      <c r="AB15" s="175"/>
      <c r="AC15" s="47"/>
      <c r="AD15" s="172"/>
      <c r="AE15" s="173"/>
      <c r="AF15" s="47"/>
      <c r="AG15" s="47"/>
      <c r="AH15" s="47"/>
      <c r="AI15" s="47"/>
    </row>
    <row r="16" spans="1:35" hidden="1">
      <c r="D16" t="s">
        <v>45</v>
      </c>
      <c r="E16" s="41"/>
      <c r="F16" s="87"/>
      <c r="G16"/>
      <c r="H16" s="58" t="s">
        <v>49</v>
      </c>
      <c r="I16" s="99">
        <f>368.4+134.31+48.07+3.95</f>
        <v>554.73</v>
      </c>
      <c r="J16" s="47"/>
      <c r="K16" s="348"/>
      <c r="L16" s="151" t="s">
        <v>110</v>
      </c>
      <c r="M16" s="215">
        <v>-55</v>
      </c>
      <c r="N16" s="137">
        <f t="shared" si="0"/>
        <v>1902.5797920000032</v>
      </c>
      <c r="O16" s="88"/>
      <c r="P16" s="214">
        <v>-380.35</v>
      </c>
      <c r="Q16" s="140">
        <f t="shared" si="1"/>
        <v>-9137.3072784810083</v>
      </c>
      <c r="R16" s="100">
        <f t="shared" si="2"/>
        <v>912.69272151899168</v>
      </c>
      <c r="S16" s="524" t="s">
        <v>130</v>
      </c>
      <c r="T16" s="111"/>
      <c r="U16" s="47"/>
      <c r="V16" s="60"/>
      <c r="W16" s="60"/>
      <c r="X16" s="47"/>
      <c r="Y16" s="192"/>
      <c r="Z16" s="98"/>
      <c r="AA16" s="174"/>
      <c r="AB16" s="60"/>
      <c r="AC16" s="47"/>
      <c r="AD16" s="172"/>
      <c r="AE16" s="177"/>
      <c r="AF16" s="47"/>
      <c r="AG16" s="47"/>
      <c r="AH16" s="47"/>
      <c r="AI16" s="47"/>
    </row>
    <row r="17" spans="2:35" hidden="1">
      <c r="C17" s="45" t="s">
        <v>17</v>
      </c>
      <c r="E17" s="46">
        <f>SUM(E13:E16)</f>
        <v>978.32999999999993</v>
      </c>
      <c r="G17"/>
      <c r="H17" s="58" t="s">
        <v>50</v>
      </c>
      <c r="I17" s="115">
        <f>-368.4-48.07</f>
        <v>-416.46999999999997</v>
      </c>
      <c r="J17" s="47"/>
      <c r="K17" s="348"/>
      <c r="L17" s="151" t="s">
        <v>123</v>
      </c>
      <c r="M17" s="215">
        <v>-98.1</v>
      </c>
      <c r="N17" s="137">
        <f t="shared" si="0"/>
        <v>1804.4797920000033</v>
      </c>
      <c r="O17" s="88"/>
      <c r="P17" s="214">
        <v>-421.02</v>
      </c>
      <c r="Q17" s="140">
        <f t="shared" si="1"/>
        <v>-9558.3272784810088</v>
      </c>
      <c r="R17" s="100">
        <f t="shared" si="2"/>
        <v>491.67272151899124</v>
      </c>
      <c r="S17" s="524" t="s">
        <v>86</v>
      </c>
      <c r="T17" s="152"/>
      <c r="U17" s="142"/>
      <c r="V17" s="60"/>
      <c r="W17" s="60"/>
      <c r="X17" s="47"/>
      <c r="Y17" s="192"/>
      <c r="Z17" s="98"/>
      <c r="AA17" s="174"/>
      <c r="AB17" s="60"/>
      <c r="AC17" s="47"/>
      <c r="AD17" s="47"/>
      <c r="AE17" s="173"/>
      <c r="AF17" s="47"/>
      <c r="AG17" s="47"/>
      <c r="AH17" s="47"/>
      <c r="AI17" s="47"/>
    </row>
    <row r="18" spans="2:35" ht="13.5" hidden="1" thickBot="1">
      <c r="C18" s="45"/>
      <c r="G18"/>
      <c r="H18" s="58"/>
      <c r="I18" s="116">
        <f>SUM(I11:I17)</f>
        <v>376.33</v>
      </c>
      <c r="J18" s="47"/>
      <c r="K18" s="348"/>
      <c r="L18" s="151" t="s">
        <v>124</v>
      </c>
      <c r="M18" s="215">
        <v>-396.1</v>
      </c>
      <c r="N18" s="137">
        <f t="shared" si="0"/>
        <v>1408.3797920000034</v>
      </c>
      <c r="O18" s="88"/>
      <c r="P18" s="213">
        <v>-113.3</v>
      </c>
      <c r="Q18" s="140">
        <f t="shared" si="1"/>
        <v>-9671.627278481008</v>
      </c>
      <c r="R18" s="100">
        <f t="shared" si="2"/>
        <v>378.37272151899197</v>
      </c>
      <c r="S18" s="524" t="s">
        <v>93</v>
      </c>
      <c r="T18" s="111"/>
      <c r="U18" s="142"/>
      <c r="V18" s="60"/>
      <c r="W18" s="60"/>
      <c r="X18" s="171"/>
      <c r="Y18" s="47"/>
      <c r="Z18" s="98"/>
      <c r="AA18" s="174"/>
      <c r="AB18" s="175"/>
      <c r="AC18" s="47"/>
      <c r="AD18" s="178"/>
      <c r="AE18" s="173"/>
      <c r="AF18" s="202"/>
      <c r="AG18" s="47"/>
      <c r="AH18" s="47"/>
      <c r="AI18" s="47"/>
    </row>
    <row r="19" spans="2:35" ht="13.5" hidden="1" thickBot="1">
      <c r="D19" s="42" t="s">
        <v>105</v>
      </c>
      <c r="E19" s="63">
        <f>E10-E17</f>
        <v>6853.01</v>
      </c>
      <c r="G19"/>
      <c r="H19" s="196"/>
      <c r="I19" s="100"/>
      <c r="J19" s="47"/>
      <c r="K19" s="348"/>
      <c r="L19" s="151" t="s">
        <v>125</v>
      </c>
      <c r="M19" s="215">
        <v>530.02</v>
      </c>
      <c r="N19" s="137">
        <f t="shared" si="0"/>
        <v>1938.3997920000033</v>
      </c>
      <c r="O19" s="88"/>
      <c r="P19" s="106">
        <v>-122.75</v>
      </c>
      <c r="Q19" s="140">
        <f t="shared" si="1"/>
        <v>-9794.377278481008</v>
      </c>
      <c r="R19" s="100">
        <f t="shared" si="2"/>
        <v>255.62272151899197</v>
      </c>
      <c r="S19" s="530" t="s">
        <v>132</v>
      </c>
      <c r="T19" s="135"/>
      <c r="U19" s="134"/>
      <c r="V19" s="60"/>
      <c r="W19" s="60"/>
      <c r="X19" s="84"/>
      <c r="Y19" s="47"/>
      <c r="Z19" s="98"/>
      <c r="AA19" s="174"/>
      <c r="AB19" s="60"/>
      <c r="AC19" s="47"/>
      <c r="AD19" s="47"/>
      <c r="AE19" s="47"/>
      <c r="AF19" s="179"/>
      <c r="AG19" s="47"/>
      <c r="AH19" s="47"/>
      <c r="AI19" s="47"/>
    </row>
    <row r="20" spans="2:35" hidden="1">
      <c r="D20" s="43"/>
      <c r="E20" s="90"/>
      <c r="G20"/>
      <c r="H20" s="58"/>
      <c r="I20" s="100"/>
      <c r="J20" s="47"/>
      <c r="K20" s="348"/>
      <c r="L20" s="151" t="s">
        <v>126</v>
      </c>
      <c r="M20" s="215">
        <v>-20</v>
      </c>
      <c r="N20" s="137">
        <f t="shared" si="0"/>
        <v>1918.3997920000033</v>
      </c>
      <c r="O20" s="88"/>
      <c r="P20" s="106">
        <f>E24</f>
        <v>1303.4099999999999</v>
      </c>
      <c r="Q20" s="141">
        <f t="shared" si="1"/>
        <v>-8490.9672784810082</v>
      </c>
      <c r="R20" s="115">
        <f t="shared" si="2"/>
        <v>1559.0327215189918</v>
      </c>
      <c r="S20" s="533" t="s">
        <v>100</v>
      </c>
      <c r="T20" s="135"/>
      <c r="U20" s="134"/>
      <c r="V20" s="47"/>
      <c r="W20" s="47"/>
      <c r="X20" s="47"/>
      <c r="Y20" s="191"/>
      <c r="Z20" s="98"/>
      <c r="AA20" s="174"/>
      <c r="AB20" s="60"/>
      <c r="AC20" s="47"/>
      <c r="AD20" s="47"/>
      <c r="AE20" s="47"/>
      <c r="AF20" s="47"/>
      <c r="AG20" s="47"/>
      <c r="AH20" s="47"/>
      <c r="AI20" s="47"/>
    </row>
    <row r="21" spans="2:35" hidden="1">
      <c r="D21" s="43"/>
      <c r="E21" s="90"/>
      <c r="G21"/>
      <c r="H21" s="58"/>
      <c r="I21" s="100"/>
      <c r="J21" s="47"/>
      <c r="K21" s="348"/>
      <c r="L21" s="151" t="s">
        <v>106</v>
      </c>
      <c r="M21" s="215">
        <v>-1500</v>
      </c>
      <c r="N21" s="137">
        <f t="shared" si="0"/>
        <v>418.39979200000334</v>
      </c>
      <c r="O21" s="88"/>
      <c r="P21" s="133">
        <f>SUM(P7:P20)</f>
        <v>-8490.9672784810082</v>
      </c>
      <c r="Q21" s="132"/>
      <c r="R21" s="132"/>
      <c r="S21" s="528"/>
      <c r="T21" s="135"/>
      <c r="U21" s="134"/>
      <c r="V21" s="47"/>
      <c r="W21" s="47"/>
      <c r="X21" s="171"/>
      <c r="Y21" s="191"/>
      <c r="Z21" s="98"/>
      <c r="AA21" s="174"/>
      <c r="AB21" s="175"/>
      <c r="AC21" s="47"/>
      <c r="AD21" s="47"/>
      <c r="AE21" s="47"/>
      <c r="AF21" s="47"/>
      <c r="AG21" s="47"/>
      <c r="AH21" s="47"/>
      <c r="AI21" s="47"/>
    </row>
    <row r="22" spans="2:35" hidden="1">
      <c r="C22" s="153" t="s">
        <v>40</v>
      </c>
      <c r="E22" s="97"/>
      <c r="G22"/>
      <c r="H22" s="58"/>
      <c r="I22" s="39"/>
      <c r="J22" s="47"/>
      <c r="K22" s="348"/>
      <c r="L22" s="151" t="s">
        <v>127</v>
      </c>
      <c r="M22" s="215">
        <v>-89.75</v>
      </c>
      <c r="N22" s="137">
        <f t="shared" si="0"/>
        <v>328.64979200000334</v>
      </c>
      <c r="O22" s="97"/>
      <c r="P22" s="136"/>
      <c r="Q22" s="180"/>
      <c r="R22" s="213"/>
      <c r="S22" s="528"/>
      <c r="T22" s="135"/>
      <c r="U22" s="134"/>
      <c r="V22" s="47"/>
      <c r="W22" s="47"/>
      <c r="X22" s="47"/>
      <c r="Y22" s="191"/>
      <c r="Z22" s="98"/>
      <c r="AA22" s="174"/>
      <c r="AB22" s="60"/>
      <c r="AC22" s="47"/>
      <c r="AD22" s="47"/>
      <c r="AE22" s="47"/>
      <c r="AF22" s="47"/>
      <c r="AG22" s="202"/>
      <c r="AH22" s="47"/>
      <c r="AI22" s="47"/>
    </row>
    <row r="23" spans="2:35" hidden="1">
      <c r="D23" t="s">
        <v>37</v>
      </c>
      <c r="E23" s="97">
        <v>4849.6000000000004</v>
      </c>
      <c r="G23"/>
      <c r="H23" s="58"/>
      <c r="L23" s="151" t="s">
        <v>98</v>
      </c>
      <c r="M23" s="215">
        <v>-29</v>
      </c>
      <c r="N23" s="137">
        <f t="shared" si="0"/>
        <v>299.64979200000334</v>
      </c>
      <c r="O23" s="60"/>
      <c r="P23" s="136"/>
      <c r="Q23" s="180"/>
      <c r="R23" s="182"/>
      <c r="S23" s="528"/>
      <c r="T23" s="135"/>
      <c r="U23" s="163"/>
      <c r="V23" s="47"/>
      <c r="W23" s="47"/>
      <c r="X23" s="47"/>
      <c r="Y23" s="191"/>
      <c r="Z23" s="98"/>
      <c r="AA23" s="174"/>
      <c r="AB23" s="60"/>
      <c r="AC23" s="47"/>
      <c r="AD23" s="47"/>
      <c r="AE23" s="47"/>
      <c r="AF23" s="47"/>
      <c r="AG23" s="47"/>
      <c r="AH23" s="47"/>
      <c r="AI23" s="47"/>
    </row>
    <row r="24" spans="2:35" hidden="1">
      <c r="D24" s="47" t="s">
        <v>36</v>
      </c>
      <c r="E24" s="39">
        <f>E19-E23-E25</f>
        <v>1303.4099999999999</v>
      </c>
      <c r="G24" s="74"/>
      <c r="H24" s="184"/>
      <c r="L24" s="151" t="s">
        <v>98</v>
      </c>
      <c r="M24" s="215">
        <v>-29</v>
      </c>
      <c r="N24" s="137">
        <f t="shared" si="0"/>
        <v>270.64979200000334</v>
      </c>
      <c r="O24" s="60"/>
      <c r="P24" s="136"/>
      <c r="Q24" s="180"/>
      <c r="R24" s="182"/>
      <c r="S24" s="528"/>
      <c r="T24" s="201"/>
      <c r="U24" s="164"/>
      <c r="V24" s="60"/>
      <c r="W24" s="60"/>
      <c r="X24" s="171"/>
      <c r="Y24" s="47"/>
      <c r="Z24" s="98"/>
      <c r="AA24" s="174"/>
      <c r="AB24" s="60"/>
      <c r="AC24" s="47"/>
      <c r="AD24" s="47"/>
      <c r="AE24" s="47"/>
      <c r="AF24" s="47"/>
      <c r="AG24" s="47"/>
      <c r="AH24" s="47"/>
      <c r="AI24" s="47"/>
    </row>
    <row r="25" spans="2:35" ht="12.75" hidden="1" customHeight="1">
      <c r="D25" s="150" t="s">
        <v>51</v>
      </c>
      <c r="E25" s="41">
        <v>700</v>
      </c>
      <c r="F25" s="168"/>
      <c r="G25" s="689">
        <f>SUM(E23:E25)</f>
        <v>6853.01</v>
      </c>
      <c r="H25" s="689"/>
      <c r="L25" s="151" t="s">
        <v>133</v>
      </c>
      <c r="M25" s="215">
        <v>-29.95</v>
      </c>
      <c r="N25" s="137">
        <f t="shared" si="0"/>
        <v>240.69979200000336</v>
      </c>
      <c r="O25" s="60"/>
      <c r="P25" s="136"/>
      <c r="Q25" s="180"/>
      <c r="R25" s="182"/>
      <c r="S25" s="528"/>
      <c r="T25" s="201"/>
      <c r="U25" s="164"/>
      <c r="V25" s="60"/>
      <c r="W25" s="60"/>
      <c r="X25" s="84"/>
      <c r="Y25" s="47"/>
      <c r="Z25" s="98"/>
      <c r="AA25" s="174"/>
      <c r="AB25" s="60"/>
      <c r="AC25" s="47"/>
      <c r="AD25" s="47"/>
      <c r="AE25" s="47"/>
      <c r="AF25" s="47"/>
      <c r="AG25" s="47"/>
      <c r="AH25" s="47"/>
      <c r="AI25" s="47"/>
    </row>
    <row r="26" spans="2:35" ht="12.75" hidden="1" customHeight="1">
      <c r="D26" s="47"/>
      <c r="E26" s="60"/>
      <c r="F26" s="204"/>
      <c r="G26" s="688"/>
      <c r="H26" s="688"/>
      <c r="L26" s="151" t="s">
        <v>134</v>
      </c>
      <c r="M26" s="215">
        <f>140+200</f>
        <v>340</v>
      </c>
      <c r="N26" s="137">
        <f t="shared" si="0"/>
        <v>580.6997920000033</v>
      </c>
      <c r="O26" s="60"/>
      <c r="P26" s="136"/>
      <c r="Q26" s="180"/>
      <c r="R26" s="182"/>
      <c r="S26" s="528"/>
      <c r="T26" s="201"/>
      <c r="U26" s="47"/>
      <c r="V26" s="60"/>
      <c r="W26" s="60"/>
      <c r="X26" s="47"/>
      <c r="Y26" s="47"/>
      <c r="Z26" s="98"/>
      <c r="AA26" s="174"/>
      <c r="AB26" s="60"/>
      <c r="AC26" s="47"/>
      <c r="AD26" s="47"/>
      <c r="AE26" s="47"/>
      <c r="AF26" s="47"/>
      <c r="AG26" s="47"/>
      <c r="AH26" s="47"/>
      <c r="AI26" s="47"/>
    </row>
    <row r="27" spans="2:35" hidden="1">
      <c r="D27" s="47"/>
      <c r="E27" s="60"/>
      <c r="F27" s="204"/>
      <c r="G27" s="206"/>
      <c r="H27" s="206"/>
      <c r="L27" s="151" t="s">
        <v>135</v>
      </c>
      <c r="M27" s="215">
        <v>-200</v>
      </c>
      <c r="N27" s="137">
        <f t="shared" si="0"/>
        <v>380.6997920000033</v>
      </c>
      <c r="O27" s="60"/>
      <c r="P27" s="52"/>
      <c r="Q27" s="180"/>
      <c r="R27" s="182"/>
      <c r="S27" s="528"/>
      <c r="T27" s="201"/>
      <c r="U27" s="47"/>
      <c r="V27" s="60"/>
      <c r="W27" s="60"/>
      <c r="X27" s="171"/>
      <c r="Y27" s="47"/>
      <c r="Z27" s="98"/>
      <c r="AA27" s="174"/>
      <c r="AB27" s="60"/>
      <c r="AC27" s="47"/>
      <c r="AD27" s="47"/>
      <c r="AE27" s="47"/>
      <c r="AF27" s="47"/>
      <c r="AG27" s="47"/>
      <c r="AH27" s="47"/>
      <c r="AI27" s="47"/>
    </row>
    <row r="28" spans="2:35" hidden="1">
      <c r="B28" s="47"/>
      <c r="C28" s="84"/>
      <c r="D28" s="60"/>
      <c r="E28" s="100"/>
      <c r="F28" s="204"/>
      <c r="G28" s="206"/>
      <c r="H28" s="206"/>
      <c r="L28" s="151" t="s">
        <v>119</v>
      </c>
      <c r="M28" s="215">
        <v>-164.8</v>
      </c>
      <c r="N28" s="137">
        <f t="shared" si="0"/>
        <v>215.89979200000329</v>
      </c>
      <c r="O28" s="60"/>
      <c r="P28" s="136"/>
      <c r="Q28" s="180"/>
      <c r="R28" s="187"/>
      <c r="S28" s="528"/>
      <c r="T28" s="201"/>
      <c r="U28" s="47"/>
      <c r="V28" s="60"/>
      <c r="W28" s="60"/>
      <c r="X28" s="171"/>
      <c r="Y28" s="47"/>
      <c r="Z28" s="98"/>
      <c r="AA28" s="174"/>
      <c r="AB28" s="60"/>
      <c r="AC28" s="47"/>
      <c r="AD28" s="47"/>
      <c r="AE28" s="47"/>
      <c r="AF28" s="47"/>
      <c r="AG28" s="47"/>
      <c r="AH28" s="47"/>
      <c r="AI28" s="47"/>
    </row>
    <row r="29" spans="2:35" hidden="1">
      <c r="B29" s="47"/>
      <c r="C29" s="84"/>
      <c r="D29" s="60"/>
      <c r="E29" s="100"/>
      <c r="F29" s="204"/>
      <c r="G29" s="206"/>
      <c r="H29" s="206"/>
      <c r="L29" s="151" t="s">
        <v>136</v>
      </c>
      <c r="M29" s="215">
        <v>-100.13</v>
      </c>
      <c r="N29" s="137">
        <f t="shared" si="0"/>
        <v>115.76979200000329</v>
      </c>
      <c r="O29" s="60"/>
      <c r="P29" s="60"/>
      <c r="Q29" s="60"/>
      <c r="R29" s="60"/>
      <c r="S29" s="534"/>
      <c r="T29" s="201"/>
      <c r="U29" s="47"/>
      <c r="V29" s="60"/>
      <c r="W29" s="60"/>
      <c r="X29" s="171"/>
      <c r="Y29" s="47"/>
      <c r="Z29" s="98"/>
      <c r="AA29" s="174"/>
      <c r="AB29" s="60"/>
      <c r="AC29" s="47"/>
      <c r="AD29" s="47"/>
      <c r="AE29" s="47"/>
      <c r="AF29" s="47"/>
      <c r="AG29" s="47"/>
      <c r="AH29" s="47"/>
      <c r="AI29" s="47"/>
    </row>
    <row r="30" spans="2:35" hidden="1">
      <c r="B30" s="47"/>
      <c r="C30" s="84"/>
      <c r="D30" s="60"/>
      <c r="E30" s="100"/>
      <c r="F30" s="204"/>
      <c r="G30" s="206"/>
      <c r="H30" s="206"/>
      <c r="L30" s="151" t="s">
        <v>98</v>
      </c>
      <c r="M30" s="215">
        <v>-29</v>
      </c>
      <c r="N30" s="137">
        <f t="shared" si="0"/>
        <v>86.769792000003292</v>
      </c>
      <c r="O30" s="60"/>
      <c r="P30" s="60"/>
      <c r="Q30" s="60"/>
      <c r="R30" s="60"/>
      <c r="S30" s="534"/>
      <c r="T30" s="201"/>
      <c r="U30" s="47"/>
      <c r="V30" s="60"/>
      <c r="W30" s="60"/>
      <c r="X30" s="171"/>
      <c r="Y30" s="47"/>
      <c r="Z30" s="98"/>
      <c r="AA30" s="174"/>
      <c r="AB30" s="60"/>
      <c r="AC30" s="47"/>
      <c r="AD30" s="47"/>
      <c r="AE30" s="47"/>
      <c r="AF30" s="47"/>
      <c r="AG30" s="47"/>
      <c r="AH30" s="47"/>
      <c r="AI30" s="47"/>
    </row>
    <row r="31" spans="2:35" hidden="1">
      <c r="B31" s="47"/>
      <c r="C31" s="84"/>
      <c r="D31" s="60"/>
      <c r="E31" s="100"/>
      <c r="F31" s="204"/>
      <c r="G31" s="206"/>
      <c r="H31" s="206"/>
      <c r="L31" s="189" t="s">
        <v>87</v>
      </c>
      <c r="M31" s="216">
        <f>E23</f>
        <v>4849.6000000000004</v>
      </c>
      <c r="N31" s="137">
        <f t="shared" si="0"/>
        <v>4936.3697920000041</v>
      </c>
      <c r="O31" s="60"/>
      <c r="P31" s="60"/>
      <c r="Q31" s="60"/>
      <c r="R31" s="60"/>
      <c r="S31" s="534"/>
      <c r="T31" s="201"/>
      <c r="U31" s="47"/>
      <c r="V31" s="60"/>
      <c r="W31" s="60"/>
      <c r="X31" s="171"/>
      <c r="Y31" s="47"/>
      <c r="Z31" s="98"/>
      <c r="AA31" s="174"/>
      <c r="AB31" s="60"/>
      <c r="AC31" s="47"/>
      <c r="AD31" s="47"/>
      <c r="AE31" s="47"/>
      <c r="AF31" s="47"/>
      <c r="AG31" s="47"/>
      <c r="AH31" s="47"/>
      <c r="AI31" s="47"/>
    </row>
    <row r="32" spans="2:35" hidden="1">
      <c r="B32" s="47"/>
      <c r="C32" s="84"/>
      <c r="D32" s="60"/>
      <c r="E32" s="100"/>
      <c r="F32" s="204"/>
      <c r="G32" s="206"/>
      <c r="H32" s="206"/>
      <c r="L32" s="151" t="s">
        <v>97</v>
      </c>
      <c r="M32" s="100">
        <v>-144.5</v>
      </c>
      <c r="N32" s="137">
        <f t="shared" si="0"/>
        <v>4791.8697920000041</v>
      </c>
      <c r="O32" s="60"/>
      <c r="P32" s="60"/>
      <c r="Q32" s="60"/>
      <c r="R32" s="60"/>
      <c r="S32" s="534"/>
      <c r="T32" s="201"/>
      <c r="U32" s="47"/>
      <c r="V32" s="60"/>
      <c r="W32" s="60"/>
      <c r="X32" s="171"/>
      <c r="Y32" s="47"/>
      <c r="Z32" s="98"/>
      <c r="AA32" s="174"/>
      <c r="AB32" s="60"/>
      <c r="AC32" s="47"/>
      <c r="AD32" s="47"/>
      <c r="AE32" s="47"/>
      <c r="AF32" s="47"/>
      <c r="AG32" s="47"/>
      <c r="AH32" s="47"/>
      <c r="AI32" s="47"/>
    </row>
    <row r="33" spans="2:35" hidden="1">
      <c r="B33" s="47"/>
      <c r="C33" s="84"/>
      <c r="D33" s="60"/>
      <c r="E33" s="100"/>
      <c r="F33" s="204"/>
      <c r="G33" s="206"/>
      <c r="H33" s="206"/>
      <c r="L33" s="166" t="s">
        <v>99</v>
      </c>
      <c r="M33" s="217">
        <f>-3.9+M32*1.37%</f>
        <v>-5.8796499999999998</v>
      </c>
      <c r="N33" s="137">
        <f t="shared" si="0"/>
        <v>4785.9901420000042</v>
      </c>
      <c r="O33" s="60"/>
      <c r="P33" s="60"/>
      <c r="Q33" s="60"/>
      <c r="R33" s="60"/>
      <c r="S33" s="534"/>
      <c r="T33" s="201"/>
      <c r="U33" s="47"/>
      <c r="V33" s="60"/>
      <c r="W33" s="60"/>
      <c r="X33" s="171"/>
      <c r="Y33" s="47"/>
      <c r="Z33" s="98"/>
      <c r="AA33" s="174"/>
      <c r="AB33" s="60"/>
      <c r="AC33" s="47"/>
      <c r="AD33" s="47"/>
      <c r="AE33" s="47"/>
      <c r="AF33" s="47"/>
      <c r="AG33" s="47"/>
      <c r="AH33" s="47"/>
      <c r="AI33" s="47"/>
    </row>
    <row r="34" spans="2:35" hidden="1">
      <c r="B34" s="47"/>
      <c r="C34" s="84"/>
      <c r="D34" s="60"/>
      <c r="E34" s="100"/>
      <c r="F34" s="204"/>
      <c r="G34" s="206"/>
      <c r="H34" s="206"/>
      <c r="L34" s="165" t="s">
        <v>46</v>
      </c>
      <c r="M34" s="218">
        <v>-188.78</v>
      </c>
      <c r="N34" s="137">
        <f t="shared" si="0"/>
        <v>4597.2101420000045</v>
      </c>
      <c r="O34" s="201"/>
      <c r="P34" s="60"/>
      <c r="Q34" s="60"/>
      <c r="R34" s="60"/>
      <c r="S34" s="534"/>
      <c r="T34" s="201"/>
      <c r="U34" s="47"/>
      <c r="V34" s="60"/>
      <c r="W34" s="60"/>
      <c r="X34" s="171"/>
      <c r="Y34" s="47"/>
      <c r="Z34" s="98"/>
      <c r="AA34" s="174"/>
      <c r="AB34" s="60"/>
      <c r="AC34" s="47"/>
      <c r="AD34" s="47"/>
      <c r="AE34" s="47"/>
      <c r="AF34" s="47"/>
      <c r="AG34" s="47"/>
      <c r="AH34" s="47"/>
      <c r="AI34" s="47"/>
    </row>
    <row r="35" spans="2:35" s="47" customFormat="1" hidden="1">
      <c r="C35" s="84"/>
      <c r="D35" s="60"/>
      <c r="E35" s="100"/>
      <c r="F35" s="204"/>
      <c r="G35" s="210"/>
      <c r="H35" s="210"/>
      <c r="K35" s="348"/>
      <c r="L35" s="166" t="s">
        <v>99</v>
      </c>
      <c r="M35" s="217">
        <f>-3.9+M34*1.37%</f>
        <v>-6.4862859999999998</v>
      </c>
      <c r="N35" s="137">
        <f t="shared" si="0"/>
        <v>4590.7238560000042</v>
      </c>
      <c r="O35" s="60"/>
      <c r="P35" s="60"/>
      <c r="Q35" s="60"/>
      <c r="R35" s="60"/>
      <c r="S35" s="534"/>
      <c r="T35" s="209"/>
      <c r="V35" s="60"/>
      <c r="W35" s="60"/>
      <c r="X35" s="84"/>
      <c r="Z35" s="98"/>
      <c r="AA35" s="174"/>
      <c r="AB35" s="60"/>
    </row>
    <row r="36" spans="2:35" s="47" customFormat="1" hidden="1">
      <c r="E36" s="60"/>
      <c r="G36" s="101"/>
      <c r="K36" s="348"/>
      <c r="L36" s="111" t="s">
        <v>39</v>
      </c>
      <c r="M36" s="215">
        <v>-483.99</v>
      </c>
      <c r="N36" s="137">
        <f t="shared" si="0"/>
        <v>4106.7338560000044</v>
      </c>
      <c r="P36" s="60"/>
      <c r="Q36" s="60"/>
      <c r="R36" s="60"/>
      <c r="S36" s="534"/>
      <c r="Z36" s="60"/>
      <c r="AA36" s="202"/>
      <c r="AB36" s="60"/>
    </row>
    <row r="37" spans="2:35" hidden="1">
      <c r="L37" s="135" t="s">
        <v>99</v>
      </c>
      <c r="M37" s="217">
        <f>-3.9+M36*1.37%</f>
        <v>-10.530663000000001</v>
      </c>
      <c r="N37" s="137">
        <f t="shared" si="0"/>
        <v>4096.2031930000048</v>
      </c>
      <c r="V37" s="47"/>
      <c r="W37" s="47"/>
      <c r="X37" s="47"/>
      <c r="Y37" s="47"/>
      <c r="Z37" s="60"/>
    </row>
    <row r="38" spans="2:35" hidden="1">
      <c r="L38" s="167" t="s">
        <v>92</v>
      </c>
      <c r="M38" s="219">
        <v>-505</v>
      </c>
      <c r="N38" s="137">
        <f t="shared" si="0"/>
        <v>3591.2031930000048</v>
      </c>
      <c r="V38" s="47"/>
      <c r="W38" s="47"/>
      <c r="X38" s="47"/>
      <c r="Y38" s="47"/>
      <c r="Z38" s="60"/>
    </row>
    <row r="39" spans="2:35" hidden="1">
      <c r="L39" s="166" t="s">
        <v>99</v>
      </c>
      <c r="M39" s="217">
        <f>-3.9+M38*1.37%</f>
        <v>-10.8185</v>
      </c>
      <c r="N39" s="138">
        <f t="shared" si="0"/>
        <v>3580.384693000005</v>
      </c>
      <c r="V39" s="47"/>
      <c r="W39" s="47"/>
      <c r="X39" s="47"/>
      <c r="Y39" s="47"/>
      <c r="Z39" s="60"/>
    </row>
    <row r="40" spans="2:35" hidden="1">
      <c r="M40" s="113">
        <f>SUM(M7:M39)</f>
        <v>3580.384693000005</v>
      </c>
      <c r="V40" s="47"/>
      <c r="W40" s="47"/>
      <c r="X40" s="47"/>
      <c r="Y40" s="47"/>
      <c r="Z40" s="60"/>
    </row>
    <row r="41" spans="2:35" s="150" customFormat="1" hidden="1">
      <c r="E41" s="41"/>
      <c r="G41" s="211"/>
      <c r="K41" s="349"/>
      <c r="M41" s="41"/>
      <c r="P41" s="41"/>
      <c r="Q41" s="41"/>
      <c r="R41" s="41"/>
      <c r="S41" s="535"/>
      <c r="Z41" s="41"/>
      <c r="AA41" s="212"/>
      <c r="AB41" s="41"/>
    </row>
    <row r="42" spans="2:35" hidden="1">
      <c r="L42" s="47"/>
      <c r="M42" s="60"/>
      <c r="N42" s="47"/>
    </row>
    <row r="43" spans="2:35" hidden="1">
      <c r="B43" s="967" t="s">
        <v>131</v>
      </c>
      <c r="C43" s="967"/>
      <c r="D43" s="967"/>
      <c r="E43" s="967"/>
      <c r="G43" s="75"/>
      <c r="H43" s="75"/>
      <c r="I43" s="60"/>
      <c r="L43" s="127"/>
      <c r="M43" s="968" t="s">
        <v>90</v>
      </c>
      <c r="N43" s="228"/>
      <c r="O43" s="228"/>
      <c r="P43" s="969" t="s">
        <v>84</v>
      </c>
      <c r="Q43" s="227"/>
      <c r="R43" s="227"/>
      <c r="S43" s="528"/>
      <c r="X43" s="84"/>
      <c r="Y43" s="84"/>
      <c r="Z43" s="60"/>
      <c r="AA43" s="202"/>
      <c r="AB43" s="60"/>
      <c r="AC43" s="47"/>
      <c r="AD43" s="47"/>
      <c r="AE43" s="47"/>
      <c r="AF43" s="47"/>
      <c r="AG43" s="47"/>
      <c r="AH43" s="47"/>
      <c r="AI43" s="47"/>
    </row>
    <row r="44" spans="2:35" ht="12.75" hidden="1" customHeight="1">
      <c r="C44" s="43" t="s">
        <v>35</v>
      </c>
      <c r="D44" s="39"/>
      <c r="E44" s="99">
        <v>6000</v>
      </c>
      <c r="G44" s="687"/>
      <c r="H44" s="687"/>
      <c r="I44" s="60"/>
      <c r="L44" s="128"/>
      <c r="M44" s="968"/>
      <c r="N44" s="228" t="s">
        <v>88</v>
      </c>
      <c r="O44" s="228"/>
      <c r="P44" s="969"/>
      <c r="Q44" s="227" t="s">
        <v>79</v>
      </c>
      <c r="R44" s="227" t="s">
        <v>89</v>
      </c>
      <c r="S44" s="528"/>
      <c r="X44" s="198"/>
      <c r="Y44" s="191"/>
      <c r="Z44" s="197"/>
      <c r="AA44" s="169"/>
      <c r="AB44" s="170"/>
      <c r="AC44" s="47"/>
      <c r="AD44" s="91"/>
      <c r="AE44" s="47"/>
      <c r="AF44" s="47"/>
      <c r="AG44" s="47"/>
      <c r="AH44" s="47"/>
      <c r="AI44" s="47"/>
    </row>
    <row r="45" spans="2:35" hidden="1">
      <c r="C45" s="43"/>
      <c r="D45" s="39" t="s">
        <v>47</v>
      </c>
      <c r="E45" s="99">
        <f>'[1]MARCH ''11'!$C$38</f>
        <v>555.73</v>
      </c>
      <c r="G45" s="74"/>
      <c r="H45" s="74"/>
      <c r="I45" s="60"/>
      <c r="L45" s="101" t="s">
        <v>91</v>
      </c>
      <c r="M45" s="100">
        <f>$M$40</f>
        <v>3580.384693000005</v>
      </c>
      <c r="N45" s="139">
        <f>M45</f>
        <v>3580.384693000005</v>
      </c>
      <c r="O45" s="60"/>
      <c r="P45" s="100">
        <f>$Q$20</f>
        <v>-8490.9672784810082</v>
      </c>
      <c r="Q45" s="139">
        <f>P45</f>
        <v>-8490.9672784810082</v>
      </c>
      <c r="R45" s="100">
        <f>10050+Q45</f>
        <v>1559.0327215189918</v>
      </c>
      <c r="S45" s="532"/>
      <c r="T45" s="71"/>
      <c r="X45" s="171"/>
      <c r="Y45" s="191"/>
      <c r="Z45" s="60"/>
      <c r="AA45" s="202"/>
      <c r="AB45" s="60"/>
      <c r="AC45" s="47"/>
      <c r="AD45" s="172"/>
      <c r="AE45" s="173"/>
      <c r="AF45" s="47"/>
      <c r="AG45" s="47"/>
      <c r="AH45" s="47"/>
      <c r="AI45" s="47"/>
    </row>
    <row r="46" spans="2:35" hidden="1">
      <c r="C46" s="43"/>
      <c r="D46" s="39" t="s">
        <v>107</v>
      </c>
      <c r="E46" s="99">
        <f>'[1]FEBRUARY ''11'!$C$39</f>
        <v>-82.35</v>
      </c>
      <c r="G46" s="74"/>
      <c r="H46" s="74"/>
      <c r="I46" s="60"/>
      <c r="L46" s="181" t="s">
        <v>137</v>
      </c>
      <c r="M46" s="215">
        <v>-750</v>
      </c>
      <c r="N46" s="137">
        <f t="shared" ref="N46:N59" si="3">N45+M46</f>
        <v>2830.384693000005</v>
      </c>
      <c r="O46" s="60"/>
      <c r="P46" s="213">
        <v>-59.99</v>
      </c>
      <c r="Q46" s="140">
        <f>Q45+P46</f>
        <v>-8550.957278481008</v>
      </c>
      <c r="R46" s="100">
        <f>10050+Q46</f>
        <v>1499.042721518992</v>
      </c>
      <c r="S46" s="524" t="s">
        <v>86</v>
      </c>
      <c r="T46" s="71"/>
      <c r="X46" s="171"/>
      <c r="Y46" s="192"/>
      <c r="Z46" s="60"/>
      <c r="AA46" s="202"/>
      <c r="AB46" s="60"/>
      <c r="AC46" s="47"/>
      <c r="AD46" s="172"/>
      <c r="AE46" s="173"/>
      <c r="AF46" s="47"/>
      <c r="AG46" s="47"/>
      <c r="AH46" s="47"/>
      <c r="AI46" s="47"/>
    </row>
    <row r="47" spans="2:35" hidden="1">
      <c r="C47" s="43"/>
      <c r="D47" s="131" t="s">
        <v>96</v>
      </c>
      <c r="E47" s="41"/>
      <c r="G47"/>
      <c r="I47" s="60"/>
      <c r="L47" s="181" t="s">
        <v>108</v>
      </c>
      <c r="M47" s="215">
        <v>-484.2</v>
      </c>
      <c r="N47" s="137">
        <f t="shared" si="3"/>
        <v>2346.1846930000052</v>
      </c>
      <c r="O47" s="134"/>
      <c r="P47" s="213">
        <v>-160.63</v>
      </c>
      <c r="Q47" s="140">
        <f>Q46+P47</f>
        <v>-8711.5872784810072</v>
      </c>
      <c r="R47" s="100">
        <f t="shared" ref="R47:R55" si="4">10050+Q47</f>
        <v>1338.4127215189928</v>
      </c>
      <c r="S47" s="524" t="s">
        <v>85</v>
      </c>
      <c r="X47" s="47"/>
      <c r="Y47" s="192"/>
      <c r="Z47" s="98"/>
      <c r="AA47" s="174"/>
      <c r="AB47" s="175"/>
      <c r="AC47" s="47"/>
      <c r="AD47" s="91"/>
      <c r="AE47" s="173"/>
      <c r="AF47" s="47"/>
      <c r="AG47" s="47"/>
      <c r="AH47" s="47"/>
      <c r="AI47" s="47"/>
    </row>
    <row r="48" spans="2:35" ht="12.75" hidden="1" customHeight="1">
      <c r="C48" s="45" t="s">
        <v>17</v>
      </c>
      <c r="D48" s="39"/>
      <c r="E48" s="39">
        <f>SUM(E44:E47)</f>
        <v>6473.3799999999992</v>
      </c>
      <c r="G48" s="691" t="s">
        <v>111</v>
      </c>
      <c r="H48" s="691"/>
      <c r="I48" s="691"/>
      <c r="J48" s="47"/>
      <c r="K48" s="348"/>
      <c r="L48" s="181" t="s">
        <v>140</v>
      </c>
      <c r="M48" s="215">
        <v>-1500</v>
      </c>
      <c r="N48" s="137">
        <f t="shared" si="3"/>
        <v>846.18469300000515</v>
      </c>
      <c r="O48" s="134"/>
      <c r="P48" s="213">
        <v>-234.9</v>
      </c>
      <c r="Q48" s="140">
        <f>Q47+P48</f>
        <v>-8946.4872784810068</v>
      </c>
      <c r="R48" s="100">
        <f t="shared" si="4"/>
        <v>1103.5127215189932</v>
      </c>
      <c r="S48" s="524" t="s">
        <v>93</v>
      </c>
      <c r="X48" s="47"/>
      <c r="Y48" s="192"/>
      <c r="Z48" s="98"/>
      <c r="AA48" s="174"/>
      <c r="AB48" s="60"/>
      <c r="AC48" s="47"/>
      <c r="AD48" s="172"/>
      <c r="AE48" s="173"/>
      <c r="AF48" s="47"/>
      <c r="AG48" s="47"/>
      <c r="AH48" s="47"/>
      <c r="AI48" s="47"/>
    </row>
    <row r="49" spans="3:35" hidden="1">
      <c r="G49"/>
      <c r="H49" s="58" t="s">
        <v>32</v>
      </c>
      <c r="I49" s="39">
        <v>175.44</v>
      </c>
      <c r="J49" s="117"/>
      <c r="K49" s="348"/>
      <c r="L49" s="181" t="s">
        <v>144</v>
      </c>
      <c r="M49" s="215">
        <v>-690</v>
      </c>
      <c r="N49" s="137">
        <f t="shared" si="3"/>
        <v>156.18469300000515</v>
      </c>
      <c r="O49" s="105"/>
      <c r="P49" s="213">
        <f>-800-11.5</f>
        <v>-811.5</v>
      </c>
      <c r="Q49" s="140">
        <f>Q48+P49</f>
        <v>-9757.9872784810068</v>
      </c>
      <c r="R49" s="100">
        <f t="shared" si="4"/>
        <v>292.0127215189932</v>
      </c>
      <c r="S49" s="524" t="s">
        <v>138</v>
      </c>
      <c r="X49" s="171"/>
      <c r="Y49" s="192"/>
      <c r="Z49" s="98"/>
      <c r="AA49" s="174"/>
      <c r="AB49" s="60"/>
      <c r="AC49" s="47"/>
      <c r="AD49" s="172"/>
      <c r="AE49" s="173"/>
      <c r="AF49" s="47"/>
      <c r="AG49" s="47"/>
      <c r="AH49" s="47"/>
      <c r="AI49" s="47"/>
    </row>
    <row r="50" spans="3:35" hidden="1">
      <c r="C50" s="43" t="s">
        <v>29</v>
      </c>
      <c r="G50"/>
      <c r="H50" s="58" t="s">
        <v>41</v>
      </c>
      <c r="I50" s="39">
        <f>4.08+16.89</f>
        <v>20.97</v>
      </c>
      <c r="J50" s="47"/>
      <c r="K50" s="348"/>
      <c r="L50" s="231" t="s">
        <v>87</v>
      </c>
      <c r="M50" s="232">
        <f>E61</f>
        <v>4849.6000000000004</v>
      </c>
      <c r="N50" s="137">
        <f t="shared" si="3"/>
        <v>5005.7846930000051</v>
      </c>
      <c r="O50" s="105"/>
      <c r="P50" s="213">
        <v>-121.85</v>
      </c>
      <c r="Q50" s="140">
        <f t="shared" ref="Q50:Q55" si="5">Q49+P50</f>
        <v>-9879.8372784810072</v>
      </c>
      <c r="R50" s="100">
        <f t="shared" si="4"/>
        <v>170.16272151899284</v>
      </c>
      <c r="S50" s="524" t="s">
        <v>139</v>
      </c>
      <c r="T50" s="47"/>
      <c r="U50" s="47"/>
      <c r="V50" s="183"/>
      <c r="W50" s="183"/>
      <c r="X50" s="47"/>
      <c r="Y50" s="192"/>
      <c r="Z50" s="98"/>
      <c r="AA50" s="174"/>
      <c r="AB50" s="175"/>
      <c r="AC50" s="47"/>
      <c r="AD50" s="176"/>
      <c r="AE50" s="173"/>
      <c r="AF50" s="47"/>
      <c r="AG50" s="47"/>
      <c r="AH50" s="47"/>
      <c r="AI50" s="47"/>
    </row>
    <row r="51" spans="3:35" hidden="1">
      <c r="D51" t="s">
        <v>30</v>
      </c>
      <c r="E51" s="39">
        <f>1204/2</f>
        <v>602</v>
      </c>
      <c r="G51" s="85"/>
      <c r="H51" s="58" t="s">
        <v>43</v>
      </c>
      <c r="I51" s="39">
        <v>7.45</v>
      </c>
      <c r="J51" s="47"/>
      <c r="K51" s="348"/>
      <c r="L51" s="230"/>
      <c r="M51" s="233"/>
      <c r="N51" s="137">
        <f t="shared" si="3"/>
        <v>5005.7846930000051</v>
      </c>
      <c r="O51" s="106"/>
      <c r="P51" s="215">
        <v>1500</v>
      </c>
      <c r="Q51" s="140">
        <f t="shared" si="5"/>
        <v>-8379.8372784810072</v>
      </c>
      <c r="R51" s="100">
        <f t="shared" si="4"/>
        <v>1670.1627215189928</v>
      </c>
      <c r="S51" s="524" t="s">
        <v>103</v>
      </c>
      <c r="T51" s="47"/>
      <c r="U51" s="47"/>
      <c r="V51" s="47"/>
      <c r="W51" s="47"/>
      <c r="X51" s="47"/>
      <c r="Y51" s="192"/>
      <c r="Z51" s="98"/>
      <c r="AA51" s="174"/>
      <c r="AB51" s="60"/>
      <c r="AC51" s="47"/>
      <c r="AD51" s="91"/>
      <c r="AE51" s="173"/>
      <c r="AF51" s="47"/>
      <c r="AG51" s="47"/>
      <c r="AH51" s="47"/>
      <c r="AI51" s="47"/>
    </row>
    <row r="52" spans="3:35" hidden="1">
      <c r="D52" t="s">
        <v>31</v>
      </c>
      <c r="E52" s="99"/>
      <c r="F52" s="86" t="s">
        <v>38</v>
      </c>
      <c r="G52"/>
      <c r="H52" s="58" t="s">
        <v>42</v>
      </c>
      <c r="I52" s="39">
        <v>-3.29</v>
      </c>
      <c r="J52" s="47"/>
      <c r="K52" s="348"/>
      <c r="L52" s="151" t="s">
        <v>97</v>
      </c>
      <c r="M52" s="100">
        <v>-144.5</v>
      </c>
      <c r="N52" s="137">
        <f t="shared" si="3"/>
        <v>4861.2846930000051</v>
      </c>
      <c r="O52" s="106"/>
      <c r="P52" s="213">
        <v>-129.94999999999999</v>
      </c>
      <c r="Q52" s="140">
        <f t="shared" si="5"/>
        <v>-8509.7872784810079</v>
      </c>
      <c r="R52" s="100">
        <f t="shared" si="4"/>
        <v>1540.2127215189921</v>
      </c>
      <c r="S52" s="524" t="s">
        <v>141</v>
      </c>
      <c r="T52" s="47"/>
      <c r="U52" s="47"/>
      <c r="V52" s="47"/>
      <c r="W52" s="47"/>
      <c r="X52" s="47"/>
      <c r="Y52" s="192"/>
      <c r="Z52" s="98"/>
      <c r="AA52" s="174"/>
      <c r="AB52" s="60"/>
      <c r="AC52" s="47"/>
      <c r="AD52" s="172"/>
      <c r="AE52" s="173"/>
      <c r="AF52" s="47"/>
      <c r="AG52" s="47"/>
      <c r="AH52" s="47"/>
      <c r="AI52" s="47"/>
    </row>
    <row r="53" spans="3:35" hidden="1">
      <c r="D53" t="s">
        <v>32</v>
      </c>
      <c r="E53" s="46">
        <f>I57</f>
        <v>321.77999999999997</v>
      </c>
      <c r="F53" s="86" t="s">
        <v>38</v>
      </c>
      <c r="G53"/>
      <c r="H53" s="58" t="s">
        <v>44</v>
      </c>
      <c r="I53" s="39">
        <v>3.51</v>
      </c>
      <c r="J53" s="47"/>
      <c r="K53" s="348"/>
      <c r="L53" s="166" t="s">
        <v>99</v>
      </c>
      <c r="M53" s="217">
        <f>-3.9+M52*1.37%</f>
        <v>-5.8796499999999998</v>
      </c>
      <c r="N53" s="137">
        <f t="shared" si="3"/>
        <v>4855.4050430000052</v>
      </c>
      <c r="O53" s="106"/>
      <c r="P53" s="100">
        <v>-122.98</v>
      </c>
      <c r="Q53" s="140">
        <f t="shared" si="5"/>
        <v>-8632.7672784810075</v>
      </c>
      <c r="R53" s="100">
        <f t="shared" si="4"/>
        <v>1417.2327215189925</v>
      </c>
      <c r="S53" s="524" t="s">
        <v>86</v>
      </c>
      <c r="T53" s="111"/>
      <c r="U53" s="47"/>
      <c r="V53" s="60"/>
      <c r="W53" s="60"/>
      <c r="X53" s="47"/>
      <c r="Y53" s="192"/>
      <c r="Z53" s="98"/>
      <c r="AA53" s="174"/>
      <c r="AB53" s="175"/>
      <c r="AC53" s="47"/>
      <c r="AD53" s="172"/>
      <c r="AE53" s="173"/>
      <c r="AF53" s="47"/>
      <c r="AG53" s="47"/>
      <c r="AH53" s="47"/>
      <c r="AI53" s="47"/>
    </row>
    <row r="54" spans="3:35" hidden="1">
      <c r="D54" t="s">
        <v>45</v>
      </c>
      <c r="E54" s="41"/>
      <c r="F54" s="87"/>
      <c r="G54"/>
      <c r="H54" s="58" t="s">
        <v>49</v>
      </c>
      <c r="I54" s="115">
        <f>302.44</f>
        <v>302.44</v>
      </c>
      <c r="J54" s="47"/>
      <c r="K54" s="348"/>
      <c r="L54" s="165" t="s">
        <v>46</v>
      </c>
      <c r="M54" s="218">
        <v>-177.68</v>
      </c>
      <c r="N54" s="137">
        <f t="shared" si="3"/>
        <v>4677.7250430000049</v>
      </c>
      <c r="O54" s="88"/>
      <c r="P54" s="214">
        <v>-1011.5</v>
      </c>
      <c r="Q54" s="140">
        <f t="shared" si="5"/>
        <v>-9644.2672784810075</v>
      </c>
      <c r="R54" s="100">
        <f t="shared" si="4"/>
        <v>405.73272151899255</v>
      </c>
      <c r="S54" s="524" t="s">
        <v>129</v>
      </c>
      <c r="T54" s="111"/>
      <c r="U54" s="47"/>
      <c r="V54" s="60"/>
      <c r="W54" s="60"/>
      <c r="X54" s="47"/>
      <c r="Y54" s="192"/>
      <c r="Z54" s="98"/>
      <c r="AA54" s="174"/>
      <c r="AB54" s="60"/>
      <c r="AC54" s="47"/>
      <c r="AD54" s="172"/>
      <c r="AE54" s="177"/>
      <c r="AF54" s="47"/>
      <c r="AG54" s="47"/>
      <c r="AH54" s="47"/>
      <c r="AI54" s="47"/>
    </row>
    <row r="55" spans="3:35" hidden="1">
      <c r="C55" s="45" t="s">
        <v>17</v>
      </c>
      <c r="E55" s="46">
        <f>SUM(E51:E54)</f>
        <v>923.78</v>
      </c>
      <c r="G55"/>
      <c r="H55" s="196" t="s">
        <v>145</v>
      </c>
      <c r="I55" s="99">
        <f>SUM(I49:I54)</f>
        <v>506.52</v>
      </c>
      <c r="J55" s="47"/>
      <c r="K55" s="348"/>
      <c r="L55" s="166" t="s">
        <v>99</v>
      </c>
      <c r="M55" s="217">
        <f>-3.9+M54*1.37%</f>
        <v>-6.3342159999999996</v>
      </c>
      <c r="N55" s="137">
        <f t="shared" si="3"/>
        <v>4671.3908270000047</v>
      </c>
      <c r="O55" s="88"/>
      <c r="P55" s="106">
        <f>E62</f>
        <v>-9.0949470177292824E-13</v>
      </c>
      <c r="Q55" s="141">
        <f t="shared" si="5"/>
        <v>-9644.2672784810093</v>
      </c>
      <c r="R55" s="115">
        <f t="shared" si="4"/>
        <v>405.73272151899073</v>
      </c>
      <c r="S55" s="533" t="s">
        <v>100</v>
      </c>
      <c r="T55" s="152"/>
      <c r="U55" s="142"/>
      <c r="V55" s="60"/>
      <c r="W55" s="60"/>
      <c r="X55" s="47"/>
      <c r="Y55" s="192"/>
      <c r="Z55" s="98"/>
      <c r="AA55" s="174"/>
      <c r="AB55" s="60"/>
      <c r="AC55" s="47"/>
      <c r="AD55" s="47"/>
      <c r="AE55" s="173"/>
      <c r="AF55" s="47"/>
      <c r="AG55" s="47"/>
      <c r="AH55" s="47"/>
      <c r="AI55" s="47"/>
    </row>
    <row r="56" spans="3:35" hidden="1">
      <c r="C56" s="45"/>
      <c r="G56"/>
      <c r="H56" s="58" t="s">
        <v>50</v>
      </c>
      <c r="I56" s="115">
        <f>-137.61-16.43-30.7</f>
        <v>-184.74</v>
      </c>
      <c r="J56" s="47"/>
      <c r="K56" s="348"/>
      <c r="L56" s="111" t="s">
        <v>39</v>
      </c>
      <c r="M56" s="215">
        <v>-483.99</v>
      </c>
      <c r="N56" s="137">
        <f t="shared" si="3"/>
        <v>4187.4008270000049</v>
      </c>
      <c r="O56" s="88"/>
      <c r="P56" s="133">
        <f>SUM(P45:P55)</f>
        <v>-9644.2672784810093</v>
      </c>
      <c r="Q56" s="132"/>
      <c r="R56" s="132"/>
      <c r="S56" s="528"/>
      <c r="T56" s="111"/>
      <c r="U56" s="142"/>
      <c r="V56" s="60"/>
      <c r="W56" s="60"/>
      <c r="X56" s="171"/>
      <c r="Y56" s="47"/>
      <c r="Z56" s="98"/>
      <c r="AA56" s="174"/>
      <c r="AB56" s="175"/>
      <c r="AC56" s="47"/>
      <c r="AD56" s="178"/>
      <c r="AE56" s="173"/>
      <c r="AF56" s="202"/>
      <c r="AG56" s="47"/>
      <c r="AH56" s="47"/>
      <c r="AI56" s="47"/>
    </row>
    <row r="57" spans="3:35" ht="13.5" hidden="1" thickBot="1">
      <c r="D57" s="42" t="s">
        <v>105</v>
      </c>
      <c r="E57" s="63">
        <f>E48-E55</f>
        <v>5549.5999999999995</v>
      </c>
      <c r="G57"/>
      <c r="H57" s="58"/>
      <c r="I57" s="116">
        <f>SUM(I55:I56)</f>
        <v>321.77999999999997</v>
      </c>
      <c r="J57" s="47"/>
      <c r="K57" s="348"/>
      <c r="L57" s="135" t="s">
        <v>99</v>
      </c>
      <c r="M57" s="217">
        <f>-3.9+M56*1.37%</f>
        <v>-10.530663000000001</v>
      </c>
      <c r="N57" s="137">
        <f t="shared" si="3"/>
        <v>4176.8701640000054</v>
      </c>
      <c r="O57" s="88"/>
      <c r="P57" s="136"/>
      <c r="Q57" s="180"/>
      <c r="R57" s="187"/>
      <c r="S57" s="528"/>
      <c r="T57" s="135"/>
      <c r="U57" s="134"/>
      <c r="V57" s="60"/>
      <c r="W57" s="60"/>
      <c r="X57" s="84"/>
      <c r="Y57" s="47"/>
      <c r="Z57" s="98"/>
      <c r="AA57" s="174"/>
      <c r="AB57" s="60"/>
      <c r="AC57" s="47"/>
      <c r="AD57" s="47"/>
      <c r="AE57" s="47"/>
      <c r="AF57" s="179"/>
      <c r="AG57" s="47"/>
      <c r="AH57" s="47"/>
      <c r="AI57" s="47"/>
    </row>
    <row r="58" spans="3:35" hidden="1">
      <c r="D58" s="43"/>
      <c r="E58" s="90"/>
      <c r="G58"/>
      <c r="H58" s="196"/>
      <c r="I58" s="100"/>
      <c r="J58" s="47"/>
      <c r="K58" s="348"/>
      <c r="L58" s="167" t="s">
        <v>92</v>
      </c>
      <c r="M58" s="219">
        <v>-505</v>
      </c>
      <c r="N58" s="137">
        <f t="shared" si="3"/>
        <v>3671.8701640000054</v>
      </c>
      <c r="O58" s="88"/>
      <c r="P58" s="136"/>
      <c r="Q58" s="180"/>
      <c r="R58" s="187"/>
      <c r="S58" s="528"/>
      <c r="T58" s="135"/>
      <c r="U58" s="134"/>
      <c r="V58" s="47"/>
      <c r="W58" s="47"/>
      <c r="X58" s="47"/>
      <c r="Y58" s="191"/>
      <c r="Z58" s="98"/>
      <c r="AA58" s="174"/>
      <c r="AB58" s="60"/>
      <c r="AC58" s="47"/>
      <c r="AD58" s="47"/>
      <c r="AE58" s="47"/>
      <c r="AF58" s="47"/>
      <c r="AG58" s="47"/>
      <c r="AH58" s="47"/>
      <c r="AI58" s="47"/>
    </row>
    <row r="59" spans="3:35" hidden="1">
      <c r="D59" s="43"/>
      <c r="E59" s="90"/>
      <c r="G59"/>
      <c r="H59" s="58"/>
      <c r="I59" s="100"/>
      <c r="J59" s="47"/>
      <c r="K59" s="348"/>
      <c r="L59" s="166" t="s">
        <v>99</v>
      </c>
      <c r="M59" s="217">
        <f>-3.9+M58*1.37%</f>
        <v>-10.8185</v>
      </c>
      <c r="N59" s="138">
        <f t="shared" si="3"/>
        <v>3661.0516640000055</v>
      </c>
      <c r="O59" s="88"/>
      <c r="P59" s="136"/>
      <c r="Q59" s="180"/>
      <c r="R59" s="187"/>
      <c r="S59" s="528"/>
      <c r="T59" s="135"/>
      <c r="U59" s="134"/>
      <c r="V59" s="47"/>
      <c r="W59" s="47"/>
      <c r="X59" s="171"/>
      <c r="Y59" s="191"/>
      <c r="Z59" s="98"/>
      <c r="AA59" s="174"/>
      <c r="AB59" s="175"/>
      <c r="AC59" s="47"/>
      <c r="AD59" s="47"/>
      <c r="AE59" s="47"/>
      <c r="AF59" s="47"/>
      <c r="AG59" s="47"/>
      <c r="AH59" s="47"/>
      <c r="AI59" s="47"/>
    </row>
    <row r="60" spans="3:35" hidden="1">
      <c r="C60" s="153" t="s">
        <v>40</v>
      </c>
      <c r="E60" s="97"/>
      <c r="G60"/>
      <c r="H60" s="58"/>
      <c r="I60" s="39"/>
      <c r="J60" s="47"/>
      <c r="K60" s="348"/>
      <c r="M60" s="113">
        <f>SUM(M45:M59)</f>
        <v>3661.0516640000055</v>
      </c>
      <c r="O60" s="97"/>
      <c r="P60" s="136"/>
      <c r="Q60" s="180"/>
      <c r="R60" s="187"/>
      <c r="S60" s="528"/>
      <c r="T60" s="226"/>
      <c r="U60" s="134"/>
      <c r="V60" s="47"/>
      <c r="W60" s="47"/>
      <c r="X60" s="47"/>
      <c r="Y60" s="191"/>
      <c r="Z60" s="98"/>
      <c r="AA60" s="174"/>
      <c r="AB60" s="60"/>
      <c r="AC60" s="47"/>
      <c r="AD60" s="47"/>
      <c r="AE60" s="47"/>
      <c r="AF60" s="47"/>
      <c r="AG60" s="202"/>
      <c r="AH60" s="47"/>
      <c r="AI60" s="47"/>
    </row>
    <row r="61" spans="3:35" hidden="1">
      <c r="D61" t="s">
        <v>37</v>
      </c>
      <c r="E61" s="97">
        <v>4849.6000000000004</v>
      </c>
      <c r="G61"/>
      <c r="H61" s="58"/>
      <c r="M61" s="60"/>
      <c r="O61" s="60"/>
      <c r="P61" s="136"/>
      <c r="Q61" s="180"/>
      <c r="R61" s="187"/>
      <c r="S61" s="528"/>
      <c r="T61" s="226"/>
      <c r="U61" s="163"/>
      <c r="V61" s="47"/>
      <c r="W61" s="47"/>
      <c r="X61" s="47"/>
      <c r="Y61" s="191"/>
      <c r="Z61" s="98"/>
      <c r="AA61" s="174"/>
      <c r="AB61" s="60"/>
      <c r="AC61" s="47"/>
      <c r="AD61" s="47"/>
      <c r="AE61" s="47"/>
      <c r="AF61" s="47"/>
      <c r="AG61" s="47"/>
      <c r="AH61" s="47"/>
      <c r="AI61" s="47"/>
    </row>
    <row r="62" spans="3:35" hidden="1">
      <c r="D62" s="47" t="s">
        <v>36</v>
      </c>
      <c r="E62" s="39">
        <f>E57-E61-E63</f>
        <v>-9.0949470177292824E-13</v>
      </c>
      <c r="G62" s="74"/>
      <c r="H62" s="184"/>
      <c r="M62" s="60"/>
      <c r="O62" s="60"/>
      <c r="P62" s="136"/>
      <c r="Q62" s="180"/>
      <c r="R62" s="187"/>
      <c r="S62" s="528"/>
      <c r="T62" s="226"/>
      <c r="U62" s="164"/>
      <c r="V62" s="60"/>
      <c r="W62" s="60"/>
      <c r="X62" s="171"/>
      <c r="Y62" s="47"/>
      <c r="Z62" s="98"/>
      <c r="AA62" s="174"/>
      <c r="AB62" s="60"/>
      <c r="AC62" s="47"/>
      <c r="AD62" s="47"/>
      <c r="AE62" s="47"/>
      <c r="AF62" s="47"/>
      <c r="AG62" s="47"/>
      <c r="AH62" s="47"/>
      <c r="AI62" s="47"/>
    </row>
    <row r="63" spans="3:35" ht="12.75" hidden="1" customHeight="1">
      <c r="D63" s="150" t="s">
        <v>51</v>
      </c>
      <c r="E63" s="41">
        <v>700</v>
      </c>
      <c r="F63" s="168"/>
      <c r="G63" s="689">
        <f>SUM(E61:E63)</f>
        <v>5549.5999999999995</v>
      </c>
      <c r="H63" s="689"/>
      <c r="M63" s="60"/>
      <c r="O63" s="60"/>
      <c r="P63" s="136"/>
      <c r="Q63" s="180"/>
      <c r="R63" s="187"/>
      <c r="S63" s="528"/>
      <c r="T63" s="226"/>
      <c r="U63" s="164"/>
      <c r="V63" s="60"/>
      <c r="W63" s="60"/>
      <c r="X63" s="84"/>
      <c r="Y63" s="47"/>
      <c r="Z63" s="98"/>
      <c r="AA63" s="174"/>
      <c r="AB63" s="60"/>
      <c r="AC63" s="47"/>
      <c r="AD63" s="47"/>
      <c r="AE63" s="47"/>
      <c r="AF63" s="47"/>
      <c r="AG63" s="47"/>
      <c r="AH63" s="47"/>
      <c r="AI63" s="47"/>
    </row>
    <row r="64" spans="3:35" s="150" customFormat="1" hidden="1">
      <c r="E64" s="41"/>
      <c r="G64" s="211"/>
      <c r="K64" s="349"/>
      <c r="M64" s="41"/>
      <c r="P64" s="41"/>
      <c r="Q64" s="41"/>
      <c r="R64" s="41"/>
      <c r="S64" s="535"/>
      <c r="Z64" s="41"/>
      <c r="AA64" s="212"/>
      <c r="AB64" s="41"/>
    </row>
    <row r="65" spans="2:35" hidden="1"/>
    <row r="66" spans="2:35" hidden="1">
      <c r="B66" s="967" t="s">
        <v>149</v>
      </c>
      <c r="C66" s="967"/>
      <c r="D66" s="967"/>
      <c r="E66" s="967"/>
      <c r="G66" s="75"/>
      <c r="H66" s="75"/>
      <c r="I66" s="60"/>
      <c r="L66" s="127"/>
      <c r="M66" s="968" t="s">
        <v>90</v>
      </c>
      <c r="N66" s="237"/>
      <c r="O66" s="237"/>
      <c r="P66" s="969" t="s">
        <v>84</v>
      </c>
      <c r="Q66" s="238"/>
      <c r="R66" s="238"/>
      <c r="S66" s="528"/>
      <c r="X66" s="84"/>
      <c r="Y66" s="84"/>
      <c r="Z66" s="60"/>
      <c r="AA66" s="202"/>
      <c r="AB66" s="60"/>
      <c r="AC66" s="47"/>
      <c r="AD66" s="47"/>
      <c r="AE66" s="47"/>
      <c r="AF66" s="47"/>
      <c r="AG66" s="47"/>
      <c r="AH66" s="47"/>
      <c r="AI66" s="47"/>
    </row>
    <row r="67" spans="2:35" ht="12.75" hidden="1" customHeight="1">
      <c r="C67" s="43" t="s">
        <v>35</v>
      </c>
      <c r="D67" s="39"/>
      <c r="E67" s="99">
        <v>6000</v>
      </c>
      <c r="G67" s="687"/>
      <c r="H67" s="687"/>
      <c r="I67" s="60"/>
      <c r="L67" s="128"/>
      <c r="M67" s="968"/>
      <c r="N67" s="237" t="s">
        <v>88</v>
      </c>
      <c r="O67" s="237"/>
      <c r="P67" s="969"/>
      <c r="Q67" s="238" t="s">
        <v>79</v>
      </c>
      <c r="R67" s="238" t="s">
        <v>89</v>
      </c>
      <c r="S67" s="528"/>
      <c r="X67" s="198"/>
      <c r="Y67" s="191"/>
      <c r="Z67" s="197"/>
      <c r="AA67" s="169"/>
      <c r="AB67" s="170"/>
      <c r="AC67" s="47"/>
      <c r="AD67" s="91"/>
      <c r="AE67" s="47"/>
      <c r="AF67" s="47"/>
      <c r="AG67" s="47"/>
      <c r="AH67" s="47"/>
      <c r="AI67" s="47"/>
    </row>
    <row r="68" spans="2:35" hidden="1">
      <c r="C68" s="43"/>
      <c r="D68" s="39" t="s">
        <v>47</v>
      </c>
      <c r="E68" s="99">
        <f>'[1]APRIL ''11'!$C$38</f>
        <v>-50.260000000000076</v>
      </c>
      <c r="G68" s="74"/>
      <c r="H68" s="74"/>
      <c r="I68" s="60"/>
      <c r="L68" s="101" t="s">
        <v>91</v>
      </c>
      <c r="M68" s="60">
        <f>$M$60</f>
        <v>3661.0516640000055</v>
      </c>
      <c r="N68" s="139">
        <f>M68</f>
        <v>3661.0516640000055</v>
      </c>
      <c r="O68" s="60"/>
      <c r="P68" s="100">
        <f>$Q$55</f>
        <v>-9644.2672784810093</v>
      </c>
      <c r="Q68" s="139">
        <f>P68</f>
        <v>-9644.2672784810093</v>
      </c>
      <c r="R68" s="100">
        <f t="shared" ref="R68:R81" si="6">10050+Q68</f>
        <v>405.73272151899073</v>
      </c>
      <c r="S68" s="532"/>
      <c r="T68" s="71"/>
      <c r="X68" s="171"/>
      <c r="Y68" s="191"/>
      <c r="Z68" s="60"/>
      <c r="AA68" s="202"/>
      <c r="AB68" s="60"/>
      <c r="AC68" s="47"/>
      <c r="AD68" s="172"/>
      <c r="AE68" s="173"/>
      <c r="AF68" s="47"/>
      <c r="AG68" s="47"/>
      <c r="AH68" s="47"/>
      <c r="AI68" s="47"/>
    </row>
    <row r="69" spans="2:35" hidden="1">
      <c r="C69" s="43"/>
      <c r="D69" s="229" t="s">
        <v>150</v>
      </c>
      <c r="E69" s="41">
        <f>'[1]MARCH ''11'!$C$41</f>
        <v>523.64</v>
      </c>
      <c r="G69"/>
      <c r="I69" s="60"/>
      <c r="L69" s="181" t="s">
        <v>151</v>
      </c>
      <c r="M69" s="215">
        <v>-600</v>
      </c>
      <c r="N69" s="137">
        <f t="shared" ref="N69:N88" si="7">N68+M69</f>
        <v>3061.0516640000055</v>
      </c>
      <c r="O69" s="134"/>
      <c r="P69" s="213">
        <v>-250</v>
      </c>
      <c r="Q69" s="140">
        <f>Q68+P69</f>
        <v>-9894.2672784810093</v>
      </c>
      <c r="R69" s="100">
        <f t="shared" si="6"/>
        <v>155.73272151899073</v>
      </c>
      <c r="S69" s="524" t="s">
        <v>153</v>
      </c>
      <c r="X69" s="47"/>
      <c r="Y69" s="192"/>
      <c r="Z69" s="98"/>
      <c r="AA69" s="174"/>
      <c r="AB69" s="175"/>
      <c r="AC69" s="47"/>
      <c r="AD69" s="91"/>
      <c r="AE69" s="173"/>
      <c r="AF69" s="47"/>
      <c r="AG69" s="47"/>
      <c r="AH69" s="47"/>
      <c r="AI69" s="47"/>
    </row>
    <row r="70" spans="2:35" ht="12.75" hidden="1" customHeight="1">
      <c r="C70" s="45" t="s">
        <v>17</v>
      </c>
      <c r="D70" s="39"/>
      <c r="E70" s="39">
        <f>SUM(E67:E69)</f>
        <v>6473.38</v>
      </c>
      <c r="G70" s="691" t="s">
        <v>166</v>
      </c>
      <c r="H70" s="691"/>
      <c r="I70" s="691"/>
      <c r="J70" s="47"/>
      <c r="K70" s="348"/>
      <c r="L70" s="181" t="s">
        <v>152</v>
      </c>
      <c r="M70" s="215">
        <f>-400-500</f>
        <v>-900</v>
      </c>
      <c r="N70" s="137">
        <f t="shared" si="7"/>
        <v>2161.0516640000055</v>
      </c>
      <c r="O70" s="134"/>
      <c r="P70" s="213">
        <v>1500</v>
      </c>
      <c r="Q70" s="140">
        <f>Q69+P70</f>
        <v>-8394.2672784810093</v>
      </c>
      <c r="R70" s="100">
        <f t="shared" si="6"/>
        <v>1655.7327215189907</v>
      </c>
      <c r="S70" s="524" t="s">
        <v>103</v>
      </c>
      <c r="X70" s="47"/>
      <c r="Y70" s="192"/>
      <c r="Z70" s="98"/>
      <c r="AA70" s="174"/>
      <c r="AB70" s="60"/>
      <c r="AC70" s="47"/>
      <c r="AD70" s="172"/>
      <c r="AE70" s="173"/>
      <c r="AF70" s="47"/>
      <c r="AG70" s="47"/>
      <c r="AH70" s="47"/>
      <c r="AI70" s="47"/>
    </row>
    <row r="71" spans="2:35" hidden="1">
      <c r="G71"/>
      <c r="H71" s="58" t="s">
        <v>32</v>
      </c>
      <c r="I71" s="39">
        <v>175.44</v>
      </c>
      <c r="J71" s="117"/>
      <c r="K71" s="348"/>
      <c r="L71" s="181" t="s">
        <v>154</v>
      </c>
      <c r="M71" s="215">
        <v>-6.7</v>
      </c>
      <c r="N71" s="137">
        <f t="shared" si="7"/>
        <v>2154.3516640000057</v>
      </c>
      <c r="O71" s="105"/>
      <c r="P71" s="213">
        <v>-150.07</v>
      </c>
      <c r="Q71" s="140">
        <f>Q70+P71</f>
        <v>-8544.337278481009</v>
      </c>
      <c r="R71" s="100">
        <f t="shared" si="6"/>
        <v>1505.662721518991</v>
      </c>
      <c r="S71" s="524" t="s">
        <v>85</v>
      </c>
      <c r="X71" s="171"/>
      <c r="Y71" s="192"/>
      <c r="Z71" s="98"/>
      <c r="AA71" s="174"/>
      <c r="AB71" s="60"/>
      <c r="AC71" s="47"/>
      <c r="AD71" s="172"/>
      <c r="AE71" s="173"/>
      <c r="AF71" s="47"/>
      <c r="AG71" s="47"/>
      <c r="AH71" s="47"/>
      <c r="AI71" s="47"/>
    </row>
    <row r="72" spans="2:35" hidden="1">
      <c r="C72" s="43" t="s">
        <v>29</v>
      </c>
      <c r="G72"/>
      <c r="H72" s="58" t="s">
        <v>41</v>
      </c>
      <c r="I72" s="39">
        <f>4.08+16.89</f>
        <v>20.97</v>
      </c>
      <c r="J72" s="47"/>
      <c r="K72" s="348"/>
      <c r="L72" s="181" t="s">
        <v>154</v>
      </c>
      <c r="M72" s="215">
        <v>-21.45</v>
      </c>
      <c r="N72" s="137">
        <f t="shared" si="7"/>
        <v>2132.9016640000059</v>
      </c>
      <c r="O72" s="105"/>
      <c r="P72" s="213">
        <v>-359.95</v>
      </c>
      <c r="Q72" s="140">
        <f t="shared" ref="Q72:Q81" si="8">Q71+P72</f>
        <v>-8904.2872784810097</v>
      </c>
      <c r="R72" s="100">
        <f t="shared" si="6"/>
        <v>1145.7127215189903</v>
      </c>
      <c r="S72" s="524" t="s">
        <v>155</v>
      </c>
      <c r="T72" s="47"/>
      <c r="U72" s="47"/>
      <c r="V72" s="183"/>
      <c r="W72" s="183"/>
      <c r="X72" s="47"/>
      <c r="Y72" s="192"/>
      <c r="Z72" s="98"/>
      <c r="AA72" s="174"/>
      <c r="AB72" s="175"/>
      <c r="AC72" s="47"/>
      <c r="AD72" s="176"/>
      <c r="AE72" s="173"/>
      <c r="AF72" s="47"/>
      <c r="AG72" s="47"/>
      <c r="AH72" s="47"/>
      <c r="AI72" s="47"/>
    </row>
    <row r="73" spans="2:35" hidden="1">
      <c r="D73" t="s">
        <v>30</v>
      </c>
      <c r="E73" s="39">
        <f>1204/2</f>
        <v>602</v>
      </c>
      <c r="G73" s="85"/>
      <c r="H73" s="58" t="s">
        <v>43</v>
      </c>
      <c r="I73" s="39">
        <v>7.45</v>
      </c>
      <c r="J73" s="47"/>
      <c r="K73" s="348"/>
      <c r="L73" s="181" t="s">
        <v>140</v>
      </c>
      <c r="M73" s="215">
        <v>-1500</v>
      </c>
      <c r="N73" s="137">
        <f t="shared" si="7"/>
        <v>632.90166400000589</v>
      </c>
      <c r="O73" s="106"/>
      <c r="P73" s="215">
        <v>-300.77999999999997</v>
      </c>
      <c r="Q73" s="140">
        <f t="shared" si="8"/>
        <v>-9205.0672784810104</v>
      </c>
      <c r="R73" s="100">
        <f t="shared" si="6"/>
        <v>844.93272151898964</v>
      </c>
      <c r="S73" s="524" t="s">
        <v>86</v>
      </c>
      <c r="T73" s="47"/>
      <c r="U73" s="47"/>
      <c r="V73" s="47"/>
      <c r="W73" s="47"/>
      <c r="X73" s="47"/>
      <c r="Y73" s="192"/>
      <c r="Z73" s="98"/>
      <c r="AA73" s="174"/>
      <c r="AB73" s="60"/>
      <c r="AC73" s="47"/>
      <c r="AD73" s="91"/>
      <c r="AE73" s="173"/>
      <c r="AF73" s="47"/>
      <c r="AG73" s="47"/>
      <c r="AH73" s="47"/>
      <c r="AI73" s="47"/>
    </row>
    <row r="74" spans="2:35" hidden="1">
      <c r="D74" t="s">
        <v>31</v>
      </c>
      <c r="E74" s="99"/>
      <c r="F74" s="86" t="s">
        <v>38</v>
      </c>
      <c r="G74"/>
      <c r="H74" s="58" t="s">
        <v>42</v>
      </c>
      <c r="I74" s="39">
        <v>-3.29</v>
      </c>
      <c r="J74" s="47"/>
      <c r="K74" s="348"/>
      <c r="L74" s="181" t="s">
        <v>47</v>
      </c>
      <c r="M74" s="215">
        <v>-314.02999999999997</v>
      </c>
      <c r="N74" s="137">
        <f t="shared" si="7"/>
        <v>318.87166400000592</v>
      </c>
      <c r="O74" s="106"/>
      <c r="P74" s="213">
        <v>-407.58</v>
      </c>
      <c r="Q74" s="140">
        <f t="shared" si="8"/>
        <v>-9612.6472784810103</v>
      </c>
      <c r="R74" s="100">
        <f t="shared" si="6"/>
        <v>437.35272151898971</v>
      </c>
      <c r="S74" s="524" t="s">
        <v>157</v>
      </c>
      <c r="T74" s="47"/>
      <c r="U74" s="47"/>
      <c r="V74" s="47"/>
      <c r="W74" s="47"/>
      <c r="X74" s="47"/>
      <c r="Y74" s="192"/>
      <c r="Z74" s="98"/>
      <c r="AA74" s="174"/>
      <c r="AB74" s="60"/>
      <c r="AC74" s="47"/>
      <c r="AD74" s="172"/>
      <c r="AE74" s="173"/>
      <c r="AF74" s="47"/>
      <c r="AG74" s="47"/>
      <c r="AH74" s="47"/>
      <c r="AI74" s="47"/>
    </row>
    <row r="75" spans="2:35" hidden="1">
      <c r="D75" t="s">
        <v>32</v>
      </c>
      <c r="E75" s="46">
        <f>I80</f>
        <v>321.77999999999997</v>
      </c>
      <c r="F75" s="86" t="s">
        <v>38</v>
      </c>
      <c r="G75"/>
      <c r="H75" s="58" t="s">
        <v>44</v>
      </c>
      <c r="I75" s="39">
        <v>3.51</v>
      </c>
      <c r="J75" s="47"/>
      <c r="K75" s="348"/>
      <c r="L75" s="151" t="s">
        <v>97</v>
      </c>
      <c r="M75" s="215">
        <v>-29</v>
      </c>
      <c r="N75" s="137">
        <f t="shared" si="7"/>
        <v>289.87166400000592</v>
      </c>
      <c r="O75" s="106"/>
      <c r="P75" s="100">
        <v>690.1</v>
      </c>
      <c r="Q75" s="140">
        <f t="shared" si="8"/>
        <v>-8922.5472784810099</v>
      </c>
      <c r="R75" s="100">
        <f t="shared" si="6"/>
        <v>1127.4527215189901</v>
      </c>
      <c r="S75" s="524" t="s">
        <v>158</v>
      </c>
      <c r="T75" s="111"/>
      <c r="U75" s="47"/>
      <c r="V75" s="60"/>
      <c r="W75" s="60"/>
      <c r="X75" s="47"/>
      <c r="Y75" s="192"/>
      <c r="Z75" s="98"/>
      <c r="AA75" s="174"/>
      <c r="AB75" s="175"/>
      <c r="AC75" s="47"/>
      <c r="AD75" s="172"/>
      <c r="AE75" s="173"/>
      <c r="AF75" s="47"/>
      <c r="AG75" s="47"/>
      <c r="AH75" s="47"/>
      <c r="AI75" s="47"/>
    </row>
    <row r="76" spans="2:35" hidden="1">
      <c r="D76" t="s">
        <v>45</v>
      </c>
      <c r="E76" s="41"/>
      <c r="F76" s="87"/>
      <c r="G76"/>
      <c r="H76" s="58" t="s">
        <v>49</v>
      </c>
      <c r="I76" s="115">
        <f>1198.4</f>
        <v>1198.4000000000001</v>
      </c>
      <c r="J76" s="47"/>
      <c r="K76" s="348"/>
      <c r="L76" s="151" t="s">
        <v>97</v>
      </c>
      <c r="M76" s="215">
        <v>-29</v>
      </c>
      <c r="N76" s="137">
        <f t="shared" si="7"/>
        <v>260.87166400000592</v>
      </c>
      <c r="O76" s="88"/>
      <c r="P76" s="214">
        <v>-88.97</v>
      </c>
      <c r="Q76" s="140">
        <f t="shared" si="8"/>
        <v>-9011.5172784810093</v>
      </c>
      <c r="R76" s="100">
        <f t="shared" si="6"/>
        <v>1038.4827215189907</v>
      </c>
      <c r="S76" s="524" t="s">
        <v>86</v>
      </c>
      <c r="T76" s="111"/>
      <c r="U76" s="47"/>
      <c r="V76" s="60"/>
      <c r="W76" s="60"/>
      <c r="X76" s="47"/>
      <c r="Y76" s="192"/>
      <c r="Z76" s="98"/>
      <c r="AA76" s="174"/>
      <c r="AB76" s="60"/>
      <c r="AC76" s="47"/>
      <c r="AD76" s="172"/>
      <c r="AE76" s="177"/>
      <c r="AF76" s="47"/>
      <c r="AG76" s="47"/>
      <c r="AH76" s="47"/>
      <c r="AI76" s="47"/>
    </row>
    <row r="77" spans="2:35" hidden="1">
      <c r="C77" s="45" t="s">
        <v>17</v>
      </c>
      <c r="E77" s="46">
        <f>SUM(E73:E76)</f>
        <v>923.78</v>
      </c>
      <c r="G77"/>
      <c r="H77" s="196" t="s">
        <v>145</v>
      </c>
      <c r="I77" s="99">
        <f>SUM(I71:I76)</f>
        <v>1402.48</v>
      </c>
      <c r="J77" s="47"/>
      <c r="K77" s="348"/>
      <c r="L77" s="151" t="s">
        <v>97</v>
      </c>
      <c r="M77" s="215">
        <v>-29</v>
      </c>
      <c r="N77" s="137">
        <f t="shared" si="7"/>
        <v>231.87166400000592</v>
      </c>
      <c r="O77" s="88"/>
      <c r="P77" s="214">
        <v>-106.6</v>
      </c>
      <c r="Q77" s="140">
        <f t="shared" si="8"/>
        <v>-9118.1172784810096</v>
      </c>
      <c r="R77" s="100">
        <f t="shared" si="6"/>
        <v>931.88272151899037</v>
      </c>
      <c r="S77" s="524" t="s">
        <v>164</v>
      </c>
      <c r="T77" s="152"/>
      <c r="U77" s="142"/>
      <c r="V77" s="60"/>
      <c r="W77" s="60"/>
      <c r="X77" s="47"/>
      <c r="Y77" s="192"/>
      <c r="Z77" s="98"/>
      <c r="AA77" s="174"/>
      <c r="AB77" s="60"/>
      <c r="AC77" s="47"/>
      <c r="AD77" s="47"/>
      <c r="AE77" s="173"/>
      <c r="AF77" s="47"/>
      <c r="AG77" s="47"/>
      <c r="AH77" s="47"/>
      <c r="AI77" s="47"/>
    </row>
    <row r="78" spans="2:35" hidden="1">
      <c r="C78" s="45"/>
      <c r="G78"/>
      <c r="H78" s="58" t="s">
        <v>50</v>
      </c>
      <c r="I78" s="115">
        <f>-506.66</f>
        <v>-506.66</v>
      </c>
      <c r="J78" s="47"/>
      <c r="K78" s="348"/>
      <c r="L78" s="151" t="s">
        <v>152</v>
      </c>
      <c r="M78" s="215">
        <v>-200</v>
      </c>
      <c r="N78" s="137">
        <f t="shared" si="7"/>
        <v>31.871664000005921</v>
      </c>
      <c r="O78" s="88"/>
      <c r="P78" s="213">
        <f>-500-11.5</f>
        <v>-511.5</v>
      </c>
      <c r="Q78" s="140">
        <f t="shared" si="8"/>
        <v>-9629.6172784810096</v>
      </c>
      <c r="R78" s="100">
        <f t="shared" si="6"/>
        <v>420.38272151899037</v>
      </c>
      <c r="S78" s="524" t="s">
        <v>165</v>
      </c>
      <c r="T78" s="111"/>
      <c r="U78" s="142"/>
      <c r="V78" s="60"/>
      <c r="W78" s="60"/>
      <c r="X78" s="171"/>
      <c r="Y78" s="47"/>
      <c r="Z78" s="98"/>
      <c r="AA78" s="174"/>
      <c r="AB78" s="175"/>
      <c r="AC78" s="47"/>
      <c r="AD78" s="178"/>
      <c r="AE78" s="173"/>
      <c r="AF78" s="202"/>
      <c r="AG78" s="47"/>
      <c r="AH78" s="47"/>
      <c r="AI78" s="47"/>
    </row>
    <row r="79" spans="2:35" ht="13.5" hidden="1" thickBot="1">
      <c r="D79" s="42" t="s">
        <v>105</v>
      </c>
      <c r="E79" s="63">
        <f>E70-E77</f>
        <v>5549.6</v>
      </c>
      <c r="G79"/>
      <c r="H79" s="58"/>
      <c r="I79" s="247">
        <f>SUM(I77:I78)</f>
        <v>895.81999999999994</v>
      </c>
      <c r="J79" s="47"/>
      <c r="K79" s="348"/>
      <c r="L79" s="151" t="s">
        <v>163</v>
      </c>
      <c r="M79" s="215">
        <f>-300-325.03</f>
        <v>-625.03</v>
      </c>
      <c r="N79" s="137">
        <f t="shared" si="7"/>
        <v>-593.15833599999405</v>
      </c>
      <c r="O79" s="88"/>
      <c r="P79" s="214">
        <v>-194.25</v>
      </c>
      <c r="Q79" s="140">
        <f t="shared" si="8"/>
        <v>-9823.8672784810096</v>
      </c>
      <c r="R79" s="100">
        <f t="shared" si="6"/>
        <v>226.13272151899037</v>
      </c>
      <c r="S79" s="524" t="s">
        <v>157</v>
      </c>
      <c r="T79" s="135"/>
      <c r="U79" s="134"/>
      <c r="V79" s="60"/>
      <c r="W79" s="60"/>
      <c r="X79" s="84"/>
      <c r="Y79" s="47"/>
      <c r="Z79" s="98"/>
      <c r="AA79" s="174"/>
      <c r="AB79" s="60"/>
      <c r="AC79" s="47"/>
      <c r="AD79" s="47"/>
      <c r="AE79" s="47"/>
      <c r="AF79" s="179"/>
      <c r="AG79" s="47"/>
      <c r="AH79" s="47"/>
      <c r="AI79" s="47"/>
    </row>
    <row r="80" spans="2:35" hidden="1">
      <c r="D80" s="43"/>
      <c r="E80" s="90"/>
      <c r="G80"/>
      <c r="H80" s="196" t="s">
        <v>159</v>
      </c>
      <c r="I80" s="100">
        <v>321.77999999999997</v>
      </c>
      <c r="J80" s="47"/>
      <c r="K80" s="348"/>
      <c r="L80" s="189" t="s">
        <v>87</v>
      </c>
      <c r="M80" s="216">
        <f>E83</f>
        <v>4849.6000000000004</v>
      </c>
      <c r="N80" s="137">
        <f t="shared" si="7"/>
        <v>4256.4416640000063</v>
      </c>
      <c r="O80" s="88"/>
      <c r="P80" s="106">
        <v>-99.99</v>
      </c>
      <c r="Q80" s="140">
        <f t="shared" si="8"/>
        <v>-9923.8572784810094</v>
      </c>
      <c r="R80" s="100">
        <f t="shared" si="6"/>
        <v>126.14272151899058</v>
      </c>
      <c r="S80" s="530" t="s">
        <v>158</v>
      </c>
      <c r="T80" s="135"/>
      <c r="U80" s="134"/>
      <c r="V80" s="47"/>
      <c r="W80" s="47"/>
      <c r="X80" s="47"/>
      <c r="Y80" s="191"/>
      <c r="Z80" s="98"/>
      <c r="AA80" s="174"/>
      <c r="AB80" s="60"/>
      <c r="AC80" s="47"/>
      <c r="AD80" s="47"/>
      <c r="AE80" s="47"/>
      <c r="AF80" s="47"/>
      <c r="AG80" s="47"/>
      <c r="AH80" s="47"/>
      <c r="AI80" s="47"/>
    </row>
    <row r="81" spans="2:35" ht="13.5" hidden="1" thickBot="1">
      <c r="D81" s="43"/>
      <c r="E81" s="90"/>
      <c r="G81"/>
      <c r="H81" s="196" t="s">
        <v>160</v>
      </c>
      <c r="I81" s="116">
        <f>I79-I80</f>
        <v>574.04</v>
      </c>
      <c r="J81" s="47"/>
      <c r="K81" s="348"/>
      <c r="L81" s="151" t="s">
        <v>97</v>
      </c>
      <c r="M81" s="100">
        <v>-144.5</v>
      </c>
      <c r="N81" s="137">
        <f t="shared" si="7"/>
        <v>4111.9416640000063</v>
      </c>
      <c r="O81" s="88"/>
      <c r="P81" s="106">
        <f>E84</f>
        <v>0</v>
      </c>
      <c r="Q81" s="141">
        <f t="shared" si="8"/>
        <v>-9923.8572784810094</v>
      </c>
      <c r="R81" s="185">
        <f t="shared" si="6"/>
        <v>126.14272151899058</v>
      </c>
      <c r="S81" s="533" t="s">
        <v>100</v>
      </c>
      <c r="T81" s="135"/>
      <c r="U81" s="134"/>
      <c r="V81" s="47"/>
      <c r="W81" s="47"/>
      <c r="X81" s="171"/>
      <c r="Y81" s="191"/>
      <c r="Z81" s="98"/>
      <c r="AA81" s="174"/>
      <c r="AB81" s="175"/>
      <c r="AC81" s="47"/>
      <c r="AD81" s="47"/>
      <c r="AE81" s="47"/>
      <c r="AF81" s="47"/>
      <c r="AG81" s="47"/>
      <c r="AH81" s="47"/>
      <c r="AI81" s="47"/>
    </row>
    <row r="82" spans="2:35" hidden="1">
      <c r="C82" s="153" t="s">
        <v>40</v>
      </c>
      <c r="E82" s="97"/>
      <c r="G82"/>
      <c r="H82" s="58"/>
      <c r="I82" s="39"/>
      <c r="J82" s="47"/>
      <c r="K82" s="348"/>
      <c r="L82" s="166" t="s">
        <v>99</v>
      </c>
      <c r="M82" s="217">
        <f>-3.9+M81*1.37%</f>
        <v>-5.8796499999999998</v>
      </c>
      <c r="N82" s="137">
        <f t="shared" si="7"/>
        <v>4106.0620140000065</v>
      </c>
      <c r="O82" s="97"/>
      <c r="P82" s="133">
        <f>SUM(P68:P81)</f>
        <v>-9923.8572784810094</v>
      </c>
      <c r="Q82" s="132"/>
      <c r="R82" s="132"/>
      <c r="S82" s="528"/>
      <c r="T82" s="135"/>
      <c r="U82" s="134"/>
      <c r="V82" s="47"/>
      <c r="W82" s="47"/>
      <c r="X82" s="47"/>
      <c r="Y82" s="191"/>
      <c r="Z82" s="98"/>
      <c r="AA82" s="174"/>
      <c r="AB82" s="60"/>
      <c r="AC82" s="47"/>
      <c r="AD82" s="47"/>
      <c r="AE82" s="47"/>
      <c r="AF82" s="47"/>
      <c r="AG82" s="202"/>
      <c r="AH82" s="47"/>
      <c r="AI82" s="47"/>
    </row>
    <row r="83" spans="2:35" hidden="1">
      <c r="D83" t="s">
        <v>37</v>
      </c>
      <c r="E83" s="97">
        <v>4849.6000000000004</v>
      </c>
      <c r="G83"/>
      <c r="H83" s="58"/>
      <c r="L83" s="165" t="s">
        <v>46</v>
      </c>
      <c r="M83" s="218">
        <v>-167.56</v>
      </c>
      <c r="N83" s="137">
        <f t="shared" si="7"/>
        <v>3938.5020140000065</v>
      </c>
      <c r="O83" s="60"/>
      <c r="P83" s="136"/>
      <c r="Q83" s="180"/>
      <c r="R83" s="187"/>
      <c r="S83" s="528"/>
      <c r="T83" s="135"/>
      <c r="U83" s="163"/>
      <c r="V83" s="47"/>
      <c r="W83" s="47"/>
      <c r="X83" s="47"/>
      <c r="Y83" s="191"/>
      <c r="Z83" s="98"/>
      <c r="AA83" s="174"/>
      <c r="AB83" s="60"/>
      <c r="AC83" s="47"/>
      <c r="AD83" s="47"/>
      <c r="AE83" s="47"/>
      <c r="AF83" s="47"/>
      <c r="AG83" s="47"/>
      <c r="AH83" s="47"/>
      <c r="AI83" s="47"/>
    </row>
    <row r="84" spans="2:35" hidden="1">
      <c r="D84" s="47" t="s">
        <v>36</v>
      </c>
      <c r="E84" s="39">
        <f>E79-E83-E85</f>
        <v>0</v>
      </c>
      <c r="G84" s="74"/>
      <c r="H84" s="184"/>
      <c r="L84" s="166" t="s">
        <v>99</v>
      </c>
      <c r="M84" s="217">
        <f>-3.9+M83*1.37%</f>
        <v>-6.1955720000000003</v>
      </c>
      <c r="N84" s="137">
        <f t="shared" si="7"/>
        <v>3932.3064420000064</v>
      </c>
      <c r="O84" s="60"/>
      <c r="P84" s="136"/>
      <c r="Q84" s="180"/>
      <c r="R84" s="187"/>
      <c r="S84" s="528"/>
      <c r="T84" s="234"/>
      <c r="U84" s="164"/>
      <c r="V84" s="60"/>
      <c r="W84" s="60"/>
      <c r="X84" s="171"/>
      <c r="Y84" s="47"/>
      <c r="Z84" s="98"/>
      <c r="AA84" s="174"/>
      <c r="AB84" s="60"/>
      <c r="AC84" s="47"/>
      <c r="AD84" s="47"/>
      <c r="AE84" s="47"/>
      <c r="AF84" s="47"/>
      <c r="AG84" s="47"/>
      <c r="AH84" s="47"/>
      <c r="AI84" s="47"/>
    </row>
    <row r="85" spans="2:35" ht="12.75" hidden="1" customHeight="1">
      <c r="D85" s="150" t="s">
        <v>51</v>
      </c>
      <c r="E85" s="41">
        <v>700</v>
      </c>
      <c r="F85" s="168"/>
      <c r="G85" s="689">
        <f>SUM(E83:E85)</f>
        <v>5549.6</v>
      </c>
      <c r="H85" s="689"/>
      <c r="L85" s="111" t="s">
        <v>39</v>
      </c>
      <c r="M85" s="215">
        <v>-483.99</v>
      </c>
      <c r="N85" s="137">
        <f t="shared" si="7"/>
        <v>3448.3164420000066</v>
      </c>
      <c r="O85" s="60"/>
      <c r="P85" s="136"/>
      <c r="Q85" s="180"/>
      <c r="R85" s="187"/>
      <c r="S85" s="528"/>
      <c r="T85" s="234"/>
      <c r="U85" s="164"/>
      <c r="V85" s="60"/>
      <c r="W85" s="60"/>
      <c r="X85" s="84"/>
      <c r="Y85" s="47"/>
      <c r="Z85" s="98"/>
      <c r="AA85" s="174"/>
      <c r="AB85" s="60"/>
      <c r="AC85" s="47"/>
      <c r="AD85" s="47"/>
      <c r="AE85" s="47"/>
      <c r="AF85" s="47"/>
      <c r="AG85" s="47"/>
      <c r="AH85" s="47"/>
      <c r="AI85" s="47"/>
    </row>
    <row r="86" spans="2:35" ht="12.75" hidden="1" customHeight="1">
      <c r="D86" s="47"/>
      <c r="E86" s="60"/>
      <c r="F86" s="204"/>
      <c r="G86" s="688"/>
      <c r="H86" s="688"/>
      <c r="L86" s="135" t="s">
        <v>99</v>
      </c>
      <c r="M86" s="217">
        <f>-3.9+M85*1.37%</f>
        <v>-10.530663000000001</v>
      </c>
      <c r="N86" s="137">
        <f t="shared" si="7"/>
        <v>3437.7857790000066</v>
      </c>
      <c r="O86" s="60"/>
      <c r="P86" s="136"/>
      <c r="Q86" s="180"/>
      <c r="R86" s="187"/>
      <c r="S86" s="528"/>
      <c r="T86" s="234"/>
      <c r="U86" s="47"/>
      <c r="V86" s="60"/>
      <c r="W86" s="60"/>
      <c r="X86" s="47"/>
      <c r="Y86" s="47"/>
      <c r="Z86" s="98"/>
      <c r="AA86" s="174"/>
      <c r="AB86" s="60"/>
      <c r="AC86" s="47"/>
      <c r="AD86" s="47"/>
      <c r="AE86" s="47"/>
      <c r="AF86" s="47"/>
      <c r="AG86" s="47"/>
      <c r="AH86" s="47"/>
      <c r="AI86" s="47"/>
    </row>
    <row r="87" spans="2:35" hidden="1">
      <c r="D87" s="47"/>
      <c r="E87" s="60"/>
      <c r="F87" s="204"/>
      <c r="G87" s="239"/>
      <c r="H87" s="239"/>
      <c r="L87" s="167" t="s">
        <v>92</v>
      </c>
      <c r="M87" s="219">
        <v>-505</v>
      </c>
      <c r="N87" s="137">
        <f t="shared" si="7"/>
        <v>2932.7857790000066</v>
      </c>
      <c r="O87" s="60"/>
      <c r="P87" s="136"/>
      <c r="Q87" s="180"/>
      <c r="R87" s="187"/>
      <c r="S87" s="528"/>
      <c r="T87" s="234"/>
      <c r="U87" s="47"/>
      <c r="V87" s="60"/>
      <c r="W87" s="60"/>
      <c r="X87" s="171"/>
      <c r="Y87" s="47"/>
      <c r="Z87" s="98"/>
      <c r="AA87" s="174"/>
      <c r="AB87" s="60"/>
      <c r="AC87" s="47"/>
      <c r="AD87" s="47"/>
      <c r="AE87" s="47"/>
      <c r="AF87" s="47"/>
      <c r="AG87" s="47"/>
      <c r="AH87" s="47"/>
      <c r="AI87" s="47"/>
    </row>
    <row r="88" spans="2:35" hidden="1">
      <c r="B88" s="47"/>
      <c r="C88" s="84"/>
      <c r="D88" s="60"/>
      <c r="E88" s="100"/>
      <c r="F88" s="204"/>
      <c r="G88" s="239"/>
      <c r="H88" s="239"/>
      <c r="L88" s="166" t="s">
        <v>99</v>
      </c>
      <c r="M88" s="217">
        <f>-3.9+M87*1.37%</f>
        <v>-10.8185</v>
      </c>
      <c r="N88" s="138">
        <f t="shared" si="7"/>
        <v>2921.9672790000068</v>
      </c>
      <c r="O88" s="60"/>
      <c r="P88" s="136"/>
      <c r="Q88" s="180"/>
      <c r="R88" s="187"/>
      <c r="S88" s="528"/>
      <c r="T88" s="234"/>
      <c r="U88" s="47"/>
      <c r="V88" s="60"/>
      <c r="W88" s="60"/>
      <c r="X88" s="171"/>
      <c r="Y88" s="47"/>
      <c r="Z88" s="98"/>
      <c r="AA88" s="174"/>
      <c r="AB88" s="60"/>
      <c r="AC88" s="47"/>
      <c r="AD88" s="47"/>
      <c r="AE88" s="47"/>
      <c r="AF88" s="47"/>
      <c r="AG88" s="47"/>
      <c r="AH88" s="47"/>
      <c r="AI88" s="47"/>
    </row>
    <row r="89" spans="2:35" hidden="1">
      <c r="B89" s="47"/>
      <c r="C89" s="84"/>
      <c r="D89" s="60"/>
      <c r="E89" s="100"/>
      <c r="F89" s="204"/>
      <c r="G89" s="239"/>
      <c r="H89" s="239"/>
      <c r="M89" s="113">
        <f>SUM(M68:M88)</f>
        <v>2921.9672790000068</v>
      </c>
      <c r="O89" s="60"/>
      <c r="P89" s="136"/>
      <c r="Q89" s="180"/>
      <c r="R89" s="187"/>
      <c r="S89" s="528"/>
      <c r="T89" s="234"/>
      <c r="U89" s="47"/>
      <c r="V89" s="60"/>
      <c r="W89" s="60"/>
      <c r="X89" s="171"/>
      <c r="Y89" s="47"/>
      <c r="Z89" s="98"/>
      <c r="AA89" s="174"/>
      <c r="AB89" s="60"/>
      <c r="AC89" s="47"/>
      <c r="AD89" s="47"/>
      <c r="AE89" s="47"/>
      <c r="AF89" s="47"/>
      <c r="AG89" s="47"/>
      <c r="AH89" s="47"/>
      <c r="AI89" s="47"/>
    </row>
    <row r="90" spans="2:35" s="150" customFormat="1" hidden="1">
      <c r="C90" s="240"/>
      <c r="D90" s="41"/>
      <c r="E90" s="115"/>
      <c r="F90" s="168"/>
      <c r="G90" s="236"/>
      <c r="H90" s="236"/>
      <c r="K90" s="349"/>
      <c r="M90" s="41"/>
      <c r="O90" s="41"/>
      <c r="P90" s="241"/>
      <c r="Q90" s="242"/>
      <c r="R90" s="243"/>
      <c r="S90" s="536"/>
      <c r="T90" s="235"/>
      <c r="V90" s="41"/>
      <c r="W90" s="41"/>
      <c r="X90" s="244"/>
      <c r="Z90" s="245"/>
      <c r="AA90" s="246"/>
      <c r="AB90" s="41"/>
    </row>
    <row r="91" spans="2:35" hidden="1"/>
    <row r="92" spans="2:35" hidden="1">
      <c r="B92" s="967" t="s">
        <v>161</v>
      </c>
      <c r="C92" s="967"/>
      <c r="D92" s="967"/>
      <c r="E92" s="967"/>
      <c r="G92" s="75"/>
      <c r="H92" s="75"/>
      <c r="I92" s="60"/>
      <c r="L92" s="127"/>
      <c r="M92" s="968" t="s">
        <v>90</v>
      </c>
      <c r="N92" s="251"/>
      <c r="O92" s="251"/>
      <c r="P92" s="969" t="s">
        <v>84</v>
      </c>
      <c r="Q92" s="252"/>
      <c r="R92" s="252"/>
      <c r="S92" s="528"/>
      <c r="X92" s="84"/>
      <c r="Y92" s="84"/>
      <c r="Z92" s="60"/>
      <c r="AA92" s="202"/>
      <c r="AB92" s="60"/>
      <c r="AC92" s="47"/>
      <c r="AD92" s="47"/>
      <c r="AE92" s="47"/>
      <c r="AF92" s="47"/>
      <c r="AG92" s="47"/>
      <c r="AH92" s="47"/>
      <c r="AI92" s="47"/>
    </row>
    <row r="93" spans="2:35" ht="12.75" hidden="1" customHeight="1">
      <c r="C93" s="43" t="s">
        <v>35</v>
      </c>
      <c r="D93" s="39"/>
      <c r="E93" s="99">
        <v>6000</v>
      </c>
      <c r="G93" s="687"/>
      <c r="H93" s="687"/>
      <c r="I93" s="60"/>
      <c r="L93" s="128"/>
      <c r="M93" s="968"/>
      <c r="N93" s="251" t="s">
        <v>88</v>
      </c>
      <c r="O93" s="251"/>
      <c r="P93" s="969"/>
      <c r="Q93" s="252" t="s">
        <v>79</v>
      </c>
      <c r="R93" s="252" t="s">
        <v>89</v>
      </c>
      <c r="S93" s="528"/>
      <c r="X93" s="198"/>
      <c r="Y93" s="191"/>
      <c r="Z93" s="197"/>
      <c r="AA93" s="169"/>
      <c r="AB93" s="170"/>
      <c r="AC93" s="47"/>
      <c r="AD93" s="91"/>
      <c r="AE93" s="47"/>
      <c r="AF93" s="47"/>
      <c r="AG93" s="47"/>
      <c r="AH93" s="47"/>
      <c r="AI93" s="47"/>
    </row>
    <row r="94" spans="2:35" hidden="1">
      <c r="C94" s="43"/>
      <c r="D94" s="39" t="s">
        <v>47</v>
      </c>
      <c r="E94" s="99">
        <f>'[1]MAY ''11'!$C$68</f>
        <v>406.67</v>
      </c>
      <c r="G94" s="74"/>
      <c r="H94" s="74"/>
      <c r="I94" s="60"/>
      <c r="L94" s="101" t="s">
        <v>91</v>
      </c>
      <c r="M94" s="60">
        <f>$M$89</f>
        <v>2921.9672790000068</v>
      </c>
      <c r="N94" s="139">
        <f>M94</f>
        <v>2921.9672790000068</v>
      </c>
      <c r="O94" s="60"/>
      <c r="P94" s="60">
        <f>$Q$81</f>
        <v>-9923.8572784810094</v>
      </c>
      <c r="Q94" s="139">
        <f>P94</f>
        <v>-9923.8572784810094</v>
      </c>
      <c r="R94" s="100">
        <f t="shared" ref="R94:R101" si="9">10050+Q94</f>
        <v>126.14272151899058</v>
      </c>
      <c r="S94" s="532"/>
      <c r="T94" s="71"/>
      <c r="X94" s="171"/>
      <c r="Y94" s="191"/>
      <c r="Z94" s="60"/>
      <c r="AA94" s="202"/>
      <c r="AB94" s="60"/>
      <c r="AC94" s="47"/>
      <c r="AD94" s="172"/>
      <c r="AE94" s="173"/>
      <c r="AF94" s="47"/>
      <c r="AG94" s="47"/>
      <c r="AH94" s="47"/>
      <c r="AI94" s="47"/>
    </row>
    <row r="95" spans="2:35" hidden="1">
      <c r="C95" s="43"/>
      <c r="D95" s="229" t="s">
        <v>150</v>
      </c>
      <c r="E95" s="41">
        <f>'[1]APRIL ''11'!$C$41</f>
        <v>480.06</v>
      </c>
      <c r="G95"/>
      <c r="I95" s="60"/>
      <c r="L95" s="181" t="s">
        <v>140</v>
      </c>
      <c r="M95" s="215">
        <v>-2000</v>
      </c>
      <c r="N95" s="137">
        <f t="shared" ref="N95:N116" si="10">N94+M95</f>
        <v>921.96727900000678</v>
      </c>
      <c r="O95" s="134"/>
      <c r="P95" s="213">
        <v>2000</v>
      </c>
      <c r="Q95" s="140">
        <f t="shared" ref="Q95:Q101" si="11">Q94+P95</f>
        <v>-7923.8572784810094</v>
      </c>
      <c r="R95" s="100">
        <f t="shared" si="9"/>
        <v>2126.1427215189906</v>
      </c>
      <c r="S95" s="524" t="s">
        <v>103</v>
      </c>
      <c r="X95" s="47"/>
      <c r="Y95" s="192"/>
      <c r="Z95" s="98"/>
      <c r="AA95" s="174"/>
      <c r="AB95" s="175"/>
      <c r="AC95" s="47"/>
      <c r="AD95" s="91"/>
      <c r="AE95" s="173"/>
      <c r="AF95" s="47"/>
      <c r="AG95" s="47"/>
      <c r="AH95" s="47"/>
      <c r="AI95" s="47"/>
    </row>
    <row r="96" spans="2:35" ht="12.75" hidden="1" customHeight="1">
      <c r="C96" s="45" t="s">
        <v>17</v>
      </c>
      <c r="D96" s="39"/>
      <c r="E96" s="39">
        <f>SUM(E93:E95)</f>
        <v>6886.7300000000005</v>
      </c>
      <c r="G96" s="691" t="s">
        <v>162</v>
      </c>
      <c r="H96" s="691"/>
      <c r="I96" s="691"/>
      <c r="J96" s="47"/>
      <c r="K96" s="348"/>
      <c r="L96" s="181" t="s">
        <v>47</v>
      </c>
      <c r="M96" s="215">
        <v>-381.31</v>
      </c>
      <c r="N96" s="137">
        <f t="shared" si="10"/>
        <v>540.65727900000684</v>
      </c>
      <c r="O96" s="134"/>
      <c r="P96" s="213">
        <v>-127.75</v>
      </c>
      <c r="Q96" s="140">
        <f t="shared" si="11"/>
        <v>-8051.6072784810094</v>
      </c>
      <c r="R96" s="100">
        <f t="shared" si="9"/>
        <v>1998.3927215189906</v>
      </c>
      <c r="S96" s="524" t="s">
        <v>85</v>
      </c>
      <c r="X96" s="47"/>
      <c r="Y96" s="192"/>
      <c r="Z96" s="98"/>
      <c r="AA96" s="174"/>
      <c r="AB96" s="60"/>
      <c r="AC96" s="47"/>
      <c r="AD96" s="172"/>
      <c r="AE96" s="173"/>
      <c r="AF96" s="47"/>
      <c r="AG96" s="47"/>
      <c r="AH96" s="47"/>
      <c r="AI96" s="47"/>
    </row>
    <row r="97" spans="3:35" hidden="1">
      <c r="G97"/>
      <c r="H97" s="58" t="s">
        <v>32</v>
      </c>
      <c r="I97" s="99">
        <v>175.44</v>
      </c>
      <c r="J97" s="117"/>
      <c r="K97" s="348"/>
      <c r="L97" s="181" t="s">
        <v>168</v>
      </c>
      <c r="M97" s="215">
        <v>-200</v>
      </c>
      <c r="N97" s="137">
        <f t="shared" si="10"/>
        <v>340.65727900000684</v>
      </c>
      <c r="O97" s="105"/>
      <c r="P97" s="213">
        <v>-164.38</v>
      </c>
      <c r="Q97" s="140">
        <f t="shared" si="11"/>
        <v>-8215.9872784810086</v>
      </c>
      <c r="R97" s="100">
        <f t="shared" si="9"/>
        <v>1834.0127215189914</v>
      </c>
      <c r="S97" s="524" t="s">
        <v>86</v>
      </c>
      <c r="X97" s="171"/>
      <c r="Y97" s="192"/>
      <c r="Z97" s="98"/>
      <c r="AA97" s="174"/>
      <c r="AB97" s="60"/>
      <c r="AC97" s="47"/>
      <c r="AD97" s="172"/>
      <c r="AE97" s="173"/>
      <c r="AF97" s="47"/>
      <c r="AG97" s="47"/>
      <c r="AH97" s="47"/>
      <c r="AI97" s="47"/>
    </row>
    <row r="98" spans="3:35" hidden="1">
      <c r="C98" s="43" t="s">
        <v>29</v>
      </c>
      <c r="G98"/>
      <c r="H98" s="58" t="s">
        <v>41</v>
      </c>
      <c r="I98" s="99">
        <f>4.39+4.08</f>
        <v>8.4699999999999989</v>
      </c>
      <c r="J98" s="47"/>
      <c r="K98" s="348"/>
      <c r="L98" s="181" t="s">
        <v>140</v>
      </c>
      <c r="M98" s="215">
        <v>1500</v>
      </c>
      <c r="N98" s="137">
        <f t="shared" si="10"/>
        <v>1840.6572790000068</v>
      </c>
      <c r="O98" s="105"/>
      <c r="P98" s="213">
        <v>-108.8</v>
      </c>
      <c r="Q98" s="140">
        <f t="shared" si="11"/>
        <v>-8324.7872784810079</v>
      </c>
      <c r="R98" s="100">
        <f t="shared" si="9"/>
        <v>1725.2127215189921</v>
      </c>
      <c r="S98" s="524" t="s">
        <v>93</v>
      </c>
      <c r="T98" s="47"/>
      <c r="U98" s="47"/>
      <c r="V98" s="183"/>
      <c r="W98" s="183"/>
      <c r="X98" s="47"/>
      <c r="Y98" s="192"/>
      <c r="Z98" s="98"/>
      <c r="AA98" s="174"/>
      <c r="AB98" s="175"/>
      <c r="AC98" s="47"/>
      <c r="AD98" s="176"/>
      <c r="AE98" s="173"/>
      <c r="AF98" s="47"/>
      <c r="AG98" s="47"/>
      <c r="AH98" s="47"/>
      <c r="AI98" s="47"/>
    </row>
    <row r="99" spans="3:35" hidden="1">
      <c r="D99" t="s">
        <v>30</v>
      </c>
      <c r="E99" s="39">
        <f>1204/2</f>
        <v>602</v>
      </c>
      <c r="G99" s="85"/>
      <c r="H99" s="58" t="s">
        <v>43</v>
      </c>
      <c r="I99" s="99">
        <v>7.45</v>
      </c>
      <c r="J99" s="47"/>
      <c r="K99" s="348"/>
      <c r="L99" s="181" t="s">
        <v>170</v>
      </c>
      <c r="M99" s="215">
        <v>-1500</v>
      </c>
      <c r="N99" s="137">
        <f t="shared" si="10"/>
        <v>340.65727900000684</v>
      </c>
      <c r="O99" s="106"/>
      <c r="P99" s="215">
        <v>-137.21</v>
      </c>
      <c r="Q99" s="140">
        <f t="shared" si="11"/>
        <v>-8461.997278481007</v>
      </c>
      <c r="R99" s="100">
        <f t="shared" si="9"/>
        <v>1588.002721518993</v>
      </c>
      <c r="S99" s="524" t="s">
        <v>169</v>
      </c>
      <c r="T99" s="47"/>
      <c r="U99" s="47"/>
      <c r="V99" s="47"/>
      <c r="W99" s="47"/>
      <c r="X99" s="47"/>
      <c r="Y99" s="192"/>
      <c r="Z99" s="98"/>
      <c r="AA99" s="174"/>
      <c r="AB99" s="60"/>
      <c r="AC99" s="47"/>
      <c r="AD99" s="91"/>
      <c r="AE99" s="173"/>
      <c r="AF99" s="47"/>
      <c r="AG99" s="47"/>
      <c r="AH99" s="47"/>
      <c r="AI99" s="47"/>
    </row>
    <row r="100" spans="3:35" hidden="1">
      <c r="D100" t="s">
        <v>31</v>
      </c>
      <c r="E100" s="99"/>
      <c r="F100" s="86" t="s">
        <v>38</v>
      </c>
      <c r="G100"/>
      <c r="H100" s="58" t="s">
        <v>42</v>
      </c>
      <c r="I100" s="99">
        <v>43.86</v>
      </c>
      <c r="J100" s="47"/>
      <c r="K100" s="348"/>
      <c r="L100" s="181" t="s">
        <v>97</v>
      </c>
      <c r="M100" s="215">
        <v>-29</v>
      </c>
      <c r="N100" s="137">
        <f t="shared" si="10"/>
        <v>311.65727900000684</v>
      </c>
      <c r="O100" s="106"/>
      <c r="P100" s="213">
        <v>-1500</v>
      </c>
      <c r="Q100" s="140">
        <f t="shared" si="11"/>
        <v>-9961.997278481007</v>
      </c>
      <c r="R100" s="100">
        <f t="shared" si="9"/>
        <v>88.002721518992985</v>
      </c>
      <c r="S100" s="524" t="s">
        <v>103</v>
      </c>
      <c r="T100" s="47"/>
      <c r="U100" s="47"/>
      <c r="V100" s="47"/>
      <c r="W100" s="47"/>
      <c r="X100" s="47"/>
      <c r="Y100" s="192"/>
      <c r="Z100" s="98"/>
      <c r="AA100" s="174"/>
      <c r="AB100" s="60"/>
      <c r="AC100" s="47"/>
      <c r="AD100" s="172"/>
      <c r="AE100" s="173"/>
      <c r="AF100" s="47"/>
      <c r="AG100" s="47"/>
      <c r="AH100" s="47"/>
      <c r="AI100" s="47"/>
    </row>
    <row r="101" spans="3:35" hidden="1">
      <c r="D101" t="s">
        <v>32</v>
      </c>
      <c r="E101" s="46">
        <f>I106</f>
        <v>1064</v>
      </c>
      <c r="F101" s="86" t="s">
        <v>38</v>
      </c>
      <c r="G101"/>
      <c r="H101" s="58" t="s">
        <v>44</v>
      </c>
      <c r="I101" s="99">
        <v>3.51</v>
      </c>
      <c r="J101" s="47"/>
      <c r="K101" s="348"/>
      <c r="L101" s="181" t="s">
        <v>151</v>
      </c>
      <c r="M101" s="215">
        <v>200</v>
      </c>
      <c r="N101" s="137">
        <f t="shared" si="10"/>
        <v>511.65727900000684</v>
      </c>
      <c r="O101" s="106"/>
      <c r="P101" s="106">
        <f>E110</f>
        <v>266.93000000000029</v>
      </c>
      <c r="Q101" s="141">
        <f t="shared" si="11"/>
        <v>-9695.0672784810067</v>
      </c>
      <c r="R101" s="115">
        <f t="shared" si="9"/>
        <v>354.93272151899328</v>
      </c>
      <c r="S101" s="533" t="s">
        <v>100</v>
      </c>
      <c r="T101" s="248"/>
      <c r="U101" s="47"/>
      <c r="V101" s="60"/>
      <c r="W101" s="60"/>
      <c r="X101" s="47"/>
      <c r="Y101" s="192"/>
      <c r="Z101" s="98"/>
      <c r="AA101" s="174"/>
      <c r="AB101" s="175"/>
      <c r="AC101" s="47"/>
      <c r="AD101" s="172"/>
      <c r="AE101" s="173"/>
      <c r="AF101" s="47"/>
      <c r="AG101" s="47"/>
      <c r="AH101" s="47"/>
      <c r="AI101" s="47"/>
    </row>
    <row r="102" spans="3:35" hidden="1">
      <c r="D102" t="s">
        <v>45</v>
      </c>
      <c r="E102" s="41"/>
      <c r="F102" s="87"/>
      <c r="G102"/>
      <c r="H102" s="58" t="s">
        <v>49</v>
      </c>
      <c r="I102" s="115">
        <v>360.66</v>
      </c>
      <c r="J102" s="47"/>
      <c r="K102" s="348"/>
      <c r="L102" s="151" t="s">
        <v>174</v>
      </c>
      <c r="M102" s="262">
        <v>-250</v>
      </c>
      <c r="N102" s="137">
        <f t="shared" si="10"/>
        <v>261.65727900000684</v>
      </c>
      <c r="O102" s="88"/>
      <c r="P102" s="133">
        <f>SUM(P94:P101)</f>
        <v>-9695.0672784810067</v>
      </c>
      <c r="Q102" s="132"/>
      <c r="R102" s="132"/>
      <c r="S102" s="528"/>
      <c r="T102" s="248"/>
      <c r="U102" s="47"/>
      <c r="V102" s="60"/>
      <c r="W102" s="60"/>
      <c r="X102" s="47"/>
      <c r="Y102" s="192"/>
      <c r="Z102" s="98"/>
      <c r="AA102" s="174"/>
      <c r="AB102" s="60"/>
      <c r="AC102" s="47"/>
      <c r="AD102" s="172"/>
      <c r="AE102" s="177"/>
      <c r="AF102" s="47"/>
      <c r="AG102" s="47"/>
      <c r="AH102" s="47"/>
      <c r="AI102" s="47"/>
    </row>
    <row r="103" spans="3:35" hidden="1">
      <c r="C103" s="45" t="s">
        <v>17</v>
      </c>
      <c r="E103" s="46">
        <f>SUM(E99:E102)</f>
        <v>1666</v>
      </c>
      <c r="G103"/>
      <c r="H103" s="196" t="s">
        <v>145</v>
      </c>
      <c r="I103" s="99">
        <f>SUM(I97:I102)</f>
        <v>599.39</v>
      </c>
      <c r="J103" s="47"/>
      <c r="K103" s="348"/>
      <c r="L103" s="151" t="s">
        <v>175</v>
      </c>
      <c r="M103" s="262">
        <v>-20</v>
      </c>
      <c r="N103" s="137">
        <f t="shared" si="10"/>
        <v>241.65727900000684</v>
      </c>
      <c r="O103" s="88"/>
      <c r="P103" s="136"/>
      <c r="Q103" s="180"/>
      <c r="R103" s="187"/>
      <c r="S103" s="528"/>
      <c r="T103" s="248"/>
      <c r="U103" s="142"/>
      <c r="V103" s="60"/>
      <c r="W103" s="60"/>
      <c r="X103" s="47"/>
      <c r="Y103" s="192"/>
      <c r="Z103" s="98"/>
      <c r="AA103" s="174"/>
      <c r="AB103" s="60"/>
      <c r="AC103" s="47"/>
      <c r="AD103" s="47"/>
      <c r="AE103" s="173"/>
      <c r="AF103" s="47"/>
      <c r="AG103" s="47"/>
      <c r="AH103" s="47"/>
      <c r="AI103" s="47"/>
    </row>
    <row r="104" spans="3:35" hidden="1">
      <c r="C104" s="45"/>
      <c r="G104"/>
      <c r="H104" s="101" t="s">
        <v>50</v>
      </c>
      <c r="I104" s="100">
        <f>-99.43-10</f>
        <v>-109.43</v>
      </c>
      <c r="J104" s="47"/>
      <c r="K104" s="348"/>
      <c r="L104" s="230" t="s">
        <v>176</v>
      </c>
      <c r="M104" s="233">
        <v>-376.12</v>
      </c>
      <c r="N104" s="137">
        <f t="shared" si="10"/>
        <v>-134.46272099999317</v>
      </c>
      <c r="O104" s="88"/>
      <c r="P104" s="136"/>
      <c r="Q104" s="180"/>
      <c r="R104" s="182"/>
      <c r="S104" s="528"/>
      <c r="T104" s="248"/>
      <c r="U104" s="142"/>
      <c r="V104" s="60"/>
      <c r="W104" s="60"/>
      <c r="X104" s="171"/>
      <c r="Y104" s="47"/>
      <c r="Z104" s="98"/>
      <c r="AA104" s="174"/>
      <c r="AB104" s="175"/>
      <c r="AC104" s="47"/>
      <c r="AD104" s="178"/>
      <c r="AE104" s="173"/>
      <c r="AF104" s="202"/>
      <c r="AG104" s="47"/>
      <c r="AH104" s="47"/>
      <c r="AI104" s="47"/>
    </row>
    <row r="105" spans="3:35" ht="13.5" hidden="1" thickBot="1">
      <c r="D105" s="42" t="s">
        <v>105</v>
      </c>
      <c r="E105" s="63">
        <f>E96-E103</f>
        <v>5220.7300000000005</v>
      </c>
      <c r="G105"/>
      <c r="H105" s="196" t="s">
        <v>160</v>
      </c>
      <c r="I105" s="115">
        <f>$I$81</f>
        <v>574.04</v>
      </c>
      <c r="J105" s="47"/>
      <c r="K105" s="348"/>
      <c r="L105" s="189" t="s">
        <v>87</v>
      </c>
      <c r="M105" s="216">
        <f>E109</f>
        <v>4953.8</v>
      </c>
      <c r="N105" s="137">
        <f t="shared" si="10"/>
        <v>4819.3372790000067</v>
      </c>
      <c r="O105" s="88"/>
      <c r="P105" s="136"/>
      <c r="Q105" s="180"/>
      <c r="R105" s="182"/>
      <c r="S105" s="528"/>
      <c r="T105" s="248"/>
      <c r="U105" s="134"/>
      <c r="V105" s="60"/>
      <c r="W105" s="60"/>
      <c r="X105" s="84"/>
      <c r="Y105" s="47"/>
      <c r="Z105" s="98"/>
      <c r="AA105" s="174"/>
      <c r="AB105" s="60"/>
      <c r="AC105" s="47"/>
      <c r="AD105" s="47"/>
      <c r="AE105" s="47"/>
      <c r="AF105" s="179"/>
      <c r="AG105" s="47"/>
      <c r="AH105" s="47"/>
      <c r="AI105" s="47"/>
    </row>
    <row r="106" spans="3:35" ht="13.5" hidden="1" thickBot="1">
      <c r="D106" s="43"/>
      <c r="E106" s="90"/>
      <c r="G106"/>
      <c r="H106" s="58"/>
      <c r="I106" s="116">
        <f>SUM(I103:I105)</f>
        <v>1064</v>
      </c>
      <c r="J106" s="47"/>
      <c r="K106" s="348"/>
      <c r="L106" s="189" t="s">
        <v>167</v>
      </c>
      <c r="M106" s="216">
        <v>-700</v>
      </c>
      <c r="N106" s="137">
        <f t="shared" si="10"/>
        <v>4119.3372790000067</v>
      </c>
      <c r="O106" s="88"/>
      <c r="P106" s="136"/>
      <c r="Q106" s="180"/>
      <c r="R106" s="182"/>
      <c r="S106" s="528"/>
      <c r="T106" s="248"/>
      <c r="U106" s="134"/>
      <c r="V106" s="47"/>
      <c r="W106" s="47"/>
      <c r="X106" s="47"/>
      <c r="Y106" s="191"/>
      <c r="Z106" s="98"/>
      <c r="AA106" s="174"/>
      <c r="AB106" s="60"/>
      <c r="AC106" s="47"/>
      <c r="AD106" s="47"/>
      <c r="AE106" s="47"/>
      <c r="AF106" s="47"/>
      <c r="AG106" s="47"/>
      <c r="AH106" s="47"/>
      <c r="AI106" s="47"/>
    </row>
    <row r="107" spans="3:35" hidden="1">
      <c r="D107" s="43"/>
      <c r="E107" s="90"/>
      <c r="G107"/>
      <c r="H107" s="58"/>
      <c r="I107" s="100"/>
      <c r="J107" s="47"/>
      <c r="K107" s="348"/>
      <c r="L107" s="151" t="s">
        <v>97</v>
      </c>
      <c r="M107" s="100">
        <v>-144.5</v>
      </c>
      <c r="N107" s="137">
        <f t="shared" si="10"/>
        <v>3974.8372790000067</v>
      </c>
      <c r="O107" s="106"/>
      <c r="P107" s="136"/>
      <c r="Q107" s="180"/>
      <c r="R107" s="182"/>
      <c r="S107" s="528"/>
      <c r="T107" s="248"/>
      <c r="U107" s="134"/>
      <c r="V107" s="47"/>
      <c r="W107" s="47"/>
      <c r="X107" s="171"/>
      <c r="Y107" s="191"/>
      <c r="Z107" s="98"/>
      <c r="AA107" s="174"/>
      <c r="AB107" s="175"/>
      <c r="AC107" s="47"/>
      <c r="AD107" s="47"/>
      <c r="AE107" s="47"/>
      <c r="AF107" s="47"/>
      <c r="AG107" s="47"/>
      <c r="AH107" s="47"/>
      <c r="AI107" s="47"/>
    </row>
    <row r="108" spans="3:35" hidden="1">
      <c r="C108" s="153" t="s">
        <v>40</v>
      </c>
      <c r="E108" s="97"/>
      <c r="G108"/>
      <c r="H108" s="58"/>
      <c r="I108" s="39"/>
      <c r="J108" s="47"/>
      <c r="K108" s="348"/>
      <c r="L108" s="166" t="s">
        <v>99</v>
      </c>
      <c r="M108" s="217">
        <f>-3.9+M107*1.37%</f>
        <v>-5.8796499999999998</v>
      </c>
      <c r="N108" s="137">
        <f t="shared" si="10"/>
        <v>3968.9576290000068</v>
      </c>
      <c r="O108" s="97"/>
      <c r="P108" s="52"/>
      <c r="Q108" s="180"/>
      <c r="R108" s="182"/>
      <c r="S108" s="528"/>
      <c r="T108" s="248"/>
      <c r="U108" s="134"/>
      <c r="V108" s="47"/>
      <c r="W108" s="47"/>
      <c r="X108" s="47"/>
      <c r="Y108" s="191"/>
      <c r="Z108" s="98"/>
      <c r="AA108" s="174"/>
      <c r="AB108" s="60"/>
      <c r="AC108" s="47"/>
      <c r="AD108" s="47"/>
      <c r="AE108" s="47"/>
      <c r="AF108" s="47"/>
      <c r="AG108" s="202"/>
      <c r="AH108" s="47"/>
      <c r="AI108" s="47"/>
    </row>
    <row r="109" spans="3:35" hidden="1">
      <c r="D109" s="47" t="s">
        <v>37</v>
      </c>
      <c r="E109" s="97">
        <v>4953.8</v>
      </c>
      <c r="F109" s="47"/>
      <c r="G109" s="47"/>
      <c r="H109" s="101"/>
      <c r="L109" s="256" t="s">
        <v>46</v>
      </c>
      <c r="M109" s="218">
        <v>-157.91</v>
      </c>
      <c r="N109" s="137">
        <f t="shared" si="10"/>
        <v>3811.047629000007</v>
      </c>
      <c r="O109" s="60"/>
      <c r="P109" s="52"/>
      <c r="Q109" s="180"/>
      <c r="R109" s="182"/>
      <c r="S109" s="528"/>
      <c r="T109" s="248"/>
      <c r="U109" s="163"/>
      <c r="V109" s="47"/>
      <c r="W109" s="47"/>
      <c r="X109" s="47"/>
      <c r="Y109" s="191"/>
      <c r="Z109" s="98"/>
      <c r="AA109" s="174"/>
      <c r="AB109" s="60"/>
      <c r="AC109" s="47"/>
      <c r="AD109" s="47"/>
      <c r="AE109" s="47"/>
      <c r="AF109" s="47"/>
      <c r="AG109" s="47"/>
      <c r="AH109" s="47"/>
      <c r="AI109" s="47"/>
    </row>
    <row r="110" spans="3:35" ht="12.75" hidden="1" customHeight="1">
      <c r="D110" s="150" t="s">
        <v>36</v>
      </c>
      <c r="E110" s="41">
        <f>E105-E109-E111</f>
        <v>266.93000000000029</v>
      </c>
      <c r="F110" s="150"/>
      <c r="G110" s="689">
        <f>SUM(E109:E110)</f>
        <v>5220.7300000000005</v>
      </c>
      <c r="H110" s="689"/>
      <c r="L110" s="166" t="s">
        <v>99</v>
      </c>
      <c r="M110" s="217">
        <f>-3.9+M109*1.37%</f>
        <v>-6.0633669999999995</v>
      </c>
      <c r="N110" s="137">
        <f t="shared" si="10"/>
        <v>3804.9842620000068</v>
      </c>
      <c r="O110" s="60"/>
      <c r="P110" s="48"/>
      <c r="Q110" s="180"/>
      <c r="R110" s="182"/>
      <c r="S110" s="528"/>
      <c r="T110" s="248"/>
      <c r="U110" s="164"/>
      <c r="V110" s="60"/>
      <c r="W110" s="60"/>
      <c r="X110" s="171"/>
      <c r="Y110" s="47"/>
      <c r="Z110" s="98"/>
      <c r="AA110" s="174"/>
      <c r="AB110" s="60"/>
      <c r="AC110" s="47"/>
      <c r="AD110" s="47"/>
      <c r="AE110" s="47"/>
      <c r="AF110" s="47"/>
      <c r="AG110" s="47"/>
      <c r="AH110" s="47"/>
      <c r="AI110" s="47"/>
    </row>
    <row r="111" spans="3:35" ht="12.75" hidden="1" customHeight="1">
      <c r="D111" s="47"/>
      <c r="E111" s="60"/>
      <c r="F111" s="204"/>
      <c r="G111" s="688"/>
      <c r="H111" s="688"/>
      <c r="L111" s="152" t="s">
        <v>39</v>
      </c>
      <c r="M111" s="215">
        <v>-483.99</v>
      </c>
      <c r="N111" s="137">
        <f t="shared" si="10"/>
        <v>3320.9942620000065</v>
      </c>
      <c r="O111" s="60"/>
      <c r="P111" s="48"/>
      <c r="Q111" s="180"/>
      <c r="R111" s="182"/>
      <c r="S111" s="528"/>
      <c r="T111" s="248"/>
      <c r="U111" s="164"/>
      <c r="V111" s="60"/>
      <c r="W111" s="60"/>
      <c r="X111" s="84"/>
      <c r="Y111" s="47"/>
      <c r="Z111" s="98"/>
      <c r="AA111" s="174"/>
      <c r="AB111" s="60"/>
      <c r="AC111" s="47"/>
      <c r="AD111" s="47"/>
      <c r="AE111" s="47"/>
      <c r="AF111" s="47"/>
      <c r="AG111" s="47"/>
      <c r="AH111" s="47"/>
      <c r="AI111" s="47"/>
    </row>
    <row r="112" spans="3:35" ht="12.75" hidden="1" customHeight="1">
      <c r="D112" s="47"/>
      <c r="E112" s="60"/>
      <c r="F112" s="204"/>
      <c r="G112" s="688"/>
      <c r="H112" s="688"/>
      <c r="L112" s="135" t="s">
        <v>99</v>
      </c>
      <c r="M112" s="217">
        <f>-3.9+M111*1.37%</f>
        <v>-10.530663000000001</v>
      </c>
      <c r="N112" s="137">
        <f t="shared" si="10"/>
        <v>3310.4635990000065</v>
      </c>
      <c r="O112" s="60"/>
      <c r="U112" s="47"/>
      <c r="V112" s="60"/>
      <c r="W112" s="60"/>
      <c r="X112" s="47"/>
      <c r="Y112" s="47"/>
      <c r="Z112" s="98"/>
      <c r="AA112" s="174"/>
      <c r="AB112" s="60"/>
      <c r="AC112" s="47"/>
      <c r="AD112" s="47"/>
      <c r="AE112" s="47"/>
      <c r="AF112" s="47"/>
      <c r="AG112" s="47"/>
      <c r="AH112" s="47"/>
      <c r="AI112" s="47"/>
    </row>
    <row r="113" spans="2:35" hidden="1">
      <c r="D113" s="47"/>
      <c r="E113" s="60"/>
      <c r="F113" s="204"/>
      <c r="G113" s="250"/>
      <c r="H113" s="250"/>
      <c r="L113" s="257" t="s">
        <v>92</v>
      </c>
      <c r="M113" s="219">
        <v>-505</v>
      </c>
      <c r="N113" s="137">
        <f t="shared" si="10"/>
        <v>2805.4635990000065</v>
      </c>
      <c r="O113" s="60"/>
      <c r="U113" s="47"/>
      <c r="V113" s="60"/>
      <c r="W113" s="60"/>
      <c r="X113" s="171"/>
      <c r="Y113" s="47"/>
      <c r="Z113" s="98"/>
      <c r="AA113" s="174"/>
      <c r="AB113" s="60"/>
      <c r="AC113" s="47"/>
      <c r="AD113" s="47"/>
      <c r="AE113" s="47"/>
      <c r="AF113" s="47"/>
      <c r="AG113" s="47"/>
      <c r="AH113" s="47"/>
      <c r="AI113" s="47"/>
    </row>
    <row r="114" spans="2:35" hidden="1">
      <c r="B114" s="47"/>
      <c r="C114" s="84"/>
      <c r="D114" s="60"/>
      <c r="E114" s="100"/>
      <c r="F114" s="204"/>
      <c r="G114" s="250"/>
      <c r="H114" s="250"/>
      <c r="L114" s="166" t="s">
        <v>99</v>
      </c>
      <c r="M114" s="217">
        <f>-3.9+M113*1.37%</f>
        <v>-10.8185</v>
      </c>
      <c r="N114" s="137">
        <f t="shared" si="10"/>
        <v>2794.6450990000067</v>
      </c>
      <c r="O114" s="60"/>
      <c r="U114" s="47"/>
      <c r="V114" s="60"/>
      <c r="W114" s="60"/>
      <c r="X114" s="171"/>
      <c r="Y114" s="47"/>
      <c r="Z114" s="98"/>
      <c r="AA114" s="174"/>
      <c r="AB114" s="60"/>
      <c r="AC114" s="47"/>
      <c r="AD114" s="47"/>
      <c r="AE114" s="47"/>
      <c r="AF114" s="47"/>
      <c r="AG114" s="47"/>
      <c r="AH114" s="47"/>
      <c r="AI114" s="47"/>
    </row>
    <row r="115" spans="2:35" hidden="1">
      <c r="B115" s="47"/>
      <c r="C115" s="84"/>
      <c r="D115" s="60"/>
      <c r="E115" s="100"/>
      <c r="F115" s="204"/>
      <c r="G115" s="254"/>
      <c r="H115" s="254"/>
      <c r="L115" s="258" t="s">
        <v>171</v>
      </c>
      <c r="M115" s="219">
        <v>-50</v>
      </c>
      <c r="N115" s="137">
        <f t="shared" si="10"/>
        <v>2744.6450990000067</v>
      </c>
      <c r="O115" s="60"/>
      <c r="U115" s="47"/>
      <c r="V115" s="60"/>
      <c r="W115" s="60"/>
      <c r="X115" s="171"/>
      <c r="Y115" s="47"/>
      <c r="Z115" s="98"/>
      <c r="AA115" s="174"/>
      <c r="AB115" s="60"/>
      <c r="AC115" s="47"/>
      <c r="AD115" s="47"/>
      <c r="AE115" s="47"/>
      <c r="AF115" s="47"/>
      <c r="AG115" s="47"/>
      <c r="AH115" s="47"/>
      <c r="AI115" s="47"/>
    </row>
    <row r="116" spans="2:35" hidden="1">
      <c r="B116" s="47"/>
      <c r="C116" s="84"/>
      <c r="D116" s="60"/>
      <c r="E116" s="100"/>
      <c r="F116" s="204"/>
      <c r="G116" s="259"/>
      <c r="H116" s="259"/>
      <c r="L116" s="166" t="s">
        <v>99</v>
      </c>
      <c r="M116" s="217">
        <f>-3.9+M115*1.37%</f>
        <v>-4.585</v>
      </c>
      <c r="N116" s="138">
        <f t="shared" si="10"/>
        <v>2740.0600990000066</v>
      </c>
      <c r="O116" s="60"/>
      <c r="U116" s="47"/>
      <c r="V116" s="60"/>
      <c r="W116" s="60"/>
      <c r="X116" s="171"/>
      <c r="Y116" s="47"/>
      <c r="Z116" s="98"/>
      <c r="AA116" s="174"/>
      <c r="AB116" s="60"/>
      <c r="AC116" s="47"/>
      <c r="AD116" s="47"/>
      <c r="AE116" s="47"/>
      <c r="AF116" s="47"/>
      <c r="AG116" s="47"/>
      <c r="AH116" s="47"/>
      <c r="AI116" s="47"/>
    </row>
    <row r="117" spans="2:35" hidden="1">
      <c r="B117" s="47"/>
      <c r="C117" s="84"/>
      <c r="D117" s="60"/>
      <c r="E117" s="100"/>
      <c r="F117" s="204"/>
      <c r="G117" s="259"/>
      <c r="H117" s="259"/>
      <c r="L117" s="58"/>
      <c r="M117" s="255">
        <f>SUM(M94:M116)</f>
        <v>2740.0600990000066</v>
      </c>
      <c r="O117" s="60"/>
      <c r="U117" s="47"/>
      <c r="V117" s="60"/>
      <c r="W117" s="60"/>
      <c r="X117" s="171"/>
      <c r="Y117" s="47"/>
      <c r="Z117" s="98"/>
      <c r="AA117" s="174"/>
      <c r="AB117" s="60"/>
      <c r="AC117" s="47"/>
      <c r="AD117" s="47"/>
      <c r="AE117" s="47"/>
      <c r="AF117" s="47"/>
      <c r="AG117" s="47"/>
      <c r="AH117" s="47"/>
      <c r="AI117" s="47"/>
    </row>
    <row r="118" spans="2:35" s="150" customFormat="1" hidden="1">
      <c r="C118" s="240"/>
      <c r="D118" s="41"/>
      <c r="E118" s="115"/>
      <c r="F118" s="168"/>
      <c r="G118" s="249"/>
      <c r="H118" s="249"/>
      <c r="K118" s="348"/>
      <c r="L118" s="58"/>
      <c r="M118" s="60"/>
      <c r="N118"/>
      <c r="O118" s="41"/>
      <c r="P118" s="41"/>
      <c r="Q118" s="41"/>
      <c r="R118" s="41"/>
      <c r="S118" s="535"/>
      <c r="V118" s="41"/>
      <c r="W118" s="41"/>
      <c r="X118" s="244"/>
      <c r="Z118" s="245"/>
      <c r="AA118" s="246"/>
      <c r="AB118" s="41"/>
    </row>
    <row r="119" spans="2:35" hidden="1">
      <c r="B119" s="47"/>
      <c r="C119" s="84"/>
      <c r="D119" s="60"/>
      <c r="E119" s="100"/>
      <c r="F119" s="204"/>
      <c r="G119" s="250"/>
      <c r="H119" s="250"/>
      <c r="L119" s="260"/>
      <c r="M119" s="261"/>
      <c r="N119" s="260"/>
      <c r="O119" s="60"/>
      <c r="U119" s="47"/>
      <c r="V119" s="60"/>
      <c r="W119" s="60"/>
      <c r="X119" s="171"/>
      <c r="Y119" s="47"/>
      <c r="Z119" s="98"/>
      <c r="AA119" s="174"/>
      <c r="AB119" s="60"/>
      <c r="AC119" s="47"/>
      <c r="AD119" s="47"/>
      <c r="AE119" s="47"/>
      <c r="AF119" s="47"/>
      <c r="AG119" s="47"/>
      <c r="AH119" s="47"/>
      <c r="AI119" s="47"/>
    </row>
    <row r="120" spans="2:35" hidden="1">
      <c r="B120" s="967" t="s">
        <v>173</v>
      </c>
      <c r="C120" s="967"/>
      <c r="D120" s="967"/>
      <c r="E120" s="967"/>
      <c r="G120" s="75"/>
      <c r="H120" s="75"/>
      <c r="I120" s="60"/>
      <c r="L120" s="127"/>
      <c r="M120" s="968" t="s">
        <v>90</v>
      </c>
      <c r="N120" s="265"/>
      <c r="O120" s="265"/>
      <c r="P120" s="969" t="s">
        <v>84</v>
      </c>
      <c r="Q120" s="264"/>
      <c r="R120" s="264"/>
      <c r="S120" s="528"/>
      <c r="X120" s="84"/>
      <c r="Y120" s="84"/>
      <c r="Z120" s="60"/>
      <c r="AA120" s="202"/>
      <c r="AB120" s="60"/>
      <c r="AC120" s="47"/>
      <c r="AD120" s="47"/>
      <c r="AE120" s="47"/>
      <c r="AF120" s="47"/>
      <c r="AG120" s="47"/>
      <c r="AH120" s="47"/>
      <c r="AI120" s="47"/>
    </row>
    <row r="121" spans="2:35" ht="12.75" hidden="1" customHeight="1">
      <c r="C121" s="43" t="s">
        <v>35</v>
      </c>
      <c r="D121" s="39"/>
      <c r="E121" s="99">
        <v>6000</v>
      </c>
      <c r="G121" s="687"/>
      <c r="H121" s="687"/>
      <c r="I121" s="60"/>
      <c r="L121" s="128"/>
      <c r="M121" s="968"/>
      <c r="N121" s="265" t="s">
        <v>88</v>
      </c>
      <c r="O121" s="265"/>
      <c r="P121" s="969"/>
      <c r="Q121" s="264" t="s">
        <v>79</v>
      </c>
      <c r="R121" s="264" t="s">
        <v>89</v>
      </c>
      <c r="S121" s="528"/>
      <c r="W121" s="195"/>
      <c r="X121" s="198"/>
      <c r="Y121" s="191"/>
      <c r="Z121" s="197"/>
      <c r="AA121" s="169"/>
      <c r="AB121" s="170"/>
      <c r="AC121" s="47"/>
      <c r="AD121" s="91"/>
      <c r="AE121" s="47"/>
      <c r="AF121" s="47"/>
      <c r="AG121" s="47"/>
      <c r="AH121" s="47"/>
      <c r="AI121" s="47"/>
    </row>
    <row r="122" spans="2:35" hidden="1">
      <c r="C122" s="43"/>
      <c r="D122" s="39" t="s">
        <v>47</v>
      </c>
      <c r="E122" s="99">
        <f>'[1]JUNE ''11'!$C$63</f>
        <v>48.170000000000073</v>
      </c>
      <c r="G122" s="74"/>
      <c r="H122" s="74"/>
      <c r="I122" s="60"/>
      <c r="L122" s="101" t="s">
        <v>91</v>
      </c>
      <c r="M122" s="100">
        <f>$M$117</f>
        <v>2740.0600990000066</v>
      </c>
      <c r="N122" s="139">
        <f>M122</f>
        <v>2740.0600990000066</v>
      </c>
      <c r="O122" s="60"/>
      <c r="P122" s="100">
        <f>$Q$101</f>
        <v>-9695.0672784810067</v>
      </c>
      <c r="Q122" s="139">
        <f>P122</f>
        <v>-9695.0672784810067</v>
      </c>
      <c r="R122" s="100">
        <f t="shared" ref="R122:R134" si="12">10050+Q122</f>
        <v>354.93272151899328</v>
      </c>
      <c r="S122" s="532"/>
      <c r="T122" s="71"/>
      <c r="X122" s="171"/>
      <c r="Y122" s="191"/>
      <c r="Z122" s="60"/>
      <c r="AA122" s="202"/>
      <c r="AB122" s="60"/>
      <c r="AC122" s="47"/>
      <c r="AD122" s="172"/>
      <c r="AE122" s="173"/>
      <c r="AF122" s="47"/>
      <c r="AG122" s="47"/>
      <c r="AH122" s="47"/>
      <c r="AI122" s="47"/>
    </row>
    <row r="123" spans="2:35" hidden="1">
      <c r="C123" s="43"/>
      <c r="D123" s="229" t="s">
        <v>150</v>
      </c>
      <c r="E123" s="41"/>
      <c r="G123"/>
      <c r="I123" s="60"/>
      <c r="L123" s="181" t="s">
        <v>177</v>
      </c>
      <c r="M123" s="215">
        <v>-600</v>
      </c>
      <c r="N123" s="137">
        <f t="shared" ref="N123:N144" si="13">N122+M123</f>
        <v>2140.0600990000066</v>
      </c>
      <c r="O123" s="134"/>
      <c r="P123" s="213">
        <v>-145.94</v>
      </c>
      <c r="Q123" s="140">
        <f>Q122+P123</f>
        <v>-9841.0072784810072</v>
      </c>
      <c r="R123" s="100">
        <f t="shared" si="12"/>
        <v>208.99272151899277</v>
      </c>
      <c r="S123" s="524" t="s">
        <v>85</v>
      </c>
      <c r="X123" s="47"/>
      <c r="Y123" s="192"/>
      <c r="Z123" s="98"/>
      <c r="AA123" s="174"/>
      <c r="AB123" s="175"/>
      <c r="AC123" s="47"/>
      <c r="AD123" s="91"/>
      <c r="AE123" s="173"/>
      <c r="AF123" s="47"/>
      <c r="AG123" s="47"/>
      <c r="AH123" s="47"/>
      <c r="AI123" s="47"/>
    </row>
    <row r="124" spans="2:35" ht="12.75" hidden="1" customHeight="1">
      <c r="C124" s="45" t="s">
        <v>17</v>
      </c>
      <c r="D124" s="39"/>
      <c r="E124" s="39">
        <f>SUM(E121:E123)</f>
        <v>6048.17</v>
      </c>
      <c r="G124" s="691" t="s">
        <v>162</v>
      </c>
      <c r="H124" s="691"/>
      <c r="I124" s="691"/>
      <c r="J124" s="47"/>
      <c r="K124" s="348"/>
      <c r="L124" s="181" t="s">
        <v>140</v>
      </c>
      <c r="M124" s="215">
        <v>-2000</v>
      </c>
      <c r="N124" s="137">
        <f t="shared" si="13"/>
        <v>140.06009900000663</v>
      </c>
      <c r="O124" s="134"/>
      <c r="P124" s="213">
        <v>2000</v>
      </c>
      <c r="Q124" s="140">
        <f>Q123+P124</f>
        <v>-7841.0072784810072</v>
      </c>
      <c r="R124" s="100">
        <f t="shared" si="12"/>
        <v>2208.9927215189928</v>
      </c>
      <c r="S124" s="524" t="s">
        <v>103</v>
      </c>
      <c r="X124" s="47"/>
      <c r="Y124" s="192"/>
      <c r="Z124" s="98"/>
      <c r="AA124" s="174"/>
      <c r="AB124" s="60"/>
      <c r="AC124" s="47"/>
      <c r="AD124" s="172"/>
      <c r="AE124" s="173"/>
      <c r="AF124" s="47"/>
      <c r="AG124" s="47"/>
      <c r="AH124" s="47"/>
      <c r="AI124" s="47"/>
    </row>
    <row r="125" spans="2:35" hidden="1">
      <c r="G125"/>
      <c r="H125" s="58" t="s">
        <v>32</v>
      </c>
      <c r="I125" s="99">
        <v>175.44</v>
      </c>
      <c r="J125" s="117"/>
      <c r="K125" s="348"/>
      <c r="L125" s="181" t="s">
        <v>181</v>
      </c>
      <c r="M125" s="215">
        <v>-100</v>
      </c>
      <c r="N125" s="137">
        <f t="shared" si="13"/>
        <v>40.06009900000663</v>
      </c>
      <c r="O125" s="105"/>
      <c r="P125" s="213">
        <v>-69.98</v>
      </c>
      <c r="Q125" s="140">
        <f>Q124+P125</f>
        <v>-7910.9872784810068</v>
      </c>
      <c r="R125" s="100">
        <f t="shared" si="12"/>
        <v>2139.0127215189932</v>
      </c>
      <c r="S125" s="524" t="s">
        <v>178</v>
      </c>
      <c r="X125" s="171"/>
      <c r="Y125" s="192"/>
      <c r="Z125" s="98"/>
      <c r="AA125" s="174"/>
      <c r="AB125" s="60"/>
      <c r="AC125" s="47"/>
      <c r="AD125" s="172"/>
      <c r="AE125" s="173"/>
      <c r="AF125" s="47"/>
      <c r="AG125" s="47"/>
      <c r="AH125" s="47"/>
      <c r="AI125" s="47"/>
    </row>
    <row r="126" spans="2:35" hidden="1">
      <c r="C126" s="43" t="s">
        <v>29</v>
      </c>
      <c r="G126"/>
      <c r="H126" s="58" t="s">
        <v>41</v>
      </c>
      <c r="I126" s="99">
        <f>4.39+4.08</f>
        <v>8.4699999999999989</v>
      </c>
      <c r="J126" s="47"/>
      <c r="K126" s="348"/>
      <c r="L126" s="181" t="s">
        <v>140</v>
      </c>
      <c r="M126" s="215">
        <v>600</v>
      </c>
      <c r="N126" s="137">
        <f t="shared" si="13"/>
        <v>640.06009900000663</v>
      </c>
      <c r="O126" s="105"/>
      <c r="P126" s="213">
        <v>-185</v>
      </c>
      <c r="Q126" s="140">
        <f t="shared" ref="Q126:Q133" si="14">Q125+P126</f>
        <v>-8095.9872784810068</v>
      </c>
      <c r="R126" s="100">
        <f t="shared" si="12"/>
        <v>1954.0127215189932</v>
      </c>
      <c r="S126" s="524" t="s">
        <v>179</v>
      </c>
      <c r="T126" s="47"/>
      <c r="U126" s="47"/>
      <c r="V126" s="183"/>
      <c r="W126" s="183"/>
      <c r="X126" s="47"/>
      <c r="Y126" s="192"/>
      <c r="Z126" s="98"/>
      <c r="AA126" s="174"/>
      <c r="AB126" s="175"/>
      <c r="AC126" s="47"/>
      <c r="AD126" s="176"/>
      <c r="AE126" s="173"/>
      <c r="AF126" s="47"/>
      <c r="AG126" s="47"/>
      <c r="AH126" s="47"/>
      <c r="AI126" s="47"/>
    </row>
    <row r="127" spans="2:35" hidden="1">
      <c r="D127" t="s">
        <v>30</v>
      </c>
      <c r="E127" s="39">
        <f>1204/2</f>
        <v>602</v>
      </c>
      <c r="G127" s="85"/>
      <c r="H127" s="58" t="s">
        <v>43</v>
      </c>
      <c r="I127" s="99">
        <v>7.45</v>
      </c>
      <c r="J127" s="47"/>
      <c r="K127" s="348"/>
      <c r="L127" s="181" t="s">
        <v>183</v>
      </c>
      <c r="M127" s="215">
        <v>-529.09</v>
      </c>
      <c r="N127" s="137">
        <f t="shared" si="13"/>
        <v>110.9700990000066</v>
      </c>
      <c r="O127" s="106"/>
      <c r="P127" s="215">
        <v>-62.5</v>
      </c>
      <c r="Q127" s="140">
        <f t="shared" si="14"/>
        <v>-8158.4872784810068</v>
      </c>
      <c r="R127" s="100">
        <f t="shared" si="12"/>
        <v>1891.5127215189932</v>
      </c>
      <c r="S127" s="524" t="s">
        <v>180</v>
      </c>
      <c r="T127" s="47"/>
      <c r="U127" s="47"/>
      <c r="V127" s="47"/>
      <c r="W127" s="47"/>
      <c r="X127" s="47"/>
      <c r="Y127" s="192"/>
      <c r="Z127" s="98"/>
      <c r="AA127" s="174"/>
      <c r="AB127" s="60"/>
      <c r="AC127" s="47"/>
      <c r="AD127" s="91"/>
      <c r="AE127" s="173"/>
      <c r="AF127" s="47"/>
      <c r="AG127" s="47"/>
      <c r="AH127" s="47"/>
      <c r="AI127" s="47"/>
    </row>
    <row r="128" spans="2:35" hidden="1">
      <c r="D128" t="s">
        <v>31</v>
      </c>
      <c r="E128" s="99"/>
      <c r="F128" s="86" t="s">
        <v>38</v>
      </c>
      <c r="G128"/>
      <c r="H128" s="58" t="s">
        <v>42</v>
      </c>
      <c r="I128" s="99">
        <v>43.86</v>
      </c>
      <c r="J128" s="47"/>
      <c r="K128" s="348"/>
      <c r="L128" s="151" t="s">
        <v>47</v>
      </c>
      <c r="M128" s="262">
        <v>1000</v>
      </c>
      <c r="N128" s="137">
        <f t="shared" si="13"/>
        <v>1110.9700990000065</v>
      </c>
      <c r="O128" s="106"/>
      <c r="P128" s="213">
        <v>-146.85</v>
      </c>
      <c r="Q128" s="140">
        <f t="shared" si="14"/>
        <v>-8305.3372784810072</v>
      </c>
      <c r="R128" s="100">
        <f t="shared" si="12"/>
        <v>1744.6627215189928</v>
      </c>
      <c r="S128" s="524" t="s">
        <v>139</v>
      </c>
      <c r="T128" s="47"/>
      <c r="U128" s="47"/>
      <c r="V128" s="47"/>
      <c r="W128" s="47"/>
      <c r="X128" s="47"/>
      <c r="Y128" s="192"/>
      <c r="Z128" s="98"/>
      <c r="AA128" s="174"/>
      <c r="AB128" s="60"/>
      <c r="AC128" s="47"/>
      <c r="AD128" s="172"/>
      <c r="AE128" s="173"/>
      <c r="AF128" s="47"/>
      <c r="AG128" s="47"/>
      <c r="AH128" s="47"/>
      <c r="AI128" s="47"/>
    </row>
    <row r="129" spans="2:35" hidden="1">
      <c r="D129" t="s">
        <v>32</v>
      </c>
      <c r="E129" s="46">
        <f>I133</f>
        <v>258.58999999999997</v>
      </c>
      <c r="F129" s="86" t="s">
        <v>38</v>
      </c>
      <c r="G129"/>
      <c r="H129" s="58" t="s">
        <v>44</v>
      </c>
      <c r="I129" s="99">
        <v>3.51</v>
      </c>
      <c r="J129" s="47"/>
      <c r="K129" s="348"/>
      <c r="L129" s="151" t="s">
        <v>185</v>
      </c>
      <c r="M129" s="262">
        <v>-475</v>
      </c>
      <c r="N129" s="137">
        <f t="shared" si="13"/>
        <v>635.97009900000648</v>
      </c>
      <c r="O129" s="106"/>
      <c r="P129" s="100">
        <f>-500-11.5</f>
        <v>-511.5</v>
      </c>
      <c r="Q129" s="140">
        <f t="shared" si="14"/>
        <v>-8816.8372784810072</v>
      </c>
      <c r="R129" s="100">
        <f t="shared" si="12"/>
        <v>1233.1627215189928</v>
      </c>
      <c r="S129" s="524" t="s">
        <v>165</v>
      </c>
      <c r="T129" s="111"/>
      <c r="U129" s="47"/>
      <c r="V129" s="60"/>
      <c r="W129" s="60"/>
      <c r="X129" s="47"/>
      <c r="Y129" s="192"/>
      <c r="Z129" s="98"/>
      <c r="AA129" s="174"/>
      <c r="AB129" s="175"/>
      <c r="AC129" s="47"/>
      <c r="AD129" s="172"/>
      <c r="AE129" s="173"/>
      <c r="AF129" s="47"/>
      <c r="AG129" s="47"/>
      <c r="AH129" s="47"/>
      <c r="AI129" s="47"/>
    </row>
    <row r="130" spans="2:35" hidden="1">
      <c r="D130" t="s">
        <v>45</v>
      </c>
      <c r="E130" s="41"/>
      <c r="F130" s="87"/>
      <c r="G130"/>
      <c r="H130" s="58" t="s">
        <v>49</v>
      </c>
      <c r="I130" s="115">
        <f>486.56</f>
        <v>486.56</v>
      </c>
      <c r="J130" s="47"/>
      <c r="K130" s="348"/>
      <c r="L130" s="230" t="s">
        <v>186</v>
      </c>
      <c r="M130" s="233">
        <v>-520</v>
      </c>
      <c r="N130" s="137">
        <f t="shared" si="13"/>
        <v>115.97009900000648</v>
      </c>
      <c r="O130" s="88"/>
      <c r="P130" s="100">
        <v>-600</v>
      </c>
      <c r="Q130" s="140">
        <f t="shared" si="14"/>
        <v>-9416.8372784810072</v>
      </c>
      <c r="R130" s="100">
        <f t="shared" si="12"/>
        <v>633.16272151899284</v>
      </c>
      <c r="S130" s="524" t="s">
        <v>103</v>
      </c>
      <c r="T130" s="111"/>
      <c r="U130" s="47"/>
      <c r="V130" s="60"/>
      <c r="W130" s="60"/>
      <c r="X130" s="47"/>
      <c r="Y130" s="192"/>
      <c r="Z130" s="98"/>
      <c r="AA130" s="174"/>
      <c r="AB130" s="60"/>
      <c r="AC130" s="47"/>
      <c r="AD130" s="172"/>
      <c r="AE130" s="177"/>
      <c r="AF130" s="47"/>
      <c r="AG130" s="47"/>
      <c r="AH130" s="47"/>
      <c r="AI130" s="47"/>
    </row>
    <row r="131" spans="2:35" hidden="1">
      <c r="C131" s="45" t="s">
        <v>17</v>
      </c>
      <c r="E131" s="46">
        <f>SUM(E127:E130)</f>
        <v>860.58999999999992</v>
      </c>
      <c r="G131"/>
      <c r="H131" s="196" t="s">
        <v>145</v>
      </c>
      <c r="I131" s="99">
        <f>SUM(I125:I130)</f>
        <v>725.29</v>
      </c>
      <c r="J131" s="47"/>
      <c r="K131" s="348"/>
      <c r="L131" s="189" t="s">
        <v>87</v>
      </c>
      <c r="M131" s="216">
        <f>E137</f>
        <v>4953.8</v>
      </c>
      <c r="N131" s="137">
        <f t="shared" si="13"/>
        <v>5069.7700990000067</v>
      </c>
      <c r="O131" s="88"/>
      <c r="P131" s="100">
        <v>-161.25</v>
      </c>
      <c r="Q131" s="140">
        <f t="shared" si="14"/>
        <v>-9578.0872784810072</v>
      </c>
      <c r="R131" s="100">
        <f t="shared" si="12"/>
        <v>471.91272151899284</v>
      </c>
      <c r="S131" s="524" t="s">
        <v>182</v>
      </c>
      <c r="T131" s="152"/>
      <c r="U131" s="142"/>
      <c r="V131" s="60"/>
      <c r="W131" s="60"/>
      <c r="X131" s="47"/>
      <c r="Y131" s="192"/>
      <c r="Z131" s="98"/>
      <c r="AA131" s="174"/>
      <c r="AB131" s="60"/>
      <c r="AC131" s="47"/>
      <c r="AD131" s="47"/>
      <c r="AE131" s="173"/>
      <c r="AF131" s="47"/>
      <c r="AG131" s="47"/>
      <c r="AH131" s="47"/>
      <c r="AI131" s="47"/>
    </row>
    <row r="132" spans="2:35" hidden="1">
      <c r="C132" s="45"/>
      <c r="G132"/>
      <c r="H132" s="101" t="s">
        <v>50</v>
      </c>
      <c r="I132" s="100">
        <f>-316.7-150</f>
        <v>-466.7</v>
      </c>
      <c r="J132" s="47"/>
      <c r="K132" s="348"/>
      <c r="L132" s="231" t="s">
        <v>167</v>
      </c>
      <c r="M132" s="232">
        <v>-700</v>
      </c>
      <c r="N132" s="137">
        <f t="shared" si="13"/>
        <v>4369.7700990000067</v>
      </c>
      <c r="O132" s="88"/>
      <c r="P132" s="100">
        <v>-75.95</v>
      </c>
      <c r="Q132" s="140">
        <f t="shared" si="14"/>
        <v>-9654.0372784810079</v>
      </c>
      <c r="R132" s="100">
        <f t="shared" si="12"/>
        <v>395.96272151899211</v>
      </c>
      <c r="S132" s="524" t="s">
        <v>139</v>
      </c>
      <c r="T132" s="111"/>
      <c r="U132" s="142"/>
      <c r="V132" s="60"/>
      <c r="W132" s="60"/>
      <c r="X132" s="171"/>
      <c r="Y132" s="47"/>
      <c r="Z132" s="98"/>
      <c r="AA132" s="174"/>
      <c r="AB132" s="175"/>
      <c r="AC132" s="47"/>
      <c r="AD132" s="178"/>
      <c r="AE132" s="173"/>
      <c r="AF132" s="202"/>
      <c r="AG132" s="47"/>
      <c r="AH132" s="47"/>
      <c r="AI132" s="47"/>
    </row>
    <row r="133" spans="2:35" ht="13.5" hidden="1" thickBot="1">
      <c r="D133" s="42" t="s">
        <v>105</v>
      </c>
      <c r="E133" s="63">
        <f>E124-E131</f>
        <v>5187.58</v>
      </c>
      <c r="G133"/>
      <c r="H133" s="196" t="s">
        <v>17</v>
      </c>
      <c r="I133" s="116">
        <f>SUM(I131:I132)</f>
        <v>258.58999999999997</v>
      </c>
      <c r="J133" s="47"/>
      <c r="K133" s="348"/>
      <c r="L133" s="231" t="s">
        <v>189</v>
      </c>
      <c r="M133" s="232">
        <v>200</v>
      </c>
      <c r="N133" s="137">
        <f t="shared" si="13"/>
        <v>4569.7700990000067</v>
      </c>
      <c r="O133" s="88"/>
      <c r="P133" s="214">
        <v>-352.85</v>
      </c>
      <c r="Q133" s="140">
        <f t="shared" si="14"/>
        <v>-10006.887278481008</v>
      </c>
      <c r="R133" s="100">
        <f t="shared" si="12"/>
        <v>43.112721518991748</v>
      </c>
      <c r="S133" s="524" t="s">
        <v>184</v>
      </c>
      <c r="T133" s="135"/>
      <c r="U133" s="134"/>
      <c r="V133" s="60"/>
      <c r="W133" s="60"/>
      <c r="X133" s="84"/>
      <c r="Y133" s="47"/>
      <c r="Z133" s="98"/>
      <c r="AA133" s="174"/>
      <c r="AB133" s="60"/>
      <c r="AC133" s="47"/>
      <c r="AD133" s="47"/>
      <c r="AE133" s="47"/>
      <c r="AF133" s="179"/>
      <c r="AG133" s="47"/>
      <c r="AH133" s="47"/>
      <c r="AI133" s="47"/>
    </row>
    <row r="134" spans="2:35" hidden="1">
      <c r="D134" s="43"/>
      <c r="E134" s="90"/>
      <c r="G134"/>
      <c r="H134" s="58"/>
      <c r="I134" s="247"/>
      <c r="J134" s="47"/>
      <c r="K134" s="348"/>
      <c r="L134" s="230" t="s">
        <v>174</v>
      </c>
      <c r="M134" s="216">
        <v>-1000</v>
      </c>
      <c r="N134" s="137">
        <f t="shared" si="13"/>
        <v>3569.7700990000067</v>
      </c>
      <c r="O134" s="88"/>
      <c r="P134" s="106">
        <f>E138</f>
        <v>233.77999999999975</v>
      </c>
      <c r="Q134" s="141">
        <f>Q133+P134</f>
        <v>-9773.1072784810094</v>
      </c>
      <c r="R134" s="115">
        <f t="shared" si="12"/>
        <v>276.89272151899058</v>
      </c>
      <c r="S134" s="533" t="s">
        <v>100</v>
      </c>
      <c r="T134" s="263"/>
      <c r="U134" s="134"/>
      <c r="V134" s="47"/>
      <c r="W134" s="47"/>
      <c r="X134" s="47"/>
      <c r="Y134" s="191"/>
      <c r="Z134" s="98"/>
      <c r="AA134" s="174"/>
      <c r="AB134" s="60"/>
      <c r="AC134" s="47"/>
      <c r="AD134" s="47"/>
      <c r="AE134" s="47"/>
      <c r="AF134" s="47"/>
      <c r="AG134" s="47"/>
      <c r="AH134" s="47"/>
      <c r="AI134" s="47"/>
    </row>
    <row r="135" spans="2:35" hidden="1">
      <c r="D135" s="43"/>
      <c r="E135" s="90"/>
      <c r="G135"/>
      <c r="H135" s="58"/>
      <c r="I135" s="100"/>
      <c r="J135" s="47"/>
      <c r="K135" s="348"/>
      <c r="L135" s="151" t="s">
        <v>97</v>
      </c>
      <c r="M135" s="100">
        <v>-144.5</v>
      </c>
      <c r="N135" s="137">
        <f t="shared" si="13"/>
        <v>3425.2700990000067</v>
      </c>
      <c r="O135" s="88"/>
      <c r="P135" s="271">
        <f>SUM(P122:P134)</f>
        <v>-9773.1072784810094</v>
      </c>
      <c r="Q135" s="213"/>
      <c r="R135" s="213"/>
      <c r="S135" s="528"/>
      <c r="T135" s="263"/>
      <c r="U135" s="134"/>
      <c r="V135" s="47"/>
      <c r="W135" s="47"/>
      <c r="X135" s="171"/>
      <c r="Y135" s="191"/>
      <c r="Z135" s="98"/>
      <c r="AA135" s="174"/>
      <c r="AB135" s="175"/>
      <c r="AC135" s="47"/>
      <c r="AD135" s="47"/>
      <c r="AE135" s="47"/>
      <c r="AF135" s="47"/>
      <c r="AG135" s="47"/>
      <c r="AH135" s="47"/>
      <c r="AI135" s="47"/>
    </row>
    <row r="136" spans="2:35" hidden="1">
      <c r="C136" s="153" t="s">
        <v>40</v>
      </c>
      <c r="E136" s="97"/>
      <c r="G136"/>
      <c r="H136" s="58"/>
      <c r="I136" s="39"/>
      <c r="J136" s="47"/>
      <c r="K136" s="348"/>
      <c r="L136" s="166" t="s">
        <v>99</v>
      </c>
      <c r="M136" s="217">
        <f>-3.9+M135*1.37%</f>
        <v>-5.8796499999999998</v>
      </c>
      <c r="N136" s="137">
        <f t="shared" si="13"/>
        <v>3419.3904490000068</v>
      </c>
      <c r="O136" s="97"/>
      <c r="P136" s="272"/>
      <c r="Q136" s="180"/>
      <c r="R136" s="213"/>
      <c r="S136" s="528"/>
      <c r="T136" s="263"/>
      <c r="U136" s="134"/>
      <c r="V136" s="47"/>
      <c r="W136" s="47"/>
      <c r="X136" s="47"/>
      <c r="Y136" s="191"/>
      <c r="Z136" s="98"/>
      <c r="AA136" s="174"/>
      <c r="AB136" s="60"/>
      <c r="AC136" s="47"/>
      <c r="AD136" s="47"/>
      <c r="AE136" s="47"/>
      <c r="AF136" s="47"/>
      <c r="AG136" s="202"/>
      <c r="AH136" s="47"/>
      <c r="AI136" s="47"/>
    </row>
    <row r="137" spans="2:35" hidden="1">
      <c r="D137" s="47" t="s">
        <v>37</v>
      </c>
      <c r="E137" s="97">
        <v>4953.8</v>
      </c>
      <c r="F137" s="47"/>
      <c r="G137" s="47"/>
      <c r="H137" s="101"/>
      <c r="L137" s="256" t="s">
        <v>46</v>
      </c>
      <c r="M137" s="218">
        <v>-155.76</v>
      </c>
      <c r="N137" s="137">
        <f t="shared" si="13"/>
        <v>3263.6304490000066</v>
      </c>
      <c r="O137" s="60"/>
      <c r="P137" s="272"/>
      <c r="Q137" s="180"/>
      <c r="R137" s="213"/>
      <c r="S137" s="528"/>
      <c r="T137" s="263"/>
      <c r="U137" s="163"/>
      <c r="V137" s="47"/>
      <c r="W137" s="47"/>
      <c r="X137" s="47"/>
      <c r="Y137" s="191"/>
      <c r="Z137" s="98"/>
      <c r="AA137" s="174"/>
      <c r="AB137" s="60"/>
      <c r="AC137" s="47"/>
      <c r="AD137" s="47"/>
      <c r="AE137" s="47"/>
      <c r="AF137" s="47"/>
      <c r="AG137" s="47"/>
      <c r="AH137" s="47"/>
      <c r="AI137" s="47"/>
    </row>
    <row r="138" spans="2:35" ht="12.75" hidden="1" customHeight="1">
      <c r="D138" s="150" t="s">
        <v>36</v>
      </c>
      <c r="E138" s="41">
        <f>E133-E137-E139</f>
        <v>233.77999999999975</v>
      </c>
      <c r="F138" s="150"/>
      <c r="G138" s="689">
        <f>SUM(E137:E138)</f>
        <v>5187.58</v>
      </c>
      <c r="H138" s="689"/>
      <c r="L138" s="166" t="s">
        <v>99</v>
      </c>
      <c r="M138" s="217">
        <f>-3.9+M137*1.37%</f>
        <v>-6.0339119999999999</v>
      </c>
      <c r="N138" s="137">
        <f t="shared" si="13"/>
        <v>3257.5965370000067</v>
      </c>
      <c r="O138" s="60"/>
      <c r="P138" s="272"/>
      <c r="Q138" s="180"/>
      <c r="R138" s="213"/>
      <c r="S138" s="528"/>
      <c r="T138" s="263"/>
      <c r="U138" s="164"/>
      <c r="V138" s="60"/>
      <c r="W138" s="60"/>
      <c r="X138" s="171"/>
      <c r="Y138" s="47"/>
      <c r="Z138" s="98"/>
      <c r="AA138" s="174"/>
      <c r="AB138" s="60"/>
      <c r="AC138" s="47"/>
      <c r="AD138" s="47"/>
      <c r="AE138" s="47"/>
      <c r="AF138" s="47"/>
      <c r="AG138" s="47"/>
      <c r="AH138" s="47"/>
      <c r="AI138" s="47"/>
    </row>
    <row r="139" spans="2:35" ht="12.75" hidden="1" customHeight="1">
      <c r="D139" s="47"/>
      <c r="E139" s="60"/>
      <c r="F139" s="204"/>
      <c r="G139" s="688"/>
      <c r="H139" s="688"/>
      <c r="L139" s="152" t="s">
        <v>39</v>
      </c>
      <c r="M139" s="215">
        <v>-483.99</v>
      </c>
      <c r="N139" s="137">
        <f t="shared" si="13"/>
        <v>2773.6065370000069</v>
      </c>
      <c r="O139" s="60"/>
      <c r="P139" s="136"/>
      <c r="Q139" s="180"/>
      <c r="R139" s="182"/>
      <c r="S139" s="528"/>
      <c r="T139" s="263"/>
      <c r="U139" s="164"/>
      <c r="V139" s="60"/>
      <c r="W139" s="60"/>
      <c r="X139" s="84"/>
      <c r="Y139" s="47"/>
      <c r="Z139" s="98"/>
      <c r="AA139" s="174"/>
      <c r="AB139" s="60"/>
      <c r="AC139" s="47"/>
      <c r="AD139" s="47"/>
      <c r="AE139" s="47"/>
      <c r="AF139" s="47"/>
      <c r="AG139" s="47"/>
      <c r="AH139" s="47"/>
      <c r="AI139" s="47"/>
    </row>
    <row r="140" spans="2:35" ht="12.75" hidden="1" customHeight="1">
      <c r="D140" s="47"/>
      <c r="E140" s="60"/>
      <c r="F140" s="204"/>
      <c r="G140" s="688"/>
      <c r="H140" s="688"/>
      <c r="L140" s="135" t="s">
        <v>99</v>
      </c>
      <c r="M140" s="217">
        <f>-3.9+M139*1.37%</f>
        <v>-10.530663000000001</v>
      </c>
      <c r="N140" s="137">
        <f t="shared" si="13"/>
        <v>2763.0758740000069</v>
      </c>
      <c r="O140" s="60"/>
      <c r="P140" s="136"/>
      <c r="Q140" s="180"/>
      <c r="R140" s="182"/>
      <c r="S140" s="528"/>
      <c r="T140" s="270"/>
      <c r="U140" s="47"/>
      <c r="V140" s="60"/>
      <c r="W140" s="60"/>
      <c r="X140" s="47"/>
      <c r="Y140" s="47"/>
      <c r="Z140" s="98"/>
      <c r="AA140" s="174"/>
      <c r="AB140" s="60"/>
      <c r="AC140" s="47"/>
      <c r="AD140" s="47"/>
      <c r="AE140" s="47"/>
      <c r="AF140" s="47"/>
      <c r="AG140" s="47"/>
      <c r="AH140" s="47"/>
      <c r="AI140" s="47"/>
    </row>
    <row r="141" spans="2:35" hidden="1">
      <c r="D141" s="47"/>
      <c r="E141" s="60"/>
      <c r="F141" s="204"/>
      <c r="G141" s="266"/>
      <c r="H141" s="266"/>
      <c r="L141" s="257" t="s">
        <v>92</v>
      </c>
      <c r="M141" s="219">
        <v>-505</v>
      </c>
      <c r="N141" s="137">
        <f t="shared" si="13"/>
        <v>2258.0758740000069</v>
      </c>
      <c r="O141" s="60"/>
      <c r="P141" s="136"/>
      <c r="Q141" s="180"/>
      <c r="R141" s="182"/>
      <c r="S141" s="528"/>
      <c r="T141" s="263"/>
      <c r="U141" s="47"/>
      <c r="V141" s="60"/>
      <c r="W141" s="60"/>
      <c r="X141" s="171"/>
      <c r="Y141" s="47"/>
      <c r="Z141" s="98"/>
      <c r="AA141" s="174"/>
      <c r="AB141" s="60"/>
      <c r="AC141" s="47"/>
      <c r="AD141" s="47"/>
      <c r="AE141" s="47"/>
      <c r="AF141" s="47"/>
      <c r="AG141" s="47"/>
      <c r="AH141" s="47"/>
      <c r="AI141" s="47"/>
    </row>
    <row r="142" spans="2:35" hidden="1">
      <c r="B142" s="47"/>
      <c r="C142" s="84"/>
      <c r="D142" s="60"/>
      <c r="E142" s="100"/>
      <c r="F142" s="204"/>
      <c r="G142" s="266"/>
      <c r="H142" s="266"/>
      <c r="L142" s="166" t="s">
        <v>99</v>
      </c>
      <c r="M142" s="217">
        <f>-3.9+M141*1.37%</f>
        <v>-10.8185</v>
      </c>
      <c r="N142" s="137">
        <f t="shared" si="13"/>
        <v>2247.2573740000071</v>
      </c>
      <c r="O142" s="60"/>
      <c r="T142" s="263"/>
      <c r="U142" s="47"/>
      <c r="V142" s="60"/>
      <c r="W142" s="60"/>
      <c r="X142" s="171"/>
      <c r="Y142" s="47"/>
      <c r="Z142" s="98"/>
      <c r="AA142" s="174"/>
      <c r="AB142" s="60"/>
      <c r="AC142" s="47"/>
      <c r="AD142" s="47"/>
      <c r="AE142" s="47"/>
      <c r="AF142" s="47"/>
      <c r="AG142" s="47"/>
      <c r="AH142" s="47"/>
      <c r="AI142" s="47"/>
    </row>
    <row r="143" spans="2:35" hidden="1">
      <c r="B143" s="47"/>
      <c r="C143" s="84"/>
      <c r="D143" s="60"/>
      <c r="E143" s="100"/>
      <c r="F143" s="204"/>
      <c r="G143" s="266"/>
      <c r="H143" s="266"/>
      <c r="L143" s="258" t="s">
        <v>171</v>
      </c>
      <c r="M143" s="219">
        <v>-50</v>
      </c>
      <c r="N143" s="137">
        <f t="shared" si="13"/>
        <v>2197.2573740000071</v>
      </c>
      <c r="O143" s="60"/>
      <c r="T143" s="263"/>
      <c r="U143" s="47"/>
      <c r="V143" s="60"/>
      <c r="W143" s="60"/>
      <c r="X143" s="171"/>
      <c r="Y143" s="47"/>
      <c r="Z143" s="98"/>
      <c r="AA143" s="174"/>
      <c r="AB143" s="60"/>
      <c r="AC143" s="47"/>
      <c r="AD143" s="47"/>
      <c r="AE143" s="47"/>
      <c r="AF143" s="47"/>
      <c r="AG143" s="47"/>
      <c r="AH143" s="47"/>
      <c r="AI143" s="47"/>
    </row>
    <row r="144" spans="2:35" hidden="1">
      <c r="B144" s="47"/>
      <c r="C144" s="84"/>
      <c r="D144" s="60"/>
      <c r="E144" s="100"/>
      <c r="F144" s="204"/>
      <c r="G144" s="266"/>
      <c r="H144" s="266"/>
      <c r="L144" s="166" t="s">
        <v>99</v>
      </c>
      <c r="M144" s="217">
        <f>-3.9+M143*1.37%</f>
        <v>-4.585</v>
      </c>
      <c r="N144" s="138">
        <f t="shared" si="13"/>
        <v>2192.672374000007</v>
      </c>
      <c r="O144" s="60"/>
      <c r="T144" s="263"/>
      <c r="U144" s="47"/>
      <c r="V144" s="60"/>
      <c r="W144" s="60"/>
      <c r="X144" s="171"/>
      <c r="Y144" s="47"/>
      <c r="Z144" s="98"/>
      <c r="AA144" s="174"/>
      <c r="AB144" s="60"/>
      <c r="AC144" s="47"/>
      <c r="AD144" s="47"/>
      <c r="AE144" s="47"/>
      <c r="AF144" s="47"/>
      <c r="AG144" s="47"/>
      <c r="AH144" s="47"/>
      <c r="AI144" s="47"/>
    </row>
    <row r="145" spans="2:35" hidden="1">
      <c r="B145" s="47"/>
      <c r="C145" s="84"/>
      <c r="D145" s="60"/>
      <c r="E145" s="100"/>
      <c r="F145" s="204"/>
      <c r="G145" s="266"/>
      <c r="H145" s="266"/>
      <c r="L145" s="58"/>
      <c r="M145" s="255">
        <f>SUM(M122:M144)</f>
        <v>2192.672374000007</v>
      </c>
      <c r="O145" s="60"/>
      <c r="T145" s="263"/>
      <c r="U145" s="47"/>
      <c r="V145" s="60"/>
      <c r="W145" s="60"/>
      <c r="X145" s="171"/>
      <c r="Y145" s="47"/>
      <c r="Z145" s="98"/>
      <c r="AA145" s="174"/>
      <c r="AB145" s="60"/>
      <c r="AC145" s="47"/>
      <c r="AD145" s="47"/>
      <c r="AE145" s="47"/>
      <c r="AF145" s="47"/>
      <c r="AG145" s="47"/>
      <c r="AH145" s="47"/>
      <c r="AI145" s="47"/>
    </row>
    <row r="146" spans="2:35" s="150" customFormat="1" hidden="1">
      <c r="E146" s="41"/>
      <c r="G146" s="211"/>
      <c r="K146" s="349"/>
      <c r="M146" s="41"/>
      <c r="P146" s="41"/>
      <c r="Q146" s="41"/>
      <c r="R146" s="41"/>
      <c r="S146" s="535"/>
      <c r="Z146" s="41"/>
      <c r="AA146" s="212"/>
      <c r="AB146" s="41"/>
    </row>
    <row r="147" spans="2:35" hidden="1"/>
    <row r="148" spans="2:35" hidden="1">
      <c r="B148" s="967" t="s">
        <v>187</v>
      </c>
      <c r="C148" s="967"/>
      <c r="D148" s="967"/>
      <c r="E148" s="967"/>
      <c r="G148" s="75"/>
      <c r="H148" s="75"/>
      <c r="I148" s="60"/>
      <c r="L148" s="127"/>
      <c r="M148" s="968" t="s">
        <v>90</v>
      </c>
      <c r="N148" s="282"/>
      <c r="O148" s="282"/>
      <c r="P148" s="969" t="s">
        <v>84</v>
      </c>
      <c r="Q148" s="283"/>
      <c r="R148" s="283"/>
      <c r="S148" s="528"/>
      <c r="X148" s="84"/>
      <c r="Y148" s="84"/>
      <c r="Z148" s="60"/>
      <c r="AA148" s="202"/>
      <c r="AB148" s="60"/>
      <c r="AC148" s="47"/>
      <c r="AD148" s="47"/>
      <c r="AE148" s="47"/>
      <c r="AF148" s="47"/>
      <c r="AG148" s="47"/>
      <c r="AH148" s="47"/>
      <c r="AI148" s="47"/>
    </row>
    <row r="149" spans="2:35" ht="12.75" hidden="1" customHeight="1">
      <c r="C149" s="43" t="s">
        <v>35</v>
      </c>
      <c r="D149" s="39"/>
      <c r="E149" s="99">
        <v>6000</v>
      </c>
      <c r="G149" s="687"/>
      <c r="H149" s="687"/>
      <c r="I149" s="60"/>
      <c r="L149" s="128"/>
      <c r="M149" s="968"/>
      <c r="N149" s="282" t="s">
        <v>88</v>
      </c>
      <c r="O149" s="282"/>
      <c r="P149" s="969"/>
      <c r="Q149" s="283" t="s">
        <v>79</v>
      </c>
      <c r="R149" s="283" t="s">
        <v>89</v>
      </c>
      <c r="S149" s="528"/>
      <c r="X149" s="198"/>
      <c r="Y149" s="191"/>
      <c r="Z149" s="197"/>
      <c r="AA149" s="169"/>
      <c r="AB149" s="170"/>
      <c r="AC149" s="47"/>
      <c r="AD149" s="91"/>
      <c r="AE149" s="47"/>
      <c r="AF149" s="47"/>
      <c r="AG149" s="47"/>
      <c r="AH149" s="47"/>
      <c r="AI149" s="47"/>
    </row>
    <row r="150" spans="2:35" hidden="1">
      <c r="C150" s="43"/>
      <c r="D150" s="39" t="s">
        <v>47</v>
      </c>
      <c r="E150" s="99">
        <f>'[1]JULY ''11'!$C$37</f>
        <v>676.23</v>
      </c>
      <c r="G150" s="74"/>
      <c r="H150" s="74"/>
      <c r="I150" s="60"/>
      <c r="L150" s="101" t="s">
        <v>91</v>
      </c>
      <c r="M150" s="60">
        <f>$M$145</f>
        <v>2192.672374000007</v>
      </c>
      <c r="N150" s="139">
        <f>M150</f>
        <v>2192.672374000007</v>
      </c>
      <c r="O150" s="60"/>
      <c r="P150" s="60">
        <f>$Q$134</f>
        <v>-9773.1072784810094</v>
      </c>
      <c r="Q150" s="139">
        <f>P150</f>
        <v>-9773.1072784810094</v>
      </c>
      <c r="R150" s="100">
        <f t="shared" ref="R150:R166" si="15">10050+Q150</f>
        <v>276.89272151899058</v>
      </c>
      <c r="S150" s="532"/>
      <c r="T150" s="71"/>
      <c r="X150" s="171"/>
      <c r="Y150" s="191"/>
      <c r="Z150" s="60"/>
      <c r="AA150" s="202"/>
      <c r="AB150" s="60"/>
      <c r="AC150" s="47"/>
      <c r="AD150" s="172"/>
      <c r="AE150" s="173"/>
      <c r="AF150" s="47"/>
      <c r="AG150" s="47"/>
      <c r="AH150" s="47"/>
      <c r="AI150" s="47"/>
    </row>
    <row r="151" spans="2:35" hidden="1">
      <c r="C151" s="43"/>
      <c r="D151" s="229" t="s">
        <v>150</v>
      </c>
      <c r="E151" s="41"/>
      <c r="G151"/>
      <c r="I151" s="60"/>
      <c r="L151" s="181" t="s">
        <v>188</v>
      </c>
      <c r="M151" s="215">
        <v>-777.49</v>
      </c>
      <c r="N151" s="137">
        <f t="shared" ref="N151:N166" si="16">N150+M151</f>
        <v>1415.182374000007</v>
      </c>
      <c r="O151" s="134"/>
      <c r="P151" s="213">
        <v>-250</v>
      </c>
      <c r="Q151" s="140">
        <f>Q150+P151</f>
        <v>-10023.107278481009</v>
      </c>
      <c r="R151" s="100">
        <f t="shared" si="15"/>
        <v>26.892721518990584</v>
      </c>
      <c r="S151" s="524" t="s">
        <v>190</v>
      </c>
      <c r="X151" s="47"/>
      <c r="Y151" s="192"/>
      <c r="Z151" s="98"/>
      <c r="AA151" s="174"/>
      <c r="AB151" s="175"/>
      <c r="AC151" s="47"/>
      <c r="AD151" s="91"/>
      <c r="AE151" s="173"/>
      <c r="AF151" s="47"/>
      <c r="AG151" s="47"/>
      <c r="AH151" s="47"/>
      <c r="AI151" s="47"/>
    </row>
    <row r="152" spans="2:35" ht="12.75" hidden="1" customHeight="1">
      <c r="C152" s="45" t="s">
        <v>17</v>
      </c>
      <c r="D152" s="39"/>
      <c r="E152" s="39">
        <f>SUM(E149:E151)</f>
        <v>6676.23</v>
      </c>
      <c r="G152" s="691" t="s">
        <v>162</v>
      </c>
      <c r="H152" s="691"/>
      <c r="I152" s="691"/>
      <c r="J152" s="47"/>
      <c r="K152" s="348"/>
      <c r="L152" s="181" t="s">
        <v>140</v>
      </c>
      <c r="M152" s="215">
        <v>-1250</v>
      </c>
      <c r="N152" s="137">
        <f t="shared" si="16"/>
        <v>165.18237400000703</v>
      </c>
      <c r="O152" s="134"/>
      <c r="P152" s="213">
        <f>-M152</f>
        <v>1250</v>
      </c>
      <c r="Q152" s="140">
        <f>Q151+P152</f>
        <v>-8773.1072784810094</v>
      </c>
      <c r="R152" s="100">
        <f t="shared" si="15"/>
        <v>1276.8927215189906</v>
      </c>
      <c r="S152" s="524" t="s">
        <v>103</v>
      </c>
      <c r="X152" s="47"/>
      <c r="Y152" s="192"/>
      <c r="Z152" s="98"/>
      <c r="AA152" s="174"/>
      <c r="AB152" s="60"/>
      <c r="AC152" s="47"/>
      <c r="AD152" s="172"/>
      <c r="AE152" s="173"/>
      <c r="AF152" s="47"/>
      <c r="AG152" s="47"/>
      <c r="AH152" s="47"/>
      <c r="AI152" s="47"/>
    </row>
    <row r="153" spans="2:35" hidden="1">
      <c r="G153"/>
      <c r="H153" s="58" t="s">
        <v>32</v>
      </c>
      <c r="I153" s="99">
        <v>175.44</v>
      </c>
      <c r="J153" s="117"/>
      <c r="K153" s="348"/>
      <c r="L153" s="274" t="s">
        <v>87</v>
      </c>
      <c r="M153" s="232">
        <v>1000</v>
      </c>
      <c r="N153" s="137">
        <f t="shared" si="16"/>
        <v>1165.182374000007</v>
      </c>
      <c r="O153" s="105"/>
      <c r="P153" s="213">
        <v>-330.25</v>
      </c>
      <c r="Q153" s="140">
        <f>Q152+P153</f>
        <v>-9103.3572784810094</v>
      </c>
      <c r="R153" s="100">
        <f t="shared" si="15"/>
        <v>946.64272151899058</v>
      </c>
      <c r="S153" s="524" t="s">
        <v>157</v>
      </c>
      <c r="X153" s="171"/>
      <c r="Y153" s="192"/>
      <c r="Z153" s="98"/>
      <c r="AA153" s="174"/>
      <c r="AB153" s="60"/>
      <c r="AC153" s="47"/>
      <c r="AD153" s="172"/>
      <c r="AE153" s="173"/>
      <c r="AF153" s="47"/>
      <c r="AG153" s="47"/>
      <c r="AH153" s="47"/>
      <c r="AI153" s="47"/>
    </row>
    <row r="154" spans="2:35" hidden="1">
      <c r="C154" s="43" t="s">
        <v>29</v>
      </c>
      <c r="G154"/>
      <c r="H154" s="58" t="s">
        <v>41</v>
      </c>
      <c r="I154" s="99">
        <f>4.39+4.08</f>
        <v>8.4699999999999989</v>
      </c>
      <c r="J154" s="47"/>
      <c r="K154" s="348"/>
      <c r="L154" s="151" t="s">
        <v>189</v>
      </c>
      <c r="M154" s="262">
        <v>0</v>
      </c>
      <c r="N154" s="137">
        <f t="shared" si="16"/>
        <v>1165.182374000007</v>
      </c>
      <c r="O154" s="105"/>
      <c r="P154" s="213">
        <v>1011.5</v>
      </c>
      <c r="Q154" s="140">
        <f t="shared" ref="Q154:Q166" si="17">Q153+P154</f>
        <v>-8091.8572784810094</v>
      </c>
      <c r="R154" s="100">
        <f t="shared" si="15"/>
        <v>1958.1427215189906</v>
      </c>
      <c r="S154" s="524" t="s">
        <v>191</v>
      </c>
      <c r="T154" s="47"/>
      <c r="U154" s="47"/>
      <c r="V154" s="183"/>
      <c r="W154" s="183"/>
      <c r="X154" s="47"/>
      <c r="Y154" s="192"/>
      <c r="Z154" s="98"/>
      <c r="AA154" s="174"/>
      <c r="AB154" s="175"/>
      <c r="AC154" s="47"/>
      <c r="AD154" s="176"/>
      <c r="AE154" s="173"/>
      <c r="AF154" s="47"/>
      <c r="AG154" s="47"/>
      <c r="AH154" s="47"/>
      <c r="AI154" s="47"/>
    </row>
    <row r="155" spans="2:35" hidden="1">
      <c r="D155" t="s">
        <v>30</v>
      </c>
      <c r="E155" s="39">
        <f>1204/2</f>
        <v>602</v>
      </c>
      <c r="G155" s="85"/>
      <c r="H155" s="58" t="s">
        <v>43</v>
      </c>
      <c r="I155" s="99">
        <v>7.45</v>
      </c>
      <c r="J155" s="47"/>
      <c r="K155" s="348"/>
      <c r="L155" s="273" t="s">
        <v>87</v>
      </c>
      <c r="M155" s="216">
        <f>E165-M153</f>
        <v>3953.8</v>
      </c>
      <c r="N155" s="137">
        <f t="shared" si="16"/>
        <v>5118.9823740000074</v>
      </c>
      <c r="O155" s="106"/>
      <c r="P155" s="215">
        <v>-139.38999999999999</v>
      </c>
      <c r="Q155" s="140">
        <f t="shared" si="17"/>
        <v>-8231.2472784810088</v>
      </c>
      <c r="R155" s="100">
        <f t="shared" si="15"/>
        <v>1818.7527215189912</v>
      </c>
      <c r="S155" s="524" t="s">
        <v>85</v>
      </c>
      <c r="T155" s="47"/>
      <c r="U155" s="47"/>
      <c r="V155" s="47"/>
      <c r="W155" s="47"/>
      <c r="X155" s="47"/>
      <c r="Y155" s="192"/>
      <c r="Z155" s="98"/>
      <c r="AA155" s="174"/>
      <c r="AB155" s="60"/>
      <c r="AC155" s="47"/>
      <c r="AD155" s="91"/>
      <c r="AE155" s="173"/>
      <c r="AF155" s="47"/>
      <c r="AG155" s="47"/>
      <c r="AH155" s="47"/>
      <c r="AI155" s="47"/>
    </row>
    <row r="156" spans="2:35" hidden="1">
      <c r="D156" t="s">
        <v>31</v>
      </c>
      <c r="E156" s="99"/>
      <c r="F156" s="86" t="s">
        <v>38</v>
      </c>
      <c r="G156"/>
      <c r="H156" s="58" t="s">
        <v>42</v>
      </c>
      <c r="I156" s="99">
        <v>43.86</v>
      </c>
      <c r="J156" s="47"/>
      <c r="K156" s="348"/>
      <c r="L156" s="273" t="s">
        <v>167</v>
      </c>
      <c r="M156" s="216">
        <v>-700</v>
      </c>
      <c r="N156" s="137">
        <f t="shared" si="16"/>
        <v>4418.9823740000074</v>
      </c>
      <c r="O156" s="106"/>
      <c r="P156" s="213">
        <v>-205.03</v>
      </c>
      <c r="Q156" s="140">
        <f t="shared" si="17"/>
        <v>-8436.2772784810095</v>
      </c>
      <c r="R156" s="100">
        <f t="shared" si="15"/>
        <v>1613.7227215189905</v>
      </c>
      <c r="S156" s="524" t="s">
        <v>86</v>
      </c>
      <c r="T156" s="47"/>
      <c r="U156" s="47"/>
      <c r="V156" s="47"/>
      <c r="W156" s="47"/>
      <c r="X156" s="47"/>
      <c r="Y156" s="192"/>
      <c r="Z156" s="98"/>
      <c r="AA156" s="174"/>
      <c r="AB156" s="60"/>
      <c r="AC156" s="47"/>
      <c r="AD156" s="172"/>
      <c r="AE156" s="173"/>
      <c r="AF156" s="47"/>
      <c r="AG156" s="47"/>
      <c r="AH156" s="47"/>
      <c r="AI156" s="47"/>
    </row>
    <row r="157" spans="2:35" hidden="1">
      <c r="D157" t="s">
        <v>32</v>
      </c>
      <c r="E157" s="46">
        <f>I161</f>
        <v>315.75999999999993</v>
      </c>
      <c r="F157" s="86" t="s">
        <v>38</v>
      </c>
      <c r="G157"/>
      <c r="H157" s="58" t="s">
        <v>44</v>
      </c>
      <c r="I157" s="99">
        <v>3.51</v>
      </c>
      <c r="J157" s="47"/>
      <c r="K157" s="348"/>
      <c r="L157" s="274" t="s">
        <v>97</v>
      </c>
      <c r="M157" s="100">
        <v>-248.74</v>
      </c>
      <c r="N157" s="137">
        <f t="shared" si="16"/>
        <v>4170.2423740000077</v>
      </c>
      <c r="O157" s="106"/>
      <c r="P157" s="100">
        <v>-511.5</v>
      </c>
      <c r="Q157" s="140">
        <f t="shared" si="17"/>
        <v>-8947.7772784810095</v>
      </c>
      <c r="R157" s="100">
        <f t="shared" si="15"/>
        <v>1102.2227215189905</v>
      </c>
      <c r="S157" s="524" t="s">
        <v>192</v>
      </c>
      <c r="T157" s="111"/>
      <c r="U157" s="47"/>
      <c r="V157" s="60"/>
      <c r="W157" s="60"/>
      <c r="X157" s="47"/>
      <c r="Y157" s="192"/>
      <c r="Z157" s="98"/>
      <c r="AA157" s="174"/>
      <c r="AB157" s="175"/>
      <c r="AC157" s="47"/>
      <c r="AD157" s="172"/>
      <c r="AE157" s="173"/>
      <c r="AF157" s="47"/>
      <c r="AG157" s="47"/>
      <c r="AH157" s="47"/>
      <c r="AI157" s="47"/>
    </row>
    <row r="158" spans="2:35" hidden="1">
      <c r="D158" t="s">
        <v>45</v>
      </c>
      <c r="E158" s="41"/>
      <c r="F158" s="87"/>
      <c r="G158"/>
      <c r="H158" s="58" t="s">
        <v>49</v>
      </c>
      <c r="I158" s="115">
        <f>244.46</f>
        <v>244.46</v>
      </c>
      <c r="J158" s="47"/>
      <c r="K158" s="348"/>
      <c r="L158" s="275" t="s">
        <v>99</v>
      </c>
      <c r="M158" s="217">
        <f>-3.9+M157*1.37%</f>
        <v>-7.3077380000000005</v>
      </c>
      <c r="N158" s="137">
        <f t="shared" si="16"/>
        <v>4162.9346360000072</v>
      </c>
      <c r="O158" s="88"/>
      <c r="P158" s="100">
        <f>2558.2-2068</f>
        <v>490.19999999999982</v>
      </c>
      <c r="Q158" s="140">
        <f t="shared" si="17"/>
        <v>-8457.5772784810106</v>
      </c>
      <c r="R158" s="100">
        <f t="shared" si="15"/>
        <v>1592.4227215189894</v>
      </c>
      <c r="S158" s="524" t="s">
        <v>193</v>
      </c>
      <c r="T158" s="111"/>
      <c r="U158" s="47"/>
      <c r="V158" s="60"/>
      <c r="W158" s="60"/>
      <c r="X158" s="47"/>
      <c r="Y158" s="192"/>
      <c r="Z158" s="98"/>
      <c r="AA158" s="174"/>
      <c r="AB158" s="60"/>
      <c r="AC158" s="47"/>
      <c r="AD158" s="172"/>
      <c r="AE158" s="177"/>
      <c r="AF158" s="47"/>
      <c r="AG158" s="47"/>
      <c r="AH158" s="47"/>
      <c r="AI158" s="47"/>
    </row>
    <row r="159" spans="2:35" hidden="1">
      <c r="C159" s="45" t="s">
        <v>17</v>
      </c>
      <c r="E159" s="46">
        <f>SUM(E155:E158)</f>
        <v>917.76</v>
      </c>
      <c r="G159"/>
      <c r="H159" s="196" t="s">
        <v>145</v>
      </c>
      <c r="I159" s="99">
        <f>SUM(I153:I158)</f>
        <v>483.18999999999994</v>
      </c>
      <c r="J159" s="47"/>
      <c r="K159" s="348"/>
      <c r="L159" s="276" t="s">
        <v>46</v>
      </c>
      <c r="M159" s="218">
        <v>-165.38</v>
      </c>
      <c r="N159" s="137">
        <f t="shared" si="16"/>
        <v>3997.5546360000071</v>
      </c>
      <c r="O159" s="88"/>
      <c r="P159" s="100">
        <v>-72.91</v>
      </c>
      <c r="Q159" s="140">
        <f t="shared" si="17"/>
        <v>-8530.4872784810104</v>
      </c>
      <c r="R159" s="100">
        <f t="shared" si="15"/>
        <v>1519.5127215189896</v>
      </c>
      <c r="S159" s="524" t="s">
        <v>86</v>
      </c>
      <c r="T159" s="152"/>
      <c r="U159" s="142"/>
      <c r="V159" s="60"/>
      <c r="W159" s="60"/>
      <c r="X159" s="47"/>
      <c r="Y159" s="192"/>
      <c r="Z159" s="98"/>
      <c r="AA159" s="174"/>
      <c r="AB159" s="60"/>
      <c r="AC159" s="47"/>
      <c r="AD159" s="47"/>
      <c r="AE159" s="173"/>
      <c r="AF159" s="47"/>
      <c r="AG159" s="47"/>
      <c r="AH159" s="47"/>
      <c r="AI159" s="47"/>
    </row>
    <row r="160" spans="2:35" hidden="1">
      <c r="C160" s="45"/>
      <c r="G160"/>
      <c r="H160" s="101" t="s">
        <v>50</v>
      </c>
      <c r="I160" s="100">
        <f>-110.27-57.16</f>
        <v>-167.43</v>
      </c>
      <c r="J160" s="47"/>
      <c r="K160" s="348"/>
      <c r="L160" s="275" t="s">
        <v>99</v>
      </c>
      <c r="M160" s="217">
        <f>-3.9+M159*1.37%</f>
        <v>-6.1657060000000001</v>
      </c>
      <c r="N160" s="137">
        <f t="shared" si="16"/>
        <v>3991.3889300000073</v>
      </c>
      <c r="O160" s="88"/>
      <c r="P160" s="100">
        <v>-402.71</v>
      </c>
      <c r="Q160" s="140">
        <f t="shared" si="17"/>
        <v>-8933.1972784810096</v>
      </c>
      <c r="R160" s="100">
        <f t="shared" si="15"/>
        <v>1116.8027215189904</v>
      </c>
      <c r="S160" s="524" t="s">
        <v>157</v>
      </c>
      <c r="T160" s="111"/>
      <c r="U160" s="142"/>
      <c r="V160" s="60"/>
      <c r="W160" s="60"/>
      <c r="X160" s="171"/>
      <c r="Y160" s="47"/>
      <c r="Z160" s="98"/>
      <c r="AA160" s="174"/>
      <c r="AB160" s="175"/>
      <c r="AC160" s="47"/>
      <c r="AD160" s="178"/>
      <c r="AE160" s="173"/>
      <c r="AF160" s="202"/>
      <c r="AG160" s="47"/>
      <c r="AH160" s="47"/>
      <c r="AI160" s="47"/>
    </row>
    <row r="161" spans="2:35" ht="13.5" hidden="1" thickBot="1">
      <c r="D161" s="42" t="s">
        <v>105</v>
      </c>
      <c r="E161" s="63">
        <f>E152-E159</f>
        <v>5758.4699999999993</v>
      </c>
      <c r="G161"/>
      <c r="H161" s="196" t="s">
        <v>17</v>
      </c>
      <c r="I161" s="116">
        <f>SUM(I159:I160)</f>
        <v>315.75999999999993</v>
      </c>
      <c r="J161" s="47"/>
      <c r="K161" s="348"/>
      <c r="L161" s="277" t="s">
        <v>39</v>
      </c>
      <c r="M161" s="215">
        <v>-483.99</v>
      </c>
      <c r="N161" s="137">
        <f t="shared" si="16"/>
        <v>3507.3989300000076</v>
      </c>
      <c r="O161" s="88"/>
      <c r="P161" s="214">
        <v>-154.4</v>
      </c>
      <c r="Q161" s="140">
        <f t="shared" si="17"/>
        <v>-9087.5972784810092</v>
      </c>
      <c r="R161" s="100">
        <f t="shared" si="15"/>
        <v>962.4027215189908</v>
      </c>
      <c r="S161" s="524" t="s">
        <v>194</v>
      </c>
      <c r="T161" s="135"/>
      <c r="U161" s="134"/>
      <c r="V161" s="60"/>
      <c r="W161" s="60"/>
      <c r="X161" s="84"/>
      <c r="Y161" s="47"/>
      <c r="Z161" s="98"/>
      <c r="AA161" s="174"/>
      <c r="AB161" s="60"/>
      <c r="AC161" s="47"/>
      <c r="AD161" s="47"/>
      <c r="AE161" s="47"/>
      <c r="AF161" s="179"/>
      <c r="AG161" s="47"/>
      <c r="AH161" s="47"/>
      <c r="AI161" s="47"/>
    </row>
    <row r="162" spans="2:35" hidden="1">
      <c r="D162" s="43"/>
      <c r="E162" s="90"/>
      <c r="G162"/>
      <c r="H162" s="58"/>
      <c r="I162" s="247"/>
      <c r="J162" s="47"/>
      <c r="K162" s="348"/>
      <c r="L162" s="278" t="s">
        <v>99</v>
      </c>
      <c r="M162" s="217">
        <f>-3.9+M161*1.37%</f>
        <v>-10.530663000000001</v>
      </c>
      <c r="N162" s="137">
        <f t="shared" si="16"/>
        <v>3496.8682670000076</v>
      </c>
      <c r="O162" s="88"/>
      <c r="P162" s="214">
        <v>-501.71</v>
      </c>
      <c r="Q162" s="140">
        <f t="shared" si="17"/>
        <v>-9589.3072784810083</v>
      </c>
      <c r="R162" s="100">
        <f t="shared" si="15"/>
        <v>460.69272151899168</v>
      </c>
      <c r="S162" s="524" t="s">
        <v>86</v>
      </c>
      <c r="T162" s="281"/>
      <c r="U162" s="134"/>
      <c r="V162" s="47"/>
      <c r="W162" s="47"/>
      <c r="X162" s="47"/>
      <c r="Y162" s="191"/>
      <c r="Z162" s="98"/>
      <c r="AA162" s="174"/>
      <c r="AB162" s="60"/>
      <c r="AC162" s="47"/>
      <c r="AD162" s="47"/>
      <c r="AE162" s="47"/>
      <c r="AF162" s="47"/>
      <c r="AG162" s="47"/>
      <c r="AH162" s="47"/>
      <c r="AI162" s="47"/>
    </row>
    <row r="163" spans="2:35" hidden="1">
      <c r="D163" s="43"/>
      <c r="E163" s="90"/>
      <c r="G163"/>
      <c r="H163" s="58"/>
      <c r="I163" s="100"/>
      <c r="J163" s="47"/>
      <c r="K163" s="348"/>
      <c r="L163" s="279" t="s">
        <v>92</v>
      </c>
      <c r="M163" s="219">
        <v>-505</v>
      </c>
      <c r="N163" s="137">
        <f t="shared" si="16"/>
        <v>2991.8682670000076</v>
      </c>
      <c r="O163" s="88"/>
      <c r="P163" s="213">
        <v>-258.75</v>
      </c>
      <c r="Q163" s="140">
        <f t="shared" si="17"/>
        <v>-9848.0572784810083</v>
      </c>
      <c r="R163" s="100">
        <f t="shared" si="15"/>
        <v>201.94272151899168</v>
      </c>
      <c r="S163" s="524" t="s">
        <v>139</v>
      </c>
      <c r="T163" s="281"/>
      <c r="U163" s="134"/>
      <c r="V163" s="47"/>
      <c r="W163" s="47"/>
      <c r="X163" s="171"/>
      <c r="Y163" s="191"/>
      <c r="Z163" s="98"/>
      <c r="AA163" s="174"/>
      <c r="AB163" s="175"/>
      <c r="AC163" s="47"/>
      <c r="AD163" s="47"/>
      <c r="AE163" s="47"/>
      <c r="AF163" s="47"/>
      <c r="AG163" s="47"/>
      <c r="AH163" s="47"/>
      <c r="AI163" s="47"/>
    </row>
    <row r="164" spans="2:35" hidden="1">
      <c r="C164" s="153" t="s">
        <v>40</v>
      </c>
      <c r="E164" s="97"/>
      <c r="G164"/>
      <c r="H164" s="58"/>
      <c r="I164" s="39"/>
      <c r="J164" s="47"/>
      <c r="K164" s="348"/>
      <c r="L164" s="275" t="s">
        <v>99</v>
      </c>
      <c r="M164" s="217">
        <f>-3.9+M163*1.37%</f>
        <v>-10.8185</v>
      </c>
      <c r="N164" s="137">
        <f t="shared" si="16"/>
        <v>2981.0497670000077</v>
      </c>
      <c r="O164" s="97"/>
      <c r="P164" s="214">
        <v>-82.98</v>
      </c>
      <c r="Q164" s="140">
        <f t="shared" si="17"/>
        <v>-9931.0372784810079</v>
      </c>
      <c r="R164" s="100">
        <f t="shared" si="15"/>
        <v>118.96272151899211</v>
      </c>
      <c r="S164" s="530" t="s">
        <v>198</v>
      </c>
      <c r="T164" s="281"/>
      <c r="U164" s="134"/>
      <c r="V164" s="47"/>
      <c r="W164" s="47"/>
      <c r="X164" s="47"/>
      <c r="Y164" s="191"/>
      <c r="Z164" s="98"/>
      <c r="AA164" s="174"/>
      <c r="AB164" s="60"/>
      <c r="AC164" s="47"/>
      <c r="AD164" s="47"/>
      <c r="AE164" s="47"/>
      <c r="AF164" s="47"/>
      <c r="AG164" s="202"/>
      <c r="AH164" s="47"/>
      <c r="AI164" s="47"/>
    </row>
    <row r="165" spans="2:35" hidden="1">
      <c r="D165" s="47" t="s">
        <v>37</v>
      </c>
      <c r="E165" s="97">
        <v>4953.8</v>
      </c>
      <c r="F165" s="47"/>
      <c r="G165" s="47"/>
      <c r="H165" s="101"/>
      <c r="L165" s="280" t="s">
        <v>171</v>
      </c>
      <c r="M165" s="219">
        <v>-50</v>
      </c>
      <c r="N165" s="137">
        <f t="shared" si="16"/>
        <v>2931.0497670000077</v>
      </c>
      <c r="O165" s="60"/>
      <c r="P165" s="214">
        <v>-183.36</v>
      </c>
      <c r="Q165" s="140">
        <f t="shared" si="17"/>
        <v>-10114.397278481008</v>
      </c>
      <c r="R165" s="100">
        <f t="shared" si="15"/>
        <v>-64.39727848100847</v>
      </c>
      <c r="S165" s="530" t="s">
        <v>86</v>
      </c>
      <c r="T165" s="281"/>
      <c r="U165" s="163"/>
      <c r="V165" s="47"/>
      <c r="W165" s="47"/>
      <c r="X165" s="47"/>
      <c r="Y165" s="191"/>
      <c r="Z165" s="98"/>
      <c r="AA165" s="174"/>
      <c r="AB165" s="60"/>
      <c r="AC165" s="47"/>
      <c r="AD165" s="47"/>
      <c r="AE165" s="47"/>
      <c r="AF165" s="47"/>
      <c r="AG165" s="47"/>
      <c r="AH165" s="47"/>
      <c r="AI165" s="47"/>
    </row>
    <row r="166" spans="2:35" ht="12.75" hidden="1" customHeight="1">
      <c r="D166" s="150" t="s">
        <v>36</v>
      </c>
      <c r="E166" s="41">
        <f>E161-E165-E167</f>
        <v>804.66999999999916</v>
      </c>
      <c r="F166" s="150"/>
      <c r="G166" s="689">
        <f>SUM(E165:E166)</f>
        <v>5758.4699999999993</v>
      </c>
      <c r="H166" s="689"/>
      <c r="L166" s="275" t="s">
        <v>99</v>
      </c>
      <c r="M166" s="217">
        <f>-3.9+M165*1.37%</f>
        <v>-4.585</v>
      </c>
      <c r="N166" s="138">
        <f t="shared" si="16"/>
        <v>2926.4647670000077</v>
      </c>
      <c r="O166" s="60"/>
      <c r="P166" s="106">
        <f>E166</f>
        <v>804.66999999999916</v>
      </c>
      <c r="Q166" s="141">
        <f t="shared" si="17"/>
        <v>-9309.7272784810084</v>
      </c>
      <c r="R166" s="185">
        <f t="shared" si="15"/>
        <v>740.2727215189916</v>
      </c>
      <c r="S166" s="533" t="s">
        <v>100</v>
      </c>
      <c r="T166" s="281"/>
      <c r="U166" s="164"/>
      <c r="V166" s="60"/>
      <c r="W166" s="60"/>
      <c r="X166" s="171"/>
      <c r="Y166" s="47"/>
      <c r="Z166" s="98"/>
      <c r="AA166" s="174"/>
      <c r="AB166" s="60"/>
      <c r="AC166" s="47"/>
      <c r="AD166" s="47"/>
      <c r="AE166" s="47"/>
      <c r="AF166" s="47"/>
      <c r="AG166" s="47"/>
      <c r="AH166" s="47"/>
      <c r="AI166" s="47"/>
    </row>
    <row r="167" spans="2:35" ht="12.75" hidden="1" customHeight="1">
      <c r="D167" s="47"/>
      <c r="E167" s="60"/>
      <c r="F167" s="204"/>
      <c r="G167" s="688"/>
      <c r="H167" s="688"/>
      <c r="L167" s="58"/>
      <c r="M167" s="255">
        <f>SUM(M150:M166)</f>
        <v>2926.4647670000077</v>
      </c>
      <c r="O167" s="60"/>
      <c r="P167" s="133">
        <f>SUM(P150:P166)</f>
        <v>-9309.7272784810084</v>
      </c>
      <c r="Q167" s="132"/>
      <c r="R167" s="132"/>
      <c r="S167" s="528"/>
      <c r="T167" s="281"/>
      <c r="U167" s="164"/>
      <c r="V167" s="60"/>
      <c r="W167" s="60"/>
      <c r="X167" s="84"/>
      <c r="Y167" s="47"/>
      <c r="Z167" s="98"/>
      <c r="AA167" s="174"/>
      <c r="AB167" s="60"/>
      <c r="AC167" s="47"/>
      <c r="AD167" s="47"/>
      <c r="AE167" s="47"/>
      <c r="AF167" s="47"/>
      <c r="AG167" s="47"/>
      <c r="AH167" s="47"/>
      <c r="AI167" s="47"/>
    </row>
    <row r="168" spans="2:35" s="150" customFormat="1" hidden="1">
      <c r="E168" s="41"/>
      <c r="G168" s="211"/>
      <c r="K168" s="349"/>
      <c r="M168" s="41"/>
      <c r="P168" s="41"/>
      <c r="Q168" s="41"/>
      <c r="R168" s="41"/>
      <c r="S168" s="535"/>
      <c r="Z168" s="41"/>
      <c r="AA168" s="212"/>
      <c r="AB168" s="41"/>
    </row>
    <row r="169" spans="2:35" hidden="1"/>
    <row r="170" spans="2:35" hidden="1">
      <c r="B170" s="967" t="s">
        <v>195</v>
      </c>
      <c r="C170" s="967"/>
      <c r="D170" s="967"/>
      <c r="E170" s="967"/>
      <c r="G170" s="75"/>
      <c r="H170" s="75"/>
      <c r="I170" s="60"/>
      <c r="L170" s="127"/>
      <c r="M170" s="968" t="s">
        <v>90</v>
      </c>
      <c r="N170" s="289"/>
      <c r="O170" s="289"/>
      <c r="P170" s="969" t="s">
        <v>84</v>
      </c>
      <c r="Q170" s="290"/>
      <c r="R170" s="290"/>
      <c r="S170" s="528"/>
      <c r="X170" s="84"/>
      <c r="Y170" s="84"/>
      <c r="Z170" s="60"/>
      <c r="AA170" s="202"/>
      <c r="AB170" s="60"/>
      <c r="AC170" s="47"/>
      <c r="AD170" s="47"/>
      <c r="AE170" s="47"/>
      <c r="AF170" s="47"/>
      <c r="AG170" s="47"/>
      <c r="AH170" s="47"/>
      <c r="AI170" s="47"/>
    </row>
    <row r="171" spans="2:35" ht="12.75" hidden="1" customHeight="1">
      <c r="C171" s="43" t="s">
        <v>35</v>
      </c>
      <c r="D171" s="39"/>
      <c r="E171" s="99">
        <v>6000</v>
      </c>
      <c r="G171" s="687"/>
      <c r="H171" s="687"/>
      <c r="I171" s="60"/>
      <c r="L171" s="128"/>
      <c r="M171" s="968"/>
      <c r="N171" s="289" t="s">
        <v>88</v>
      </c>
      <c r="O171" s="289"/>
      <c r="P171" s="969"/>
      <c r="Q171" s="290" t="s">
        <v>79</v>
      </c>
      <c r="R171" s="290" t="s">
        <v>89</v>
      </c>
      <c r="S171" s="528"/>
      <c r="X171" s="198"/>
      <c r="Y171" s="191"/>
      <c r="Z171" s="197"/>
      <c r="AA171" s="169"/>
      <c r="AB171" s="170"/>
      <c r="AC171" s="47"/>
      <c r="AD171" s="91"/>
      <c r="AE171" s="47"/>
      <c r="AF171" s="47"/>
      <c r="AG171" s="47"/>
      <c r="AH171" s="47"/>
      <c r="AI171" s="47"/>
    </row>
    <row r="172" spans="2:35" hidden="1">
      <c r="C172" s="43"/>
      <c r="D172" s="39" t="s">
        <v>47</v>
      </c>
      <c r="E172" s="99">
        <f>'[1]AUGUST ''11'!$C$51+75</f>
        <v>1255.78</v>
      </c>
      <c r="G172" s="74"/>
      <c r="H172" s="74"/>
      <c r="I172" s="60"/>
      <c r="L172" s="101" t="s">
        <v>91</v>
      </c>
      <c r="M172" s="60">
        <f>$M$167</f>
        <v>2926.4647670000077</v>
      </c>
      <c r="N172" s="139">
        <f>M172</f>
        <v>2926.4647670000077</v>
      </c>
      <c r="O172" s="60"/>
      <c r="P172" s="100">
        <f>$Q$166</f>
        <v>-9309.7272784810084</v>
      </c>
      <c r="Q172" s="139">
        <f>P172</f>
        <v>-9309.7272784810084</v>
      </c>
      <c r="R172" s="100">
        <f t="shared" ref="R172:R184" si="18">10050+Q172</f>
        <v>740.2727215189916</v>
      </c>
      <c r="S172" s="532"/>
      <c r="T172" s="71"/>
      <c r="X172" s="171"/>
      <c r="Y172" s="191"/>
      <c r="Z172" s="60"/>
      <c r="AA172" s="202"/>
      <c r="AB172" s="60"/>
      <c r="AC172" s="47"/>
      <c r="AD172" s="172"/>
      <c r="AE172" s="173"/>
      <c r="AF172" s="47"/>
      <c r="AG172" s="47"/>
      <c r="AH172" s="47"/>
      <c r="AI172" s="47"/>
    </row>
    <row r="173" spans="2:35" hidden="1">
      <c r="C173" s="43"/>
      <c r="D173" s="229" t="s">
        <v>150</v>
      </c>
      <c r="E173" s="41"/>
      <c r="G173"/>
      <c r="I173" s="60"/>
      <c r="L173" s="181" t="s">
        <v>140</v>
      </c>
      <c r="M173" s="215">
        <v>-2750.01</v>
      </c>
      <c r="N173" s="137">
        <f t="shared" ref="N173:N186" si="19">N172+M173</f>
        <v>176.45476700000745</v>
      </c>
      <c r="O173" s="134"/>
      <c r="P173" s="213">
        <v>2750</v>
      </c>
      <c r="Q173" s="140">
        <f>Q172+P173</f>
        <v>-6559.7272784810084</v>
      </c>
      <c r="R173" s="100">
        <f t="shared" si="18"/>
        <v>3490.2727215189916</v>
      </c>
      <c r="S173" s="524" t="s">
        <v>196</v>
      </c>
      <c r="X173" s="47"/>
      <c r="Y173" s="192"/>
      <c r="Z173" s="98"/>
      <c r="AA173" s="174"/>
      <c r="AB173" s="175"/>
      <c r="AC173" s="47"/>
      <c r="AD173" s="91"/>
      <c r="AE173" s="173"/>
      <c r="AF173" s="47"/>
      <c r="AG173" s="47"/>
      <c r="AH173" s="47"/>
      <c r="AI173" s="47"/>
    </row>
    <row r="174" spans="2:35" ht="12.75" hidden="1" customHeight="1">
      <c r="C174" s="45" t="s">
        <v>17</v>
      </c>
      <c r="D174" s="39"/>
      <c r="E174" s="39">
        <f>SUM(E171:E173)</f>
        <v>7255.78</v>
      </c>
      <c r="G174" s="691" t="s">
        <v>202</v>
      </c>
      <c r="H174" s="691"/>
      <c r="I174" s="691"/>
      <c r="J174" s="47"/>
      <c r="K174" s="348"/>
      <c r="L174" s="151" t="s">
        <v>189</v>
      </c>
      <c r="M174" s="262">
        <v>200</v>
      </c>
      <c r="N174" s="137">
        <f t="shared" si="19"/>
        <v>376.45476700000745</v>
      </c>
      <c r="O174" s="134"/>
      <c r="P174" s="213">
        <v>-97.02</v>
      </c>
      <c r="Q174" s="140">
        <f>Q173+P174</f>
        <v>-6656.7472784810088</v>
      </c>
      <c r="R174" s="287">
        <f t="shared" si="18"/>
        <v>3393.2527215189912</v>
      </c>
      <c r="S174" s="524" t="s">
        <v>197</v>
      </c>
      <c r="X174" s="47"/>
      <c r="Y174" s="192"/>
      <c r="Z174" s="98"/>
      <c r="AA174" s="174"/>
      <c r="AB174" s="60"/>
      <c r="AC174" s="47"/>
      <c r="AD174" s="172"/>
      <c r="AE174" s="173"/>
      <c r="AF174" s="47"/>
      <c r="AG174" s="47"/>
      <c r="AH174" s="47"/>
      <c r="AI174" s="47"/>
    </row>
    <row r="175" spans="2:35" hidden="1">
      <c r="G175"/>
      <c r="H175" s="58" t="s">
        <v>32</v>
      </c>
      <c r="I175" s="99">
        <v>175.44</v>
      </c>
      <c r="J175" s="117"/>
      <c r="K175" s="348"/>
      <c r="L175" s="273" t="s">
        <v>87</v>
      </c>
      <c r="M175" s="216">
        <f>E187-2000</f>
        <v>2953.8</v>
      </c>
      <c r="N175" s="137">
        <f t="shared" si="19"/>
        <v>3330.2547670000076</v>
      </c>
      <c r="O175" s="105"/>
      <c r="P175" s="213">
        <v>-511.5</v>
      </c>
      <c r="Q175" s="140">
        <f>Q174+P175</f>
        <v>-7168.2472784810088</v>
      </c>
      <c r="R175" s="100">
        <f t="shared" si="18"/>
        <v>2881.7527215189912</v>
      </c>
      <c r="S175" s="524" t="s">
        <v>138</v>
      </c>
      <c r="T175" s="284"/>
      <c r="X175" s="171"/>
      <c r="Y175" s="192"/>
      <c r="Z175" s="98"/>
      <c r="AA175" s="174"/>
      <c r="AB175" s="60"/>
      <c r="AC175" s="47"/>
      <c r="AD175" s="172"/>
      <c r="AE175" s="173"/>
      <c r="AF175" s="47"/>
      <c r="AG175" s="47"/>
      <c r="AH175" s="47"/>
      <c r="AI175" s="47"/>
    </row>
    <row r="176" spans="2:35" hidden="1">
      <c r="C176" s="43" t="s">
        <v>29</v>
      </c>
      <c r="G176"/>
      <c r="H176" s="58" t="s">
        <v>41</v>
      </c>
      <c r="I176" s="99">
        <f>4.39+4.08</f>
        <v>8.4699999999999989</v>
      </c>
      <c r="J176" s="47"/>
      <c r="K176" s="348"/>
      <c r="L176" s="291" t="s">
        <v>167</v>
      </c>
      <c r="M176" s="294">
        <v>-700</v>
      </c>
      <c r="N176" s="137">
        <f t="shared" si="19"/>
        <v>2630.2547670000076</v>
      </c>
      <c r="O176" s="105"/>
      <c r="P176" s="213">
        <v>-61.9</v>
      </c>
      <c r="Q176" s="140">
        <f t="shared" ref="Q176:Q184" si="20">Q175+P176</f>
        <v>-7230.1472784810085</v>
      </c>
      <c r="R176" s="100">
        <f t="shared" si="18"/>
        <v>2819.8527215189915</v>
      </c>
      <c r="S176" s="524" t="s">
        <v>139</v>
      </c>
      <c r="T176" s="47"/>
      <c r="U176" s="47"/>
      <c r="V176" s="183"/>
      <c r="W176" s="183"/>
      <c r="X176" s="47"/>
      <c r="Y176" s="192"/>
      <c r="Z176" s="98"/>
      <c r="AA176" s="174"/>
      <c r="AB176" s="175"/>
      <c r="AC176" s="47"/>
      <c r="AD176" s="176"/>
      <c r="AE176" s="173"/>
      <c r="AF176" s="47"/>
      <c r="AG176" s="47"/>
      <c r="AH176" s="47"/>
      <c r="AI176" s="47"/>
    </row>
    <row r="177" spans="2:35" hidden="1">
      <c r="D177" t="s">
        <v>30</v>
      </c>
      <c r="E177" s="39">
        <f>1204/2</f>
        <v>602</v>
      </c>
      <c r="G177" s="85"/>
      <c r="H177" s="58" t="s">
        <v>43</v>
      </c>
      <c r="I177" s="99">
        <v>7.45</v>
      </c>
      <c r="J177" s="47"/>
      <c r="K177" s="348"/>
      <c r="L177" s="274" t="s">
        <v>97</v>
      </c>
      <c r="M177" s="100">
        <v>-203.5</v>
      </c>
      <c r="N177" s="137">
        <f t="shared" si="19"/>
        <v>2426.7547670000076</v>
      </c>
      <c r="O177" s="106"/>
      <c r="P177" s="215">
        <v>-411.5</v>
      </c>
      <c r="Q177" s="140">
        <f t="shared" si="20"/>
        <v>-7641.6472784810085</v>
      </c>
      <c r="R177" s="100">
        <f t="shared" si="18"/>
        <v>2408.3527215189915</v>
      </c>
      <c r="S177" s="524" t="s">
        <v>138</v>
      </c>
      <c r="T177" s="47"/>
      <c r="U177" s="47"/>
      <c r="V177" s="47"/>
      <c r="W177" s="47"/>
      <c r="X177" s="47"/>
      <c r="Y177" s="192"/>
      <c r="Z177" s="98"/>
      <c r="AA177" s="174"/>
      <c r="AB177" s="60"/>
      <c r="AC177" s="47"/>
      <c r="AD177" s="91"/>
      <c r="AE177" s="173"/>
      <c r="AF177" s="47"/>
      <c r="AG177" s="47"/>
      <c r="AH177" s="47"/>
      <c r="AI177" s="47"/>
    </row>
    <row r="178" spans="2:35" hidden="1">
      <c r="D178" t="s">
        <v>31</v>
      </c>
      <c r="E178" s="99"/>
      <c r="F178" s="86" t="s">
        <v>38</v>
      </c>
      <c r="G178"/>
      <c r="H178" s="58" t="s">
        <v>42</v>
      </c>
      <c r="I178" s="99">
        <v>43.86</v>
      </c>
      <c r="J178" s="47"/>
      <c r="K178" s="348"/>
      <c r="L178" s="275" t="s">
        <v>99</v>
      </c>
      <c r="M178" s="217">
        <f>-3.9+M177*1.37%</f>
        <v>-6.6879499999999998</v>
      </c>
      <c r="N178" s="137">
        <f t="shared" si="19"/>
        <v>2420.0668170000076</v>
      </c>
      <c r="O178" s="106"/>
      <c r="P178" s="213">
        <v>-26.8</v>
      </c>
      <c r="Q178" s="140">
        <f t="shared" si="20"/>
        <v>-7668.4472784810087</v>
      </c>
      <c r="R178" s="100">
        <f t="shared" si="18"/>
        <v>2381.5527215189913</v>
      </c>
      <c r="S178" s="524" t="s">
        <v>199</v>
      </c>
      <c r="T178" s="47"/>
      <c r="U178" s="47"/>
      <c r="V178" s="47"/>
      <c r="W178" s="47"/>
      <c r="X178" s="47"/>
      <c r="Y178" s="192"/>
      <c r="Z178" s="98"/>
      <c r="AA178" s="174"/>
      <c r="AB178" s="60"/>
      <c r="AC178" s="47"/>
      <c r="AD178" s="172"/>
      <c r="AE178" s="173"/>
      <c r="AF178" s="47"/>
      <c r="AG178" s="47"/>
      <c r="AH178" s="47"/>
      <c r="AI178" s="47"/>
    </row>
    <row r="179" spans="2:35" hidden="1">
      <c r="D179" t="s">
        <v>32</v>
      </c>
      <c r="E179" s="46">
        <f>I183</f>
        <v>328.36999999999989</v>
      </c>
      <c r="F179" s="86" t="s">
        <v>38</v>
      </c>
      <c r="G179"/>
      <c r="H179" s="58" t="s">
        <v>44</v>
      </c>
      <c r="I179" s="99">
        <v>3.51</v>
      </c>
      <c r="J179" s="47"/>
      <c r="K179" s="348"/>
      <c r="L179" s="293" t="s">
        <v>205</v>
      </c>
      <c r="M179" s="295">
        <v>-300</v>
      </c>
      <c r="N179" s="137">
        <f t="shared" si="19"/>
        <v>2120.0668170000076</v>
      </c>
      <c r="O179" s="106"/>
      <c r="P179" s="100">
        <v>-171.4</v>
      </c>
      <c r="Q179" s="140">
        <f t="shared" si="20"/>
        <v>-7839.8472784810083</v>
      </c>
      <c r="R179" s="100">
        <f t="shared" si="18"/>
        <v>2210.1527215189917</v>
      </c>
      <c r="S179" s="524" t="s">
        <v>93</v>
      </c>
      <c r="T179" s="111"/>
      <c r="U179" s="47"/>
      <c r="V179" s="60"/>
      <c r="W179" s="60"/>
      <c r="X179" s="47"/>
      <c r="Y179" s="192"/>
      <c r="Z179" s="98"/>
      <c r="AA179" s="174"/>
      <c r="AB179" s="175"/>
      <c r="AC179" s="47"/>
      <c r="AD179" s="172"/>
      <c r="AE179" s="173"/>
      <c r="AF179" s="47"/>
      <c r="AG179" s="47"/>
      <c r="AH179" s="47"/>
      <c r="AI179" s="47"/>
    </row>
    <row r="180" spans="2:35" hidden="1">
      <c r="D180" t="s">
        <v>45</v>
      </c>
      <c r="E180" s="41"/>
      <c r="F180" s="87"/>
      <c r="G180"/>
      <c r="H180" s="58" t="s">
        <v>49</v>
      </c>
      <c r="I180" s="115">
        <v>192.23</v>
      </c>
      <c r="J180" s="47"/>
      <c r="K180" s="348"/>
      <c r="L180" s="276" t="s">
        <v>46</v>
      </c>
      <c r="M180" s="218">
        <v>-198.8</v>
      </c>
      <c r="N180" s="137">
        <f t="shared" si="19"/>
        <v>1921.2668170000077</v>
      </c>
      <c r="O180" s="88"/>
      <c r="P180" s="100">
        <v>-473.9</v>
      </c>
      <c r="Q180" s="140">
        <f t="shared" si="20"/>
        <v>-8313.7472784810088</v>
      </c>
      <c r="R180" s="100">
        <f t="shared" si="18"/>
        <v>1736.2527215189912</v>
      </c>
      <c r="S180" s="524" t="s">
        <v>139</v>
      </c>
      <c r="T180" s="111"/>
      <c r="U180" s="47"/>
      <c r="V180" s="60"/>
      <c r="W180" s="60"/>
      <c r="X180" s="47"/>
      <c r="Y180" s="192"/>
      <c r="Z180" s="98"/>
      <c r="AA180" s="174"/>
      <c r="AB180" s="60"/>
      <c r="AC180" s="47"/>
      <c r="AD180" s="172"/>
      <c r="AE180" s="177"/>
      <c r="AF180" s="47"/>
      <c r="AG180" s="47"/>
      <c r="AH180" s="47"/>
      <c r="AI180" s="47"/>
    </row>
    <row r="181" spans="2:35" hidden="1">
      <c r="C181" s="45" t="s">
        <v>17</v>
      </c>
      <c r="E181" s="46">
        <f>SUM(E177:E180)</f>
        <v>930.36999999999989</v>
      </c>
      <c r="G181"/>
      <c r="H181" s="196" t="s">
        <v>145</v>
      </c>
      <c r="I181" s="99">
        <f>SUM(I175:I180)</f>
        <v>430.95999999999992</v>
      </c>
      <c r="J181" s="47"/>
      <c r="K181" s="348"/>
      <c r="L181" s="275" t="s">
        <v>99</v>
      </c>
      <c r="M181" s="217">
        <f>-3.9+M180*1.37%</f>
        <v>-6.6235600000000003</v>
      </c>
      <c r="N181" s="137">
        <f t="shared" si="19"/>
        <v>1914.6432570000077</v>
      </c>
      <c r="O181" s="88"/>
      <c r="P181" s="100">
        <v>-489.59</v>
      </c>
      <c r="Q181" s="140">
        <f t="shared" si="20"/>
        <v>-8803.337278481009</v>
      </c>
      <c r="R181" s="287">
        <f t="shared" si="18"/>
        <v>1246.662721518991</v>
      </c>
      <c r="S181" s="524" t="s">
        <v>191</v>
      </c>
      <c r="T181" s="152"/>
      <c r="U181" s="142"/>
      <c r="V181" s="60"/>
      <c r="W181" s="60"/>
      <c r="X181" s="47"/>
      <c r="Y181" s="192"/>
      <c r="Z181" s="98"/>
      <c r="AA181" s="174"/>
      <c r="AB181" s="60"/>
      <c r="AC181" s="47"/>
      <c r="AD181" s="47"/>
      <c r="AE181" s="173"/>
      <c r="AF181" s="47"/>
      <c r="AG181" s="47"/>
      <c r="AH181" s="47"/>
      <c r="AI181" s="47"/>
    </row>
    <row r="182" spans="2:35" hidden="1">
      <c r="C182" s="45"/>
      <c r="G182"/>
      <c r="H182" s="101" t="s">
        <v>50</v>
      </c>
      <c r="I182" s="100">
        <f>-55.3-38.08-9.21</f>
        <v>-102.59</v>
      </c>
      <c r="J182" s="47"/>
      <c r="K182" s="348"/>
      <c r="L182" s="277" t="s">
        <v>39</v>
      </c>
      <c r="M182" s="215">
        <v>-483.99</v>
      </c>
      <c r="N182" s="137">
        <f t="shared" si="19"/>
        <v>1430.6532570000077</v>
      </c>
      <c r="O182" s="88"/>
      <c r="P182" s="100">
        <v>-511.5</v>
      </c>
      <c r="Q182" s="140">
        <f t="shared" si="20"/>
        <v>-9314.837278481009</v>
      </c>
      <c r="R182" s="100">
        <f t="shared" si="18"/>
        <v>735.16272151899102</v>
      </c>
      <c r="S182" s="524" t="s">
        <v>138</v>
      </c>
      <c r="T182" s="111"/>
      <c r="U182" s="142"/>
      <c r="V182" s="60"/>
      <c r="W182" s="60"/>
      <c r="X182" s="171"/>
      <c r="Y182" s="47"/>
      <c r="Z182" s="98"/>
      <c r="AA182" s="174"/>
      <c r="AB182" s="175"/>
      <c r="AC182" s="47"/>
      <c r="AD182" s="178"/>
      <c r="AE182" s="173"/>
      <c r="AF182" s="202"/>
      <c r="AG182" s="47"/>
      <c r="AH182" s="47"/>
      <c r="AI182" s="47"/>
    </row>
    <row r="183" spans="2:35" ht="13.5" hidden="1" thickBot="1">
      <c r="D183" s="42" t="s">
        <v>105</v>
      </c>
      <c r="E183" s="63">
        <f>E174-E181</f>
        <v>6325.41</v>
      </c>
      <c r="G183"/>
      <c r="H183" s="196" t="s">
        <v>17</v>
      </c>
      <c r="I183" s="116">
        <f>SUM(I181:I182)</f>
        <v>328.36999999999989</v>
      </c>
      <c r="J183" s="47"/>
      <c r="K183" s="348"/>
      <c r="L183" s="278" t="s">
        <v>99</v>
      </c>
      <c r="M183" s="217">
        <f>-3.9+M182*1.37%</f>
        <v>-10.530663000000001</v>
      </c>
      <c r="N183" s="137">
        <f t="shared" si="19"/>
        <v>1420.1225940000077</v>
      </c>
      <c r="O183" s="88"/>
      <c r="P183" s="100">
        <v>-120</v>
      </c>
      <c r="Q183" s="140">
        <f t="shared" si="20"/>
        <v>-9434.837278481009</v>
      </c>
      <c r="R183" s="100">
        <f t="shared" si="18"/>
        <v>615.16272151899102</v>
      </c>
      <c r="S183" s="524" t="s">
        <v>204</v>
      </c>
      <c r="T183" s="288"/>
      <c r="U183" s="134"/>
      <c r="V183" s="60"/>
      <c r="W183" s="60"/>
      <c r="X183" s="84"/>
      <c r="Y183" s="47"/>
      <c r="Z183" s="98"/>
      <c r="AA183" s="174"/>
      <c r="AB183" s="60"/>
      <c r="AC183" s="47"/>
      <c r="AD183" s="47"/>
      <c r="AE183" s="47"/>
      <c r="AF183" s="179"/>
      <c r="AG183" s="47"/>
      <c r="AH183" s="47"/>
      <c r="AI183" s="47"/>
    </row>
    <row r="184" spans="2:35" hidden="1">
      <c r="D184" s="43"/>
      <c r="E184" s="90"/>
      <c r="G184"/>
      <c r="H184" s="58"/>
      <c r="I184" s="247"/>
      <c r="J184" s="47"/>
      <c r="K184" s="348"/>
      <c r="L184" s="279" t="s">
        <v>92</v>
      </c>
      <c r="M184" s="219">
        <v>-525</v>
      </c>
      <c r="N184" s="137">
        <f t="shared" si="19"/>
        <v>895.12259400000767</v>
      </c>
      <c r="O184" s="88"/>
      <c r="P184" s="106">
        <f>E188</f>
        <v>1371.6099999999997</v>
      </c>
      <c r="Q184" s="141">
        <f t="shared" si="20"/>
        <v>-8063.2272784810093</v>
      </c>
      <c r="R184" s="185">
        <f t="shared" si="18"/>
        <v>1986.7727215189907</v>
      </c>
      <c r="S184" s="533" t="s">
        <v>100</v>
      </c>
      <c r="T184" s="288"/>
      <c r="U184" s="134"/>
      <c r="V184" s="47"/>
      <c r="W184" s="47"/>
      <c r="X184" s="47"/>
      <c r="Y184" s="191"/>
      <c r="Z184" s="98"/>
      <c r="AA184" s="174"/>
      <c r="AB184" s="60"/>
      <c r="AC184" s="47"/>
      <c r="AD184" s="47"/>
      <c r="AE184" s="47"/>
      <c r="AF184" s="47"/>
      <c r="AG184" s="47"/>
      <c r="AH184" s="47"/>
      <c r="AI184" s="47"/>
    </row>
    <row r="185" spans="2:35" hidden="1">
      <c r="D185" s="43"/>
      <c r="E185" s="90"/>
      <c r="G185"/>
      <c r="H185" s="58"/>
      <c r="I185" s="100"/>
      <c r="J185" s="47"/>
      <c r="K185" s="348"/>
      <c r="L185" s="275" t="s">
        <v>99</v>
      </c>
      <c r="M185" s="217">
        <f>-3.9+M184*1.37%</f>
        <v>-11.092499999999999</v>
      </c>
      <c r="N185" s="137">
        <f t="shared" si="19"/>
        <v>884.03009400000769</v>
      </c>
      <c r="O185" s="88"/>
      <c r="P185" s="133">
        <f>SUM(P172:P184)</f>
        <v>-8063.2272784810093</v>
      </c>
      <c r="Q185" s="132"/>
      <c r="R185" s="132"/>
      <c r="S185" s="528"/>
      <c r="T185" s="288"/>
      <c r="U185" s="134"/>
      <c r="V185" s="47"/>
      <c r="W185" s="47"/>
      <c r="X185" s="171"/>
      <c r="Y185" s="191"/>
      <c r="Z185" s="98"/>
      <c r="AA185" s="174"/>
      <c r="AB185" s="175"/>
      <c r="AC185" s="47"/>
      <c r="AD185" s="47"/>
      <c r="AE185" s="47"/>
      <c r="AF185" s="47"/>
      <c r="AG185" s="47"/>
      <c r="AH185" s="47"/>
      <c r="AI185" s="47"/>
    </row>
    <row r="186" spans="2:35" hidden="1">
      <c r="C186" s="153" t="s">
        <v>40</v>
      </c>
      <c r="E186" s="97"/>
      <c r="G186"/>
      <c r="H186" s="58"/>
      <c r="I186" s="39"/>
      <c r="J186" s="47"/>
      <c r="K186" s="348"/>
      <c r="L186" s="280" t="s">
        <v>87</v>
      </c>
      <c r="M186" s="296">
        <v>2000</v>
      </c>
      <c r="N186" s="138">
        <f t="shared" si="19"/>
        <v>2884.0300940000079</v>
      </c>
      <c r="O186" s="97"/>
      <c r="P186" s="136"/>
      <c r="Q186" s="132"/>
      <c r="R186" s="132"/>
      <c r="S186" s="528"/>
      <c r="T186" s="288"/>
      <c r="U186" s="134"/>
      <c r="V186" s="47"/>
      <c r="W186" s="47"/>
      <c r="X186" s="47"/>
      <c r="Y186" s="191"/>
      <c r="Z186" s="98"/>
      <c r="AA186" s="174"/>
      <c r="AB186" s="60"/>
      <c r="AC186" s="47"/>
      <c r="AD186" s="47"/>
      <c r="AE186" s="47"/>
      <c r="AF186" s="47"/>
      <c r="AG186" s="202"/>
      <c r="AH186" s="47"/>
      <c r="AI186" s="47"/>
    </row>
    <row r="187" spans="2:35" hidden="1">
      <c r="D187" s="47" t="s">
        <v>37</v>
      </c>
      <c r="E187" s="97">
        <v>4953.8</v>
      </c>
      <c r="F187" s="47"/>
      <c r="G187" s="47"/>
      <c r="H187" s="101"/>
      <c r="L187" s="58"/>
      <c r="M187" s="255">
        <f>SUM(M172:M186)</f>
        <v>2884.0300940000079</v>
      </c>
      <c r="O187" s="60"/>
      <c r="P187" s="136"/>
      <c r="Q187" s="132"/>
      <c r="R187" s="132"/>
      <c r="S187" s="528"/>
      <c r="T187" s="288"/>
      <c r="U187" s="163"/>
      <c r="V187" s="47"/>
      <c r="W187" s="47"/>
      <c r="X187" s="47"/>
      <c r="Y187" s="191"/>
      <c r="Z187" s="98"/>
      <c r="AA187" s="174"/>
      <c r="AB187" s="60"/>
      <c r="AC187" s="47"/>
      <c r="AD187" s="47"/>
      <c r="AE187" s="47"/>
      <c r="AF187" s="47"/>
      <c r="AG187" s="47"/>
      <c r="AH187" s="47"/>
      <c r="AI187" s="47"/>
    </row>
    <row r="188" spans="2:35" ht="12.75" hidden="1" customHeight="1">
      <c r="D188" s="150" t="s">
        <v>36</v>
      </c>
      <c r="E188" s="41">
        <f>E183-E187</f>
        <v>1371.6099999999997</v>
      </c>
      <c r="F188" s="150"/>
      <c r="G188" s="689">
        <f>SUM(E187:E188)</f>
        <v>6325.41</v>
      </c>
      <c r="H188" s="689"/>
      <c r="M188" s="60"/>
      <c r="O188" s="60"/>
      <c r="P188" s="136"/>
      <c r="Q188" s="132"/>
      <c r="R188" s="132"/>
      <c r="S188" s="528"/>
      <c r="T188" s="288"/>
      <c r="U188" s="164"/>
      <c r="V188" s="60"/>
      <c r="W188" s="60"/>
      <c r="X188" s="171"/>
      <c r="Y188" s="47"/>
      <c r="Z188" s="98"/>
      <c r="AA188" s="174"/>
      <c r="AB188" s="60"/>
      <c r="AC188" s="47"/>
      <c r="AD188" s="47"/>
      <c r="AE188" s="47"/>
      <c r="AF188" s="47"/>
      <c r="AG188" s="47"/>
      <c r="AH188" s="47"/>
      <c r="AI188" s="47"/>
    </row>
    <row r="189" spans="2:35" s="150" customFormat="1" hidden="1">
      <c r="E189" s="41"/>
      <c r="G189" s="211"/>
      <c r="K189" s="349"/>
      <c r="M189" s="41"/>
      <c r="P189" s="41"/>
      <c r="Q189" s="41"/>
      <c r="R189" s="41"/>
      <c r="S189" s="535"/>
      <c r="Z189" s="41"/>
      <c r="AA189" s="212"/>
      <c r="AB189" s="41"/>
    </row>
    <row r="190" spans="2:35" hidden="1"/>
    <row r="191" spans="2:35" hidden="1">
      <c r="B191" s="967" t="s">
        <v>201</v>
      </c>
      <c r="C191" s="967"/>
      <c r="D191" s="967"/>
      <c r="E191" s="967"/>
      <c r="G191" s="75"/>
      <c r="H191" s="75"/>
      <c r="I191" s="60"/>
      <c r="L191" s="127"/>
      <c r="M191" s="968" t="s">
        <v>90</v>
      </c>
      <c r="N191" s="305"/>
      <c r="O191" s="305"/>
      <c r="P191" s="969" t="s">
        <v>84</v>
      </c>
      <c r="Q191" s="306"/>
      <c r="R191" s="306"/>
      <c r="S191" s="528"/>
      <c r="X191" s="84"/>
      <c r="Y191" s="84"/>
      <c r="Z191" s="60"/>
      <c r="AA191" s="202"/>
      <c r="AB191" s="60"/>
      <c r="AC191" s="47"/>
      <c r="AD191" s="47"/>
      <c r="AE191" s="47"/>
      <c r="AF191" s="47"/>
      <c r="AG191" s="47"/>
      <c r="AH191" s="47"/>
      <c r="AI191" s="47"/>
    </row>
    <row r="192" spans="2:35" ht="12.75" hidden="1" customHeight="1">
      <c r="C192" s="43" t="s">
        <v>35</v>
      </c>
      <c r="D192" s="39"/>
      <c r="E192" s="99">
        <v>6000</v>
      </c>
      <c r="G192" s="687"/>
      <c r="H192" s="687"/>
      <c r="I192" s="60"/>
      <c r="L192" s="128"/>
      <c r="M192" s="968"/>
      <c r="N192" s="305" t="s">
        <v>88</v>
      </c>
      <c r="O192" s="305"/>
      <c r="P192" s="969"/>
      <c r="Q192" s="306" t="s">
        <v>79</v>
      </c>
      <c r="R192" s="306" t="s">
        <v>89</v>
      </c>
      <c r="S192" s="528"/>
      <c r="X192" s="198"/>
      <c r="Y192" s="191"/>
      <c r="Z192" s="197"/>
      <c r="AA192" s="169"/>
      <c r="AB192" s="170"/>
      <c r="AC192" s="47"/>
      <c r="AD192" s="91"/>
      <c r="AE192" s="47"/>
      <c r="AF192" s="47"/>
      <c r="AG192" s="47"/>
      <c r="AH192" s="47"/>
      <c r="AI192" s="47"/>
    </row>
    <row r="193" spans="3:35" hidden="1">
      <c r="C193" s="43"/>
      <c r="D193" s="39" t="s">
        <v>47</v>
      </c>
      <c r="E193" s="99">
        <f>'[1]SEPTEMBER ''11'!$C$70</f>
        <v>284.16000000000003</v>
      </c>
      <c r="G193" s="74"/>
      <c r="H193" s="74"/>
      <c r="I193" s="60"/>
      <c r="L193" s="101" t="s">
        <v>91</v>
      </c>
      <c r="M193" s="60">
        <f>$M$187</f>
        <v>2884.0300940000079</v>
      </c>
      <c r="N193" s="139">
        <f>M193</f>
        <v>2884.0300940000079</v>
      </c>
      <c r="O193" s="60"/>
      <c r="P193" s="60">
        <f>$Q$184</f>
        <v>-8063.2272784810093</v>
      </c>
      <c r="Q193" s="139">
        <f>P193</f>
        <v>-8063.2272784810093</v>
      </c>
      <c r="R193" s="100">
        <f t="shared" ref="R193:R209" si="21">10050+Q193</f>
        <v>1986.7727215189907</v>
      </c>
      <c r="S193" s="532"/>
      <c r="T193" s="71"/>
      <c r="X193" s="171"/>
      <c r="Y193" s="191"/>
      <c r="Z193" s="60"/>
      <c r="AA193" s="202"/>
      <c r="AB193" s="60"/>
      <c r="AC193" s="47"/>
      <c r="AD193" s="172"/>
      <c r="AE193" s="173"/>
      <c r="AF193" s="47"/>
      <c r="AG193" s="47"/>
      <c r="AH193" s="47"/>
      <c r="AI193" s="47"/>
    </row>
    <row r="194" spans="3:35" hidden="1">
      <c r="C194" s="43"/>
      <c r="D194" s="229" t="s">
        <v>150</v>
      </c>
      <c r="E194" s="41"/>
      <c r="G194"/>
      <c r="I194" s="60"/>
      <c r="L194" s="181" t="s">
        <v>140</v>
      </c>
      <c r="M194" s="215">
        <v>-2600</v>
      </c>
      <c r="N194" s="137">
        <f t="shared" ref="N194:N207" si="22">N193+M194</f>
        <v>284.03009400000792</v>
      </c>
      <c r="O194" s="134"/>
      <c r="P194" s="213">
        <f>-M194</f>
        <v>2600</v>
      </c>
      <c r="Q194" s="140">
        <f>Q193+P194</f>
        <v>-5463.2272784810093</v>
      </c>
      <c r="R194" s="100">
        <f t="shared" si="21"/>
        <v>4586.7727215189907</v>
      </c>
      <c r="S194" s="524" t="s">
        <v>103</v>
      </c>
      <c r="X194" s="47"/>
      <c r="Y194" s="192"/>
      <c r="Z194" s="98"/>
      <c r="AA194" s="174"/>
      <c r="AB194" s="175"/>
      <c r="AC194" s="47"/>
      <c r="AD194" s="91"/>
      <c r="AE194" s="173"/>
      <c r="AF194" s="47"/>
      <c r="AG194" s="47"/>
      <c r="AH194" s="47"/>
      <c r="AI194" s="47"/>
    </row>
    <row r="195" spans="3:35" ht="12.75" hidden="1" customHeight="1">
      <c r="C195" s="45" t="s">
        <v>17</v>
      </c>
      <c r="D195" s="39"/>
      <c r="E195" s="39">
        <f>SUM(E192:E194)</f>
        <v>6284.16</v>
      </c>
      <c r="G195" s="691" t="s">
        <v>203</v>
      </c>
      <c r="H195" s="691"/>
      <c r="I195" s="691"/>
      <c r="J195" s="47"/>
      <c r="K195" s="348"/>
      <c r="L195" s="292" t="s">
        <v>200</v>
      </c>
      <c r="M195" s="217">
        <v>-100</v>
      </c>
      <c r="N195" s="137">
        <f t="shared" si="22"/>
        <v>184.03009400000792</v>
      </c>
      <c r="O195" s="134"/>
      <c r="P195" s="213">
        <v>-153.83000000000001</v>
      </c>
      <c r="Q195" s="140">
        <f t="shared" ref="Q195:Q209" si="23">Q194+P195</f>
        <v>-5617.0572784810092</v>
      </c>
      <c r="R195" s="100">
        <f t="shared" si="21"/>
        <v>4432.9427215189908</v>
      </c>
      <c r="S195" s="524" t="s">
        <v>85</v>
      </c>
      <c r="X195" s="47"/>
      <c r="Y195" s="192"/>
      <c r="Z195" s="98"/>
      <c r="AA195" s="174"/>
      <c r="AB195" s="60"/>
      <c r="AC195" s="47"/>
      <c r="AD195" s="172"/>
      <c r="AE195" s="173"/>
      <c r="AF195" s="47"/>
      <c r="AG195" s="47"/>
      <c r="AH195" s="47"/>
      <c r="AI195" s="47"/>
    </row>
    <row r="196" spans="3:35" hidden="1">
      <c r="G196"/>
      <c r="H196" s="58" t="s">
        <v>32</v>
      </c>
      <c r="I196" s="99">
        <v>175.44</v>
      </c>
      <c r="J196" s="117"/>
      <c r="K196" s="348"/>
      <c r="L196" s="230" t="s">
        <v>47</v>
      </c>
      <c r="M196" s="233">
        <v>200</v>
      </c>
      <c r="N196" s="137">
        <f t="shared" si="22"/>
        <v>384.03009400000792</v>
      </c>
      <c r="O196" s="105"/>
      <c r="P196" s="213">
        <v>-3144</v>
      </c>
      <c r="Q196" s="140">
        <f t="shared" si="23"/>
        <v>-8761.0572784810101</v>
      </c>
      <c r="R196" s="100">
        <f t="shared" si="21"/>
        <v>1288.9427215189899</v>
      </c>
      <c r="S196" s="524" t="s">
        <v>206</v>
      </c>
      <c r="T196" s="284"/>
      <c r="X196" s="171"/>
      <c r="Y196" s="192"/>
      <c r="Z196" s="98"/>
      <c r="AA196" s="174"/>
      <c r="AB196" s="60"/>
      <c r="AC196" s="47"/>
      <c r="AD196" s="172"/>
      <c r="AE196" s="173"/>
      <c r="AF196" s="47"/>
      <c r="AG196" s="47"/>
      <c r="AH196" s="47"/>
      <c r="AI196" s="47"/>
    </row>
    <row r="197" spans="3:35" hidden="1">
      <c r="C197" s="43" t="s">
        <v>29</v>
      </c>
      <c r="G197"/>
      <c r="H197" s="58" t="s">
        <v>41</v>
      </c>
      <c r="I197" s="99">
        <f>4.39+4.08</f>
        <v>8.4699999999999989</v>
      </c>
      <c r="J197" s="47"/>
      <c r="K197" s="348"/>
      <c r="L197" s="151" t="s">
        <v>189</v>
      </c>
      <c r="M197" s="262">
        <v>200</v>
      </c>
      <c r="N197" s="137">
        <f t="shared" si="22"/>
        <v>584.03009400000792</v>
      </c>
      <c r="O197" s="106"/>
      <c r="P197" s="215">
        <v>-465.94</v>
      </c>
      <c r="Q197" s="140">
        <f t="shared" si="23"/>
        <v>-9226.9972784810107</v>
      </c>
      <c r="R197" s="100">
        <f t="shared" si="21"/>
        <v>823.00272151898935</v>
      </c>
      <c r="S197" s="524" t="s">
        <v>86</v>
      </c>
      <c r="T197" s="47"/>
      <c r="U197" s="47"/>
      <c r="V197" s="183"/>
      <c r="W197" s="183"/>
      <c r="X197" s="47"/>
      <c r="Y197" s="192"/>
      <c r="Z197" s="98"/>
      <c r="AA197" s="174"/>
      <c r="AB197" s="175"/>
      <c r="AC197" s="47"/>
      <c r="AD197" s="176"/>
      <c r="AE197" s="173"/>
      <c r="AF197" s="47"/>
      <c r="AG197" s="47"/>
      <c r="AH197" s="47"/>
      <c r="AI197" s="47"/>
    </row>
    <row r="198" spans="3:35" hidden="1">
      <c r="D198" t="s">
        <v>30</v>
      </c>
      <c r="E198" s="39">
        <f>1204/2</f>
        <v>602</v>
      </c>
      <c r="G198" s="85"/>
      <c r="H198" s="58" t="s">
        <v>43</v>
      </c>
      <c r="I198" s="99">
        <v>7.45</v>
      </c>
      <c r="J198" s="47"/>
      <c r="K198" s="348"/>
      <c r="L198" s="273" t="s">
        <v>87</v>
      </c>
      <c r="M198" s="216">
        <f>E208</f>
        <v>4953.8</v>
      </c>
      <c r="N198" s="137">
        <f t="shared" si="22"/>
        <v>5537.8300940000081</v>
      </c>
      <c r="O198" s="106"/>
      <c r="P198" s="213">
        <v>-76.290000000000006</v>
      </c>
      <c r="Q198" s="140">
        <f t="shared" si="23"/>
        <v>-9303.2872784810115</v>
      </c>
      <c r="R198" s="100">
        <f t="shared" si="21"/>
        <v>746.71272151898847</v>
      </c>
      <c r="S198" s="524" t="s">
        <v>109</v>
      </c>
      <c r="T198" s="47"/>
      <c r="U198" s="47"/>
      <c r="V198" s="47"/>
      <c r="W198" s="47"/>
      <c r="X198" s="47"/>
      <c r="Y198" s="192"/>
      <c r="Z198" s="98"/>
      <c r="AA198" s="174"/>
      <c r="AB198" s="60"/>
      <c r="AC198" s="47"/>
      <c r="AD198" s="91"/>
      <c r="AE198" s="173"/>
      <c r="AF198" s="47"/>
      <c r="AG198" s="47"/>
      <c r="AH198" s="47"/>
      <c r="AI198" s="47"/>
    </row>
    <row r="199" spans="3:35" hidden="1">
      <c r="D199" t="s">
        <v>31</v>
      </c>
      <c r="E199" s="99"/>
      <c r="F199" s="86" t="s">
        <v>38</v>
      </c>
      <c r="G199"/>
      <c r="H199" s="58" t="s">
        <v>42</v>
      </c>
      <c r="I199" s="99">
        <v>43.86</v>
      </c>
      <c r="J199" s="47"/>
      <c r="K199" s="348"/>
      <c r="L199" s="291" t="s">
        <v>167</v>
      </c>
      <c r="M199" s="294">
        <v>-700</v>
      </c>
      <c r="N199" s="137">
        <f t="shared" si="22"/>
        <v>4837.8300940000081</v>
      </c>
      <c r="O199" s="106"/>
      <c r="P199" s="100">
        <v>-341.22</v>
      </c>
      <c r="Q199" s="140">
        <f t="shared" si="23"/>
        <v>-9644.5072784810109</v>
      </c>
      <c r="R199" s="100">
        <f t="shared" si="21"/>
        <v>405.49272151898913</v>
      </c>
      <c r="S199" s="524" t="s">
        <v>86</v>
      </c>
      <c r="T199" s="47"/>
      <c r="U199" s="47"/>
      <c r="V199" s="47"/>
      <c r="W199" s="47"/>
      <c r="X199" s="47"/>
      <c r="Y199" s="192"/>
      <c r="Z199" s="98"/>
      <c r="AA199" s="174"/>
      <c r="AB199" s="60"/>
      <c r="AC199" s="47"/>
      <c r="AD199" s="172"/>
      <c r="AE199" s="173"/>
      <c r="AF199" s="47"/>
      <c r="AG199" s="47"/>
      <c r="AH199" s="47"/>
      <c r="AI199" s="47"/>
    </row>
    <row r="200" spans="3:35" hidden="1">
      <c r="D200" t="s">
        <v>32</v>
      </c>
      <c r="E200" s="46">
        <f>I204</f>
        <v>391.98</v>
      </c>
      <c r="F200" s="86" t="s">
        <v>38</v>
      </c>
      <c r="G200"/>
      <c r="H200" s="58" t="s">
        <v>44</v>
      </c>
      <c r="I200" s="99">
        <v>3.51</v>
      </c>
      <c r="J200" s="47"/>
      <c r="K200" s="348"/>
      <c r="L200" s="274" t="s">
        <v>97</v>
      </c>
      <c r="M200" s="100">
        <v>-203.5</v>
      </c>
      <c r="N200" s="137">
        <f t="shared" si="22"/>
        <v>4634.3300940000081</v>
      </c>
      <c r="O200" s="88"/>
      <c r="P200" s="100">
        <v>-411.5</v>
      </c>
      <c r="Q200" s="140">
        <f t="shared" si="23"/>
        <v>-10056.007278481011</v>
      </c>
      <c r="R200" s="100">
        <f t="shared" si="21"/>
        <v>-6.0072784810108715</v>
      </c>
      <c r="S200" s="524" t="s">
        <v>165</v>
      </c>
      <c r="T200" s="111"/>
      <c r="U200" s="47"/>
      <c r="V200" s="60"/>
      <c r="W200" s="60"/>
      <c r="X200" s="47"/>
      <c r="Y200" s="192"/>
      <c r="Z200" s="98"/>
      <c r="AA200" s="174"/>
      <c r="AB200" s="175"/>
      <c r="AC200" s="47"/>
      <c r="AD200" s="172"/>
      <c r="AE200" s="173"/>
      <c r="AF200" s="47"/>
      <c r="AG200" s="47"/>
      <c r="AH200" s="47"/>
      <c r="AI200" s="47"/>
    </row>
    <row r="201" spans="3:35" hidden="1">
      <c r="D201" t="s">
        <v>45</v>
      </c>
      <c r="E201" s="41"/>
      <c r="F201" s="87"/>
      <c r="G201"/>
      <c r="H201" s="58" t="s">
        <v>49</v>
      </c>
      <c r="I201" s="115">
        <f>446.99</f>
        <v>446.99</v>
      </c>
      <c r="J201" s="47"/>
      <c r="K201" s="348"/>
      <c r="L201" s="275" t="s">
        <v>99</v>
      </c>
      <c r="M201" s="301">
        <v>0</v>
      </c>
      <c r="N201" s="137">
        <f t="shared" si="22"/>
        <v>4634.3300940000081</v>
      </c>
      <c r="O201" s="88"/>
      <c r="P201" s="100">
        <v>3144</v>
      </c>
      <c r="Q201" s="140">
        <f t="shared" si="23"/>
        <v>-6912.0072784810109</v>
      </c>
      <c r="R201" s="287">
        <f t="shared" si="21"/>
        <v>3137.9927215189891</v>
      </c>
      <c r="S201" s="524" t="s">
        <v>206</v>
      </c>
      <c r="T201" s="111"/>
      <c r="U201" s="47"/>
      <c r="V201" s="60"/>
      <c r="W201" s="60"/>
      <c r="X201" s="47"/>
      <c r="Y201" s="192"/>
      <c r="Z201" s="98"/>
      <c r="AA201" s="174"/>
      <c r="AB201" s="60"/>
      <c r="AC201" s="47"/>
      <c r="AD201" s="172"/>
      <c r="AE201" s="177"/>
      <c r="AF201" s="47"/>
      <c r="AG201" s="47"/>
      <c r="AH201" s="47"/>
      <c r="AI201" s="47"/>
    </row>
    <row r="202" spans="3:35" hidden="1">
      <c r="C202" s="45" t="s">
        <v>17</v>
      </c>
      <c r="E202" s="46">
        <f>SUM(E198:E201)</f>
        <v>993.98</v>
      </c>
      <c r="G202"/>
      <c r="H202" s="196" t="s">
        <v>145</v>
      </c>
      <c r="I202" s="99">
        <f>SUM(I196:I201)</f>
        <v>685.72</v>
      </c>
      <c r="J202" s="47"/>
      <c r="K202" s="348"/>
      <c r="L202" s="276" t="s">
        <v>46</v>
      </c>
      <c r="M202" s="218">
        <v>-235.45</v>
      </c>
      <c r="N202" s="137">
        <f t="shared" si="22"/>
        <v>4398.8800940000083</v>
      </c>
      <c r="O202" s="88"/>
      <c r="P202" s="214">
        <v>-118.9</v>
      </c>
      <c r="Q202" s="140">
        <f t="shared" si="23"/>
        <v>-7030.9072784810105</v>
      </c>
      <c r="R202" s="100">
        <f t="shared" si="21"/>
        <v>3019.0927215189895</v>
      </c>
      <c r="S202" s="524" t="s">
        <v>139</v>
      </c>
      <c r="T202" s="152"/>
      <c r="U202" s="142"/>
      <c r="V202" s="60"/>
      <c r="W202" s="60"/>
      <c r="X202" s="47"/>
      <c r="Y202" s="192"/>
      <c r="Z202" s="98"/>
      <c r="AA202" s="174"/>
      <c r="AB202" s="60"/>
      <c r="AC202" s="47"/>
      <c r="AD202" s="47"/>
      <c r="AE202" s="173"/>
      <c r="AF202" s="47"/>
      <c r="AG202" s="47"/>
      <c r="AH202" s="47"/>
      <c r="AI202" s="47"/>
    </row>
    <row r="203" spans="3:35" hidden="1">
      <c r="C203" s="45"/>
      <c r="G203"/>
      <c r="H203" s="101" t="s">
        <v>50</v>
      </c>
      <c r="I203" s="100">
        <f>-253.77-39.97</f>
        <v>-293.74</v>
      </c>
      <c r="J203" s="47"/>
      <c r="K203" s="348"/>
      <c r="L203" s="275" t="s">
        <v>99</v>
      </c>
      <c r="M203" s="301">
        <v>0</v>
      </c>
      <c r="N203" s="137">
        <f t="shared" si="22"/>
        <v>4398.8800940000083</v>
      </c>
      <c r="O203" s="88"/>
      <c r="P203" s="214">
        <v>-25.99</v>
      </c>
      <c r="Q203" s="140">
        <f t="shared" si="23"/>
        <v>-7056.8972784810103</v>
      </c>
      <c r="R203" s="100">
        <f t="shared" si="21"/>
        <v>2993.1027215189897</v>
      </c>
      <c r="S203" s="524" t="s">
        <v>86</v>
      </c>
      <c r="T203" s="111"/>
      <c r="U203" s="142"/>
      <c r="V203" s="60"/>
      <c r="W203" s="60"/>
      <c r="X203" s="171"/>
      <c r="Y203" s="47"/>
      <c r="Z203" s="98"/>
      <c r="AA203" s="174"/>
      <c r="AB203" s="175"/>
      <c r="AC203" s="47"/>
      <c r="AD203" s="178"/>
      <c r="AE203" s="173"/>
      <c r="AF203" s="202"/>
      <c r="AG203" s="47"/>
      <c r="AH203" s="47"/>
      <c r="AI203" s="47"/>
    </row>
    <row r="204" spans="3:35" ht="13.5" hidden="1" thickBot="1">
      <c r="D204" s="42" t="s">
        <v>105</v>
      </c>
      <c r="E204" s="63">
        <f>E195-E202</f>
        <v>5290.18</v>
      </c>
      <c r="G204"/>
      <c r="H204" s="196" t="s">
        <v>17</v>
      </c>
      <c r="I204" s="116">
        <f>SUM(I202:I203)</f>
        <v>391.98</v>
      </c>
      <c r="J204" s="47"/>
      <c r="K204" s="348"/>
      <c r="L204" s="277" t="s">
        <v>39</v>
      </c>
      <c r="M204" s="215">
        <v>-503.99</v>
      </c>
      <c r="N204" s="137">
        <f t="shared" si="22"/>
        <v>3894.8900940000085</v>
      </c>
      <c r="O204" s="88"/>
      <c r="P204" s="214">
        <v>-39.950000000000003</v>
      </c>
      <c r="Q204" s="140">
        <f t="shared" si="23"/>
        <v>-7096.8472784810101</v>
      </c>
      <c r="R204" s="100">
        <f t="shared" si="21"/>
        <v>2953.1527215189899</v>
      </c>
      <c r="S204" s="524" t="s">
        <v>211</v>
      </c>
      <c r="T204" s="135"/>
      <c r="U204" s="134"/>
      <c r="V204" s="60"/>
      <c r="W204" s="60"/>
      <c r="X204" s="84"/>
      <c r="Y204" s="47"/>
      <c r="Z204" s="98"/>
      <c r="AA204" s="174"/>
      <c r="AB204" s="60"/>
      <c r="AC204" s="47"/>
      <c r="AD204" s="47"/>
      <c r="AE204" s="47"/>
      <c r="AF204" s="179"/>
      <c r="AG204" s="47"/>
      <c r="AH204" s="47"/>
      <c r="AI204" s="47"/>
    </row>
    <row r="205" spans="3:35" hidden="1">
      <c r="D205" s="43"/>
      <c r="E205" s="90"/>
      <c r="G205"/>
      <c r="H205" s="58"/>
      <c r="I205" s="247"/>
      <c r="J205" s="47"/>
      <c r="K205" s="348"/>
      <c r="L205" s="278" t="s">
        <v>99</v>
      </c>
      <c r="M205" s="301">
        <v>0</v>
      </c>
      <c r="N205" s="137">
        <f t="shared" si="22"/>
        <v>3894.8900940000085</v>
      </c>
      <c r="O205" s="88"/>
      <c r="P205" s="214">
        <v>-160.27000000000001</v>
      </c>
      <c r="Q205" s="140">
        <f t="shared" si="23"/>
        <v>-7257.1172784810105</v>
      </c>
      <c r="R205" s="100">
        <f t="shared" si="21"/>
        <v>2792.8827215189895</v>
      </c>
      <c r="S205" s="530" t="s">
        <v>86</v>
      </c>
      <c r="T205" s="303"/>
      <c r="U205" s="134"/>
      <c r="V205" s="47"/>
      <c r="W205" s="47"/>
      <c r="X205" s="47"/>
      <c r="Y205" s="191"/>
      <c r="Z205" s="98"/>
      <c r="AA205" s="174"/>
      <c r="AB205" s="60"/>
      <c r="AC205" s="47"/>
      <c r="AD205" s="47"/>
      <c r="AE205" s="47"/>
      <c r="AF205" s="47"/>
      <c r="AG205" s="47"/>
      <c r="AH205" s="47"/>
      <c r="AI205" s="47"/>
    </row>
    <row r="206" spans="3:35" hidden="1">
      <c r="D206" s="43"/>
      <c r="E206" s="90"/>
      <c r="G206"/>
      <c r="H206" s="58"/>
      <c r="I206" s="100"/>
      <c r="J206" s="47"/>
      <c r="K206" s="348"/>
      <c r="L206" s="279" t="s">
        <v>92</v>
      </c>
      <c r="M206" s="219">
        <v>-525</v>
      </c>
      <c r="N206" s="137">
        <f t="shared" si="22"/>
        <v>3369.8900940000085</v>
      </c>
      <c r="O206" s="97"/>
      <c r="P206" s="214">
        <v>-49.48</v>
      </c>
      <c r="Q206" s="140">
        <f t="shared" si="23"/>
        <v>-7306.5972784810101</v>
      </c>
      <c r="R206" s="100">
        <f t="shared" si="21"/>
        <v>2743.4027215189899</v>
      </c>
      <c r="S206" s="530" t="s">
        <v>109</v>
      </c>
      <c r="T206" s="303"/>
      <c r="U206" s="134"/>
      <c r="V206" s="47"/>
      <c r="W206" s="47"/>
      <c r="X206" s="171"/>
      <c r="Y206" s="191"/>
      <c r="Z206" s="98"/>
      <c r="AA206" s="174"/>
      <c r="AB206" s="175"/>
      <c r="AC206" s="47"/>
      <c r="AD206" s="47"/>
      <c r="AE206" s="47"/>
      <c r="AF206" s="47"/>
      <c r="AG206" s="47"/>
      <c r="AH206" s="47"/>
      <c r="AI206" s="47"/>
    </row>
    <row r="207" spans="3:35" hidden="1">
      <c r="C207" s="153" t="s">
        <v>40</v>
      </c>
      <c r="E207" s="97"/>
      <c r="G207"/>
      <c r="H207" s="58"/>
      <c r="I207" s="39"/>
      <c r="J207" s="47"/>
      <c r="K207" s="348"/>
      <c r="L207" s="275" t="s">
        <v>99</v>
      </c>
      <c r="M207" s="301">
        <v>0</v>
      </c>
      <c r="N207" s="138">
        <f t="shared" si="22"/>
        <v>3369.8900940000085</v>
      </c>
      <c r="O207" s="60"/>
      <c r="P207" s="214">
        <v>-43.78</v>
      </c>
      <c r="Q207" s="140">
        <f t="shared" si="23"/>
        <v>-7350.3772784810099</v>
      </c>
      <c r="R207" s="100">
        <f t="shared" si="21"/>
        <v>2699.6227215189901</v>
      </c>
      <c r="S207" s="530" t="s">
        <v>182</v>
      </c>
      <c r="T207" s="303"/>
      <c r="U207" s="134"/>
      <c r="V207" s="47"/>
      <c r="W207" s="47"/>
      <c r="X207" s="47"/>
      <c r="Y207" s="191"/>
      <c r="Z207" s="98"/>
      <c r="AA207" s="174"/>
      <c r="AB207" s="60"/>
      <c r="AC207" s="47"/>
      <c r="AD207" s="47"/>
      <c r="AE207" s="47"/>
      <c r="AF207" s="47"/>
      <c r="AG207" s="202"/>
      <c r="AH207" s="47"/>
      <c r="AI207" s="47"/>
    </row>
    <row r="208" spans="3:35" hidden="1">
      <c r="D208" s="47" t="s">
        <v>37</v>
      </c>
      <c r="E208" s="97">
        <v>4953.8</v>
      </c>
      <c r="F208" s="47"/>
      <c r="G208" s="47"/>
      <c r="H208" s="101"/>
      <c r="L208" s="58"/>
      <c r="M208" s="255">
        <f>SUM(M193:M207)</f>
        <v>3369.8900940000085</v>
      </c>
      <c r="O208" s="60"/>
      <c r="P208" s="214">
        <v>-1011.5</v>
      </c>
      <c r="Q208" s="140">
        <f t="shared" si="23"/>
        <v>-8361.8772784810099</v>
      </c>
      <c r="R208" s="100">
        <f t="shared" si="21"/>
        <v>1688.1227215189901</v>
      </c>
      <c r="S208" s="530" t="s">
        <v>214</v>
      </c>
      <c r="T208" s="303"/>
      <c r="U208" s="163"/>
      <c r="V208" s="47"/>
      <c r="W208" s="47"/>
      <c r="X208" s="47"/>
      <c r="Y208" s="191"/>
      <c r="Z208" s="98"/>
      <c r="AA208" s="174"/>
      <c r="AB208" s="60"/>
      <c r="AC208" s="47"/>
      <c r="AD208" s="47"/>
      <c r="AE208" s="47"/>
      <c r="AF208" s="47"/>
      <c r="AG208" s="47"/>
      <c r="AH208" s="47"/>
      <c r="AI208" s="47"/>
    </row>
    <row r="209" spans="2:35" ht="12.75" hidden="1" customHeight="1">
      <c r="D209" s="150" t="s">
        <v>36</v>
      </c>
      <c r="E209" s="41">
        <f>E204-E208</f>
        <v>336.38000000000011</v>
      </c>
      <c r="F209" s="150"/>
      <c r="G209" s="689">
        <f>SUM(E208:E209)</f>
        <v>5290.18</v>
      </c>
      <c r="H209" s="689"/>
      <c r="M209" s="60"/>
      <c r="N209" s="71"/>
      <c r="O209" s="60"/>
      <c r="P209" s="106">
        <f>E209+100</f>
        <v>436.38000000000011</v>
      </c>
      <c r="Q209" s="141">
        <f t="shared" si="23"/>
        <v>-7925.4972784810097</v>
      </c>
      <c r="R209" s="185">
        <f t="shared" si="21"/>
        <v>2124.5027215189903</v>
      </c>
      <c r="S209" s="533" t="s">
        <v>100</v>
      </c>
      <c r="T209" s="303"/>
      <c r="U209" s="164"/>
      <c r="V209" s="60"/>
      <c r="W209" s="60"/>
      <c r="X209" s="171"/>
      <c r="Y209" s="47"/>
      <c r="Z209" s="98"/>
      <c r="AA209" s="174"/>
      <c r="AB209" s="60"/>
      <c r="AC209" s="47"/>
      <c r="AD209" s="47"/>
      <c r="AE209" s="47"/>
      <c r="AF209" s="47"/>
      <c r="AG209" s="47"/>
      <c r="AH209" s="47"/>
      <c r="AI209" s="47"/>
    </row>
    <row r="210" spans="2:35" hidden="1">
      <c r="D210" s="47"/>
      <c r="E210" s="60"/>
      <c r="F210" s="47"/>
      <c r="G210" s="308"/>
      <c r="H210" s="308"/>
      <c r="M210" s="60"/>
      <c r="N210" s="71"/>
      <c r="O210" s="60"/>
      <c r="P210" s="133">
        <f>SUM(P193:P209)</f>
        <v>-7925.4972784810097</v>
      </c>
      <c r="Q210" s="132"/>
      <c r="R210" s="132"/>
      <c r="S210" s="528"/>
      <c r="T210" s="307"/>
      <c r="U210" s="164"/>
      <c r="V210" s="60"/>
      <c r="W210" s="60"/>
      <c r="X210" s="171"/>
      <c r="Y210" s="47"/>
      <c r="Z210" s="98"/>
      <c r="AA210" s="174"/>
      <c r="AB210" s="60"/>
      <c r="AC210" s="47"/>
      <c r="AD210" s="47"/>
      <c r="AE210" s="47"/>
      <c r="AF210" s="47"/>
      <c r="AG210" s="47"/>
      <c r="AH210" s="47"/>
      <c r="AI210" s="47"/>
    </row>
    <row r="211" spans="2:35" s="150" customFormat="1" hidden="1">
      <c r="C211" s="240"/>
      <c r="D211" s="41"/>
      <c r="E211" s="115"/>
      <c r="F211" s="168"/>
      <c r="G211" s="304"/>
      <c r="H211" s="304"/>
      <c r="K211" s="349"/>
      <c r="M211" s="41"/>
      <c r="O211" s="41"/>
      <c r="P211" s="193"/>
      <c r="Q211" s="242"/>
      <c r="R211" s="243"/>
      <c r="S211" s="536"/>
      <c r="T211" s="302"/>
      <c r="V211" s="41"/>
      <c r="W211" s="41"/>
      <c r="X211" s="244"/>
      <c r="Z211" s="245"/>
      <c r="AA211" s="246"/>
      <c r="AB211" s="41"/>
    </row>
    <row r="212" spans="2:35" hidden="1"/>
    <row r="213" spans="2:35" hidden="1">
      <c r="B213" s="967" t="s">
        <v>209</v>
      </c>
      <c r="C213" s="967"/>
      <c r="D213" s="967"/>
      <c r="E213" s="967"/>
      <c r="G213" s="75"/>
      <c r="H213" s="75"/>
      <c r="I213" s="60"/>
      <c r="L213" s="127"/>
      <c r="M213" s="968" t="s">
        <v>90</v>
      </c>
      <c r="N213" s="314"/>
      <c r="O213" s="314"/>
      <c r="P213" s="969" t="s">
        <v>84</v>
      </c>
      <c r="Q213" s="315"/>
      <c r="R213" s="315"/>
      <c r="S213" s="528"/>
      <c r="X213" s="84"/>
      <c r="Y213" s="84"/>
      <c r="Z213" s="60"/>
      <c r="AA213" s="202"/>
      <c r="AB213" s="60"/>
      <c r="AC213" s="47"/>
      <c r="AD213" s="47"/>
      <c r="AE213" s="47"/>
      <c r="AF213" s="47"/>
      <c r="AG213" s="47"/>
      <c r="AH213" s="47"/>
      <c r="AI213" s="47"/>
    </row>
    <row r="214" spans="2:35" ht="12.75" hidden="1" customHeight="1">
      <c r="C214" s="43" t="s">
        <v>35</v>
      </c>
      <c r="D214" s="39"/>
      <c r="E214" s="99">
        <v>6000</v>
      </c>
      <c r="G214" s="687"/>
      <c r="H214" s="687"/>
      <c r="I214" s="60"/>
      <c r="L214" s="128"/>
      <c r="M214" s="968"/>
      <c r="N214" s="314" t="s">
        <v>88</v>
      </c>
      <c r="O214" s="314"/>
      <c r="P214" s="969"/>
      <c r="Q214" s="315" t="s">
        <v>79</v>
      </c>
      <c r="R214" s="315" t="s">
        <v>89</v>
      </c>
      <c r="S214" s="528"/>
      <c r="X214" s="198"/>
      <c r="Y214" s="191"/>
      <c r="Z214" s="197"/>
      <c r="AA214" s="169"/>
      <c r="AB214" s="170"/>
      <c r="AC214" s="47"/>
      <c r="AD214" s="91"/>
      <c r="AE214" s="47"/>
      <c r="AF214" s="47"/>
      <c r="AG214" s="47"/>
      <c r="AH214" s="47"/>
      <c r="AI214" s="47"/>
    </row>
    <row r="215" spans="2:35" hidden="1">
      <c r="C215" s="43"/>
      <c r="D215" s="39" t="s">
        <v>47</v>
      </c>
      <c r="E215" s="99">
        <f>'[1]OCTOBER ''11'!$C$94</f>
        <v>818</v>
      </c>
      <c r="G215" s="74"/>
      <c r="H215" s="74"/>
      <c r="I215" s="60"/>
      <c r="L215" s="101" t="s">
        <v>91</v>
      </c>
      <c r="M215" s="60">
        <f>$M$208</f>
        <v>3369.8900940000085</v>
      </c>
      <c r="N215" s="139">
        <f>M215</f>
        <v>3369.8900940000085</v>
      </c>
      <c r="O215" s="60"/>
      <c r="P215" s="60">
        <f>$Q$209</f>
        <v>-7925.4972784810097</v>
      </c>
      <c r="Q215" s="139">
        <f>P215</f>
        <v>-7925.4972784810097</v>
      </c>
      <c r="R215" s="100">
        <f t="shared" ref="R215:R228" si="24">10050+Q215</f>
        <v>2124.5027215189903</v>
      </c>
      <c r="S215" s="532"/>
      <c r="T215" s="71"/>
      <c r="X215" s="171"/>
      <c r="Y215" s="191"/>
      <c r="Z215" s="60"/>
      <c r="AA215" s="202"/>
      <c r="AB215" s="60"/>
      <c r="AC215" s="47"/>
      <c r="AD215" s="172"/>
      <c r="AE215" s="173"/>
      <c r="AF215" s="47"/>
      <c r="AG215" s="47"/>
      <c r="AH215" s="47"/>
      <c r="AI215" s="47"/>
    </row>
    <row r="216" spans="2:35" hidden="1">
      <c r="C216" s="43"/>
      <c r="D216" s="229" t="s">
        <v>150</v>
      </c>
      <c r="E216" s="41"/>
      <c r="G216"/>
      <c r="I216" s="60"/>
      <c r="L216" s="181" t="s">
        <v>140</v>
      </c>
      <c r="M216" s="215">
        <v>-3000</v>
      </c>
      <c r="N216" s="137">
        <f t="shared" ref="N216:N225" si="25">N215+M216</f>
        <v>369.8900940000085</v>
      </c>
      <c r="O216" s="134"/>
      <c r="P216" s="213">
        <v>-920</v>
      </c>
      <c r="Q216" s="140">
        <f>Q215+P216</f>
        <v>-8845.4972784810088</v>
      </c>
      <c r="R216" s="100">
        <f t="shared" si="24"/>
        <v>1204.5027215189912</v>
      </c>
      <c r="S216" s="524" t="s">
        <v>212</v>
      </c>
      <c r="X216" s="47"/>
      <c r="Y216" s="192"/>
      <c r="Z216" s="98"/>
      <c r="AA216" s="174"/>
      <c r="AB216" s="175"/>
      <c r="AC216" s="47"/>
      <c r="AD216" s="91"/>
      <c r="AE216" s="173"/>
      <c r="AF216" s="47"/>
      <c r="AG216" s="47"/>
      <c r="AH216" s="47"/>
      <c r="AI216" s="47"/>
    </row>
    <row r="217" spans="2:35" ht="12.75" hidden="1" customHeight="1">
      <c r="C217" s="45" t="s">
        <v>17</v>
      </c>
      <c r="D217" s="39"/>
      <c r="E217" s="39">
        <f>SUM(E214:E216)</f>
        <v>6818</v>
      </c>
      <c r="G217" s="691" t="s">
        <v>210</v>
      </c>
      <c r="H217" s="691"/>
      <c r="I217" s="691"/>
      <c r="J217" s="47"/>
      <c r="K217" s="348"/>
      <c r="L217" s="292" t="s">
        <v>200</v>
      </c>
      <c r="M217" s="217">
        <v>-100</v>
      </c>
      <c r="N217" s="137">
        <f t="shared" si="25"/>
        <v>269.8900940000085</v>
      </c>
      <c r="O217" s="134"/>
      <c r="P217" s="213">
        <v>-390.4</v>
      </c>
      <c r="Q217" s="140">
        <f>Q216+P217</f>
        <v>-9235.8972784810085</v>
      </c>
      <c r="R217" s="100">
        <f t="shared" si="24"/>
        <v>814.10272151899153</v>
      </c>
      <c r="S217" s="524" t="s">
        <v>213</v>
      </c>
      <c r="X217" s="47"/>
      <c r="Y217" s="192"/>
      <c r="Z217" s="98"/>
      <c r="AA217" s="174"/>
      <c r="AB217" s="60"/>
      <c r="AC217" s="47"/>
      <c r="AD217" s="172"/>
      <c r="AE217" s="173"/>
      <c r="AF217" s="47"/>
      <c r="AG217" s="47"/>
      <c r="AH217" s="47"/>
      <c r="AI217" s="47"/>
    </row>
    <row r="218" spans="2:35" hidden="1">
      <c r="G218"/>
      <c r="H218" s="58" t="s">
        <v>32</v>
      </c>
      <c r="I218" s="99">
        <v>175.44</v>
      </c>
      <c r="J218" s="117"/>
      <c r="K218" s="348"/>
      <c r="L218" s="151" t="s">
        <v>189</v>
      </c>
      <c r="M218" s="262">
        <v>200</v>
      </c>
      <c r="N218" s="137">
        <f t="shared" si="25"/>
        <v>469.8900940000085</v>
      </c>
      <c r="O218" s="105"/>
      <c r="P218" s="215">
        <v>3000</v>
      </c>
      <c r="Q218" s="140">
        <f t="shared" ref="Q218:Q228" si="26">Q217+P218</f>
        <v>-6235.8972784810085</v>
      </c>
      <c r="R218" s="100">
        <f t="shared" si="24"/>
        <v>3814.1027215189915</v>
      </c>
      <c r="S218" s="524" t="s">
        <v>103</v>
      </c>
      <c r="T218" s="284"/>
      <c r="X218" s="171"/>
      <c r="Y218" s="192"/>
      <c r="Z218" s="98"/>
      <c r="AA218" s="174"/>
      <c r="AB218" s="60"/>
      <c r="AC218" s="47"/>
      <c r="AD218" s="172"/>
      <c r="AE218" s="173"/>
      <c r="AF218" s="47"/>
      <c r="AG218" s="47"/>
      <c r="AH218" s="47"/>
      <c r="AI218" s="47"/>
    </row>
    <row r="219" spans="2:35" hidden="1">
      <c r="C219" s="43" t="s">
        <v>29</v>
      </c>
      <c r="G219"/>
      <c r="H219" s="58" t="s">
        <v>41</v>
      </c>
      <c r="I219" s="99">
        <f>4.39+4.08</f>
        <v>8.4699999999999989</v>
      </c>
      <c r="J219" s="47"/>
      <c r="K219" s="348"/>
      <c r="L219" s="273" t="s">
        <v>87</v>
      </c>
      <c r="M219" s="216">
        <f>E230</f>
        <v>4953.8</v>
      </c>
      <c r="N219" s="137">
        <f t="shared" si="25"/>
        <v>5423.6900940000087</v>
      </c>
      <c r="O219" s="106"/>
      <c r="P219" s="215">
        <v>-98.24</v>
      </c>
      <c r="Q219" s="140">
        <f t="shared" si="26"/>
        <v>-6334.1372784810083</v>
      </c>
      <c r="R219" s="100">
        <f t="shared" si="24"/>
        <v>3715.8627215189917</v>
      </c>
      <c r="S219" s="524" t="s">
        <v>216</v>
      </c>
      <c r="T219" s="47"/>
      <c r="U219" s="47"/>
      <c r="V219" s="183"/>
      <c r="W219" s="183"/>
      <c r="X219" s="47"/>
      <c r="Y219" s="192"/>
      <c r="Z219" s="98"/>
      <c r="AA219" s="174"/>
      <c r="AB219" s="175"/>
      <c r="AC219" s="47"/>
      <c r="AD219" s="176"/>
      <c r="AE219" s="173"/>
      <c r="AF219" s="47"/>
      <c r="AG219" s="47"/>
      <c r="AH219" s="47"/>
      <c r="AI219" s="47"/>
    </row>
    <row r="220" spans="2:35" hidden="1">
      <c r="D220" t="s">
        <v>30</v>
      </c>
      <c r="E220" s="39">
        <f>1204/2</f>
        <v>602</v>
      </c>
      <c r="G220" s="85"/>
      <c r="H220" s="58" t="s">
        <v>43</v>
      </c>
      <c r="I220" s="99">
        <v>7.45</v>
      </c>
      <c r="J220" s="47"/>
      <c r="K220" s="348"/>
      <c r="L220" s="291" t="s">
        <v>167</v>
      </c>
      <c r="M220" s="294">
        <v>-700</v>
      </c>
      <c r="N220" s="137">
        <f t="shared" si="25"/>
        <v>4723.6900940000087</v>
      </c>
      <c r="O220" s="106"/>
      <c r="P220" s="213">
        <v>-239.3</v>
      </c>
      <c r="Q220" s="140">
        <f t="shared" si="26"/>
        <v>-6573.4372784810084</v>
      </c>
      <c r="R220" s="100">
        <f t="shared" si="24"/>
        <v>3476.5627215189916</v>
      </c>
      <c r="S220" s="524" t="s">
        <v>217</v>
      </c>
      <c r="T220" s="47"/>
      <c r="U220" s="47"/>
      <c r="V220" s="47"/>
      <c r="W220" s="47"/>
      <c r="X220" s="47"/>
      <c r="Y220" s="192"/>
      <c r="Z220" s="98"/>
      <c r="AA220" s="174"/>
      <c r="AB220" s="60"/>
      <c r="AC220" s="47"/>
      <c r="AD220" s="91"/>
      <c r="AE220" s="173"/>
      <c r="AF220" s="47"/>
      <c r="AG220" s="47"/>
      <c r="AH220" s="47"/>
      <c r="AI220" s="47"/>
    </row>
    <row r="221" spans="2:35" hidden="1">
      <c r="D221" t="s">
        <v>31</v>
      </c>
      <c r="E221" s="99"/>
      <c r="F221" s="86" t="s">
        <v>38</v>
      </c>
      <c r="G221"/>
      <c r="H221" s="58" t="s">
        <v>42</v>
      </c>
      <c r="I221" s="99">
        <v>43.86</v>
      </c>
      <c r="J221" s="47"/>
      <c r="K221" s="348"/>
      <c r="L221" s="274" t="s">
        <v>222</v>
      </c>
      <c r="M221" s="100">
        <v>-95</v>
      </c>
      <c r="N221" s="137">
        <f t="shared" si="25"/>
        <v>4628.6900940000087</v>
      </c>
      <c r="O221" s="106"/>
      <c r="P221" s="100">
        <v>1011.5</v>
      </c>
      <c r="Q221" s="140">
        <f t="shared" si="26"/>
        <v>-5561.9372784810084</v>
      </c>
      <c r="R221" s="100">
        <f t="shared" si="24"/>
        <v>4488.0627215189916</v>
      </c>
      <c r="S221" s="524" t="s">
        <v>191</v>
      </c>
      <c r="T221" s="47"/>
      <c r="U221" s="47"/>
      <c r="V221" s="47"/>
      <c r="W221" s="47"/>
      <c r="X221" s="47"/>
      <c r="Y221" s="192"/>
      <c r="Z221" s="98"/>
      <c r="AA221" s="174"/>
      <c r="AB221" s="60"/>
      <c r="AC221" s="47"/>
      <c r="AD221" s="172"/>
      <c r="AE221" s="173"/>
      <c r="AF221" s="47"/>
      <c r="AG221" s="47"/>
      <c r="AH221" s="47"/>
      <c r="AI221" s="47"/>
    </row>
    <row r="222" spans="2:35" hidden="1">
      <c r="D222" t="s">
        <v>32</v>
      </c>
      <c r="E222" s="46">
        <f>I226</f>
        <v>296.49999999999994</v>
      </c>
      <c r="F222" s="86" t="s">
        <v>38</v>
      </c>
      <c r="G222"/>
      <c r="H222" s="58" t="s">
        <v>44</v>
      </c>
      <c r="I222" s="99">
        <v>3.51</v>
      </c>
      <c r="J222" s="47"/>
      <c r="K222" s="348"/>
      <c r="L222" s="274" t="s">
        <v>97</v>
      </c>
      <c r="M222" s="100">
        <v>-203.5</v>
      </c>
      <c r="N222" s="137">
        <f t="shared" si="25"/>
        <v>4425.1900940000087</v>
      </c>
      <c r="O222" s="88"/>
      <c r="P222" s="100">
        <v>-42.53</v>
      </c>
      <c r="Q222" s="140">
        <f t="shared" si="26"/>
        <v>-5604.4672784810082</v>
      </c>
      <c r="R222" s="100">
        <f t="shared" si="24"/>
        <v>4445.5327215189918</v>
      </c>
      <c r="S222" s="524" t="s">
        <v>85</v>
      </c>
      <c r="T222" s="111"/>
      <c r="U222" s="47"/>
      <c r="V222" s="60"/>
      <c r="W222" s="60"/>
      <c r="X222" s="47"/>
      <c r="Y222" s="192"/>
      <c r="Z222" s="98"/>
      <c r="AA222" s="174"/>
      <c r="AB222" s="175"/>
      <c r="AC222" s="47"/>
      <c r="AD222" s="172"/>
      <c r="AE222" s="173"/>
      <c r="AF222" s="47"/>
      <c r="AG222" s="47"/>
      <c r="AH222" s="47"/>
      <c r="AI222" s="47"/>
    </row>
    <row r="223" spans="2:35" hidden="1">
      <c r="D223" t="s">
        <v>45</v>
      </c>
      <c r="E223" s="41"/>
      <c r="F223" s="87"/>
      <c r="G223"/>
      <c r="H223" s="58" t="s">
        <v>49</v>
      </c>
      <c r="I223" s="115">
        <v>271.64999999999998</v>
      </c>
      <c r="J223" s="47"/>
      <c r="K223" s="348"/>
      <c r="L223" s="274" t="s">
        <v>46</v>
      </c>
      <c r="M223" s="232">
        <v>-221.9</v>
      </c>
      <c r="N223" s="137">
        <f t="shared" si="25"/>
        <v>4203.290094000009</v>
      </c>
      <c r="O223" s="88"/>
      <c r="P223" s="100">
        <v>-611.5</v>
      </c>
      <c r="Q223" s="140">
        <f t="shared" si="26"/>
        <v>-6215.9672784810082</v>
      </c>
      <c r="R223" s="287">
        <f t="shared" si="24"/>
        <v>3834.0327215189918</v>
      </c>
      <c r="S223" s="524" t="s">
        <v>165</v>
      </c>
      <c r="T223" s="111"/>
      <c r="U223" s="47"/>
      <c r="V223" s="60"/>
      <c r="W223" s="60"/>
      <c r="X223" s="47"/>
      <c r="Y223" s="192"/>
      <c r="Z223" s="98"/>
      <c r="AA223" s="174"/>
      <c r="AB223" s="60"/>
      <c r="AC223" s="47"/>
      <c r="AD223" s="172"/>
      <c r="AE223" s="177"/>
      <c r="AF223" s="47"/>
      <c r="AG223" s="47"/>
      <c r="AH223" s="47"/>
      <c r="AI223" s="47"/>
    </row>
    <row r="224" spans="2:35" hidden="1">
      <c r="C224" s="45" t="s">
        <v>17</v>
      </c>
      <c r="E224" s="46">
        <f>SUM(E220:E223)</f>
        <v>898.5</v>
      </c>
      <c r="G224"/>
      <c r="H224" s="196" t="s">
        <v>145</v>
      </c>
      <c r="I224" s="99">
        <f>SUM(I218:I223)</f>
        <v>510.37999999999994</v>
      </c>
      <c r="J224" s="47"/>
      <c r="K224" s="348"/>
      <c r="L224" s="277" t="s">
        <v>39</v>
      </c>
      <c r="M224" s="262">
        <v>-483.99</v>
      </c>
      <c r="N224" s="137">
        <f t="shared" si="25"/>
        <v>3719.3000940000093</v>
      </c>
      <c r="O224" s="88"/>
      <c r="P224" s="214">
        <v>-333.4</v>
      </c>
      <c r="Q224" s="140">
        <f t="shared" si="26"/>
        <v>-6549.3672784810078</v>
      </c>
      <c r="R224" s="100">
        <f t="shared" si="24"/>
        <v>3500.6327215189922</v>
      </c>
      <c r="S224" s="524" t="s">
        <v>191</v>
      </c>
      <c r="T224" s="152"/>
      <c r="U224" s="142"/>
      <c r="V224" s="60"/>
      <c r="W224" s="60"/>
      <c r="X224" s="47"/>
      <c r="Y224" s="192"/>
      <c r="Z224" s="98"/>
      <c r="AA224" s="174"/>
      <c r="AB224" s="60"/>
      <c r="AC224" s="47"/>
      <c r="AD224" s="47"/>
      <c r="AE224" s="173"/>
      <c r="AF224" s="47"/>
      <c r="AG224" s="47"/>
      <c r="AH224" s="47"/>
      <c r="AI224" s="47"/>
    </row>
    <row r="225" spans="2:35" hidden="1">
      <c r="C225" s="45"/>
      <c r="G225"/>
      <c r="H225" s="101" t="s">
        <v>50</v>
      </c>
      <c r="I225" s="100">
        <f>-142.21-21.67-50</f>
        <v>-213.88</v>
      </c>
      <c r="J225" s="47"/>
      <c r="K225" s="348"/>
      <c r="L225" s="310" t="s">
        <v>92</v>
      </c>
      <c r="M225" s="233">
        <v>-595</v>
      </c>
      <c r="N225" s="138">
        <f t="shared" si="25"/>
        <v>3124.3000940000093</v>
      </c>
      <c r="O225" s="88"/>
      <c r="P225" s="214">
        <v>-278.26</v>
      </c>
      <c r="Q225" s="140">
        <f t="shared" si="26"/>
        <v>-6827.627278481008</v>
      </c>
      <c r="R225" s="100">
        <f t="shared" si="24"/>
        <v>3222.372721518992</v>
      </c>
      <c r="S225" s="524" t="s">
        <v>86</v>
      </c>
      <c r="T225" s="111"/>
      <c r="U225" s="142"/>
      <c r="V225" s="60"/>
      <c r="W225" s="60"/>
      <c r="X225" s="171"/>
      <c r="Y225" s="47"/>
      <c r="Z225" s="98"/>
      <c r="AA225" s="174"/>
      <c r="AB225" s="175"/>
      <c r="AC225" s="47"/>
      <c r="AD225" s="178"/>
      <c r="AE225" s="173"/>
      <c r="AF225" s="202"/>
      <c r="AG225" s="47"/>
      <c r="AH225" s="47"/>
      <c r="AI225" s="47"/>
    </row>
    <row r="226" spans="2:35" ht="13.5" hidden="1" thickBot="1">
      <c r="D226" s="42" t="s">
        <v>105</v>
      </c>
      <c r="E226" s="63">
        <f>E217-E224</f>
        <v>5919.5</v>
      </c>
      <c r="G226"/>
      <c r="H226" s="196" t="s">
        <v>17</v>
      </c>
      <c r="I226" s="116">
        <f>SUM(I224:I225)</f>
        <v>296.49999999999994</v>
      </c>
      <c r="J226" s="47"/>
      <c r="K226" s="348"/>
      <c r="L226" s="58"/>
      <c r="M226" s="255">
        <f>SUM(M215:M225)</f>
        <v>3124.3000940000093</v>
      </c>
      <c r="O226" s="106"/>
      <c r="P226" s="214">
        <v>-323.22000000000003</v>
      </c>
      <c r="Q226" s="140">
        <f t="shared" si="26"/>
        <v>-7150.8472784810083</v>
      </c>
      <c r="R226" s="100">
        <f t="shared" si="24"/>
        <v>2899.1527215189917</v>
      </c>
      <c r="S226" s="524" t="s">
        <v>218</v>
      </c>
      <c r="T226" s="311"/>
      <c r="U226" s="134"/>
      <c r="V226" s="60"/>
      <c r="W226" s="60"/>
      <c r="X226" s="84"/>
      <c r="Y226" s="47"/>
      <c r="Z226" s="98"/>
      <c r="AA226" s="174"/>
      <c r="AB226" s="60"/>
      <c r="AC226" s="47"/>
      <c r="AD226" s="47"/>
      <c r="AE226" s="47"/>
      <c r="AF226" s="179"/>
      <c r="AG226" s="47"/>
      <c r="AH226" s="47"/>
      <c r="AI226" s="47"/>
    </row>
    <row r="227" spans="2:35" hidden="1">
      <c r="D227" s="43"/>
      <c r="E227" s="90"/>
      <c r="G227"/>
      <c r="H227" s="58"/>
      <c r="I227" s="247"/>
      <c r="J227" s="47"/>
      <c r="K227" s="348"/>
      <c r="M227" s="60"/>
      <c r="N227" s="71"/>
      <c r="O227" s="106"/>
      <c r="P227" s="214">
        <v>-69.989999999999995</v>
      </c>
      <c r="Q227" s="140">
        <f t="shared" si="26"/>
        <v>-7220.8372784810081</v>
      </c>
      <c r="R227" s="100">
        <f t="shared" si="24"/>
        <v>2829.1627215189919</v>
      </c>
      <c r="S227" s="530" t="s">
        <v>220</v>
      </c>
      <c r="T227" s="313"/>
      <c r="U227" s="134"/>
      <c r="V227" s="47"/>
      <c r="W227" s="47"/>
      <c r="X227" s="47"/>
      <c r="Y227" s="191"/>
      <c r="Z227" s="98"/>
      <c r="AA227" s="174"/>
      <c r="AB227" s="60"/>
      <c r="AC227" s="47"/>
      <c r="AD227" s="47"/>
      <c r="AE227" s="47"/>
      <c r="AF227" s="47"/>
      <c r="AG227" s="47"/>
      <c r="AH227" s="47"/>
      <c r="AI227" s="47"/>
    </row>
    <row r="228" spans="2:35" hidden="1">
      <c r="D228" s="43"/>
      <c r="E228" s="90"/>
      <c r="G228"/>
      <c r="H228" s="58"/>
      <c r="I228" s="100"/>
      <c r="J228" s="47"/>
      <c r="K228" s="348"/>
      <c r="M228" s="60"/>
      <c r="N228" s="71"/>
      <c r="O228" s="100"/>
      <c r="P228" s="106">
        <f>E231</f>
        <v>965.69999999999982</v>
      </c>
      <c r="Q228" s="141">
        <f t="shared" si="26"/>
        <v>-6255.1372784810083</v>
      </c>
      <c r="R228" s="185">
        <f t="shared" si="24"/>
        <v>3794.8627215189917</v>
      </c>
      <c r="S228" s="533" t="s">
        <v>100</v>
      </c>
      <c r="T228" s="313"/>
      <c r="U228" s="134"/>
      <c r="V228" s="47"/>
      <c r="W228" s="47"/>
      <c r="X228" s="171"/>
      <c r="Y228" s="191"/>
      <c r="Z228" s="98"/>
      <c r="AA228" s="174"/>
      <c r="AB228" s="175"/>
      <c r="AC228" s="47"/>
      <c r="AD228" s="47"/>
      <c r="AE228" s="47"/>
      <c r="AF228" s="47"/>
      <c r="AG228" s="47"/>
      <c r="AH228" s="47"/>
      <c r="AI228" s="47"/>
    </row>
    <row r="229" spans="2:35" hidden="1">
      <c r="C229" s="153" t="s">
        <v>40</v>
      </c>
      <c r="E229" s="97"/>
      <c r="G229"/>
      <c r="H229" s="58"/>
      <c r="I229" s="39"/>
      <c r="J229" s="47"/>
      <c r="K229" s="348"/>
      <c r="M229" s="60"/>
      <c r="N229" s="71"/>
      <c r="O229" s="60"/>
      <c r="P229" s="133">
        <f>SUM(P215:P228)</f>
        <v>-6255.1372784810083</v>
      </c>
      <c r="Q229" s="132"/>
      <c r="R229" s="132"/>
      <c r="S229" s="528"/>
      <c r="T229" s="313"/>
      <c r="U229" s="134"/>
      <c r="V229" s="47"/>
      <c r="W229" s="47"/>
      <c r="X229" s="47"/>
      <c r="Y229" s="191"/>
      <c r="Z229" s="98"/>
      <c r="AA229" s="174"/>
      <c r="AB229" s="60"/>
      <c r="AC229" s="47"/>
      <c r="AD229" s="47"/>
      <c r="AE229" s="47"/>
      <c r="AF229" s="47"/>
      <c r="AG229" s="202"/>
      <c r="AH229" s="47"/>
      <c r="AI229" s="47"/>
    </row>
    <row r="230" spans="2:35" hidden="1">
      <c r="D230" s="47" t="s">
        <v>37</v>
      </c>
      <c r="E230" s="97">
        <v>4953.8</v>
      </c>
      <c r="F230" s="47"/>
      <c r="G230" s="47"/>
      <c r="H230" s="101"/>
      <c r="M230" s="60"/>
      <c r="N230" s="71"/>
      <c r="O230" s="60"/>
      <c r="P230" s="136"/>
      <c r="Q230" s="180"/>
      <c r="R230" s="187"/>
      <c r="S230" s="528"/>
      <c r="T230" s="313"/>
      <c r="U230" s="163"/>
      <c r="V230" s="47"/>
      <c r="W230" s="47"/>
      <c r="X230" s="47"/>
      <c r="Y230" s="191"/>
      <c r="Z230" s="98"/>
      <c r="AA230" s="174"/>
      <c r="AB230" s="60"/>
      <c r="AC230" s="47"/>
      <c r="AD230" s="47"/>
      <c r="AE230" s="47"/>
      <c r="AF230" s="47"/>
      <c r="AG230" s="47"/>
      <c r="AH230" s="47"/>
      <c r="AI230" s="47"/>
    </row>
    <row r="231" spans="2:35" ht="12.75" hidden="1" customHeight="1">
      <c r="D231" s="150" t="s">
        <v>36</v>
      </c>
      <c r="E231" s="41">
        <f>E226-E230-E232</f>
        <v>965.69999999999982</v>
      </c>
      <c r="F231" s="150"/>
      <c r="G231" s="689">
        <f>SUM(E230:E231)</f>
        <v>5919.5</v>
      </c>
      <c r="H231" s="689"/>
      <c r="M231" s="60"/>
      <c r="N231" s="71"/>
      <c r="O231" s="60"/>
      <c r="P231" s="136"/>
      <c r="Q231" s="180"/>
      <c r="R231" s="182"/>
      <c r="S231" s="528"/>
      <c r="T231" s="313"/>
      <c r="U231" s="164"/>
      <c r="V231" s="60"/>
      <c r="W231" s="60"/>
      <c r="X231" s="171"/>
      <c r="Y231" s="47"/>
      <c r="Z231" s="98"/>
      <c r="AA231" s="174"/>
      <c r="AB231" s="60"/>
      <c r="AC231" s="47"/>
      <c r="AD231" s="47"/>
      <c r="AE231" s="47"/>
      <c r="AF231" s="47"/>
      <c r="AG231" s="47"/>
      <c r="AH231" s="47"/>
      <c r="AI231" s="47"/>
    </row>
    <row r="232" spans="2:35" s="150" customFormat="1" ht="12.75" hidden="1" customHeight="1">
      <c r="E232" s="41"/>
      <c r="F232" s="168"/>
      <c r="G232" s="689"/>
      <c r="H232" s="689"/>
      <c r="K232" s="349"/>
      <c r="M232" s="41"/>
      <c r="N232" s="316"/>
      <c r="O232" s="41"/>
      <c r="P232" s="241"/>
      <c r="Q232" s="242"/>
      <c r="R232" s="243"/>
      <c r="S232" s="536"/>
      <c r="T232" s="312"/>
      <c r="U232" s="317"/>
      <c r="V232" s="41"/>
      <c r="W232" s="41"/>
      <c r="X232" s="240"/>
      <c r="Z232" s="245"/>
      <c r="AA232" s="246"/>
      <c r="AB232" s="41"/>
    </row>
    <row r="233" spans="2:35" ht="12.75" hidden="1" customHeight="1">
      <c r="D233" s="47"/>
      <c r="E233" s="60"/>
      <c r="F233" s="204"/>
      <c r="G233" s="688"/>
      <c r="H233" s="688"/>
      <c r="M233" s="60"/>
      <c r="N233" s="71"/>
      <c r="O233" s="60"/>
      <c r="P233" s="136"/>
      <c r="Q233" s="180"/>
      <c r="R233" s="182"/>
      <c r="S233" s="528"/>
      <c r="T233" s="313"/>
      <c r="U233" s="47"/>
      <c r="V233" s="60"/>
      <c r="W233" s="60"/>
      <c r="X233" s="47"/>
      <c r="Y233" s="47"/>
      <c r="Z233" s="98"/>
      <c r="AA233" s="174"/>
      <c r="AB233" s="60"/>
      <c r="AC233" s="47"/>
      <c r="AD233" s="47"/>
      <c r="AE233" s="47"/>
      <c r="AF233" s="47"/>
      <c r="AG233" s="47"/>
      <c r="AH233" s="47"/>
      <c r="AI233" s="47"/>
    </row>
    <row r="234" spans="2:35" hidden="1">
      <c r="B234" s="967" t="s">
        <v>219</v>
      </c>
      <c r="C234" s="967"/>
      <c r="D234" s="967"/>
      <c r="E234" s="967"/>
      <c r="G234" s="75"/>
      <c r="H234" s="75"/>
      <c r="I234" s="60"/>
      <c r="L234" s="127"/>
      <c r="M234" s="968" t="s">
        <v>90</v>
      </c>
      <c r="N234" s="320"/>
      <c r="O234" s="320"/>
      <c r="P234" s="969" t="s">
        <v>84</v>
      </c>
      <c r="Q234" s="321"/>
      <c r="R234" s="321"/>
      <c r="S234" s="528"/>
      <c r="X234" s="84"/>
      <c r="Y234" s="84"/>
      <c r="Z234" s="60"/>
      <c r="AA234" s="202"/>
      <c r="AB234" s="60"/>
      <c r="AC234" s="47"/>
      <c r="AD234" s="47"/>
      <c r="AE234" s="47"/>
      <c r="AF234" s="47"/>
      <c r="AG234" s="47"/>
      <c r="AH234" s="47"/>
      <c r="AI234" s="47"/>
    </row>
    <row r="235" spans="2:35" ht="12.75" hidden="1" customHeight="1">
      <c r="C235" s="43" t="s">
        <v>35</v>
      </c>
      <c r="D235" s="39"/>
      <c r="E235" s="99">
        <v>6000</v>
      </c>
      <c r="G235" s="687"/>
      <c r="H235" s="687"/>
      <c r="I235" s="60"/>
      <c r="L235" s="128"/>
      <c r="M235" s="968"/>
      <c r="N235" s="320" t="s">
        <v>88</v>
      </c>
      <c r="O235" s="320"/>
      <c r="P235" s="969"/>
      <c r="Q235" s="321" t="s">
        <v>79</v>
      </c>
      <c r="R235" s="321" t="s">
        <v>89</v>
      </c>
      <c r="S235" s="528"/>
      <c r="X235" s="198"/>
      <c r="Y235" s="191"/>
      <c r="Z235" s="197"/>
      <c r="AA235" s="169"/>
      <c r="AB235" s="170"/>
      <c r="AC235" s="47"/>
      <c r="AD235" s="91"/>
      <c r="AE235" s="47"/>
      <c r="AF235" s="47"/>
      <c r="AG235" s="47"/>
      <c r="AH235" s="47"/>
      <c r="AI235" s="47"/>
    </row>
    <row r="236" spans="2:35" hidden="1">
      <c r="C236" s="43"/>
      <c r="D236" s="39" t="s">
        <v>47</v>
      </c>
      <c r="E236" s="99">
        <f>'[1]NOVEMBER ''11'!$C$139</f>
        <v>1565.6200000000001</v>
      </c>
      <c r="G236" s="74"/>
      <c r="H236" s="74"/>
      <c r="I236" s="60"/>
      <c r="L236" s="101" t="s">
        <v>91</v>
      </c>
      <c r="M236" s="60">
        <f>$M$226</f>
        <v>3124.3000940000093</v>
      </c>
      <c r="N236" s="139">
        <f>M236</f>
        <v>3124.3000940000093</v>
      </c>
      <c r="O236" s="60"/>
      <c r="P236" s="60">
        <f>$Q$228</f>
        <v>-6255.1372784810083</v>
      </c>
      <c r="Q236" s="139">
        <f>P236</f>
        <v>-6255.1372784810083</v>
      </c>
      <c r="R236" s="100">
        <f t="shared" ref="R236:R252" si="27">10050+Q236</f>
        <v>3794.8627215189917</v>
      </c>
      <c r="S236" s="532"/>
      <c r="T236" s="71"/>
      <c r="X236" s="171"/>
      <c r="Y236" s="191"/>
      <c r="Z236" s="60"/>
      <c r="AA236" s="202"/>
      <c r="AB236" s="60"/>
      <c r="AC236" s="47"/>
      <c r="AD236" s="172"/>
      <c r="AE236" s="173"/>
      <c r="AF236" s="47"/>
      <c r="AG236" s="47"/>
      <c r="AH236" s="47"/>
      <c r="AI236" s="47"/>
    </row>
    <row r="237" spans="2:35" hidden="1">
      <c r="C237" s="43"/>
      <c r="D237" s="229" t="s">
        <v>150</v>
      </c>
      <c r="E237" s="41">
        <f>'[1]OCTOBER ''11'!$C$97</f>
        <v>125.29000000000002</v>
      </c>
      <c r="G237"/>
      <c r="I237" s="60"/>
      <c r="L237" s="181" t="s">
        <v>140</v>
      </c>
      <c r="M237" s="215">
        <v>-3000</v>
      </c>
      <c r="N237" s="137">
        <f t="shared" ref="N237:N249" si="28">N236+M237</f>
        <v>124.30009400000927</v>
      </c>
      <c r="O237" s="134"/>
      <c r="P237" s="215">
        <f>-M237</f>
        <v>3000</v>
      </c>
      <c r="Q237" s="140">
        <f>Q236+P237</f>
        <v>-3255.1372784810083</v>
      </c>
      <c r="R237" s="100">
        <f t="shared" si="27"/>
        <v>6794.8627215189917</v>
      </c>
      <c r="S237" s="524" t="s">
        <v>103</v>
      </c>
      <c r="X237" s="47"/>
      <c r="Y237" s="192"/>
      <c r="Z237" s="322"/>
      <c r="AA237" s="174"/>
      <c r="AB237" s="175"/>
      <c r="AC237" s="47"/>
      <c r="AD237" s="91"/>
      <c r="AE237" s="173"/>
      <c r="AF237" s="47"/>
      <c r="AG237" s="47"/>
      <c r="AH237" s="47"/>
      <c r="AI237" s="47"/>
    </row>
    <row r="238" spans="2:35" ht="12.75" hidden="1" customHeight="1">
      <c r="C238" s="45" t="s">
        <v>17</v>
      </c>
      <c r="D238" s="39"/>
      <c r="E238" s="39">
        <f>SUM(E235:E237)</f>
        <v>7690.91</v>
      </c>
      <c r="G238" s="691" t="s">
        <v>210</v>
      </c>
      <c r="H238" s="691"/>
      <c r="I238" s="691"/>
      <c r="J238" s="47"/>
      <c r="K238" s="348"/>
      <c r="L238" s="293" t="s">
        <v>47</v>
      </c>
      <c r="M238" s="295">
        <v>300</v>
      </c>
      <c r="N238" s="137">
        <f t="shared" si="28"/>
        <v>424.30009400000927</v>
      </c>
      <c r="O238" s="134"/>
      <c r="P238" s="213">
        <v>-17</v>
      </c>
      <c r="Q238" s="140">
        <f>Q237+P238</f>
        <v>-3272.1372784810083</v>
      </c>
      <c r="R238" s="100">
        <f t="shared" si="27"/>
        <v>6777.8627215189917</v>
      </c>
      <c r="S238" s="524" t="s">
        <v>221</v>
      </c>
      <c r="X238" s="47"/>
      <c r="Y238" s="192"/>
      <c r="Z238" s="322"/>
      <c r="AA238" s="174"/>
      <c r="AB238" s="60"/>
      <c r="AC238" s="47"/>
      <c r="AD238" s="172"/>
      <c r="AE238" s="173"/>
      <c r="AF238" s="47"/>
      <c r="AG238" s="47"/>
      <c r="AH238" s="47"/>
      <c r="AI238" s="47"/>
    </row>
    <row r="239" spans="2:35" hidden="1">
      <c r="G239"/>
      <c r="H239" s="58" t="s">
        <v>32</v>
      </c>
      <c r="I239" s="99">
        <v>175.44</v>
      </c>
      <c r="J239" s="117"/>
      <c r="K239" s="348"/>
      <c r="L239" s="151" t="s">
        <v>223</v>
      </c>
      <c r="M239" s="262">
        <v>-250</v>
      </c>
      <c r="N239" s="262">
        <f t="shared" si="28"/>
        <v>174.30009400000927</v>
      </c>
      <c r="O239" s="105"/>
      <c r="P239" s="215">
        <v>-109.5</v>
      </c>
      <c r="Q239" s="140">
        <f t="shared" ref="Q239:Q252" si="29">Q238+P239</f>
        <v>-3381.6372784810083</v>
      </c>
      <c r="R239" s="100">
        <f t="shared" si="27"/>
        <v>6668.3627215189917</v>
      </c>
      <c r="S239" s="524" t="s">
        <v>221</v>
      </c>
      <c r="T239" s="284"/>
      <c r="X239" s="171"/>
      <c r="Y239" s="192"/>
      <c r="Z239" s="322"/>
      <c r="AA239" s="174"/>
      <c r="AB239" s="60"/>
      <c r="AC239" s="47"/>
      <c r="AD239" s="172"/>
      <c r="AE239" s="173"/>
      <c r="AF239" s="47"/>
      <c r="AG239" s="47"/>
      <c r="AH239" s="47"/>
      <c r="AI239" s="47"/>
    </row>
    <row r="240" spans="2:35" hidden="1">
      <c r="C240" s="43" t="s">
        <v>29</v>
      </c>
      <c r="G240"/>
      <c r="H240" s="58" t="s">
        <v>41</v>
      </c>
      <c r="I240" s="99">
        <f>4.39+4.08</f>
        <v>8.4699999999999989</v>
      </c>
      <c r="J240" s="47"/>
      <c r="K240" s="348"/>
      <c r="L240" s="230" t="s">
        <v>47</v>
      </c>
      <c r="M240" s="233">
        <v>200</v>
      </c>
      <c r="N240" s="137">
        <f t="shared" si="28"/>
        <v>374.30009400000927</v>
      </c>
      <c r="O240" s="106"/>
      <c r="P240" s="215">
        <f>-1011.5</f>
        <v>-1011.5</v>
      </c>
      <c r="Q240" s="140">
        <f t="shared" si="29"/>
        <v>-4393.1372784810083</v>
      </c>
      <c r="R240" s="100">
        <f t="shared" si="27"/>
        <v>5656.8627215189917</v>
      </c>
      <c r="S240" s="524" t="s">
        <v>165</v>
      </c>
      <c r="T240" s="47"/>
      <c r="U240" s="47"/>
      <c r="V240" s="183"/>
      <c r="W240" s="183"/>
      <c r="X240" s="47"/>
      <c r="Y240" s="192"/>
      <c r="Z240" s="322"/>
      <c r="AA240" s="174"/>
      <c r="AB240" s="175"/>
      <c r="AC240" s="47"/>
      <c r="AD240" s="176"/>
      <c r="AE240" s="173"/>
      <c r="AF240" s="47"/>
      <c r="AG240" s="47"/>
      <c r="AH240" s="47"/>
      <c r="AI240" s="47"/>
    </row>
    <row r="241" spans="2:35" hidden="1">
      <c r="D241" t="s">
        <v>30</v>
      </c>
      <c r="E241" s="39">
        <f>1204/2</f>
        <v>602</v>
      </c>
      <c r="G241" s="85"/>
      <c r="H241" s="58" t="s">
        <v>43</v>
      </c>
      <c r="I241" s="99">
        <v>7.45</v>
      </c>
      <c r="J241" s="47"/>
      <c r="K241" s="348"/>
      <c r="L241" s="151" t="s">
        <v>189</v>
      </c>
      <c r="M241" s="262">
        <v>0</v>
      </c>
      <c r="N241" s="137">
        <f t="shared" si="28"/>
        <v>374.30009400000927</v>
      </c>
      <c r="O241" s="106"/>
      <c r="P241" s="213">
        <v>-11.39</v>
      </c>
      <c r="Q241" s="140">
        <f t="shared" si="29"/>
        <v>-4404.5272784810086</v>
      </c>
      <c r="R241" s="100">
        <f t="shared" si="27"/>
        <v>5645.4727215189914</v>
      </c>
      <c r="S241" s="524" t="s">
        <v>85</v>
      </c>
      <c r="T241" s="47"/>
      <c r="U241" s="47"/>
      <c r="V241" s="47"/>
      <c r="W241" s="47"/>
      <c r="X241" s="47"/>
      <c r="Y241" s="192"/>
      <c r="Z241" s="322"/>
      <c r="AA241" s="174"/>
      <c r="AB241" s="60"/>
      <c r="AC241" s="47"/>
      <c r="AD241" s="91"/>
      <c r="AE241" s="173"/>
      <c r="AF241" s="47"/>
      <c r="AG241" s="47"/>
      <c r="AH241" s="47"/>
      <c r="AI241" s="47"/>
    </row>
    <row r="242" spans="2:35" hidden="1">
      <c r="D242" t="s">
        <v>31</v>
      </c>
      <c r="E242" s="99"/>
      <c r="F242" s="86" t="s">
        <v>38</v>
      </c>
      <c r="G242"/>
      <c r="H242" s="58" t="s">
        <v>42</v>
      </c>
      <c r="I242" s="99">
        <v>43.86</v>
      </c>
      <c r="J242" s="47"/>
      <c r="K242" s="348"/>
      <c r="L242" s="273" t="s">
        <v>87</v>
      </c>
      <c r="M242" s="216">
        <f>E251</f>
        <v>4953.8</v>
      </c>
      <c r="N242" s="137">
        <f t="shared" si="28"/>
        <v>5328.1000940000094</v>
      </c>
      <c r="O242" s="106"/>
      <c r="P242" s="100">
        <v>-160</v>
      </c>
      <c r="Q242" s="140">
        <f t="shared" si="29"/>
        <v>-4564.5272784810086</v>
      </c>
      <c r="R242" s="100">
        <f t="shared" si="27"/>
        <v>5485.4727215189914</v>
      </c>
      <c r="S242" s="524" t="s">
        <v>206</v>
      </c>
      <c r="T242" s="47"/>
      <c r="U242" s="47"/>
      <c r="V242" s="47"/>
      <c r="W242" s="47"/>
      <c r="X242" s="47"/>
      <c r="Y242" s="192"/>
      <c r="Z242" s="322"/>
      <c r="AA242" s="174"/>
      <c r="AB242" s="60"/>
      <c r="AC242" s="47"/>
      <c r="AD242" s="172"/>
      <c r="AE242" s="173"/>
      <c r="AF242" s="47"/>
      <c r="AG242" s="47"/>
      <c r="AH242" s="47"/>
      <c r="AI242" s="47"/>
    </row>
    <row r="243" spans="2:35" hidden="1">
      <c r="D243" t="s">
        <v>32</v>
      </c>
      <c r="E243" s="46">
        <f>I247</f>
        <v>300.17999999999995</v>
      </c>
      <c r="F243" s="86" t="s">
        <v>38</v>
      </c>
      <c r="G243"/>
      <c r="H243" s="58" t="s">
        <v>44</v>
      </c>
      <c r="I243" s="99">
        <v>3.51</v>
      </c>
      <c r="J243" s="47"/>
      <c r="K243" s="348"/>
      <c r="L243" s="276" t="s">
        <v>233</v>
      </c>
      <c r="M243" s="218">
        <v>-45</v>
      </c>
      <c r="N243" s="137">
        <f t="shared" si="28"/>
        <v>5283.1000940000094</v>
      </c>
      <c r="O243" s="88"/>
      <c r="P243" s="100">
        <v>-532.20000000000005</v>
      </c>
      <c r="Q243" s="140">
        <f t="shared" si="29"/>
        <v>-5096.7272784810084</v>
      </c>
      <c r="R243" s="100">
        <f t="shared" si="27"/>
        <v>4953.2727215189916</v>
      </c>
      <c r="S243" s="524" t="s">
        <v>213</v>
      </c>
      <c r="T243" s="111"/>
      <c r="U243" s="47"/>
      <c r="V243" s="60"/>
      <c r="W243" s="60"/>
      <c r="X243" s="47"/>
      <c r="Y243" s="192"/>
      <c r="Z243" s="322"/>
      <c r="AA243" s="174"/>
      <c r="AB243" s="175"/>
      <c r="AC243" s="47"/>
      <c r="AD243" s="172"/>
      <c r="AE243" s="173"/>
      <c r="AF243" s="47"/>
      <c r="AG243" s="47"/>
      <c r="AH243" s="47"/>
      <c r="AI243" s="47"/>
    </row>
    <row r="244" spans="2:35" hidden="1">
      <c r="D244" t="s">
        <v>45</v>
      </c>
      <c r="E244" s="41"/>
      <c r="F244" s="87"/>
      <c r="G244"/>
      <c r="H244" s="58" t="s">
        <v>49</v>
      </c>
      <c r="I244" s="115">
        <v>129.57</v>
      </c>
      <c r="J244" s="47"/>
      <c r="K244" s="348"/>
      <c r="L244" s="273" t="s">
        <v>167</v>
      </c>
      <c r="M244" s="216">
        <v>-700</v>
      </c>
      <c r="N244" s="137">
        <f t="shared" si="28"/>
        <v>4583.1000940000094</v>
      </c>
      <c r="O244" s="88"/>
      <c r="P244" s="100">
        <v>-245</v>
      </c>
      <c r="Q244" s="140">
        <f t="shared" si="29"/>
        <v>-5341.7272784810084</v>
      </c>
      <c r="R244" s="287">
        <f t="shared" si="27"/>
        <v>4708.2727215189916</v>
      </c>
      <c r="S244" s="524" t="s">
        <v>224</v>
      </c>
      <c r="T244" s="111"/>
      <c r="U244" s="47"/>
      <c r="V244" s="60"/>
      <c r="W244" s="60"/>
      <c r="X244" s="47"/>
      <c r="Y244" s="192"/>
      <c r="Z244" s="322"/>
      <c r="AA244" s="174"/>
      <c r="AB244" s="60"/>
      <c r="AC244" s="47"/>
      <c r="AD244" s="172"/>
      <c r="AE244" s="177"/>
      <c r="AF244" s="47"/>
      <c r="AG244" s="47"/>
      <c r="AH244" s="47"/>
      <c r="AI244" s="47"/>
    </row>
    <row r="245" spans="2:35" hidden="1">
      <c r="C245" s="45" t="s">
        <v>17</v>
      </c>
      <c r="E245" s="46">
        <f>SUM(E241:E244)</f>
        <v>902.18</v>
      </c>
      <c r="G245"/>
      <c r="H245" s="196" t="s">
        <v>145</v>
      </c>
      <c r="I245" s="99">
        <f>SUM(I239:I244)</f>
        <v>368.29999999999995</v>
      </c>
      <c r="J245" s="47"/>
      <c r="K245" s="348"/>
      <c r="L245" s="274" t="s">
        <v>222</v>
      </c>
      <c r="M245" s="100">
        <v>-95</v>
      </c>
      <c r="N245" s="137">
        <f t="shared" si="28"/>
        <v>4488.1000940000094</v>
      </c>
      <c r="O245" s="88"/>
      <c r="P245" s="214">
        <v>-79</v>
      </c>
      <c r="Q245" s="140">
        <f t="shared" si="29"/>
        <v>-5420.7272784810084</v>
      </c>
      <c r="R245" s="100">
        <f t="shared" si="27"/>
        <v>4629.2727215189916</v>
      </c>
      <c r="S245" s="524" t="s">
        <v>225</v>
      </c>
      <c r="T245" s="152"/>
      <c r="U245" s="142"/>
      <c r="V245" s="60"/>
      <c r="W245" s="60"/>
      <c r="X245" s="47"/>
      <c r="Y245" s="192"/>
      <c r="Z245" s="322"/>
      <c r="AA245" s="174"/>
      <c r="AB245" s="60"/>
      <c r="AC245" s="47"/>
      <c r="AD245" s="47"/>
      <c r="AE245" s="173"/>
      <c r="AF245" s="47"/>
      <c r="AG245" s="47"/>
      <c r="AH245" s="47"/>
      <c r="AI245" s="47"/>
    </row>
    <row r="246" spans="2:35" hidden="1">
      <c r="C246" s="45"/>
      <c r="G246"/>
      <c r="H246" s="101" t="s">
        <v>50</v>
      </c>
      <c r="I246" s="100">
        <f>-58.03-10.09</f>
        <v>-68.12</v>
      </c>
      <c r="J246" s="47"/>
      <c r="K246" s="348"/>
      <c r="L246" s="274" t="s">
        <v>97</v>
      </c>
      <c r="M246" s="100">
        <v>-203.5</v>
      </c>
      <c r="N246" s="137">
        <f t="shared" si="28"/>
        <v>4284.6000940000094</v>
      </c>
      <c r="O246" s="88"/>
      <c r="P246" s="214">
        <v>-764.25</v>
      </c>
      <c r="Q246" s="140">
        <f t="shared" si="29"/>
        <v>-6184.9772784810084</v>
      </c>
      <c r="R246" s="100">
        <f t="shared" si="27"/>
        <v>3865.0227215189916</v>
      </c>
      <c r="S246" s="524" t="s">
        <v>86</v>
      </c>
      <c r="T246" s="111"/>
      <c r="U246" s="142"/>
      <c r="V246" s="60"/>
      <c r="W246" s="60"/>
      <c r="X246" s="171"/>
      <c r="Y246" s="47"/>
      <c r="Z246" s="322"/>
      <c r="AA246" s="174"/>
      <c r="AB246" s="175"/>
      <c r="AC246" s="47"/>
      <c r="AD246" s="178"/>
      <c r="AE246" s="173"/>
      <c r="AF246" s="202"/>
      <c r="AG246" s="47"/>
      <c r="AH246" s="47"/>
      <c r="AI246" s="47"/>
    </row>
    <row r="247" spans="2:35" ht="13.5" hidden="1" thickBot="1">
      <c r="D247" s="42" t="s">
        <v>105</v>
      </c>
      <c r="E247" s="63">
        <f>E238-E245</f>
        <v>6788.73</v>
      </c>
      <c r="G247"/>
      <c r="H247" s="196" t="s">
        <v>17</v>
      </c>
      <c r="I247" s="116">
        <f>SUM(I245:I246)</f>
        <v>300.17999999999995</v>
      </c>
      <c r="J247" s="47"/>
      <c r="K247" s="348"/>
      <c r="L247" s="274" t="s">
        <v>46</v>
      </c>
      <c r="M247" s="232">
        <v>-209.25</v>
      </c>
      <c r="N247" s="137">
        <f t="shared" si="28"/>
        <v>4075.3500940000094</v>
      </c>
      <c r="O247" s="88"/>
      <c r="P247" s="214">
        <v>-65.34</v>
      </c>
      <c r="Q247" s="140">
        <f t="shared" si="29"/>
        <v>-6250.3172784810085</v>
      </c>
      <c r="R247" s="100">
        <f t="shared" si="27"/>
        <v>3799.6827215189915</v>
      </c>
      <c r="S247" s="524" t="s">
        <v>226</v>
      </c>
      <c r="T247" s="311"/>
      <c r="U247" s="134"/>
      <c r="V247" s="60"/>
      <c r="W247" s="60"/>
      <c r="X247" s="84"/>
      <c r="Y247" s="47"/>
      <c r="Z247" s="322"/>
      <c r="AA247" s="174"/>
      <c r="AB247" s="60"/>
      <c r="AC247" s="47"/>
      <c r="AD247" s="47"/>
      <c r="AE247" s="47"/>
      <c r="AF247" s="179"/>
      <c r="AG247" s="47"/>
      <c r="AH247" s="47"/>
      <c r="AI247" s="47"/>
    </row>
    <row r="248" spans="2:35" hidden="1">
      <c r="D248" s="43"/>
      <c r="E248" s="90"/>
      <c r="G248"/>
      <c r="H248" s="58"/>
      <c r="I248" s="247"/>
      <c r="J248" s="47"/>
      <c r="K248" s="348"/>
      <c r="L248" s="277" t="s">
        <v>39</v>
      </c>
      <c r="M248" s="262">
        <v>-233.71</v>
      </c>
      <c r="N248" s="137">
        <f t="shared" si="28"/>
        <v>3841.6400940000094</v>
      </c>
      <c r="O248" s="88"/>
      <c r="P248" s="214">
        <v>-38.1</v>
      </c>
      <c r="Q248" s="140">
        <f t="shared" si="29"/>
        <v>-6288.4172784810089</v>
      </c>
      <c r="R248" s="100">
        <f t="shared" si="27"/>
        <v>3761.5827215189911</v>
      </c>
      <c r="S248" s="530" t="s">
        <v>227</v>
      </c>
      <c r="T248" s="319"/>
      <c r="U248" s="134"/>
      <c r="V248" s="47"/>
      <c r="W248" s="47"/>
      <c r="X248" s="47"/>
      <c r="Y248" s="191"/>
      <c r="Z248" s="322"/>
      <c r="AA248" s="174"/>
      <c r="AB248" s="60"/>
      <c r="AC248" s="47"/>
      <c r="AD248" s="47"/>
      <c r="AE248" s="47"/>
      <c r="AF248" s="47"/>
      <c r="AG248" s="47"/>
      <c r="AH248" s="47"/>
      <c r="AI248" s="47"/>
    </row>
    <row r="249" spans="2:35" hidden="1">
      <c r="D249" s="43"/>
      <c r="E249" s="90"/>
      <c r="G249"/>
      <c r="H249" s="58"/>
      <c r="I249" s="100"/>
      <c r="J249" s="47"/>
      <c r="K249" s="348"/>
      <c r="L249" s="310" t="s">
        <v>92</v>
      </c>
      <c r="M249" s="233">
        <v>-595</v>
      </c>
      <c r="N249" s="138">
        <f t="shared" si="28"/>
        <v>3246.6400940000094</v>
      </c>
      <c r="O249" s="88"/>
      <c r="P249" s="214">
        <f>-'[1]NOVEMBER ''11'!$I$105</f>
        <v>-456.15</v>
      </c>
      <c r="Q249" s="140">
        <f t="shared" si="29"/>
        <v>-6744.5672784810085</v>
      </c>
      <c r="R249" s="100">
        <f t="shared" si="27"/>
        <v>3305.4327215189915</v>
      </c>
      <c r="S249" s="530" t="s">
        <v>213</v>
      </c>
      <c r="T249" s="319"/>
      <c r="U249" s="134"/>
      <c r="V249" s="47"/>
      <c r="W249" s="47"/>
      <c r="X249" s="171"/>
      <c r="Y249" s="191"/>
      <c r="Z249" s="322"/>
      <c r="AA249" s="174"/>
      <c r="AB249" s="175"/>
      <c r="AC249" s="47"/>
      <c r="AD249" s="47"/>
      <c r="AE249" s="47"/>
      <c r="AF249" s="47"/>
      <c r="AG249" s="47"/>
      <c r="AH249" s="47"/>
      <c r="AI249" s="47"/>
    </row>
    <row r="250" spans="2:35" hidden="1">
      <c r="C250" s="153" t="s">
        <v>40</v>
      </c>
      <c r="E250" s="97"/>
      <c r="G250"/>
      <c r="H250" s="58"/>
      <c r="I250" s="39"/>
      <c r="J250" s="47"/>
      <c r="K250" s="348"/>
      <c r="L250" s="58"/>
      <c r="M250" s="255">
        <f>SUM(M236:M249)</f>
        <v>3246.6400940000094</v>
      </c>
      <c r="O250" s="88"/>
      <c r="P250" s="214">
        <v>-161.22999999999999</v>
      </c>
      <c r="Q250" s="140">
        <f t="shared" si="29"/>
        <v>-6905.7972784810081</v>
      </c>
      <c r="R250" s="100">
        <f t="shared" si="27"/>
        <v>3144.2027215189919</v>
      </c>
      <c r="S250" s="530" t="s">
        <v>213</v>
      </c>
      <c r="T250" s="319"/>
      <c r="U250" s="134"/>
      <c r="V250" s="47"/>
      <c r="W250" s="47"/>
      <c r="X250" s="47"/>
      <c r="Y250" s="191"/>
      <c r="Z250" s="322"/>
      <c r="AA250" s="174"/>
      <c r="AB250" s="60"/>
      <c r="AC250" s="47"/>
      <c r="AD250" s="47"/>
      <c r="AE250" s="47"/>
      <c r="AF250" s="47"/>
      <c r="AG250" s="202"/>
      <c r="AH250" s="47"/>
      <c r="AI250" s="47"/>
    </row>
    <row r="251" spans="2:35" hidden="1">
      <c r="D251" s="47" t="s">
        <v>37</v>
      </c>
      <c r="E251" s="97">
        <v>4953.8</v>
      </c>
      <c r="F251" s="47"/>
      <c r="G251" s="47"/>
      <c r="H251" s="101"/>
      <c r="M251" s="60"/>
      <c r="O251" s="88"/>
      <c r="P251" s="214">
        <v>-511.5</v>
      </c>
      <c r="Q251" s="140">
        <f t="shared" si="29"/>
        <v>-7417.2972784810081</v>
      </c>
      <c r="R251" s="100">
        <f t="shared" si="27"/>
        <v>2632.7027215189919</v>
      </c>
      <c r="S251" s="530" t="s">
        <v>165</v>
      </c>
      <c r="T251" s="319"/>
      <c r="U251" s="163"/>
      <c r="V251" s="47"/>
      <c r="W251" s="47"/>
      <c r="X251" s="47"/>
      <c r="Y251" s="191"/>
      <c r="Z251" s="322"/>
      <c r="AA251" s="174"/>
      <c r="AB251" s="60"/>
      <c r="AC251" s="47"/>
      <c r="AD251" s="47"/>
      <c r="AE251" s="47"/>
      <c r="AF251" s="47"/>
      <c r="AG251" s="47"/>
      <c r="AH251" s="47"/>
      <c r="AI251" s="47"/>
    </row>
    <row r="252" spans="2:35" ht="12.75" hidden="1" customHeight="1">
      <c r="D252" s="150" t="s">
        <v>36</v>
      </c>
      <c r="E252" s="41">
        <f>E247-E251-E253</f>
        <v>1834.9299999999994</v>
      </c>
      <c r="F252" s="150"/>
      <c r="G252" s="689">
        <f>SUM(E251:E252)</f>
        <v>6788.73</v>
      </c>
      <c r="H252" s="689"/>
      <c r="M252" s="60"/>
      <c r="O252" s="97"/>
      <c r="P252" s="106">
        <f>E252</f>
        <v>1834.9299999999994</v>
      </c>
      <c r="Q252" s="141">
        <f t="shared" si="29"/>
        <v>-5582.3672784810087</v>
      </c>
      <c r="R252" s="115">
        <f t="shared" si="27"/>
        <v>4467.6327215189913</v>
      </c>
      <c r="S252" s="533" t="s">
        <v>100</v>
      </c>
      <c r="T252" s="319"/>
      <c r="U252" s="164"/>
      <c r="V252" s="60"/>
      <c r="W252" s="60"/>
      <c r="X252" s="171"/>
      <c r="Y252" s="47"/>
      <c r="Z252" s="322"/>
      <c r="AA252" s="174"/>
      <c r="AB252" s="60"/>
      <c r="AC252" s="47"/>
      <c r="AD252" s="47"/>
      <c r="AE252" s="47"/>
      <c r="AF252" s="47"/>
      <c r="AG252" s="47"/>
      <c r="AH252" s="47"/>
      <c r="AI252" s="47"/>
    </row>
    <row r="253" spans="2:35" ht="12.75" hidden="1" customHeight="1">
      <c r="D253" s="47"/>
      <c r="E253" s="60"/>
      <c r="F253" s="204"/>
      <c r="G253" s="688"/>
      <c r="H253" s="688"/>
      <c r="M253" s="60"/>
      <c r="N253" s="71"/>
      <c r="O253" s="60"/>
      <c r="P253" s="133">
        <f>SUM(P236:P252)</f>
        <v>-5582.3672784810087</v>
      </c>
      <c r="Q253" s="132"/>
      <c r="R253" s="132"/>
      <c r="S253" s="528"/>
      <c r="T253" s="319"/>
      <c r="U253" s="164"/>
      <c r="V253" s="60"/>
      <c r="W253" s="60"/>
      <c r="X253" s="84"/>
      <c r="Y253" s="47"/>
      <c r="Z253" s="322"/>
      <c r="AA253" s="174"/>
      <c r="AB253" s="60"/>
      <c r="AC253" s="47"/>
      <c r="AD253" s="47"/>
      <c r="AE253" s="47"/>
      <c r="AF253" s="47"/>
      <c r="AG253" s="47"/>
      <c r="AH253" s="47"/>
      <c r="AI253" s="47"/>
    </row>
    <row r="254" spans="2:35" s="150" customFormat="1" hidden="1">
      <c r="E254" s="41"/>
      <c r="G254" s="211"/>
      <c r="K254" s="349"/>
      <c r="M254" s="41"/>
      <c r="P254" s="41"/>
      <c r="Q254" s="41"/>
      <c r="R254" s="41"/>
      <c r="S254" s="535"/>
      <c r="Z254" s="41"/>
      <c r="AA254" s="212"/>
      <c r="AB254" s="41"/>
    </row>
    <row r="255" spans="2:35" hidden="1"/>
    <row r="256" spans="2:35" hidden="1">
      <c r="B256" s="967" t="s">
        <v>229</v>
      </c>
      <c r="C256" s="967"/>
      <c r="D256" s="967"/>
      <c r="E256" s="967"/>
      <c r="G256" s="75"/>
      <c r="H256" s="75"/>
      <c r="I256" s="60"/>
      <c r="L256" s="127"/>
      <c r="M256" s="968" t="s">
        <v>90</v>
      </c>
      <c r="N256" s="341"/>
      <c r="O256" s="341"/>
      <c r="P256" s="969" t="s">
        <v>84</v>
      </c>
      <c r="Q256" s="338"/>
      <c r="R256" s="338"/>
      <c r="S256" s="528"/>
      <c r="X256" s="84"/>
      <c r="Y256" s="84"/>
      <c r="Z256" s="60"/>
      <c r="AA256" s="202"/>
      <c r="AB256" s="60"/>
      <c r="AC256" s="47"/>
      <c r="AD256" s="47"/>
      <c r="AE256" s="47"/>
      <c r="AF256" s="47"/>
      <c r="AG256" s="47"/>
      <c r="AH256" s="47"/>
      <c r="AI256" s="47"/>
    </row>
    <row r="257" spans="3:35" ht="12.75" hidden="1" customHeight="1">
      <c r="C257" s="43" t="s">
        <v>35</v>
      </c>
      <c r="D257" s="39"/>
      <c r="E257" s="99">
        <v>6000</v>
      </c>
      <c r="G257" s="687"/>
      <c r="H257" s="687"/>
      <c r="I257" s="60"/>
      <c r="L257" s="128"/>
      <c r="M257" s="968"/>
      <c r="N257" s="341" t="s">
        <v>88</v>
      </c>
      <c r="O257" s="341"/>
      <c r="P257" s="969"/>
      <c r="Q257" s="338" t="s">
        <v>79</v>
      </c>
      <c r="R257" s="338" t="s">
        <v>89</v>
      </c>
      <c r="S257" s="528"/>
      <c r="X257" s="198"/>
      <c r="Y257" s="191"/>
      <c r="Z257" s="197"/>
      <c r="AA257" s="169"/>
      <c r="AB257" s="170"/>
      <c r="AC257" s="47"/>
      <c r="AD257" s="91"/>
      <c r="AE257" s="47"/>
      <c r="AF257" s="47"/>
      <c r="AG257" s="47"/>
      <c r="AH257" s="47"/>
      <c r="AI257" s="47"/>
    </row>
    <row r="258" spans="3:35" hidden="1">
      <c r="C258" s="43"/>
      <c r="D258" s="39" t="s">
        <v>47</v>
      </c>
      <c r="E258" s="99">
        <f>'[1]DECEMBER ''11'!$C$77</f>
        <v>272.31</v>
      </c>
      <c r="G258" s="74"/>
      <c r="H258" s="74"/>
      <c r="I258" s="60"/>
      <c r="L258" s="101" t="s">
        <v>91</v>
      </c>
      <c r="M258" s="60">
        <f>$M$250</f>
        <v>3246.6400940000094</v>
      </c>
      <c r="N258" s="139">
        <f>M258</f>
        <v>3246.6400940000094</v>
      </c>
      <c r="O258" s="60"/>
      <c r="P258" s="60">
        <f>$Q$252</f>
        <v>-5582.3672784810087</v>
      </c>
      <c r="Q258" s="139">
        <f>P258</f>
        <v>-5582.3672784810087</v>
      </c>
      <c r="R258" s="100">
        <f t="shared" ref="R258:R290" si="30">10050+Q258</f>
        <v>4467.6327215189913</v>
      </c>
      <c r="S258" s="532"/>
      <c r="T258" s="71"/>
      <c r="X258" s="171"/>
      <c r="Y258" s="191"/>
      <c r="Z258" s="60"/>
      <c r="AA258" s="202"/>
      <c r="AB258" s="60"/>
      <c r="AC258" s="47"/>
      <c r="AD258" s="172"/>
      <c r="AE258" s="173"/>
      <c r="AF258" s="47"/>
      <c r="AG258" s="47"/>
      <c r="AH258" s="47"/>
      <c r="AI258" s="47"/>
    </row>
    <row r="259" spans="3:35" hidden="1">
      <c r="C259" s="43"/>
      <c r="D259" s="229" t="s">
        <v>150</v>
      </c>
      <c r="E259" s="41"/>
      <c r="G259"/>
      <c r="I259" s="60"/>
      <c r="L259" s="181" t="s">
        <v>140</v>
      </c>
      <c r="M259" s="215">
        <v>-700</v>
      </c>
      <c r="N259" s="137">
        <f t="shared" ref="N259:N272" si="31">N258+M259</f>
        <v>2546.6400940000094</v>
      </c>
      <c r="O259" s="134"/>
      <c r="P259" s="215">
        <v>-383.85</v>
      </c>
      <c r="Q259" s="140">
        <f>Q258+P259</f>
        <v>-5966.2172784810091</v>
      </c>
      <c r="R259" s="100">
        <f t="shared" si="30"/>
        <v>4083.7827215189909</v>
      </c>
      <c r="S259" s="524" t="s">
        <v>235</v>
      </c>
      <c r="X259" s="47"/>
      <c r="Y259" s="192"/>
      <c r="Z259" s="331"/>
      <c r="AA259" s="174"/>
      <c r="AB259" s="175"/>
      <c r="AC259" s="47"/>
      <c r="AD259" s="91"/>
      <c r="AE259" s="173"/>
      <c r="AF259" s="47"/>
      <c r="AG259" s="47"/>
      <c r="AH259" s="47"/>
      <c r="AI259" s="47"/>
    </row>
    <row r="260" spans="3:35" hidden="1">
      <c r="C260" s="45" t="s">
        <v>17</v>
      </c>
      <c r="D260" s="39"/>
      <c r="E260" s="39">
        <f>SUM(E257:E259)</f>
        <v>6272.31</v>
      </c>
      <c r="G260" s="334"/>
      <c r="H260" s="334"/>
      <c r="I260" s="334"/>
      <c r="J260" s="47"/>
      <c r="K260" s="348"/>
      <c r="L260" s="293" t="s">
        <v>239</v>
      </c>
      <c r="M260" s="295">
        <v>-20</v>
      </c>
      <c r="N260" s="137">
        <f t="shared" si="31"/>
        <v>2526.6400940000094</v>
      </c>
      <c r="O260" s="134"/>
      <c r="P260" s="215">
        <v>-189</v>
      </c>
      <c r="Q260" s="140">
        <f>Q259+P260</f>
        <v>-6155.2172784810091</v>
      </c>
      <c r="R260" s="100">
        <f t="shared" si="30"/>
        <v>3894.7827215189909</v>
      </c>
      <c r="S260" s="524" t="s">
        <v>234</v>
      </c>
      <c r="U260" s="191"/>
      <c r="V260" s="47"/>
      <c r="W260" s="47"/>
      <c r="X260" s="47"/>
      <c r="Y260" s="192"/>
      <c r="Z260" s="331"/>
      <c r="AA260" s="174"/>
      <c r="AB260" s="60"/>
      <c r="AC260" s="47"/>
      <c r="AD260" s="172"/>
      <c r="AE260" s="173"/>
      <c r="AF260" s="47"/>
      <c r="AG260" s="47"/>
      <c r="AH260" s="47"/>
      <c r="AI260" s="47"/>
    </row>
    <row r="261" spans="3:35" hidden="1">
      <c r="G261" s="47"/>
      <c r="H261" s="101"/>
      <c r="I261" s="100"/>
      <c r="J261" s="117"/>
      <c r="K261" s="348"/>
      <c r="L261" s="151" t="s">
        <v>241</v>
      </c>
      <c r="M261" s="262">
        <v>-740</v>
      </c>
      <c r="N261" s="137">
        <f t="shared" si="31"/>
        <v>1786.6400940000094</v>
      </c>
      <c r="O261" s="105"/>
      <c r="P261" s="215">
        <f>-M259</f>
        <v>700</v>
      </c>
      <c r="Q261" s="140">
        <f t="shared" ref="Q261:Q290" si="32">Q260+P261</f>
        <v>-5455.2172784810091</v>
      </c>
      <c r="R261" s="100">
        <f t="shared" si="30"/>
        <v>4594.7827215189909</v>
      </c>
      <c r="S261" s="524" t="s">
        <v>103</v>
      </c>
      <c r="T261" s="284"/>
      <c r="U261" s="47"/>
      <c r="V261" s="100"/>
      <c r="W261" s="47"/>
      <c r="X261" s="171"/>
      <c r="Y261" s="192"/>
      <c r="Z261" s="331"/>
      <c r="AA261" s="174"/>
      <c r="AB261" s="60"/>
      <c r="AC261" s="47"/>
      <c r="AD261" s="172"/>
      <c r="AE261" s="173"/>
      <c r="AF261" s="47"/>
      <c r="AG261" s="47"/>
      <c r="AH261" s="47"/>
      <c r="AI261" s="47"/>
    </row>
    <row r="262" spans="3:35" hidden="1">
      <c r="C262" s="43" t="s">
        <v>29</v>
      </c>
      <c r="G262" s="47"/>
      <c r="H262" s="101"/>
      <c r="I262" s="100"/>
      <c r="J262" s="47"/>
      <c r="K262" s="348"/>
      <c r="L262" s="151" t="s">
        <v>249</v>
      </c>
      <c r="M262" s="262">
        <v>100.1</v>
      </c>
      <c r="N262" s="137">
        <f t="shared" si="31"/>
        <v>1886.7400940000093</v>
      </c>
      <c r="O262" s="106"/>
      <c r="P262" s="215">
        <f>-28.17-11.5</f>
        <v>-39.67</v>
      </c>
      <c r="Q262" s="140">
        <f t="shared" si="32"/>
        <v>-5494.8872784810092</v>
      </c>
      <c r="R262" s="100">
        <f t="shared" si="30"/>
        <v>4555.1127215189908</v>
      </c>
      <c r="S262" s="524" t="s">
        <v>85</v>
      </c>
      <c r="T262" s="47"/>
      <c r="U262" s="47"/>
      <c r="V262" s="100"/>
      <c r="W262" s="183"/>
      <c r="X262" s="47"/>
      <c r="Y262" s="192"/>
      <c r="Z262" s="331"/>
      <c r="AA262" s="174"/>
      <c r="AB262" s="175"/>
      <c r="AC262" s="47"/>
      <c r="AD262" s="176"/>
      <c r="AE262" s="173"/>
      <c r="AF262" s="47"/>
      <c r="AG262" s="47"/>
      <c r="AH262" s="47"/>
      <c r="AI262" s="47"/>
    </row>
    <row r="263" spans="3:35" hidden="1">
      <c r="D263" t="s">
        <v>30</v>
      </c>
      <c r="E263" s="39">
        <f>1204/2</f>
        <v>602</v>
      </c>
      <c r="G263" s="333"/>
      <c r="H263" s="101"/>
      <c r="I263" s="100"/>
      <c r="J263" s="47"/>
      <c r="K263" s="348"/>
      <c r="L263" s="151" t="s">
        <v>259</v>
      </c>
      <c r="M263" s="262">
        <v>-200</v>
      </c>
      <c r="N263" s="137">
        <f t="shared" si="31"/>
        <v>1686.7400940000093</v>
      </c>
      <c r="O263" s="106"/>
      <c r="P263" s="213">
        <v>-89.61</v>
      </c>
      <c r="Q263" s="140">
        <f t="shared" si="32"/>
        <v>-5584.4972784810088</v>
      </c>
      <c r="R263" s="100">
        <f t="shared" si="30"/>
        <v>4465.5027215189912</v>
      </c>
      <c r="S263" s="524" t="s">
        <v>109</v>
      </c>
      <c r="T263" s="47"/>
      <c r="U263" s="47"/>
      <c r="V263" s="100"/>
      <c r="W263" s="47"/>
      <c r="X263" s="47"/>
      <c r="Y263" s="192"/>
      <c r="Z263" s="331"/>
      <c r="AA263" s="174"/>
      <c r="AB263" s="60"/>
      <c r="AC263" s="47"/>
      <c r="AD263" s="91"/>
      <c r="AE263" s="173"/>
      <c r="AF263" s="47"/>
      <c r="AG263" s="47"/>
      <c r="AH263" s="47"/>
      <c r="AI263" s="47"/>
    </row>
    <row r="264" spans="3:35" hidden="1">
      <c r="D264" s="195" t="s">
        <v>250</v>
      </c>
      <c r="E264" s="39">
        <f>-$E$243/2</f>
        <v>-150.08999999999997</v>
      </c>
      <c r="G264" s="333"/>
      <c r="H264" s="101"/>
      <c r="I264" s="100"/>
      <c r="J264" s="47"/>
      <c r="K264" s="348"/>
      <c r="L264" s="274" t="s">
        <v>87</v>
      </c>
      <c r="M264" s="232">
        <f>E272</f>
        <v>4953.8</v>
      </c>
      <c r="N264" s="137">
        <f t="shared" si="31"/>
        <v>6640.540094000009</v>
      </c>
      <c r="O264" s="106"/>
      <c r="P264" s="100">
        <v>-611.5</v>
      </c>
      <c r="Q264" s="140">
        <f t="shared" si="32"/>
        <v>-6195.9972784810088</v>
      </c>
      <c r="R264" s="100">
        <f t="shared" si="30"/>
        <v>3854.0027215189912</v>
      </c>
      <c r="S264" s="524" t="s">
        <v>165</v>
      </c>
      <c r="T264" s="47"/>
      <c r="U264" s="47"/>
      <c r="V264" s="215"/>
      <c r="W264" s="47"/>
      <c r="X264" s="47"/>
      <c r="Y264" s="192"/>
      <c r="Z264" s="331"/>
      <c r="AA264" s="174"/>
      <c r="AB264" s="60"/>
      <c r="AC264" s="47"/>
      <c r="AD264" s="172"/>
      <c r="AE264" s="173"/>
      <c r="AF264" s="47"/>
      <c r="AG264" s="47"/>
      <c r="AH264" s="47"/>
      <c r="AI264" s="47"/>
    </row>
    <row r="265" spans="3:35" hidden="1">
      <c r="D265" t="s">
        <v>45</v>
      </c>
      <c r="E265" s="41"/>
      <c r="F265" s="87"/>
      <c r="G265" s="47"/>
      <c r="H265" s="101"/>
      <c r="I265" s="188"/>
      <c r="J265" s="47"/>
      <c r="K265" s="348"/>
      <c r="L265" s="274" t="s">
        <v>167</v>
      </c>
      <c r="M265" s="232">
        <v>-700</v>
      </c>
      <c r="N265" s="137">
        <f t="shared" si="31"/>
        <v>5940.540094000009</v>
      </c>
      <c r="O265" s="88"/>
      <c r="P265" s="100">
        <v>-353.72</v>
      </c>
      <c r="Q265" s="140">
        <f t="shared" si="32"/>
        <v>-6549.7172784810091</v>
      </c>
      <c r="R265" s="100">
        <f t="shared" si="30"/>
        <v>3500.2827215189909</v>
      </c>
      <c r="S265" s="524" t="s">
        <v>240</v>
      </c>
      <c r="T265" s="111"/>
      <c r="U265" s="47"/>
      <c r="V265" s="100"/>
      <c r="W265" s="60"/>
      <c r="X265" s="47"/>
      <c r="Y265" s="192"/>
      <c r="Z265" s="331"/>
      <c r="AA265" s="174"/>
      <c r="AB265" s="175"/>
      <c r="AC265" s="47"/>
      <c r="AD265" s="172"/>
      <c r="AE265" s="173"/>
      <c r="AF265" s="47"/>
      <c r="AG265" s="47"/>
      <c r="AH265" s="47"/>
      <c r="AI265" s="47"/>
    </row>
    <row r="266" spans="3:35" hidden="1">
      <c r="C266" s="45" t="s">
        <v>17</v>
      </c>
      <c r="E266" s="46">
        <f>SUM(E263:E265)</f>
        <v>451.91</v>
      </c>
      <c r="G266" s="47"/>
      <c r="H266" s="327"/>
      <c r="I266" s="100"/>
      <c r="J266" s="47"/>
      <c r="K266" s="348"/>
      <c r="L266" s="274" t="s">
        <v>222</v>
      </c>
      <c r="M266" s="100">
        <v>-95</v>
      </c>
      <c r="N266" s="137">
        <f t="shared" si="31"/>
        <v>5845.540094000009</v>
      </c>
      <c r="O266" s="88"/>
      <c r="P266" s="100">
        <v>-399.95</v>
      </c>
      <c r="Q266" s="140">
        <f t="shared" si="32"/>
        <v>-6949.6672784810089</v>
      </c>
      <c r="R266" s="100">
        <f t="shared" si="30"/>
        <v>3100.3327215189911</v>
      </c>
      <c r="S266" s="524" t="s">
        <v>242</v>
      </c>
      <c r="T266" s="111"/>
      <c r="U266" s="47"/>
      <c r="V266" s="100"/>
      <c r="W266" s="60"/>
      <c r="X266" s="47"/>
      <c r="Y266" s="192"/>
      <c r="Z266" s="331"/>
      <c r="AA266" s="174"/>
      <c r="AB266" s="60"/>
      <c r="AC266" s="47"/>
      <c r="AD266" s="172"/>
      <c r="AE266" s="177"/>
      <c r="AF266" s="47"/>
      <c r="AG266" s="47"/>
      <c r="AH266" s="47"/>
      <c r="AI266" s="47"/>
    </row>
    <row r="267" spans="3:35" hidden="1">
      <c r="C267" s="45"/>
      <c r="G267" s="47"/>
      <c r="H267" s="101"/>
      <c r="I267" s="188"/>
      <c r="J267" s="47"/>
      <c r="K267" s="348"/>
      <c r="L267" s="274" t="s">
        <v>97</v>
      </c>
      <c r="M267" s="100">
        <v>-203.5</v>
      </c>
      <c r="N267" s="137">
        <f t="shared" si="31"/>
        <v>5642.040094000009</v>
      </c>
      <c r="O267" s="88"/>
      <c r="P267" s="214">
        <v>-665.8</v>
      </c>
      <c r="Q267" s="140">
        <f t="shared" si="32"/>
        <v>-7615.4672784810091</v>
      </c>
      <c r="R267" s="100">
        <f t="shared" si="30"/>
        <v>2434.5327215189909</v>
      </c>
      <c r="S267" s="524" t="s">
        <v>213</v>
      </c>
      <c r="T267" s="152"/>
      <c r="U267" s="142"/>
      <c r="V267" s="100"/>
      <c r="W267" s="60"/>
      <c r="X267" s="47"/>
      <c r="Y267" s="192"/>
      <c r="Z267" s="331"/>
      <c r="AA267" s="174"/>
      <c r="AB267" s="60"/>
      <c r="AC267" s="47"/>
      <c r="AD267" s="47"/>
      <c r="AE267" s="173"/>
      <c r="AF267" s="47"/>
      <c r="AG267" s="47"/>
      <c r="AH267" s="47"/>
      <c r="AI267" s="47"/>
    </row>
    <row r="268" spans="3:35" ht="13.5" hidden="1" thickBot="1">
      <c r="D268" s="42" t="s">
        <v>105</v>
      </c>
      <c r="E268" s="63">
        <f>E260-E266</f>
        <v>5820.4000000000005</v>
      </c>
      <c r="G268" s="47"/>
      <c r="H268" s="327"/>
      <c r="I268" s="100"/>
      <c r="J268" s="344"/>
      <c r="K268" s="348"/>
      <c r="L268" s="274" t="s">
        <v>262</v>
      </c>
      <c r="M268" s="100">
        <v>-482.27</v>
      </c>
      <c r="N268" s="137">
        <f t="shared" si="31"/>
        <v>5159.7700940000086</v>
      </c>
      <c r="O268" s="88"/>
      <c r="P268" s="214">
        <f>-SUM(P266:P267)</f>
        <v>1065.75</v>
      </c>
      <c r="Q268" s="140">
        <f t="shared" si="32"/>
        <v>-6549.7172784810091</v>
      </c>
      <c r="R268" s="100">
        <f t="shared" si="30"/>
        <v>3500.2827215189909</v>
      </c>
      <c r="S268" s="524" t="s">
        <v>158</v>
      </c>
      <c r="T268" s="111"/>
      <c r="U268" s="142"/>
      <c r="V268" s="60"/>
      <c r="W268" s="60"/>
      <c r="X268" s="171"/>
      <c r="Y268" s="47"/>
      <c r="Z268" s="331"/>
      <c r="AA268" s="174"/>
      <c r="AB268" s="175"/>
      <c r="AC268" s="47"/>
      <c r="AD268" s="178"/>
      <c r="AE268" s="173"/>
      <c r="AF268" s="202"/>
      <c r="AG268" s="47"/>
      <c r="AH268" s="47"/>
      <c r="AI268" s="47"/>
    </row>
    <row r="269" spans="3:35" hidden="1">
      <c r="D269" s="43"/>
      <c r="E269" s="90"/>
      <c r="G269"/>
      <c r="H269" s="58"/>
      <c r="I269" s="100"/>
      <c r="J269" s="47"/>
      <c r="K269" s="348"/>
      <c r="L269" s="274" t="s">
        <v>238</v>
      </c>
      <c r="M269" s="345">
        <v>0</v>
      </c>
      <c r="N269" s="137">
        <f t="shared" si="31"/>
        <v>5159.7700940000086</v>
      </c>
      <c r="O269" s="88"/>
      <c r="P269" s="214">
        <v>-70</v>
      </c>
      <c r="Q269" s="140">
        <f t="shared" si="32"/>
        <v>-6619.7172784810091</v>
      </c>
      <c r="R269" s="100">
        <f t="shared" si="30"/>
        <v>3430.2827215189909</v>
      </c>
      <c r="S269" s="524" t="s">
        <v>243</v>
      </c>
      <c r="T269" s="311"/>
      <c r="U269" s="134"/>
      <c r="V269" s="60"/>
      <c r="W269" s="60"/>
      <c r="X269" s="84"/>
      <c r="Y269" s="47"/>
      <c r="Z269" s="331"/>
      <c r="AA269" s="174"/>
      <c r="AB269" s="60"/>
      <c r="AC269" s="47"/>
      <c r="AD269" s="47"/>
      <c r="AE269" s="47"/>
      <c r="AF269" s="179"/>
      <c r="AG269" s="47"/>
      <c r="AH269" s="47"/>
      <c r="AI269" s="47"/>
    </row>
    <row r="270" spans="3:35" hidden="1">
      <c r="D270" s="43"/>
      <c r="E270" s="90"/>
      <c r="G270"/>
      <c r="H270" s="58"/>
      <c r="I270" s="100"/>
      <c r="J270" s="47"/>
      <c r="L270" s="274" t="s">
        <v>46</v>
      </c>
      <c r="M270" s="232">
        <v>-197.2</v>
      </c>
      <c r="N270" s="137">
        <f t="shared" si="31"/>
        <v>4962.5700940000088</v>
      </c>
      <c r="O270" s="88"/>
      <c r="P270" s="354">
        <v>6500</v>
      </c>
      <c r="Q270" s="140">
        <f t="shared" si="32"/>
        <v>-119.71727848100909</v>
      </c>
      <c r="R270" s="100">
        <f t="shared" si="30"/>
        <v>9930.28272151899</v>
      </c>
      <c r="S270" s="524" t="s">
        <v>236</v>
      </c>
      <c r="T270" s="335"/>
      <c r="U270" s="134"/>
      <c r="V270" s="47"/>
      <c r="W270" s="47"/>
      <c r="X270" s="47"/>
      <c r="Y270" s="191"/>
      <c r="Z270" s="331"/>
      <c r="AA270" s="174"/>
      <c r="AB270" s="60"/>
      <c r="AC270" s="47"/>
      <c r="AD270" s="47"/>
      <c r="AE270" s="47"/>
      <c r="AF270" s="47"/>
      <c r="AG270" s="47"/>
      <c r="AH270" s="47"/>
      <c r="AI270" s="47"/>
    </row>
    <row r="271" spans="3:35" hidden="1">
      <c r="C271" s="153" t="s">
        <v>40</v>
      </c>
      <c r="E271" s="97"/>
      <c r="G271"/>
      <c r="H271" s="58"/>
      <c r="I271" s="39"/>
      <c r="L271" s="277" t="s">
        <v>39</v>
      </c>
      <c r="M271" s="262">
        <v>-103.99</v>
      </c>
      <c r="N271" s="137">
        <f t="shared" si="31"/>
        <v>4858.580094000009</v>
      </c>
      <c r="O271" s="88"/>
      <c r="P271" s="214">
        <v>-99.99</v>
      </c>
      <c r="Q271" s="140">
        <f t="shared" si="32"/>
        <v>-219.7072784810091</v>
      </c>
      <c r="R271" s="100">
        <f t="shared" si="30"/>
        <v>9830.2927215189902</v>
      </c>
      <c r="S271" s="530" t="s">
        <v>244</v>
      </c>
      <c r="T271" s="335"/>
      <c r="U271" s="134"/>
      <c r="V271" s="47"/>
      <c r="W271" s="47"/>
      <c r="X271" s="171"/>
      <c r="Y271" s="191"/>
      <c r="Z271" s="331"/>
      <c r="AA271" s="174"/>
      <c r="AB271" s="175"/>
      <c r="AC271" s="47"/>
      <c r="AD271" s="47"/>
      <c r="AE271" s="47"/>
      <c r="AF271" s="47"/>
      <c r="AG271" s="47"/>
      <c r="AH271" s="47"/>
      <c r="AI271" s="47"/>
    </row>
    <row r="272" spans="3:35" hidden="1">
      <c r="D272" s="47" t="s">
        <v>37</v>
      </c>
      <c r="E272" s="97">
        <v>4953.8</v>
      </c>
      <c r="F272" s="47"/>
      <c r="G272" s="47"/>
      <c r="H272" s="101"/>
      <c r="L272" s="310" t="s">
        <v>92</v>
      </c>
      <c r="M272" s="233">
        <v>-605</v>
      </c>
      <c r="N272" s="138">
        <f t="shared" si="31"/>
        <v>4253.580094000009</v>
      </c>
      <c r="O272" s="88"/>
      <c r="P272" s="214">
        <v>-126.8</v>
      </c>
      <c r="Q272" s="140">
        <f t="shared" si="32"/>
        <v>-346.50727848100911</v>
      </c>
      <c r="R272" s="100">
        <f t="shared" si="30"/>
        <v>9703.4927215189909</v>
      </c>
      <c r="S272" s="524" t="s">
        <v>245</v>
      </c>
      <c r="T272" s="335"/>
      <c r="U272" s="134"/>
      <c r="V272" s="47"/>
      <c r="W272" s="47"/>
      <c r="X272" s="47"/>
      <c r="Y272" s="191"/>
      <c r="Z272" s="331"/>
      <c r="AA272" s="174"/>
      <c r="AB272" s="60"/>
      <c r="AC272" s="47"/>
      <c r="AD272" s="47"/>
      <c r="AE272" s="47"/>
      <c r="AF272" s="47"/>
      <c r="AG272" s="202"/>
      <c r="AH272" s="47"/>
      <c r="AI272" s="47"/>
    </row>
    <row r="273" spans="2:35" ht="12.75" hidden="1" customHeight="1">
      <c r="D273" s="150" t="s">
        <v>36</v>
      </c>
      <c r="E273" s="41">
        <f>E268-E272-E274</f>
        <v>866.60000000000036</v>
      </c>
      <c r="F273" s="150"/>
      <c r="G273" s="689">
        <f>SUM(E272:E273)</f>
        <v>5820.4000000000005</v>
      </c>
      <c r="H273" s="689"/>
      <c r="L273" s="58"/>
      <c r="M273" s="255">
        <f>SUM(M258:M272)</f>
        <v>4253.580094000009</v>
      </c>
      <c r="O273" s="88"/>
      <c r="P273" s="214">
        <v>-187.9</v>
      </c>
      <c r="Q273" s="140">
        <f t="shared" si="32"/>
        <v>-534.40727848100914</v>
      </c>
      <c r="R273" s="100">
        <f t="shared" si="30"/>
        <v>9515.5927215189913</v>
      </c>
      <c r="S273" s="530" t="s">
        <v>247</v>
      </c>
      <c r="T273" s="335"/>
      <c r="U273" s="163"/>
      <c r="V273" s="47"/>
      <c r="W273" s="47"/>
      <c r="X273" s="47"/>
      <c r="Y273" s="191"/>
      <c r="Z273" s="331"/>
      <c r="AA273" s="174"/>
      <c r="AB273" s="60"/>
      <c r="AC273" s="47"/>
      <c r="AD273" s="47"/>
      <c r="AE273" s="47"/>
      <c r="AF273" s="47"/>
      <c r="AG273" s="47"/>
      <c r="AH273" s="47"/>
      <c r="AI273" s="47"/>
    </row>
    <row r="274" spans="2:35" ht="12.75" hidden="1" customHeight="1">
      <c r="D274" s="47"/>
      <c r="E274" s="60"/>
      <c r="F274" s="204"/>
      <c r="G274" s="688"/>
      <c r="H274" s="688"/>
      <c r="M274" s="60"/>
      <c r="O274" s="97"/>
      <c r="P274" s="214">
        <v>-89</v>
      </c>
      <c r="Q274" s="140">
        <f t="shared" si="32"/>
        <v>-623.40727848100914</v>
      </c>
      <c r="R274" s="100">
        <f t="shared" si="30"/>
        <v>9426.5927215189913</v>
      </c>
      <c r="S274" s="530" t="s">
        <v>246</v>
      </c>
      <c r="T274" s="335"/>
      <c r="U274" s="164"/>
      <c r="V274" s="60"/>
      <c r="W274" s="60"/>
      <c r="X274" s="171"/>
      <c r="Y274" s="47"/>
      <c r="Z274" s="331"/>
      <c r="AA274" s="174"/>
      <c r="AB274" s="60"/>
      <c r="AC274" s="47"/>
      <c r="AD274" s="47"/>
      <c r="AE274" s="47"/>
      <c r="AF274" s="47"/>
      <c r="AG274" s="47"/>
      <c r="AH274" s="47"/>
      <c r="AI274" s="47"/>
    </row>
    <row r="275" spans="2:35" ht="12.75" hidden="1" customHeight="1">
      <c r="D275" s="47"/>
      <c r="E275" s="60"/>
      <c r="F275" s="204"/>
      <c r="G275" s="688"/>
      <c r="H275" s="688"/>
      <c r="M275" s="60"/>
      <c r="O275" s="60"/>
      <c r="P275" s="214">
        <v>-272.3</v>
      </c>
      <c r="Q275" s="140">
        <f t="shared" si="32"/>
        <v>-895.7072784810091</v>
      </c>
      <c r="R275" s="100">
        <f t="shared" si="30"/>
        <v>9154.2927215189902</v>
      </c>
      <c r="S275" s="524" t="s">
        <v>86</v>
      </c>
      <c r="T275" s="335"/>
      <c r="U275" s="164"/>
      <c r="V275" s="60"/>
      <c r="W275" s="60"/>
      <c r="X275" s="84"/>
      <c r="Y275" s="47"/>
      <c r="Z275" s="331"/>
      <c r="AA275" s="174"/>
      <c r="AB275" s="60"/>
      <c r="AC275" s="47"/>
      <c r="AD275" s="47"/>
      <c r="AE275" s="47"/>
      <c r="AF275" s="47"/>
      <c r="AG275" s="47"/>
      <c r="AH275" s="47"/>
      <c r="AI275" s="47"/>
    </row>
    <row r="276" spans="2:35" hidden="1">
      <c r="D276" s="47"/>
      <c r="E276" s="60"/>
      <c r="F276" s="204"/>
      <c r="G276" s="340"/>
      <c r="H276" s="340"/>
      <c r="M276" s="60"/>
      <c r="N276" s="71"/>
      <c r="O276" s="60"/>
      <c r="P276" s="214">
        <v>-150.19999999999999</v>
      </c>
      <c r="Q276" s="140">
        <f t="shared" si="32"/>
        <v>-1045.9072784810091</v>
      </c>
      <c r="R276" s="100">
        <f t="shared" si="30"/>
        <v>9004.0927215189913</v>
      </c>
      <c r="S276" s="524" t="s">
        <v>248</v>
      </c>
      <c r="T276" s="335"/>
      <c r="U276" s="47"/>
      <c r="V276" s="60"/>
      <c r="W276" s="60"/>
      <c r="X276" s="47"/>
      <c r="Y276" s="47"/>
      <c r="Z276" s="331"/>
      <c r="AA276" s="174"/>
      <c r="AB276" s="60"/>
      <c r="AC276" s="47"/>
      <c r="AD276" s="47"/>
      <c r="AE276" s="47"/>
      <c r="AF276" s="47"/>
      <c r="AG276" s="47"/>
      <c r="AH276" s="47"/>
      <c r="AI276" s="47"/>
    </row>
    <row r="277" spans="2:35" ht="15" hidden="1">
      <c r="B277" s="47"/>
      <c r="C277" s="84"/>
      <c r="D277" s="297"/>
      <c r="E277" s="100"/>
      <c r="F277" s="300"/>
      <c r="G277" s="353"/>
      <c r="H277" s="353"/>
      <c r="I277" s="47"/>
      <c r="L277" s="171"/>
      <c r="M277" s="60"/>
      <c r="N277" s="326"/>
      <c r="O277" s="60"/>
      <c r="P277" s="214">
        <v>-999.95</v>
      </c>
      <c r="Q277" s="140">
        <f t="shared" si="32"/>
        <v>-2045.8572784810092</v>
      </c>
      <c r="R277" s="100">
        <f t="shared" si="30"/>
        <v>8004.1427215189906</v>
      </c>
      <c r="S277" s="524" t="s">
        <v>251</v>
      </c>
      <c r="T277" s="335"/>
      <c r="U277" s="47"/>
      <c r="V277" s="60"/>
      <c r="W277" s="60"/>
      <c r="X277" s="171"/>
      <c r="Y277" s="47"/>
      <c r="Z277" s="331"/>
      <c r="AA277" s="174"/>
      <c r="AB277" s="60"/>
      <c r="AC277" s="47"/>
      <c r="AD277" s="47"/>
      <c r="AE277" s="47"/>
      <c r="AF277" s="47"/>
      <c r="AG277" s="47"/>
      <c r="AH277" s="47"/>
      <c r="AI277" s="47"/>
    </row>
    <row r="278" spans="2:35" hidden="1">
      <c r="B278" s="47"/>
      <c r="C278" s="84"/>
      <c r="D278" s="298"/>
      <c r="E278" s="100"/>
      <c r="F278" s="204"/>
      <c r="G278" s="299"/>
      <c r="H278" s="353"/>
      <c r="I278" s="47"/>
      <c r="L278" s="327"/>
      <c r="M278" s="60"/>
      <c r="N278" s="328"/>
      <c r="O278" s="60"/>
      <c r="P278" s="214">
        <v>-59.99</v>
      </c>
      <c r="Q278" s="140">
        <f t="shared" si="32"/>
        <v>-2105.8472784810092</v>
      </c>
      <c r="R278" s="100">
        <f t="shared" si="30"/>
        <v>7944.1527215189908</v>
      </c>
      <c r="S278" s="524" t="s">
        <v>220</v>
      </c>
      <c r="T278" s="335"/>
      <c r="U278" s="47"/>
      <c r="V278" s="60"/>
      <c r="W278" s="60"/>
      <c r="X278" s="171"/>
      <c r="Y278" s="47"/>
      <c r="Z278" s="331"/>
      <c r="AA278" s="174"/>
      <c r="AB278" s="60"/>
      <c r="AC278" s="47"/>
      <c r="AD278" s="47"/>
      <c r="AE278" s="47"/>
      <c r="AF278" s="47"/>
      <c r="AG278" s="47"/>
      <c r="AH278" s="47"/>
      <c r="AI278" s="47"/>
    </row>
    <row r="279" spans="2:35" hidden="1">
      <c r="B279" s="47"/>
      <c r="C279" s="84"/>
      <c r="D279" s="298"/>
      <c r="E279" s="100"/>
      <c r="F279" s="204"/>
      <c r="G279" s="299"/>
      <c r="H279" s="353"/>
      <c r="I279" s="47"/>
      <c r="L279" s="327"/>
      <c r="M279" s="60"/>
      <c r="N279" s="328"/>
      <c r="O279" s="60"/>
      <c r="P279" s="214">
        <v>-99.95</v>
      </c>
      <c r="Q279" s="140">
        <f t="shared" si="32"/>
        <v>-2205.797278481009</v>
      </c>
      <c r="R279" s="100">
        <f t="shared" si="30"/>
        <v>7844.202721518991</v>
      </c>
      <c r="S279" s="524" t="s">
        <v>252</v>
      </c>
      <c r="T279" s="335"/>
      <c r="U279" s="47"/>
      <c r="V279" s="60"/>
      <c r="W279" s="60"/>
      <c r="X279" s="171"/>
      <c r="Y279" s="47"/>
      <c r="Z279" s="331"/>
      <c r="AA279" s="174"/>
      <c r="AB279" s="60"/>
      <c r="AC279" s="47"/>
      <c r="AD279" s="47"/>
      <c r="AE279" s="47"/>
      <c r="AF279" s="47"/>
      <c r="AG279" s="47"/>
      <c r="AH279" s="47"/>
      <c r="AI279" s="47"/>
    </row>
    <row r="280" spans="2:35" hidden="1">
      <c r="B280" s="47"/>
      <c r="C280" s="84"/>
      <c r="D280" s="60"/>
      <c r="E280" s="100"/>
      <c r="F280" s="204"/>
      <c r="G280" s="353"/>
      <c r="H280" s="353"/>
      <c r="I280" s="47"/>
      <c r="L280" s="47"/>
      <c r="M280" s="60"/>
      <c r="N280" s="47"/>
      <c r="O280" s="331"/>
      <c r="P280" s="214">
        <v>-90.27</v>
      </c>
      <c r="Q280" s="140">
        <f t="shared" si="32"/>
        <v>-2296.067278481009</v>
      </c>
      <c r="R280" s="100">
        <f t="shared" si="30"/>
        <v>7753.9327215189915</v>
      </c>
      <c r="S280" s="524" t="s">
        <v>86</v>
      </c>
      <c r="T280" s="335"/>
      <c r="U280" s="47"/>
      <c r="V280" s="60"/>
      <c r="W280" s="60"/>
      <c r="X280" s="171"/>
      <c r="Y280" s="47"/>
      <c r="Z280" s="331"/>
      <c r="AA280" s="174"/>
      <c r="AB280" s="60"/>
      <c r="AC280" s="47"/>
      <c r="AD280" s="47"/>
      <c r="AE280" s="47"/>
      <c r="AF280" s="47"/>
      <c r="AG280" s="47"/>
      <c r="AH280" s="47"/>
      <c r="AI280" s="47"/>
    </row>
    <row r="281" spans="2:35" hidden="1">
      <c r="B281" s="47"/>
      <c r="C281" s="84"/>
      <c r="D281" s="60"/>
      <c r="E281" s="100"/>
      <c r="F281" s="204"/>
      <c r="G281" s="353"/>
      <c r="H281" s="353"/>
      <c r="I281" s="47"/>
      <c r="L281" s="171"/>
      <c r="M281" s="60"/>
      <c r="N281" s="191"/>
      <c r="O281" s="332"/>
      <c r="P281" s="214">
        <v>-190.9</v>
      </c>
      <c r="Q281" s="140">
        <f t="shared" si="32"/>
        <v>-2486.9672784810091</v>
      </c>
      <c r="R281" s="100">
        <f t="shared" si="30"/>
        <v>7563.0327215189909</v>
      </c>
      <c r="S281" s="524" t="s">
        <v>139</v>
      </c>
      <c r="T281" s="335"/>
      <c r="U281" s="47"/>
      <c r="V281" s="60"/>
      <c r="W281" s="60"/>
      <c r="X281" s="171"/>
      <c r="Y281" s="47"/>
      <c r="Z281" s="331"/>
      <c r="AA281" s="174"/>
      <c r="AB281" s="60"/>
      <c r="AC281" s="47"/>
      <c r="AD281" s="47"/>
      <c r="AE281" s="47"/>
      <c r="AF281" s="47"/>
      <c r="AG281" s="47"/>
      <c r="AH281" s="47"/>
      <c r="AI281" s="47"/>
    </row>
    <row r="282" spans="2:35" hidden="1">
      <c r="B282" s="47"/>
      <c r="C282" s="84"/>
      <c r="D282" s="60"/>
      <c r="E282" s="100"/>
      <c r="F282" s="204"/>
      <c r="G282" s="353"/>
      <c r="H282" s="353"/>
      <c r="I282" s="47"/>
      <c r="L282" s="327"/>
      <c r="M282" s="60"/>
      <c r="N282" s="328"/>
      <c r="O282" s="60"/>
      <c r="P282" s="214">
        <v>-91.05</v>
      </c>
      <c r="Q282" s="140">
        <f t="shared" si="32"/>
        <v>-2578.0172784810093</v>
      </c>
      <c r="R282" s="100">
        <f t="shared" si="30"/>
        <v>7471.9827215189907</v>
      </c>
      <c r="S282" s="524" t="s">
        <v>253</v>
      </c>
      <c r="T282" s="335"/>
      <c r="U282" s="47"/>
      <c r="V282" s="60"/>
      <c r="W282" s="60"/>
      <c r="X282" s="171"/>
      <c r="Y282" s="47"/>
      <c r="Z282" s="331"/>
      <c r="AA282" s="174"/>
      <c r="AB282" s="60"/>
      <c r="AC282" s="47"/>
      <c r="AD282" s="47"/>
      <c r="AE282" s="47"/>
      <c r="AF282" s="47"/>
      <c r="AG282" s="47"/>
      <c r="AH282" s="47"/>
      <c r="AI282" s="47"/>
    </row>
    <row r="283" spans="2:35" hidden="1">
      <c r="E283"/>
      <c r="G283"/>
      <c r="L283" s="327"/>
      <c r="M283" s="60"/>
      <c r="N283" s="328"/>
      <c r="O283" s="60"/>
      <c r="P283" s="214">
        <v>-52.95</v>
      </c>
      <c r="Q283" s="140">
        <f t="shared" si="32"/>
        <v>-2630.9672784810091</v>
      </c>
      <c r="R283" s="100">
        <f t="shared" si="30"/>
        <v>7419.0327215189909</v>
      </c>
      <c r="S283" s="524" t="s">
        <v>247</v>
      </c>
      <c r="T283" s="335"/>
      <c r="U283" s="47"/>
      <c r="V283" s="60"/>
      <c r="W283" s="60"/>
      <c r="X283" s="171"/>
      <c r="Y283" s="47"/>
      <c r="Z283" s="331"/>
      <c r="AA283" s="174"/>
      <c r="AB283" s="60"/>
      <c r="AC283" s="47"/>
      <c r="AD283" s="47"/>
      <c r="AE283" s="47"/>
      <c r="AF283" s="47"/>
      <c r="AG283" s="47"/>
      <c r="AH283" s="47"/>
      <c r="AI283" s="47"/>
    </row>
    <row r="284" spans="2:35" hidden="1">
      <c r="E284"/>
      <c r="G284"/>
      <c r="L284" s="47"/>
      <c r="M284" s="60"/>
      <c r="N284" s="47"/>
      <c r="O284" s="331"/>
      <c r="P284" s="214">
        <v>-437.45</v>
      </c>
      <c r="Q284" s="140">
        <f t="shared" si="32"/>
        <v>-3068.4172784810089</v>
      </c>
      <c r="R284" s="100">
        <f t="shared" si="30"/>
        <v>6981.5827215189911</v>
      </c>
      <c r="S284" s="524" t="s">
        <v>254</v>
      </c>
      <c r="T284" s="335"/>
      <c r="U284" s="47"/>
      <c r="V284" s="60"/>
      <c r="W284" s="60"/>
      <c r="X284" s="171"/>
      <c r="Y284" s="47"/>
      <c r="Z284" s="331"/>
      <c r="AA284" s="174"/>
      <c r="AB284" s="60"/>
      <c r="AC284" s="47"/>
      <c r="AD284" s="47"/>
      <c r="AE284" s="47"/>
      <c r="AF284" s="47"/>
      <c r="AG284" s="47"/>
      <c r="AH284" s="47"/>
      <c r="AI284" s="47"/>
    </row>
    <row r="285" spans="2:35" hidden="1">
      <c r="B285" s="47"/>
      <c r="C285" s="84"/>
      <c r="D285" s="60"/>
      <c r="E285" s="100"/>
      <c r="F285" s="204"/>
      <c r="G285" s="340"/>
      <c r="H285" s="340"/>
      <c r="M285" s="60"/>
      <c r="O285" s="332"/>
      <c r="P285" s="214">
        <v>-240</v>
      </c>
      <c r="Q285" s="140">
        <f t="shared" si="32"/>
        <v>-3308.4172784810089</v>
      </c>
      <c r="R285" s="100">
        <f t="shared" si="30"/>
        <v>6741.5827215189911</v>
      </c>
      <c r="S285" s="524" t="s">
        <v>255</v>
      </c>
      <c r="T285" s="335"/>
      <c r="U285" s="47"/>
      <c r="V285" s="60"/>
      <c r="W285" s="60"/>
      <c r="X285" s="171"/>
      <c r="Y285" s="47"/>
      <c r="Z285" s="331"/>
      <c r="AA285" s="174"/>
      <c r="AB285" s="60"/>
      <c r="AC285" s="47"/>
      <c r="AD285" s="47"/>
      <c r="AE285" s="47"/>
      <c r="AF285" s="47"/>
      <c r="AG285" s="47"/>
      <c r="AH285" s="47"/>
      <c r="AI285" s="47"/>
    </row>
    <row r="286" spans="2:35" ht="12.75" hidden="1" customHeight="1">
      <c r="B286" s="47"/>
      <c r="C286" s="954"/>
      <c r="D286" s="954"/>
      <c r="E286" s="728"/>
      <c r="F286" s="729"/>
      <c r="G286" s="340"/>
      <c r="H286" s="340"/>
      <c r="M286" s="60"/>
      <c r="O286" s="335"/>
      <c r="P286" s="214">
        <v>-384.6</v>
      </c>
      <c r="Q286" s="140">
        <f t="shared" si="32"/>
        <v>-3693.0172784810088</v>
      </c>
      <c r="R286" s="100">
        <f t="shared" si="30"/>
        <v>6356.9827215189907</v>
      </c>
      <c r="S286" s="524" t="s">
        <v>180</v>
      </c>
      <c r="T286" s="335"/>
      <c r="U286" s="47"/>
      <c r="V286" s="60"/>
      <c r="W286" s="60"/>
      <c r="X286" s="171"/>
      <c r="Y286" s="47"/>
      <c r="Z286" s="331"/>
      <c r="AA286" s="174"/>
      <c r="AB286" s="60"/>
      <c r="AC286" s="47"/>
      <c r="AD286" s="47"/>
      <c r="AE286" s="47"/>
      <c r="AF286" s="47"/>
      <c r="AG286" s="47"/>
      <c r="AH286" s="47"/>
      <c r="AI286" s="47"/>
    </row>
    <row r="287" spans="2:35" hidden="1">
      <c r="B287" s="47"/>
      <c r="C287" s="52"/>
      <c r="D287" s="52"/>
      <c r="E287" s="52"/>
      <c r="F287" s="52"/>
      <c r="G287" s="340"/>
      <c r="H287" s="340"/>
      <c r="M287" s="60"/>
      <c r="O287" s="335"/>
      <c r="P287" s="214">
        <v>-187.8</v>
      </c>
      <c r="Q287" s="140">
        <f t="shared" si="32"/>
        <v>-3880.817278481009</v>
      </c>
      <c r="R287" s="100">
        <f t="shared" si="30"/>
        <v>6169.1827215189915</v>
      </c>
      <c r="S287" s="524" t="s">
        <v>256</v>
      </c>
      <c r="T287" s="335"/>
      <c r="U287" s="47"/>
      <c r="V287" s="60"/>
      <c r="W287" s="60"/>
      <c r="X287" s="171"/>
      <c r="Y287" s="47"/>
      <c r="Z287" s="331"/>
      <c r="AA287" s="174"/>
      <c r="AB287" s="60"/>
      <c r="AC287" s="47"/>
      <c r="AD287" s="47"/>
      <c r="AE287" s="47"/>
      <c r="AF287" s="47"/>
      <c r="AG287" s="47"/>
      <c r="AH287" s="47"/>
      <c r="AI287" s="47"/>
    </row>
    <row r="288" spans="2:35" hidden="1">
      <c r="B288" s="47"/>
      <c r="C288" s="952"/>
      <c r="D288" s="952"/>
      <c r="E288" s="337"/>
      <c r="F288" s="52"/>
      <c r="G288" s="340"/>
      <c r="H288" s="340"/>
      <c r="M288" s="60"/>
      <c r="O288" s="343" t="s">
        <v>261</v>
      </c>
      <c r="P288" s="186"/>
      <c r="Q288" s="140">
        <f t="shared" si="32"/>
        <v>-3880.817278481009</v>
      </c>
      <c r="R288" s="100">
        <f t="shared" si="30"/>
        <v>6169.1827215189915</v>
      </c>
      <c r="S288" s="524" t="s">
        <v>257</v>
      </c>
      <c r="T288" s="335"/>
      <c r="U288" s="47"/>
      <c r="V288" s="60"/>
      <c r="W288" s="60"/>
      <c r="X288" s="171"/>
      <c r="Y288" s="47"/>
      <c r="Z288" s="331"/>
      <c r="AA288" s="174"/>
      <c r="AB288" s="60"/>
      <c r="AC288" s="47"/>
      <c r="AD288" s="47"/>
      <c r="AE288" s="47"/>
      <c r="AF288" s="47"/>
      <c r="AG288" s="47"/>
      <c r="AH288" s="47"/>
      <c r="AI288" s="47"/>
    </row>
    <row r="289" spans="2:35" hidden="1">
      <c r="B289" s="47"/>
      <c r="C289" s="952"/>
      <c r="D289" s="952"/>
      <c r="E289" s="323"/>
      <c r="F289" s="52"/>
      <c r="G289" s="340"/>
      <c r="H289" s="340"/>
      <c r="M289" s="60"/>
      <c r="O289" s="52"/>
      <c r="P289" s="329">
        <v>91.05</v>
      </c>
      <c r="Q289" s="140">
        <f t="shared" si="32"/>
        <v>-3789.7672784810088</v>
      </c>
      <c r="R289" s="100">
        <f t="shared" si="30"/>
        <v>6260.2327215189907</v>
      </c>
      <c r="S289" s="530" t="s">
        <v>258</v>
      </c>
      <c r="T289" s="335"/>
      <c r="U289" s="47"/>
      <c r="V289" s="60"/>
      <c r="W289" s="60"/>
      <c r="X289" s="171"/>
      <c r="Y289" s="47"/>
      <c r="Z289" s="331"/>
      <c r="AA289" s="174"/>
      <c r="AB289" s="60"/>
      <c r="AC289" s="47"/>
      <c r="AD289" s="47"/>
      <c r="AE289" s="47"/>
      <c r="AF289" s="47"/>
      <c r="AG289" s="47"/>
      <c r="AH289" s="47"/>
      <c r="AI289" s="47"/>
    </row>
    <row r="290" spans="2:35" hidden="1">
      <c r="B290" s="47"/>
      <c r="C290" s="52"/>
      <c r="D290" s="52"/>
      <c r="E290" s="324"/>
      <c r="F290" s="52"/>
      <c r="G290" s="340"/>
      <c r="H290" s="340"/>
      <c r="M290" s="60"/>
      <c r="O290" s="52"/>
      <c r="P290" s="149">
        <f>E273</f>
        <v>866.60000000000036</v>
      </c>
      <c r="Q290" s="141">
        <f t="shared" si="32"/>
        <v>-2923.1672784810085</v>
      </c>
      <c r="R290" s="115">
        <f t="shared" si="30"/>
        <v>7126.8327215189911</v>
      </c>
      <c r="S290" s="530"/>
      <c r="T290" s="335"/>
      <c r="U290" s="47"/>
      <c r="V290" s="60"/>
      <c r="W290" s="60"/>
      <c r="X290" s="171"/>
      <c r="Y290" s="47"/>
      <c r="Z290" s="331"/>
      <c r="AA290" s="174"/>
      <c r="AB290" s="60"/>
      <c r="AC290" s="47"/>
      <c r="AD290" s="47"/>
      <c r="AE290" s="47"/>
      <c r="AF290" s="47"/>
      <c r="AG290" s="47"/>
      <c r="AH290" s="47"/>
      <c r="AI290" s="47"/>
    </row>
    <row r="291" spans="2:35" ht="12.75" hidden="1" customHeight="1">
      <c r="B291" s="47"/>
      <c r="C291" s="52"/>
      <c r="D291" s="194"/>
      <c r="E291" s="730"/>
      <c r="F291" s="730"/>
      <c r="G291" s="340"/>
      <c r="H291" s="340"/>
      <c r="M291" s="60"/>
      <c r="O291" s="337"/>
      <c r="P291" s="133">
        <f>SUM(P258:P290)</f>
        <v>-2923.1672784810085</v>
      </c>
      <c r="Q291" s="132"/>
      <c r="R291" s="132"/>
      <c r="S291" s="531"/>
      <c r="T291" s="335"/>
      <c r="U291" s="47"/>
      <c r="V291" s="60"/>
      <c r="W291" s="60"/>
      <c r="X291" s="171"/>
      <c r="Y291" s="47"/>
      <c r="Z291" s="331"/>
      <c r="AA291" s="174"/>
      <c r="AB291" s="60"/>
      <c r="AC291" s="47"/>
      <c r="AD291" s="47"/>
      <c r="AE291" s="47"/>
      <c r="AF291" s="47"/>
      <c r="AG291" s="47"/>
      <c r="AH291" s="47"/>
      <c r="AI291" s="47"/>
    </row>
    <row r="292" spans="2:35" s="150" customFormat="1" hidden="1">
      <c r="E292" s="41"/>
      <c r="F292" s="168"/>
      <c r="G292" s="339"/>
      <c r="H292" s="339"/>
      <c r="K292" s="349"/>
      <c r="M292" s="41"/>
      <c r="O292" s="41"/>
      <c r="P292" s="241"/>
      <c r="Q292" s="342"/>
      <c r="R292" s="342"/>
      <c r="S292" s="537"/>
      <c r="T292" s="336"/>
      <c r="V292" s="41"/>
      <c r="W292" s="41"/>
      <c r="X292" s="244"/>
      <c r="Z292" s="245"/>
      <c r="AA292" s="246"/>
      <c r="AB292" s="41"/>
    </row>
    <row r="293" spans="2:35" hidden="1"/>
    <row r="294" spans="2:35" hidden="1">
      <c r="B294" s="967" t="s">
        <v>230</v>
      </c>
      <c r="C294" s="967"/>
      <c r="D294" s="967"/>
      <c r="E294" s="967"/>
      <c r="G294" s="352"/>
      <c r="H294" s="352"/>
      <c r="I294" s="60"/>
      <c r="K294" s="350"/>
      <c r="L294" s="180"/>
      <c r="M294" s="970" t="s">
        <v>90</v>
      </c>
      <c r="N294" s="371"/>
      <c r="O294" s="367"/>
      <c r="P294" s="972" t="s">
        <v>84</v>
      </c>
      <c r="Q294" s="368"/>
      <c r="R294" s="368"/>
      <c r="S294" s="528"/>
      <c r="X294" s="84"/>
      <c r="Y294" s="84"/>
      <c r="Z294" s="60"/>
      <c r="AA294" s="372"/>
      <c r="AB294" s="60"/>
      <c r="AC294" s="47"/>
      <c r="AD294" s="47"/>
      <c r="AE294" s="47"/>
      <c r="AF294" s="47"/>
      <c r="AG294" s="47"/>
      <c r="AH294" s="47"/>
      <c r="AI294" s="47"/>
    </row>
    <row r="295" spans="2:35" ht="12.75" hidden="1" customHeight="1">
      <c r="C295" s="43" t="s">
        <v>35</v>
      </c>
      <c r="D295" s="39"/>
      <c r="E295" s="99">
        <v>9000</v>
      </c>
      <c r="G295" s="687"/>
      <c r="H295" s="687"/>
      <c r="I295" s="60"/>
      <c r="K295" s="351" t="s">
        <v>263</v>
      </c>
      <c r="L295" s="242"/>
      <c r="M295" s="971"/>
      <c r="N295" s="371" t="s">
        <v>79</v>
      </c>
      <c r="O295" s="367"/>
      <c r="P295" s="973"/>
      <c r="Q295" s="369" t="s">
        <v>79</v>
      </c>
      <c r="R295" s="370" t="s">
        <v>89</v>
      </c>
      <c r="S295" s="528"/>
      <c r="X295" s="198"/>
      <c r="Y295" s="191"/>
      <c r="Z295" s="197"/>
      <c r="AA295" s="169"/>
      <c r="AB295" s="170"/>
      <c r="AC295" s="47"/>
      <c r="AD295" s="91"/>
      <c r="AE295" s="47"/>
      <c r="AF295" s="47"/>
      <c r="AG295" s="47"/>
      <c r="AH295" s="47"/>
      <c r="AI295" s="47"/>
    </row>
    <row r="296" spans="2:35" hidden="1">
      <c r="C296" s="43"/>
      <c r="D296" s="39" t="s">
        <v>47</v>
      </c>
      <c r="E296" s="99">
        <f>'[1]JANUARY ''12'!$C$72</f>
        <v>1905.0500000000002</v>
      </c>
      <c r="G296" s="74"/>
      <c r="H296" s="74"/>
      <c r="I296" s="60"/>
      <c r="K296" s="362"/>
      <c r="L296" s="327" t="s">
        <v>268</v>
      </c>
      <c r="M296" s="60">
        <f>$M$273</f>
        <v>4253.580094000009</v>
      </c>
      <c r="N296" s="139">
        <f>M296</f>
        <v>4253.580094000009</v>
      </c>
      <c r="O296" s="60"/>
      <c r="P296" s="100">
        <f>$Q$290</f>
        <v>-2923.1672784810085</v>
      </c>
      <c r="Q296" s="139">
        <f>P296</f>
        <v>-2923.1672784810085</v>
      </c>
      <c r="R296" s="100">
        <f t="shared" ref="R296:R319" si="33">10050+Q296</f>
        <v>7126.8327215189911</v>
      </c>
      <c r="S296" s="532"/>
      <c r="T296" s="71"/>
      <c r="X296" s="171"/>
      <c r="Y296" s="191"/>
      <c r="Z296" s="60"/>
      <c r="AA296" s="372"/>
      <c r="AB296" s="60"/>
      <c r="AC296" s="47"/>
      <c r="AD296" s="172"/>
      <c r="AE296" s="173"/>
      <c r="AF296" s="47"/>
      <c r="AG296" s="47"/>
      <c r="AH296" s="47"/>
      <c r="AI296" s="47"/>
    </row>
    <row r="297" spans="2:35" hidden="1">
      <c r="C297" s="43"/>
      <c r="D297" s="229" t="s">
        <v>267</v>
      </c>
      <c r="E297" s="41"/>
      <c r="G297"/>
      <c r="I297" s="60"/>
      <c r="K297" s="347" t="s">
        <v>265</v>
      </c>
      <c r="L297" s="181" t="s">
        <v>269</v>
      </c>
      <c r="M297" s="215">
        <v>-513.32000000000005</v>
      </c>
      <c r="N297" s="137">
        <f t="shared" ref="N297:N311" si="34">N296+M297</f>
        <v>3740.2600940000088</v>
      </c>
      <c r="O297" s="134"/>
      <c r="P297" s="215">
        <v>-361.31</v>
      </c>
      <c r="Q297" s="140">
        <f>Q296+P297</f>
        <v>-3284.4772784810084</v>
      </c>
      <c r="R297" s="100">
        <f t="shared" si="33"/>
        <v>6765.5227215189916</v>
      </c>
      <c r="S297" s="524" t="s">
        <v>86</v>
      </c>
      <c r="X297" s="47"/>
      <c r="Y297" s="192"/>
      <c r="Z297" s="331"/>
      <c r="AA297" s="174"/>
      <c r="AB297" s="175"/>
      <c r="AC297" s="47"/>
      <c r="AD297" s="91"/>
      <c r="AE297" s="173"/>
      <c r="AF297" s="47"/>
      <c r="AG297" s="47"/>
      <c r="AH297" s="47"/>
      <c r="AI297" s="47"/>
    </row>
    <row r="298" spans="2:35" hidden="1">
      <c r="C298" s="45" t="s">
        <v>17</v>
      </c>
      <c r="D298" s="39"/>
      <c r="E298" s="39">
        <f>SUM(E295:E297)</f>
        <v>10905.05</v>
      </c>
      <c r="G298" s="334"/>
      <c r="H298" s="334"/>
      <c r="I298" s="334"/>
      <c r="J298" s="47"/>
      <c r="K298" s="348"/>
      <c r="L298" s="181" t="s">
        <v>259</v>
      </c>
      <c r="M298" s="215">
        <v>-2000</v>
      </c>
      <c r="N298" s="137">
        <f t="shared" si="34"/>
        <v>1740.2600940000088</v>
      </c>
      <c r="O298" s="134"/>
      <c r="P298" s="215">
        <v>-304.58999999999997</v>
      </c>
      <c r="Q298" s="140">
        <f>Q297+P298</f>
        <v>-3589.0672784810085</v>
      </c>
      <c r="R298" s="100">
        <f t="shared" si="33"/>
        <v>6460.9327215189915</v>
      </c>
      <c r="S298" s="524" t="s">
        <v>240</v>
      </c>
      <c r="U298" s="191"/>
      <c r="V298" s="47"/>
      <c r="W298" s="47"/>
      <c r="X298" s="47"/>
      <c r="Y298" s="192"/>
      <c r="Z298" s="331"/>
      <c r="AA298" s="174"/>
      <c r="AB298" s="60"/>
      <c r="AC298" s="47"/>
      <c r="AD298" s="172"/>
      <c r="AE298" s="173"/>
      <c r="AF298" s="47"/>
      <c r="AG298" s="47"/>
      <c r="AH298" s="47"/>
      <c r="AI298" s="47"/>
    </row>
    <row r="299" spans="2:35" hidden="1">
      <c r="G299" s="47"/>
      <c r="H299" s="101"/>
      <c r="I299" s="100"/>
      <c r="J299" s="117"/>
      <c r="K299" s="348"/>
      <c r="L299" s="151" t="s">
        <v>140</v>
      </c>
      <c r="M299" s="262">
        <v>2000</v>
      </c>
      <c r="N299" s="137">
        <f t="shared" si="34"/>
        <v>3740.2600940000088</v>
      </c>
      <c r="O299" s="105"/>
      <c r="P299" s="215">
        <v>-11.33</v>
      </c>
      <c r="Q299" s="140">
        <f t="shared" ref="Q299:Q319" si="35">Q298+P299</f>
        <v>-3600.3972784810085</v>
      </c>
      <c r="R299" s="100">
        <f t="shared" si="33"/>
        <v>6449.6027215189915</v>
      </c>
      <c r="S299" s="524" t="s">
        <v>85</v>
      </c>
      <c r="T299" s="284"/>
      <c r="U299" s="47"/>
      <c r="V299" s="100"/>
      <c r="W299" s="47"/>
      <c r="X299" s="171"/>
      <c r="Y299" s="192"/>
      <c r="Z299" s="331"/>
      <c r="AA299" s="174"/>
      <c r="AB299" s="60"/>
      <c r="AC299" s="47"/>
      <c r="AD299" s="172"/>
      <c r="AE299" s="173"/>
      <c r="AF299" s="47"/>
      <c r="AG299" s="47"/>
      <c r="AH299" s="47"/>
      <c r="AI299" s="47"/>
    </row>
    <row r="300" spans="2:35" hidden="1">
      <c r="C300" s="43" t="s">
        <v>29</v>
      </c>
      <c r="G300" s="47"/>
      <c r="H300" s="101"/>
      <c r="I300" s="100"/>
      <c r="J300" s="47"/>
      <c r="K300" s="348"/>
      <c r="L300" s="151" t="s">
        <v>277</v>
      </c>
      <c r="M300" s="262">
        <v>-5</v>
      </c>
      <c r="N300" s="137">
        <f t="shared" si="34"/>
        <v>3735.2600940000088</v>
      </c>
      <c r="O300" s="106"/>
      <c r="P300" s="215">
        <v>-0.5</v>
      </c>
      <c r="Q300" s="140">
        <f t="shared" si="35"/>
        <v>-3600.8972784810085</v>
      </c>
      <c r="R300" s="100">
        <f t="shared" si="33"/>
        <v>6449.1027215189915</v>
      </c>
      <c r="S300" s="524" t="s">
        <v>260</v>
      </c>
      <c r="T300" s="47"/>
      <c r="U300" s="47"/>
      <c r="V300" s="100"/>
      <c r="W300" s="183"/>
      <c r="X300" s="47"/>
      <c r="Y300" s="192"/>
      <c r="Z300" s="331"/>
      <c r="AA300" s="174"/>
      <c r="AB300" s="175"/>
      <c r="AC300" s="47"/>
      <c r="AD300" s="176"/>
      <c r="AE300" s="173"/>
      <c r="AF300" s="47"/>
      <c r="AG300" s="47"/>
      <c r="AH300" s="47"/>
      <c r="AI300" s="47"/>
    </row>
    <row r="301" spans="2:35" hidden="1">
      <c r="D301" t="s">
        <v>30</v>
      </c>
      <c r="E301" s="39">
        <f>1312/2</f>
        <v>656</v>
      </c>
      <c r="G301" s="333"/>
      <c r="H301" s="101"/>
      <c r="I301" s="100"/>
      <c r="J301" s="47"/>
      <c r="K301" s="349"/>
      <c r="L301" s="230" t="s">
        <v>276</v>
      </c>
      <c r="M301" s="233">
        <v>-1900</v>
      </c>
      <c r="N301" s="137">
        <f t="shared" si="34"/>
        <v>1835.2600940000088</v>
      </c>
      <c r="O301" s="106"/>
      <c r="P301" s="213">
        <v>-280.8</v>
      </c>
      <c r="Q301" s="140">
        <f t="shared" si="35"/>
        <v>-3881.6972784810087</v>
      </c>
      <c r="R301" s="100">
        <f t="shared" si="33"/>
        <v>6168.3027215189913</v>
      </c>
      <c r="S301" s="524" t="s">
        <v>139</v>
      </c>
      <c r="T301" s="47"/>
      <c r="U301" s="47"/>
      <c r="V301" s="100"/>
      <c r="W301" s="47"/>
      <c r="X301" s="47"/>
      <c r="Y301" s="192"/>
      <c r="Z301" s="331"/>
      <c r="AA301" s="174"/>
      <c r="AB301" s="60"/>
      <c r="AC301" s="47"/>
      <c r="AD301" s="91"/>
      <c r="AE301" s="173"/>
      <c r="AF301" s="47"/>
      <c r="AG301" s="47"/>
      <c r="AH301" s="47"/>
      <c r="AI301" s="47"/>
    </row>
    <row r="302" spans="2:35" hidden="1">
      <c r="D302" s="195" t="s">
        <v>32</v>
      </c>
      <c r="G302" s="333"/>
      <c r="H302" s="101"/>
      <c r="I302" s="100"/>
      <c r="J302" s="47"/>
      <c r="K302" s="348"/>
      <c r="L302" s="356" t="s">
        <v>189</v>
      </c>
      <c r="M302" s="262">
        <v>0</v>
      </c>
      <c r="N302" s="137">
        <f t="shared" si="34"/>
        <v>1835.2600940000088</v>
      </c>
      <c r="O302" s="106"/>
      <c r="P302" s="214">
        <v>-1012</v>
      </c>
      <c r="Q302" s="140">
        <f t="shared" si="35"/>
        <v>-4893.6972784810087</v>
      </c>
      <c r="R302" s="100">
        <f t="shared" si="33"/>
        <v>5156.3027215189913</v>
      </c>
      <c r="S302" s="530" t="s">
        <v>165</v>
      </c>
      <c r="T302" s="47"/>
      <c r="U302" s="47"/>
      <c r="V302" s="215"/>
      <c r="W302" s="47"/>
      <c r="X302" s="47"/>
      <c r="Y302" s="192"/>
      <c r="Z302" s="331"/>
      <c r="AA302" s="174"/>
      <c r="AB302" s="60"/>
      <c r="AC302" s="47"/>
      <c r="AD302" s="172"/>
      <c r="AE302" s="173"/>
      <c r="AF302" s="47"/>
      <c r="AG302" s="47"/>
      <c r="AH302" s="47"/>
      <c r="AI302" s="47"/>
    </row>
    <row r="303" spans="2:35" hidden="1">
      <c r="D303" t="s">
        <v>45</v>
      </c>
      <c r="E303" s="41"/>
      <c r="F303" s="87"/>
      <c r="G303" s="47"/>
      <c r="H303" s="101"/>
      <c r="I303" s="188"/>
      <c r="J303" s="47"/>
      <c r="K303" s="350" t="s">
        <v>264</v>
      </c>
      <c r="L303" s="357" t="s">
        <v>87</v>
      </c>
      <c r="M303" s="232">
        <f>E310</f>
        <v>7648.33</v>
      </c>
      <c r="N303" s="137">
        <f t="shared" si="34"/>
        <v>9483.5900940000083</v>
      </c>
      <c r="O303" s="88"/>
      <c r="P303" s="214">
        <v>-1012</v>
      </c>
      <c r="Q303" s="140">
        <f t="shared" si="35"/>
        <v>-5905.6972784810087</v>
      </c>
      <c r="R303" s="100">
        <f t="shared" si="33"/>
        <v>4144.3027215189913</v>
      </c>
      <c r="S303" s="530" t="s">
        <v>165</v>
      </c>
      <c r="T303" s="111"/>
      <c r="U303" s="47"/>
      <c r="V303" s="100"/>
      <c r="W303" s="60"/>
      <c r="X303" s="47"/>
      <c r="Y303" s="192"/>
      <c r="Z303" s="331"/>
      <c r="AA303" s="174"/>
      <c r="AB303" s="175"/>
      <c r="AC303" s="47"/>
      <c r="AD303" s="172"/>
      <c r="AE303" s="173"/>
      <c r="AF303" s="47"/>
      <c r="AG303" s="47"/>
      <c r="AH303" s="47"/>
      <c r="AI303" s="47"/>
    </row>
    <row r="304" spans="2:35" hidden="1">
      <c r="C304" s="45" t="s">
        <v>17</v>
      </c>
      <c r="E304" s="46">
        <f>SUM(E301:E303)</f>
        <v>656</v>
      </c>
      <c r="G304" s="47"/>
      <c r="H304" s="327"/>
      <c r="I304" s="100"/>
      <c r="J304" s="47"/>
      <c r="K304" s="350" t="s">
        <v>264</v>
      </c>
      <c r="L304" s="357" t="s">
        <v>167</v>
      </c>
      <c r="M304" s="232">
        <v>-700</v>
      </c>
      <c r="N304" s="137">
        <f t="shared" si="34"/>
        <v>8783.5900940000083</v>
      </c>
      <c r="O304" s="88"/>
      <c r="P304" s="214">
        <v>-875.3</v>
      </c>
      <c r="Q304" s="140">
        <f t="shared" si="35"/>
        <v>-6780.9972784810088</v>
      </c>
      <c r="R304" s="100">
        <f t="shared" si="33"/>
        <v>3269.0027215189912</v>
      </c>
      <c r="S304" s="524" t="s">
        <v>270</v>
      </c>
      <c r="T304" s="111"/>
      <c r="U304" s="47"/>
      <c r="V304" s="100"/>
      <c r="W304" s="60"/>
      <c r="X304" s="47"/>
      <c r="Y304" s="192"/>
      <c r="Z304" s="331"/>
      <c r="AA304" s="174"/>
      <c r="AB304" s="60"/>
      <c r="AC304" s="47"/>
      <c r="AD304" s="172"/>
      <c r="AE304" s="177"/>
      <c r="AF304" s="47"/>
      <c r="AG304" s="47"/>
      <c r="AH304" s="47"/>
      <c r="AI304" s="47"/>
    </row>
    <row r="305" spans="2:35" hidden="1">
      <c r="C305" s="45"/>
      <c r="G305" s="47"/>
      <c r="H305" s="101"/>
      <c r="I305" s="188"/>
      <c r="J305" s="47"/>
      <c r="K305" s="350" t="s">
        <v>264</v>
      </c>
      <c r="L305" s="357" t="s">
        <v>237</v>
      </c>
      <c r="M305" s="100">
        <v>-1738</v>
      </c>
      <c r="N305" s="137">
        <f t="shared" si="34"/>
        <v>7045.5900940000083</v>
      </c>
      <c r="O305" s="88"/>
      <c r="P305" s="214">
        <v>1000</v>
      </c>
      <c r="Q305" s="140">
        <f t="shared" si="35"/>
        <v>-5780.9972784810088</v>
      </c>
      <c r="R305" s="100">
        <f t="shared" si="33"/>
        <v>4269.0027215189912</v>
      </c>
      <c r="S305" s="524" t="s">
        <v>158</v>
      </c>
      <c r="T305" s="152"/>
      <c r="U305" s="142"/>
      <c r="V305" s="100"/>
      <c r="W305" s="60"/>
      <c r="X305" s="47"/>
      <c r="Y305" s="192"/>
      <c r="Z305" s="331"/>
      <c r="AA305" s="174"/>
      <c r="AB305" s="60"/>
      <c r="AC305" s="47"/>
      <c r="AD305" s="47"/>
      <c r="AE305" s="173"/>
      <c r="AF305" s="47"/>
      <c r="AG305" s="47"/>
      <c r="AH305" s="47"/>
      <c r="AI305" s="47"/>
    </row>
    <row r="306" spans="2:35" ht="13.5" hidden="1" thickBot="1">
      <c r="D306" s="42" t="s">
        <v>105</v>
      </c>
      <c r="E306" s="63">
        <f>E298-E304</f>
        <v>10249.049999999999</v>
      </c>
      <c r="G306" s="47"/>
      <c r="H306" s="327"/>
      <c r="I306" s="100"/>
      <c r="J306" s="47"/>
      <c r="K306" s="350" t="s">
        <v>264</v>
      </c>
      <c r="L306" s="357" t="s">
        <v>222</v>
      </c>
      <c r="M306" s="100">
        <v>-95</v>
      </c>
      <c r="N306" s="137">
        <f t="shared" si="34"/>
        <v>6950.5900940000083</v>
      </c>
      <c r="O306" s="88"/>
      <c r="P306" s="214">
        <v>-1012</v>
      </c>
      <c r="Q306" s="140">
        <f t="shared" si="35"/>
        <v>-6792.9972784810088</v>
      </c>
      <c r="R306" s="100">
        <f t="shared" si="33"/>
        <v>3257.0027215189912</v>
      </c>
      <c r="S306" s="524" t="s">
        <v>165</v>
      </c>
      <c r="T306" s="111"/>
      <c r="U306" s="142"/>
      <c r="V306" s="60"/>
      <c r="W306" s="60"/>
      <c r="X306" s="171"/>
      <c r="Y306" s="47"/>
      <c r="Z306" s="331"/>
      <c r="AA306" s="174"/>
      <c r="AB306" s="175"/>
      <c r="AC306" s="47"/>
      <c r="AD306" s="178"/>
      <c r="AE306" s="173"/>
      <c r="AF306" s="372"/>
      <c r="AG306" s="47"/>
      <c r="AH306" s="47"/>
      <c r="AI306" s="47"/>
    </row>
    <row r="307" spans="2:35" hidden="1">
      <c r="D307" s="43"/>
      <c r="E307" s="90"/>
      <c r="G307"/>
      <c r="H307" s="58"/>
      <c r="I307" s="100"/>
      <c r="J307" s="47"/>
      <c r="K307" s="350" t="s">
        <v>264</v>
      </c>
      <c r="L307" s="357" t="s">
        <v>97</v>
      </c>
      <c r="M307" s="100">
        <v>-203.5</v>
      </c>
      <c r="N307" s="137">
        <f t="shared" si="34"/>
        <v>6747.0900940000083</v>
      </c>
      <c r="O307" s="88"/>
      <c r="P307" s="214">
        <v>-223.84</v>
      </c>
      <c r="Q307" s="140">
        <f t="shared" si="35"/>
        <v>-7016.837278481009</v>
      </c>
      <c r="R307" s="100">
        <f t="shared" si="33"/>
        <v>3033.162721518991</v>
      </c>
      <c r="S307" s="524" t="s">
        <v>257</v>
      </c>
      <c r="T307" s="365"/>
      <c r="U307" s="134"/>
      <c r="V307" s="60"/>
      <c r="W307" s="60"/>
      <c r="X307" s="84"/>
      <c r="Y307" s="47"/>
      <c r="Z307" s="331"/>
      <c r="AA307" s="174"/>
      <c r="AB307" s="60"/>
      <c r="AC307" s="47"/>
      <c r="AD307" s="47"/>
      <c r="AE307" s="47"/>
      <c r="AF307" s="179"/>
      <c r="AG307" s="47"/>
      <c r="AH307" s="47"/>
      <c r="AI307" s="47"/>
    </row>
    <row r="308" spans="2:35" hidden="1">
      <c r="D308" s="43"/>
      <c r="E308" s="90"/>
      <c r="G308"/>
      <c r="H308" s="58"/>
      <c r="I308" s="100"/>
      <c r="J308" s="47"/>
      <c r="K308" s="350" t="s">
        <v>264</v>
      </c>
      <c r="L308" s="357" t="s">
        <v>266</v>
      </c>
      <c r="M308" s="100">
        <v>-533.94000000000005</v>
      </c>
      <c r="N308" s="137">
        <f t="shared" si="34"/>
        <v>6213.1500940000078</v>
      </c>
      <c r="O308" s="88"/>
      <c r="P308" s="214">
        <v>500</v>
      </c>
      <c r="Q308" s="140">
        <f t="shared" si="35"/>
        <v>-6516.837278481009</v>
      </c>
      <c r="R308" s="100">
        <f t="shared" si="33"/>
        <v>3533.162721518991</v>
      </c>
      <c r="S308" s="524" t="s">
        <v>271</v>
      </c>
      <c r="T308" s="364"/>
      <c r="U308" s="134"/>
      <c r="V308" s="47"/>
      <c r="W308" s="47"/>
      <c r="X308" s="47"/>
      <c r="Y308" s="191"/>
      <c r="Z308" s="331"/>
      <c r="AA308" s="174"/>
      <c r="AB308" s="60"/>
      <c r="AC308" s="47"/>
      <c r="AD308" s="47"/>
      <c r="AE308" s="47"/>
      <c r="AF308" s="47"/>
      <c r="AG308" s="47"/>
      <c r="AH308" s="47"/>
      <c r="AI308" s="47"/>
    </row>
    <row r="309" spans="2:35" hidden="1">
      <c r="C309" s="153" t="s">
        <v>40</v>
      </c>
      <c r="E309" s="97"/>
      <c r="G309"/>
      <c r="H309" s="58"/>
      <c r="I309" s="39"/>
      <c r="J309" s="47"/>
      <c r="K309" s="350" t="s">
        <v>231</v>
      </c>
      <c r="L309" s="358" t="s">
        <v>39</v>
      </c>
      <c r="M309" s="262">
        <v>-103.99</v>
      </c>
      <c r="N309" s="137">
        <f t="shared" si="34"/>
        <v>6109.160094000008</v>
      </c>
      <c r="O309" s="88"/>
      <c r="P309" s="214">
        <v>1000</v>
      </c>
      <c r="Q309" s="140">
        <f t="shared" si="35"/>
        <v>-5516.837278481009</v>
      </c>
      <c r="R309" s="100">
        <f t="shared" si="33"/>
        <v>4533.162721518991</v>
      </c>
      <c r="S309" s="524" t="s">
        <v>158</v>
      </c>
      <c r="T309" s="364"/>
      <c r="U309" s="134"/>
      <c r="V309" s="47"/>
      <c r="W309" s="47"/>
      <c r="X309" s="171"/>
      <c r="Y309" s="191"/>
      <c r="Z309" s="331"/>
      <c r="AA309" s="174"/>
      <c r="AB309" s="175"/>
      <c r="AC309" s="47"/>
      <c r="AD309" s="47"/>
      <c r="AE309" s="47"/>
      <c r="AF309" s="47"/>
      <c r="AG309" s="47"/>
      <c r="AH309" s="47"/>
      <c r="AI309" s="47"/>
    </row>
    <row r="310" spans="2:35" hidden="1">
      <c r="D310" s="47" t="s">
        <v>37</v>
      </c>
      <c r="E310" s="97">
        <v>7648.33</v>
      </c>
      <c r="F310" s="47"/>
      <c r="G310" s="47"/>
      <c r="H310" s="101"/>
      <c r="K310" s="350" t="s">
        <v>231</v>
      </c>
      <c r="L310" s="359" t="s">
        <v>46</v>
      </c>
      <c r="M310" s="262">
        <v>-223.9</v>
      </c>
      <c r="N310" s="137">
        <f t="shared" si="34"/>
        <v>5885.2600940000084</v>
      </c>
      <c r="O310" s="88"/>
      <c r="P310" s="214">
        <v>-275.2</v>
      </c>
      <c r="Q310" s="140">
        <f t="shared" si="35"/>
        <v>-5792.0372784810088</v>
      </c>
      <c r="R310" s="100">
        <f t="shared" si="33"/>
        <v>4257.9627215189912</v>
      </c>
      <c r="S310" s="524" t="s">
        <v>158</v>
      </c>
      <c r="T310" s="364"/>
      <c r="U310" s="134"/>
      <c r="V310" s="47"/>
      <c r="W310" s="47"/>
      <c r="X310" s="47"/>
      <c r="Y310" s="191"/>
      <c r="Z310" s="331"/>
      <c r="AA310" s="174"/>
      <c r="AB310" s="60"/>
      <c r="AC310" s="47"/>
      <c r="AD310" s="47"/>
      <c r="AE310" s="47"/>
      <c r="AF310" s="47"/>
      <c r="AG310" s="372"/>
      <c r="AH310" s="47"/>
      <c r="AI310" s="47"/>
    </row>
    <row r="311" spans="2:35" ht="12.75" hidden="1" customHeight="1">
      <c r="D311" s="150" t="s">
        <v>36</v>
      </c>
      <c r="E311" s="41">
        <f>E306-E310-E312</f>
        <v>2600.7199999999993</v>
      </c>
      <c r="F311" s="150"/>
      <c r="G311" s="689">
        <f>SUM(E310:E311)</f>
        <v>10249.049999999999</v>
      </c>
      <c r="H311" s="689"/>
      <c r="K311" s="355" t="s">
        <v>232</v>
      </c>
      <c r="L311" s="360" t="s">
        <v>92</v>
      </c>
      <c r="M311" s="233">
        <v>-605</v>
      </c>
      <c r="N311" s="138">
        <f t="shared" si="34"/>
        <v>5280.2600940000084</v>
      </c>
      <c r="O311" s="88"/>
      <c r="P311" s="214">
        <v>-132.6</v>
      </c>
      <c r="Q311" s="140">
        <f t="shared" si="35"/>
        <v>-5924.6372784810092</v>
      </c>
      <c r="R311" s="100">
        <f t="shared" si="33"/>
        <v>4125.3627215189908</v>
      </c>
      <c r="S311" s="524" t="s">
        <v>158</v>
      </c>
      <c r="T311" s="364"/>
      <c r="U311" s="163"/>
      <c r="V311" s="47"/>
      <c r="W311" s="47"/>
      <c r="X311" s="47"/>
      <c r="Y311" s="191"/>
      <c r="Z311" s="331"/>
      <c r="AA311" s="174"/>
      <c r="AB311" s="60"/>
      <c r="AC311" s="47"/>
      <c r="AD311" s="47"/>
      <c r="AE311" s="47"/>
      <c r="AF311" s="47"/>
      <c r="AG311" s="47"/>
      <c r="AH311" s="47"/>
      <c r="AI311" s="47"/>
    </row>
    <row r="312" spans="2:35" ht="12.75" hidden="1" customHeight="1">
      <c r="D312" s="47"/>
      <c r="E312" s="60"/>
      <c r="F312" s="204"/>
      <c r="G312" s="688"/>
      <c r="H312" s="688"/>
      <c r="L312" s="58"/>
      <c r="M312" s="255">
        <f>SUM(M296:M311)</f>
        <v>5280.2600940000084</v>
      </c>
      <c r="O312" s="97"/>
      <c r="P312" s="214">
        <v>-381.16</v>
      </c>
      <c r="Q312" s="140">
        <f t="shared" si="35"/>
        <v>-6305.797278481009</v>
      </c>
      <c r="R312" s="100">
        <f t="shared" si="33"/>
        <v>3744.202721518991</v>
      </c>
      <c r="S312" s="524" t="s">
        <v>86</v>
      </c>
      <c r="T312" s="364"/>
      <c r="U312" s="164"/>
      <c r="V312" s="60"/>
      <c r="W312" s="60"/>
      <c r="X312" s="171"/>
      <c r="Y312" s="47"/>
      <c r="Z312" s="331"/>
      <c r="AA312" s="174"/>
      <c r="AB312" s="60"/>
      <c r="AC312" s="47"/>
      <c r="AD312" s="47"/>
      <c r="AE312" s="47"/>
      <c r="AF312" s="47"/>
      <c r="AG312" s="47"/>
      <c r="AH312" s="47"/>
      <c r="AI312" s="47"/>
    </row>
    <row r="313" spans="2:35" ht="12.75" hidden="1" customHeight="1">
      <c r="D313" s="47"/>
      <c r="E313" s="60"/>
      <c r="F313" s="204"/>
      <c r="G313" s="688"/>
      <c r="H313" s="688"/>
      <c r="M313" s="60"/>
      <c r="O313" s="60"/>
      <c r="P313" s="214">
        <v>-155.36000000000001</v>
      </c>
      <c r="Q313" s="140">
        <f t="shared" si="35"/>
        <v>-6461.1572784810087</v>
      </c>
      <c r="R313" s="100">
        <f t="shared" si="33"/>
        <v>3588.8427215189913</v>
      </c>
      <c r="S313" s="524" t="s">
        <v>86</v>
      </c>
      <c r="T313" s="364"/>
      <c r="U313" s="164"/>
      <c r="V313" s="60"/>
      <c r="W313" s="60"/>
      <c r="X313" s="84"/>
      <c r="Y313" s="47"/>
      <c r="Z313" s="331"/>
      <c r="AA313" s="174"/>
      <c r="AB313" s="60"/>
      <c r="AC313" s="47"/>
      <c r="AD313" s="47"/>
      <c r="AE313" s="47"/>
      <c r="AF313" s="47"/>
      <c r="AG313" s="47"/>
      <c r="AH313" s="47"/>
      <c r="AI313" s="47"/>
    </row>
    <row r="314" spans="2:35" hidden="1">
      <c r="D314" s="47"/>
      <c r="E314" s="60"/>
      <c r="F314" s="204"/>
      <c r="G314" s="366"/>
      <c r="H314" s="366"/>
      <c r="L314" s="274"/>
      <c r="M314" s="325"/>
      <c r="O314" s="60"/>
      <c r="P314" s="214">
        <v>-234.25</v>
      </c>
      <c r="Q314" s="140">
        <f t="shared" si="35"/>
        <v>-6695.4072784810087</v>
      </c>
      <c r="R314" s="100">
        <f t="shared" si="33"/>
        <v>3354.5927215189913</v>
      </c>
      <c r="S314" s="524" t="s">
        <v>86</v>
      </c>
      <c r="T314" s="364"/>
      <c r="U314" s="47"/>
      <c r="V314" s="60"/>
      <c r="W314" s="60"/>
      <c r="X314" s="47"/>
      <c r="Y314" s="47"/>
      <c r="Z314" s="331"/>
      <c r="AA314" s="174"/>
      <c r="AB314" s="60"/>
      <c r="AC314" s="47"/>
      <c r="AD314" s="47"/>
      <c r="AE314" s="47"/>
      <c r="AF314" s="47"/>
      <c r="AG314" s="47"/>
      <c r="AH314" s="47"/>
      <c r="AI314" s="47"/>
    </row>
    <row r="315" spans="2:35" ht="15" hidden="1">
      <c r="B315" s="47"/>
      <c r="C315" s="84"/>
      <c r="D315" s="297"/>
      <c r="E315" s="100"/>
      <c r="F315" s="300"/>
      <c r="G315" s="366"/>
      <c r="H315" s="366"/>
      <c r="I315" s="47"/>
      <c r="M315" s="60"/>
      <c r="N315" s="71"/>
      <c r="O315" s="60"/>
      <c r="P315" s="214">
        <v>-294.89999999999998</v>
      </c>
      <c r="Q315" s="140">
        <f t="shared" si="35"/>
        <v>-6990.3072784810083</v>
      </c>
      <c r="R315" s="100">
        <f t="shared" si="33"/>
        <v>3059.6927215189917</v>
      </c>
      <c r="S315" s="530" t="s">
        <v>235</v>
      </c>
      <c r="T315" s="364"/>
      <c r="U315" s="47"/>
      <c r="V315" s="60"/>
      <c r="W315" s="60"/>
      <c r="X315" s="171"/>
      <c r="Y315" s="47"/>
      <c r="Z315" s="331"/>
      <c r="AA315" s="174"/>
      <c r="AB315" s="60"/>
      <c r="AC315" s="47"/>
      <c r="AD315" s="47"/>
      <c r="AE315" s="47"/>
      <c r="AF315" s="47"/>
      <c r="AG315" s="47"/>
      <c r="AH315" s="47"/>
      <c r="AI315" s="47"/>
    </row>
    <row r="316" spans="2:35" hidden="1">
      <c r="B316" s="47"/>
      <c r="C316" s="84"/>
      <c r="D316" s="298"/>
      <c r="E316" s="100"/>
      <c r="F316" s="204"/>
      <c r="G316" s="299"/>
      <c r="H316" s="366"/>
      <c r="I316" s="47"/>
      <c r="L316" s="171"/>
      <c r="M316" s="60"/>
      <c r="N316" s="326"/>
      <c r="O316" s="60"/>
      <c r="P316" s="214">
        <v>-2000</v>
      </c>
      <c r="Q316" s="140">
        <f t="shared" si="35"/>
        <v>-8990.3072784810083</v>
      </c>
      <c r="R316" s="100">
        <f t="shared" si="33"/>
        <v>1059.6927215189917</v>
      </c>
      <c r="S316" s="530" t="s">
        <v>103</v>
      </c>
      <c r="T316" s="364"/>
      <c r="U316" s="47"/>
      <c r="V316" s="60"/>
      <c r="W316" s="60"/>
      <c r="X316" s="171"/>
      <c r="Y316" s="47"/>
      <c r="Z316" s="331"/>
      <c r="AA316" s="174"/>
      <c r="AB316" s="60"/>
      <c r="AC316" s="47"/>
      <c r="AD316" s="47"/>
      <c r="AE316" s="47"/>
      <c r="AF316" s="47"/>
      <c r="AG316" s="47"/>
      <c r="AH316" s="47"/>
      <c r="AI316" s="47"/>
    </row>
    <row r="317" spans="2:35" hidden="1">
      <c r="B317" s="47"/>
      <c r="C317" s="84"/>
      <c r="D317" s="298"/>
      <c r="E317" s="100"/>
      <c r="F317" s="204"/>
      <c r="G317" s="299"/>
      <c r="H317" s="366"/>
      <c r="I317" s="47"/>
      <c r="L317" s="171"/>
      <c r="M317" s="60"/>
      <c r="N317" s="326"/>
      <c r="O317" s="60"/>
      <c r="P317" s="214">
        <v>-278.85000000000002</v>
      </c>
      <c r="Q317" s="140">
        <f t="shared" si="35"/>
        <v>-9269.1572784810087</v>
      </c>
      <c r="R317" s="100">
        <f t="shared" si="33"/>
        <v>780.84272151899131</v>
      </c>
      <c r="S317" s="530" t="s">
        <v>158</v>
      </c>
      <c r="T317" s="364"/>
      <c r="U317" s="47"/>
      <c r="V317" s="60"/>
      <c r="W317" s="60"/>
      <c r="X317" s="171"/>
      <c r="Y317" s="47"/>
      <c r="Z317" s="331"/>
      <c r="AA317" s="174"/>
      <c r="AB317" s="60"/>
      <c r="AC317" s="47"/>
      <c r="AD317" s="47"/>
      <c r="AE317" s="47"/>
      <c r="AF317" s="47"/>
      <c r="AG317" s="47"/>
      <c r="AH317" s="47"/>
      <c r="AI317" s="47"/>
    </row>
    <row r="318" spans="2:35" hidden="1">
      <c r="B318" s="47"/>
      <c r="C318" s="84"/>
      <c r="D318" s="60"/>
      <c r="E318" s="100"/>
      <c r="F318" s="204"/>
      <c r="G318" s="366"/>
      <c r="H318" s="366"/>
      <c r="L318" s="47"/>
      <c r="M318" s="60"/>
      <c r="N318" s="47"/>
      <c r="O318" s="60"/>
      <c r="P318" s="214">
        <v>-712</v>
      </c>
      <c r="Q318" s="140">
        <f t="shared" si="35"/>
        <v>-9981.1572784810087</v>
      </c>
      <c r="R318" s="100">
        <f t="shared" si="33"/>
        <v>68.842721518991311</v>
      </c>
      <c r="S318" s="530" t="s">
        <v>165</v>
      </c>
      <c r="T318" s="364"/>
      <c r="U318" s="47"/>
      <c r="V318" s="60"/>
      <c r="W318" s="60"/>
      <c r="X318" s="171"/>
      <c r="Y318" s="47"/>
      <c r="Z318" s="331"/>
      <c r="AA318" s="174"/>
      <c r="AB318" s="60"/>
      <c r="AC318" s="47"/>
      <c r="AD318" s="47"/>
      <c r="AE318" s="47"/>
      <c r="AF318" s="47"/>
      <c r="AG318" s="47"/>
      <c r="AH318" s="47"/>
      <c r="AI318" s="47"/>
    </row>
    <row r="319" spans="2:35" hidden="1">
      <c r="E319"/>
      <c r="G319"/>
      <c r="L319" s="171"/>
      <c r="M319" s="60"/>
      <c r="N319" s="191"/>
      <c r="O319" s="373"/>
      <c r="P319" s="214">
        <v>-280</v>
      </c>
      <c r="Q319" s="140">
        <f t="shared" si="35"/>
        <v>-10261.157278481009</v>
      </c>
      <c r="R319" s="100">
        <f t="shared" si="33"/>
        <v>-211.15727848100869</v>
      </c>
      <c r="S319" s="530" t="s">
        <v>278</v>
      </c>
      <c r="T319" s="364"/>
      <c r="U319" s="47"/>
      <c r="V319" s="60"/>
      <c r="W319" s="60"/>
      <c r="X319" s="171"/>
      <c r="Y319" s="47"/>
      <c r="Z319" s="331"/>
      <c r="AA319" s="174"/>
      <c r="AB319" s="60"/>
      <c r="AC319" s="47"/>
      <c r="AD319" s="47"/>
      <c r="AE319" s="47"/>
      <c r="AF319" s="47"/>
      <c r="AG319" s="47"/>
      <c r="AH319" s="47"/>
      <c r="AI319" s="47"/>
    </row>
    <row r="320" spans="2:35" hidden="1">
      <c r="B320" s="47"/>
      <c r="C320" s="84"/>
      <c r="D320" s="60"/>
      <c r="E320" s="100"/>
      <c r="F320" s="204"/>
      <c r="G320" s="366"/>
      <c r="H320" s="366"/>
      <c r="L320" s="327"/>
      <c r="M320" s="60"/>
      <c r="N320" s="328"/>
      <c r="O320" s="332"/>
      <c r="P320" s="149">
        <f>E311</f>
        <v>2600.7199999999993</v>
      </c>
      <c r="Q320" s="141">
        <f>Q319+P320</f>
        <v>-7660.4372784810093</v>
      </c>
      <c r="R320" s="115">
        <f>10050+Q320</f>
        <v>2389.5627215189907</v>
      </c>
      <c r="S320" s="531"/>
      <c r="T320" s="364"/>
      <c r="U320" s="47"/>
      <c r="V320" s="60"/>
      <c r="W320" s="60"/>
      <c r="X320" s="171"/>
      <c r="Y320" s="47"/>
      <c r="Z320" s="331"/>
      <c r="AA320" s="174"/>
      <c r="AB320" s="60"/>
      <c r="AC320" s="47"/>
      <c r="AD320" s="47"/>
      <c r="AE320" s="47"/>
      <c r="AF320" s="47"/>
      <c r="AG320" s="47"/>
      <c r="AH320" s="47"/>
      <c r="AI320" s="47"/>
    </row>
    <row r="321" spans="2:35" ht="12.75" hidden="1" customHeight="1">
      <c r="B321" s="47"/>
      <c r="C321" s="954"/>
      <c r="D321" s="954"/>
      <c r="E321" s="728"/>
      <c r="F321" s="729"/>
      <c r="G321" s="366"/>
      <c r="H321" s="366"/>
      <c r="L321" s="47"/>
      <c r="M321" s="60"/>
      <c r="N321" s="47"/>
      <c r="O321" s="364"/>
      <c r="P321" s="133">
        <f>SUM(P296:P320)</f>
        <v>-7660.4372784810093</v>
      </c>
      <c r="Q321" s="132"/>
      <c r="R321" s="132"/>
      <c r="S321" s="531"/>
      <c r="T321" s="364"/>
      <c r="U321" s="47"/>
      <c r="V321" s="60"/>
      <c r="W321" s="60"/>
      <c r="X321" s="171"/>
      <c r="Y321" s="47"/>
      <c r="Z321" s="331"/>
      <c r="AA321" s="174"/>
      <c r="AB321" s="60"/>
      <c r="AC321" s="47"/>
      <c r="AD321" s="47"/>
      <c r="AE321" s="47"/>
      <c r="AF321" s="47"/>
      <c r="AG321" s="47"/>
      <c r="AH321" s="47"/>
      <c r="AI321" s="47"/>
    </row>
    <row r="322" spans="2:35" s="150" customFormat="1" hidden="1">
      <c r="E322" s="41"/>
      <c r="G322" s="211"/>
      <c r="K322" s="349"/>
      <c r="M322" s="41"/>
      <c r="P322" s="41"/>
      <c r="Q322" s="41"/>
      <c r="R322" s="41"/>
      <c r="S322" s="535"/>
      <c r="Z322" s="41"/>
      <c r="AA322" s="212"/>
      <c r="AB322" s="41"/>
    </row>
    <row r="323" spans="2:35" hidden="1"/>
    <row r="324" spans="2:35" hidden="1">
      <c r="B324" s="967" t="s">
        <v>279</v>
      </c>
      <c r="C324" s="967"/>
      <c r="D324" s="967"/>
      <c r="E324" s="967"/>
      <c r="G324" s="352"/>
      <c r="H324" s="352"/>
      <c r="I324" s="60"/>
      <c r="K324" s="350"/>
      <c r="L324" s="180"/>
      <c r="M324" s="970" t="s">
        <v>90</v>
      </c>
      <c r="N324" s="386"/>
      <c r="O324" s="382"/>
      <c r="P324" s="972" t="s">
        <v>84</v>
      </c>
      <c r="Q324" s="974" t="s">
        <v>284</v>
      </c>
      <c r="R324" s="974"/>
      <c r="S324" s="528"/>
      <c r="X324" s="84"/>
      <c r="Y324" s="84"/>
      <c r="Z324" s="60"/>
      <c r="AA324" s="383"/>
      <c r="AB324" s="60"/>
      <c r="AC324" s="47"/>
      <c r="AD324" s="47"/>
      <c r="AE324" s="47"/>
      <c r="AF324" s="47"/>
      <c r="AG324" s="47"/>
      <c r="AH324" s="47"/>
      <c r="AI324" s="47"/>
    </row>
    <row r="325" spans="2:35" ht="12.75" hidden="1" customHeight="1">
      <c r="C325" s="43" t="s">
        <v>35</v>
      </c>
      <c r="D325" s="39"/>
      <c r="E325" s="99">
        <v>9000</v>
      </c>
      <c r="G325" s="687"/>
      <c r="H325" s="687"/>
      <c r="I325" s="60"/>
      <c r="K325" s="351" t="s">
        <v>263</v>
      </c>
      <c r="L325" s="242"/>
      <c r="M325" s="971"/>
      <c r="N325" s="386" t="s">
        <v>79</v>
      </c>
      <c r="O325" s="382"/>
      <c r="P325" s="973"/>
      <c r="Q325" s="384" t="s">
        <v>79</v>
      </c>
      <c r="R325" s="385" t="s">
        <v>89</v>
      </c>
      <c r="S325" s="528"/>
      <c r="X325" s="198"/>
      <c r="Y325" s="191"/>
      <c r="Z325" s="197"/>
      <c r="AA325" s="169"/>
      <c r="AB325" s="170"/>
      <c r="AC325" s="47"/>
      <c r="AD325" s="91"/>
      <c r="AE325" s="47"/>
      <c r="AF325" s="47"/>
      <c r="AG325" s="47"/>
      <c r="AH325" s="47"/>
      <c r="AI325" s="47"/>
    </row>
    <row r="326" spans="2:35" hidden="1">
      <c r="C326" s="43"/>
      <c r="D326" s="39" t="s">
        <v>47</v>
      </c>
      <c r="E326" s="99">
        <f>'[1]FEBRUARY ''12'!$C$75</f>
        <v>962.94</v>
      </c>
      <c r="G326" s="74"/>
      <c r="H326" s="74"/>
      <c r="I326" s="60"/>
      <c r="K326" s="362"/>
      <c r="L326" s="327" t="s">
        <v>268</v>
      </c>
      <c r="M326" s="60">
        <f>$M$312</f>
        <v>5280.2600940000084</v>
      </c>
      <c r="N326" s="376">
        <f>M326</f>
        <v>5280.2600940000084</v>
      </c>
      <c r="O326" s="60"/>
      <c r="P326" s="100">
        <f>$Q$320</f>
        <v>-7660.4372784810093</v>
      </c>
      <c r="Q326" s="139">
        <f>P326</f>
        <v>-7660.4372784810093</v>
      </c>
      <c r="R326" s="100">
        <f t="shared" ref="R326:R337" si="36">15550+Q326</f>
        <v>7889.5627215189907</v>
      </c>
      <c r="S326" s="532"/>
      <c r="T326" s="71"/>
      <c r="X326" s="171"/>
      <c r="Y326" s="191"/>
      <c r="Z326" s="60"/>
      <c r="AA326" s="383"/>
      <c r="AB326" s="60"/>
      <c r="AC326" s="47"/>
      <c r="AD326" s="172"/>
      <c r="AE326" s="173"/>
      <c r="AF326" s="47"/>
      <c r="AG326" s="47"/>
      <c r="AH326" s="47"/>
      <c r="AI326" s="47"/>
    </row>
    <row r="327" spans="2:35" hidden="1">
      <c r="C327" s="43"/>
      <c r="D327" s="229" t="s">
        <v>267</v>
      </c>
      <c r="E327" s="41">
        <f>'[1]JANUARY ''12'!$C$64</f>
        <v>84.11999999999999</v>
      </c>
      <c r="G327"/>
      <c r="I327" s="60"/>
      <c r="K327" s="347" t="s">
        <v>265</v>
      </c>
      <c r="L327" s="181" t="s">
        <v>269</v>
      </c>
      <c r="M327" s="215">
        <v>-308</v>
      </c>
      <c r="N327" s="137">
        <f>N326+M327</f>
        <v>4972.2600940000084</v>
      </c>
      <c r="O327" s="134"/>
      <c r="P327" s="215">
        <v>-107.78</v>
      </c>
      <c r="Q327" s="140">
        <f>Q326+P327</f>
        <v>-7768.2172784810091</v>
      </c>
      <c r="R327" s="100">
        <f t="shared" si="36"/>
        <v>7781.7827215189909</v>
      </c>
      <c r="S327" s="524" t="s">
        <v>280</v>
      </c>
      <c r="X327" s="47"/>
      <c r="Y327" s="192"/>
      <c r="Z327" s="331"/>
      <c r="AA327" s="174"/>
      <c r="AB327" s="175"/>
      <c r="AC327" s="47"/>
      <c r="AD327" s="91"/>
      <c r="AE327" s="173"/>
      <c r="AF327" s="47"/>
      <c r="AG327" s="47"/>
      <c r="AH327" s="47"/>
      <c r="AI327" s="47"/>
    </row>
    <row r="328" spans="2:35" hidden="1">
      <c r="C328" s="45" t="s">
        <v>17</v>
      </c>
      <c r="D328" s="39"/>
      <c r="E328" s="39">
        <f>SUM(E325:E327)</f>
        <v>10047.060000000001</v>
      </c>
      <c r="G328" s="334"/>
      <c r="H328" s="334"/>
      <c r="I328" s="334"/>
      <c r="J328" s="47"/>
      <c r="K328" s="347"/>
      <c r="L328" s="181" t="s">
        <v>282</v>
      </c>
      <c r="M328" s="215">
        <v>-3107.28</v>
      </c>
      <c r="N328" s="137">
        <f>N327+M328</f>
        <v>1864.9800940000082</v>
      </c>
      <c r="O328" s="134"/>
      <c r="P328" s="215">
        <v>-512</v>
      </c>
      <c r="Q328" s="140">
        <f>Q327+P328</f>
        <v>-8280.21727848101</v>
      </c>
      <c r="R328" s="100">
        <f t="shared" si="36"/>
        <v>7269.78272151899</v>
      </c>
      <c r="S328" s="524" t="s">
        <v>281</v>
      </c>
      <c r="U328" s="191"/>
      <c r="V328" s="47"/>
      <c r="W328" s="47"/>
      <c r="X328" s="47"/>
      <c r="Y328" s="192"/>
      <c r="Z328" s="331"/>
      <c r="AA328" s="174"/>
      <c r="AB328" s="60"/>
      <c r="AC328" s="47"/>
      <c r="AD328" s="172"/>
      <c r="AE328" s="173"/>
      <c r="AF328" s="47"/>
      <c r="AG328" s="47"/>
      <c r="AH328" s="47"/>
      <c r="AI328" s="47"/>
    </row>
    <row r="329" spans="2:35" hidden="1">
      <c r="G329" s="47"/>
      <c r="H329" s="101"/>
      <c r="I329" s="100"/>
      <c r="J329" s="117"/>
      <c r="K329" s="348"/>
      <c r="L329" s="151" t="s">
        <v>283</v>
      </c>
      <c r="M329" s="262">
        <v>400</v>
      </c>
      <c r="N329" s="137">
        <f>N328+M329</f>
        <v>2264.9800940000082</v>
      </c>
      <c r="O329" s="105"/>
      <c r="P329" s="215">
        <v>-32.49</v>
      </c>
      <c r="Q329" s="140">
        <f t="shared" ref="Q329:Q337" si="37">Q328+P329</f>
        <v>-8312.7072784810098</v>
      </c>
      <c r="R329" s="100">
        <f t="shared" si="36"/>
        <v>7237.2927215189902</v>
      </c>
      <c r="S329" s="524" t="s">
        <v>85</v>
      </c>
      <c r="T329" s="284"/>
      <c r="U329" s="47"/>
      <c r="V329" s="100"/>
      <c r="W329" s="47"/>
      <c r="X329" s="171"/>
      <c r="Y329" s="192"/>
      <c r="Z329" s="331"/>
      <c r="AA329" s="174"/>
      <c r="AB329" s="60"/>
      <c r="AC329" s="47"/>
      <c r="AD329" s="172"/>
      <c r="AE329" s="173"/>
      <c r="AF329" s="47"/>
      <c r="AG329" s="47"/>
      <c r="AH329" s="47"/>
      <c r="AI329" s="47"/>
    </row>
    <row r="330" spans="2:35" hidden="1">
      <c r="C330" s="43" t="s">
        <v>29</v>
      </c>
      <c r="G330" s="47"/>
      <c r="H330" s="101"/>
      <c r="I330" s="100"/>
      <c r="J330" s="47"/>
      <c r="K330" s="350" t="s">
        <v>290</v>
      </c>
      <c r="L330" s="357" t="s">
        <v>87</v>
      </c>
      <c r="M330" s="262">
        <v>2000</v>
      </c>
      <c r="N330" s="137">
        <f t="shared" ref="N330:N338" si="38">N329+M330</f>
        <v>4264.9800940000077</v>
      </c>
      <c r="O330" s="106"/>
      <c r="P330" s="215">
        <v>-408.29</v>
      </c>
      <c r="Q330" s="140">
        <f t="shared" si="37"/>
        <v>-8720.9972784810107</v>
      </c>
      <c r="R330" s="100">
        <f t="shared" si="36"/>
        <v>6829.0027215189893</v>
      </c>
      <c r="S330" s="524" t="s">
        <v>86</v>
      </c>
      <c r="T330" s="47"/>
      <c r="U330" s="47"/>
      <c r="V330" s="100"/>
      <c r="W330" s="183"/>
      <c r="X330" s="47"/>
      <c r="Y330" s="192"/>
      <c r="Z330" s="331"/>
      <c r="AA330" s="174"/>
      <c r="AB330" s="175"/>
      <c r="AC330" s="47"/>
      <c r="AD330" s="176"/>
      <c r="AE330" s="173"/>
      <c r="AF330" s="47"/>
      <c r="AG330" s="47"/>
      <c r="AH330" s="47"/>
      <c r="AI330" s="47"/>
    </row>
    <row r="331" spans="2:35" hidden="1">
      <c r="D331" t="s">
        <v>30</v>
      </c>
      <c r="E331" s="39">
        <f>1312/2</f>
        <v>656</v>
      </c>
      <c r="G331" s="333"/>
      <c r="H331" s="101"/>
      <c r="I331" s="100"/>
      <c r="J331" s="47"/>
      <c r="K331" s="350" t="s">
        <v>290</v>
      </c>
      <c r="L331" s="357" t="s">
        <v>237</v>
      </c>
      <c r="M331" s="100">
        <v>-1738</v>
      </c>
      <c r="N331" s="137">
        <f t="shared" si="38"/>
        <v>2526.9800940000077</v>
      </c>
      <c r="O331" s="106"/>
      <c r="P331" s="214">
        <v>-512</v>
      </c>
      <c r="Q331" s="140">
        <f t="shared" si="37"/>
        <v>-9232.9972784810107</v>
      </c>
      <c r="R331" s="100">
        <f t="shared" si="36"/>
        <v>6317.0027215189893</v>
      </c>
      <c r="S331" s="530" t="s">
        <v>281</v>
      </c>
      <c r="T331" s="47"/>
      <c r="U331" s="47"/>
      <c r="V331" s="100"/>
      <c r="W331" s="47"/>
      <c r="X331" s="47"/>
      <c r="Y331" s="192"/>
      <c r="Z331" s="331"/>
      <c r="AA331" s="174"/>
      <c r="AB331" s="60"/>
      <c r="AC331" s="47"/>
      <c r="AD331" s="91"/>
      <c r="AE331" s="173"/>
      <c r="AF331" s="47"/>
      <c r="AG331" s="47"/>
      <c r="AH331" s="47"/>
      <c r="AI331" s="47"/>
    </row>
    <row r="332" spans="2:35" hidden="1">
      <c r="D332" s="195" t="s">
        <v>32</v>
      </c>
      <c r="G332" s="333"/>
      <c r="H332" s="101"/>
      <c r="I332" s="100"/>
      <c r="J332" s="47"/>
      <c r="K332" s="350" t="s">
        <v>291</v>
      </c>
      <c r="L332" s="357" t="s">
        <v>87</v>
      </c>
      <c r="M332" s="232">
        <f>E340-M330</f>
        <v>5648.33</v>
      </c>
      <c r="N332" s="137">
        <f t="shared" si="38"/>
        <v>8175.3100940000077</v>
      </c>
      <c r="O332" s="106"/>
      <c r="P332" s="214">
        <v>49.58</v>
      </c>
      <c r="Q332" s="140">
        <f t="shared" si="37"/>
        <v>-9183.4172784810107</v>
      </c>
      <c r="R332" s="100">
        <f t="shared" si="36"/>
        <v>6366.5827215189893</v>
      </c>
      <c r="S332" s="530" t="s">
        <v>280</v>
      </c>
      <c r="T332" s="47"/>
      <c r="U332" s="47"/>
      <c r="V332" s="215"/>
      <c r="W332" s="47"/>
      <c r="X332" s="47"/>
      <c r="Y332" s="192"/>
      <c r="Z332" s="331"/>
      <c r="AA332" s="174"/>
      <c r="AB332" s="60"/>
      <c r="AC332" s="47"/>
      <c r="AD332" s="172"/>
      <c r="AE332" s="173"/>
      <c r="AF332" s="47"/>
      <c r="AG332" s="47"/>
      <c r="AH332" s="47"/>
      <c r="AI332" s="47"/>
    </row>
    <row r="333" spans="2:35" hidden="1">
      <c r="D333" t="s">
        <v>45</v>
      </c>
      <c r="E333" s="41"/>
      <c r="F333" s="87"/>
      <c r="G333" s="47"/>
      <c r="H333" s="101"/>
      <c r="I333" s="188"/>
      <c r="J333" s="47"/>
      <c r="K333" s="350" t="s">
        <v>291</v>
      </c>
      <c r="L333" s="357" t="s">
        <v>167</v>
      </c>
      <c r="M333" s="232">
        <v>-700</v>
      </c>
      <c r="N333" s="137">
        <f t="shared" si="38"/>
        <v>7475.3100940000077</v>
      </c>
      <c r="O333" s="88"/>
      <c r="P333" s="214">
        <v>-512</v>
      </c>
      <c r="Q333" s="140">
        <f t="shared" si="37"/>
        <v>-9695.4172784810107</v>
      </c>
      <c r="R333" s="100">
        <f t="shared" si="36"/>
        <v>5854.5827215189893</v>
      </c>
      <c r="S333" s="530" t="s">
        <v>281</v>
      </c>
      <c r="T333" s="111"/>
      <c r="U333" s="47"/>
      <c r="V333" s="100"/>
      <c r="W333" s="60"/>
      <c r="X333" s="47"/>
      <c r="Y333" s="192"/>
      <c r="Z333" s="331"/>
      <c r="AA333" s="174"/>
      <c r="AB333" s="175"/>
      <c r="AC333" s="47"/>
      <c r="AD333" s="172"/>
      <c r="AE333" s="173"/>
      <c r="AF333" s="47"/>
      <c r="AG333" s="47"/>
      <c r="AH333" s="47"/>
      <c r="AI333" s="47"/>
    </row>
    <row r="334" spans="2:35" hidden="1">
      <c r="C334" s="45" t="s">
        <v>17</v>
      </c>
      <c r="E334" s="46">
        <f>SUM(E331:E333)</f>
        <v>656</v>
      </c>
      <c r="G334" s="47"/>
      <c r="H334" s="327"/>
      <c r="I334" s="100"/>
      <c r="J334" s="47"/>
      <c r="K334" s="350" t="s">
        <v>291</v>
      </c>
      <c r="L334" s="357" t="s">
        <v>222</v>
      </c>
      <c r="M334" s="100">
        <v>-95</v>
      </c>
      <c r="N334" s="137">
        <f t="shared" si="38"/>
        <v>7380.3100940000077</v>
      </c>
      <c r="O334" s="88"/>
      <c r="P334" s="214">
        <v>1000</v>
      </c>
      <c r="Q334" s="140">
        <f t="shared" si="37"/>
        <v>-8695.4172784810107</v>
      </c>
      <c r="R334" s="100">
        <f t="shared" si="36"/>
        <v>6854.5827215189893</v>
      </c>
      <c r="S334" s="524" t="s">
        <v>191</v>
      </c>
      <c r="T334" s="111"/>
      <c r="U334" s="47"/>
      <c r="V334" s="100"/>
      <c r="W334" s="60"/>
      <c r="X334" s="47"/>
      <c r="Y334" s="192"/>
      <c r="Z334" s="331"/>
      <c r="AA334" s="174"/>
      <c r="AB334" s="60"/>
      <c r="AC334" s="47"/>
      <c r="AD334" s="172"/>
      <c r="AE334" s="177"/>
      <c r="AF334" s="47"/>
      <c r="AG334" s="47"/>
      <c r="AH334" s="47"/>
      <c r="AI334" s="47"/>
    </row>
    <row r="335" spans="2:35" hidden="1">
      <c r="C335" s="45"/>
      <c r="G335" s="47"/>
      <c r="H335" s="101"/>
      <c r="I335" s="188"/>
      <c r="J335" s="47"/>
      <c r="K335" s="350" t="s">
        <v>291</v>
      </c>
      <c r="L335" s="357" t="s">
        <v>97</v>
      </c>
      <c r="M335" s="100">
        <v>-203.5</v>
      </c>
      <c r="N335" s="137">
        <f t="shared" si="38"/>
        <v>7176.8100940000077</v>
      </c>
      <c r="O335" s="88"/>
      <c r="P335" s="214">
        <v>-53</v>
      </c>
      <c r="Q335" s="140">
        <f t="shared" si="37"/>
        <v>-8748.4172784810107</v>
      </c>
      <c r="R335" s="100">
        <f t="shared" si="36"/>
        <v>6801.5827215189893</v>
      </c>
      <c r="S335" s="524" t="s">
        <v>286</v>
      </c>
      <c r="T335" s="152"/>
      <c r="U335" s="142"/>
      <c r="V335" s="100"/>
      <c r="W335" s="60"/>
      <c r="X335" s="47"/>
      <c r="Y335" s="192"/>
      <c r="Z335" s="331"/>
      <c r="AA335" s="174"/>
      <c r="AB335" s="60"/>
      <c r="AC335" s="47"/>
      <c r="AD335" s="47"/>
      <c r="AE335" s="173"/>
      <c r="AF335" s="47"/>
      <c r="AG335" s="47"/>
      <c r="AH335" s="47"/>
      <c r="AI335" s="47"/>
    </row>
    <row r="336" spans="2:35" ht="13.5" hidden="1" thickBot="1">
      <c r="D336" s="42" t="s">
        <v>105</v>
      </c>
      <c r="E336" s="63">
        <f>E328-E334</f>
        <v>9391.0600000000013</v>
      </c>
      <c r="G336" s="47"/>
      <c r="H336" s="327"/>
      <c r="I336" s="100"/>
      <c r="J336" s="47"/>
      <c r="K336" s="350" t="s">
        <v>291</v>
      </c>
      <c r="L336" s="357" t="s">
        <v>266</v>
      </c>
      <c r="M336" s="100">
        <v>-533.94000000000005</v>
      </c>
      <c r="N336" s="137">
        <f t="shared" si="38"/>
        <v>6642.8700940000072</v>
      </c>
      <c r="O336" s="88"/>
      <c r="P336" s="214">
        <v>-5130</v>
      </c>
      <c r="Q336" s="140">
        <f t="shared" si="37"/>
        <v>-13878.417278481011</v>
      </c>
      <c r="R336" s="100">
        <f t="shared" si="36"/>
        <v>1671.5827215189893</v>
      </c>
      <c r="S336" s="524" t="s">
        <v>287</v>
      </c>
      <c r="T336" s="111"/>
      <c r="U336" s="142"/>
      <c r="V336" s="60"/>
      <c r="W336" s="60"/>
      <c r="X336" s="171"/>
      <c r="Y336" s="47"/>
      <c r="Z336" s="331"/>
      <c r="AA336" s="174"/>
      <c r="AB336" s="175"/>
      <c r="AC336" s="47"/>
      <c r="AD336" s="178"/>
      <c r="AE336" s="173"/>
      <c r="AF336" s="383"/>
      <c r="AG336" s="47"/>
      <c r="AH336" s="47"/>
      <c r="AI336" s="47"/>
    </row>
    <row r="337" spans="2:35" hidden="1">
      <c r="D337" s="43"/>
      <c r="E337" s="90"/>
      <c r="G337"/>
      <c r="H337" s="58"/>
      <c r="I337" s="100"/>
      <c r="J337" s="47"/>
      <c r="K337" s="350" t="s">
        <v>231</v>
      </c>
      <c r="L337" s="358" t="s">
        <v>39</v>
      </c>
      <c r="M337" s="262">
        <v>-103.99</v>
      </c>
      <c r="N337" s="137">
        <f t="shared" si="38"/>
        <v>6538.8800940000074</v>
      </c>
      <c r="O337" s="88"/>
      <c r="P337" s="214">
        <v>-61.75</v>
      </c>
      <c r="Q337" s="140">
        <f t="shared" si="37"/>
        <v>-13940.167278481011</v>
      </c>
      <c r="R337" s="100">
        <f t="shared" si="36"/>
        <v>1609.8327215189893</v>
      </c>
      <c r="S337" s="524" t="s">
        <v>93</v>
      </c>
      <c r="T337" s="381"/>
      <c r="U337" s="134"/>
      <c r="V337" s="60"/>
      <c r="W337" s="60"/>
      <c r="X337" s="84"/>
      <c r="Y337" s="47"/>
      <c r="Z337" s="331"/>
      <c r="AA337" s="174"/>
      <c r="AB337" s="60"/>
      <c r="AC337" s="47"/>
      <c r="AD337" s="47"/>
      <c r="AE337" s="47"/>
      <c r="AF337" s="179"/>
      <c r="AG337" s="47"/>
      <c r="AH337" s="47"/>
      <c r="AI337" s="47"/>
    </row>
    <row r="338" spans="2:35" hidden="1">
      <c r="D338" s="43"/>
      <c r="E338" s="90"/>
      <c r="G338"/>
      <c r="H338" s="58"/>
      <c r="I338" s="100"/>
      <c r="J338" s="47"/>
      <c r="K338" s="350" t="s">
        <v>231</v>
      </c>
      <c r="L338" s="359" t="s">
        <v>92</v>
      </c>
      <c r="M338" s="262">
        <v>-605</v>
      </c>
      <c r="N338" s="137">
        <f t="shared" si="38"/>
        <v>5933.8800940000074</v>
      </c>
      <c r="O338" s="88"/>
      <c r="P338" s="106">
        <f>E341</f>
        <v>1742.7300000000014</v>
      </c>
      <c r="Q338" s="141">
        <f>Q337+P338</f>
        <v>-12197.437278481009</v>
      </c>
      <c r="R338" s="115">
        <f>15550+Q338</f>
        <v>3352.5627215189907</v>
      </c>
      <c r="S338" s="524" t="s">
        <v>296</v>
      </c>
      <c r="T338" s="380"/>
      <c r="U338" s="134"/>
      <c r="V338" s="47"/>
      <c r="W338" s="47"/>
      <c r="X338" s="47"/>
      <c r="Y338" s="191"/>
      <c r="Z338" s="331"/>
      <c r="AA338" s="174"/>
      <c r="AB338" s="60"/>
      <c r="AC338" s="47"/>
      <c r="AD338" s="47"/>
      <c r="AE338" s="47"/>
      <c r="AF338" s="47"/>
      <c r="AG338" s="47"/>
      <c r="AH338" s="47"/>
      <c r="AI338" s="47"/>
    </row>
    <row r="339" spans="2:35" hidden="1">
      <c r="C339" s="153" t="s">
        <v>40</v>
      </c>
      <c r="E339" s="97"/>
      <c r="G339"/>
      <c r="H339" s="58"/>
      <c r="I339" s="39"/>
      <c r="J339" s="47"/>
      <c r="K339" s="398" t="s">
        <v>231</v>
      </c>
      <c r="L339" s="360" t="s">
        <v>46</v>
      </c>
      <c r="M339" s="233">
        <v>-211.13</v>
      </c>
      <c r="N339" s="138">
        <f>N338+M339</f>
        <v>5722.7500940000073</v>
      </c>
      <c r="O339" s="88"/>
      <c r="P339" s="133">
        <f>SUM(P326:P338)</f>
        <v>-12197.437278481009</v>
      </c>
      <c r="Q339" s="377" t="s">
        <v>285</v>
      </c>
      <c r="R339" s="132"/>
      <c r="S339" s="524"/>
      <c r="T339" s="380"/>
      <c r="U339" s="134"/>
      <c r="V339" s="47"/>
      <c r="W339" s="47"/>
      <c r="X339" s="171"/>
      <c r="Y339" s="191"/>
      <c r="Z339" s="331"/>
      <c r="AA339" s="174"/>
      <c r="AB339" s="175"/>
      <c r="AC339" s="47"/>
      <c r="AD339" s="47"/>
      <c r="AE339" s="47"/>
      <c r="AF339" s="47"/>
      <c r="AG339" s="47"/>
      <c r="AH339" s="47"/>
      <c r="AI339" s="47"/>
    </row>
    <row r="340" spans="2:35" hidden="1">
      <c r="D340" s="47" t="s">
        <v>37</v>
      </c>
      <c r="E340" s="97">
        <v>7648.33</v>
      </c>
      <c r="F340" s="47"/>
      <c r="G340" s="47"/>
      <c r="H340" s="101"/>
      <c r="L340" s="58"/>
      <c r="M340" s="255">
        <f>SUM(M326:M339)</f>
        <v>5722.7500940000073</v>
      </c>
      <c r="O340" s="88"/>
      <c r="P340" s="136"/>
      <c r="Q340" s="377"/>
      <c r="R340" s="132"/>
      <c r="S340" s="524"/>
      <c r="T340" s="380"/>
      <c r="U340" s="134"/>
      <c r="V340" s="47"/>
      <c r="W340" s="47"/>
      <c r="X340" s="47"/>
      <c r="Y340" s="191"/>
      <c r="Z340" s="331"/>
      <c r="AA340" s="174"/>
      <c r="AB340" s="60"/>
      <c r="AC340" s="47"/>
      <c r="AD340" s="47"/>
      <c r="AE340" s="47"/>
      <c r="AF340" s="47"/>
      <c r="AG340" s="383"/>
      <c r="AH340" s="47"/>
      <c r="AI340" s="47"/>
    </row>
    <row r="341" spans="2:35" ht="12.75" hidden="1" customHeight="1">
      <c r="D341" s="150" t="s">
        <v>36</v>
      </c>
      <c r="E341" s="41">
        <f>E336-E340</f>
        <v>1742.7300000000014</v>
      </c>
      <c r="F341" s="150"/>
      <c r="G341" s="689">
        <f>SUM(E340:E341)</f>
        <v>9391.0600000000013</v>
      </c>
      <c r="H341" s="689"/>
      <c r="M341" s="60"/>
      <c r="N341" s="399"/>
      <c r="O341" s="88"/>
      <c r="P341" s="136"/>
      <c r="Q341" s="377"/>
      <c r="R341" s="132"/>
      <c r="S341" s="524"/>
      <c r="T341" s="380"/>
      <c r="U341" s="163"/>
      <c r="V341" s="47"/>
      <c r="W341" s="47"/>
      <c r="X341" s="47"/>
      <c r="Y341" s="191"/>
      <c r="Z341" s="331"/>
      <c r="AA341" s="174"/>
      <c r="AB341" s="60"/>
      <c r="AC341" s="47"/>
      <c r="AD341" s="47"/>
      <c r="AE341" s="47"/>
      <c r="AF341" s="47"/>
      <c r="AG341" s="47"/>
      <c r="AH341" s="47"/>
      <c r="AI341" s="47"/>
    </row>
    <row r="342" spans="2:35" s="150" customFormat="1" hidden="1">
      <c r="E342" s="41"/>
      <c r="G342" s="211"/>
      <c r="K342" s="349"/>
      <c r="M342" s="41"/>
      <c r="P342" s="41"/>
      <c r="Q342" s="41"/>
      <c r="R342" s="41"/>
      <c r="S342" s="535"/>
      <c r="Z342" s="41"/>
      <c r="AA342" s="212"/>
      <c r="AB342" s="41"/>
    </row>
    <row r="343" spans="2:35" hidden="1"/>
    <row r="344" spans="2:35">
      <c r="B344" s="967" t="s">
        <v>288</v>
      </c>
      <c r="C344" s="967"/>
      <c r="D344" s="967"/>
      <c r="E344" s="967"/>
      <c r="G344" s="352"/>
      <c r="H344" s="352"/>
      <c r="I344" s="60"/>
      <c r="K344" s="350"/>
      <c r="L344" s="180"/>
      <c r="M344" s="970" t="s">
        <v>90</v>
      </c>
      <c r="N344" s="426"/>
      <c r="O344" s="430"/>
      <c r="P344" s="972" t="s">
        <v>84</v>
      </c>
      <c r="Q344" s="974" t="s">
        <v>284</v>
      </c>
      <c r="R344" s="974"/>
      <c r="S344" s="528"/>
      <c r="X344" s="84"/>
      <c r="Y344" s="84"/>
      <c r="Z344" s="60"/>
      <c r="AA344" s="431"/>
      <c r="AB344" s="60"/>
      <c r="AC344" s="47"/>
      <c r="AD344" s="47"/>
      <c r="AE344" s="47"/>
      <c r="AF344" s="47"/>
      <c r="AG344" s="47"/>
      <c r="AH344" s="47"/>
      <c r="AI344" s="47"/>
    </row>
    <row r="345" spans="2:35">
      <c r="C345" s="43" t="s">
        <v>35</v>
      </c>
      <c r="D345" s="39"/>
      <c r="E345" s="99">
        <v>9000</v>
      </c>
      <c r="G345" s="687"/>
      <c r="H345" s="687"/>
      <c r="I345" s="60"/>
      <c r="K345" s="351" t="s">
        <v>263</v>
      </c>
      <c r="L345" s="242"/>
      <c r="M345" s="971"/>
      <c r="N345" s="426" t="s">
        <v>79</v>
      </c>
      <c r="O345" s="430"/>
      <c r="P345" s="973"/>
      <c r="Q345" s="427" t="s">
        <v>79</v>
      </c>
      <c r="R345" s="428" t="s">
        <v>89</v>
      </c>
      <c r="S345" s="528"/>
      <c r="X345" s="198"/>
      <c r="Y345" s="191"/>
      <c r="Z345" s="197"/>
      <c r="AA345" s="169"/>
      <c r="AB345" s="170"/>
      <c r="AC345" s="47"/>
      <c r="AD345" s="91"/>
      <c r="AE345" s="47"/>
      <c r="AF345" s="47"/>
      <c r="AG345" s="47"/>
      <c r="AH345" s="47"/>
      <c r="AI345" s="47"/>
    </row>
    <row r="346" spans="2:35">
      <c r="C346" s="43"/>
      <c r="D346" s="39" t="s">
        <v>47</v>
      </c>
      <c r="E346" s="99">
        <f>'[1]MARCH ''12'!$C$79</f>
        <v>214.92000000000002</v>
      </c>
      <c r="G346" s="74"/>
      <c r="H346" s="74"/>
      <c r="I346" s="60"/>
      <c r="K346" s="362"/>
      <c r="L346" s="327" t="s">
        <v>268</v>
      </c>
      <c r="M346" s="60">
        <f>$M$340</f>
        <v>5722.7500940000073</v>
      </c>
      <c r="N346" s="376">
        <f>M346</f>
        <v>5722.7500940000073</v>
      </c>
      <c r="O346" s="60"/>
      <c r="P346" s="100">
        <f>$Q$338</f>
        <v>-12197.437278481009</v>
      </c>
      <c r="Q346" s="139">
        <f>P346</f>
        <v>-12197.437278481009</v>
      </c>
      <c r="R346" s="100">
        <f t="shared" ref="R346:R365" si="39">15550+Q346</f>
        <v>3352.5627215189907</v>
      </c>
      <c r="S346" s="532"/>
      <c r="T346" s="71"/>
      <c r="X346" s="171"/>
      <c r="Y346" s="191"/>
      <c r="Z346" s="60"/>
      <c r="AA346" s="431"/>
      <c r="AB346" s="60"/>
      <c r="AC346" s="47"/>
      <c r="AD346" s="172"/>
      <c r="AE346" s="173"/>
      <c r="AF346" s="47"/>
      <c r="AG346" s="47"/>
      <c r="AH346" s="47"/>
      <c r="AI346" s="47"/>
    </row>
    <row r="347" spans="2:35">
      <c r="C347" s="43"/>
      <c r="D347" s="229" t="s">
        <v>267</v>
      </c>
      <c r="E347" s="41"/>
      <c r="G347"/>
      <c r="I347" s="60"/>
      <c r="K347" s="400" t="s">
        <v>298</v>
      </c>
      <c r="L347" s="151" t="s">
        <v>140</v>
      </c>
      <c r="M347" s="262">
        <v>-2500</v>
      </c>
      <c r="N347" s="137">
        <f t="shared" ref="N347:N363" si="40">N346+M347</f>
        <v>3222.7500940000073</v>
      </c>
      <c r="O347" s="134"/>
      <c r="P347" s="215">
        <v>-972.65</v>
      </c>
      <c r="Q347" s="140">
        <f>Q346+P347</f>
        <v>-13170.087278481009</v>
      </c>
      <c r="R347" s="100">
        <f t="shared" si="39"/>
        <v>2379.912721518991</v>
      </c>
      <c r="S347" s="524" t="s">
        <v>297</v>
      </c>
      <c r="X347" s="47"/>
      <c r="Y347" s="192"/>
      <c r="Z347" s="331"/>
      <c r="AA347" s="174"/>
      <c r="AB347" s="175"/>
      <c r="AC347" s="47"/>
      <c r="AD347" s="91"/>
      <c r="AE347" s="173"/>
      <c r="AF347" s="47"/>
      <c r="AG347" s="47"/>
      <c r="AH347" s="47"/>
      <c r="AI347" s="47"/>
    </row>
    <row r="348" spans="2:35">
      <c r="C348" s="45" t="s">
        <v>17</v>
      </c>
      <c r="D348" s="39"/>
      <c r="E348" s="39">
        <f>SUM(E345:E347)</f>
        <v>9214.92</v>
      </c>
      <c r="G348" s="334"/>
      <c r="H348" s="334"/>
      <c r="I348" s="334"/>
      <c r="J348" s="47"/>
      <c r="K348" s="347" t="s">
        <v>265</v>
      </c>
      <c r="L348" s="181" t="s">
        <v>269</v>
      </c>
      <c r="M348" s="215">
        <v>-308</v>
      </c>
      <c r="N348" s="137">
        <f t="shared" si="40"/>
        <v>2914.7500940000073</v>
      </c>
      <c r="O348" s="134"/>
      <c r="P348" s="215">
        <f>-M347</f>
        <v>2500</v>
      </c>
      <c r="Q348" s="140">
        <f>Q347+P348</f>
        <v>-10670.087278481009</v>
      </c>
      <c r="R348" s="100">
        <f t="shared" si="39"/>
        <v>4879.912721518991</v>
      </c>
      <c r="S348" s="524" t="s">
        <v>289</v>
      </c>
      <c r="U348" s="191"/>
      <c r="V348" s="47"/>
      <c r="W348" s="47"/>
      <c r="X348" s="47"/>
      <c r="Y348" s="192"/>
      <c r="Z348" s="331"/>
      <c r="AA348" s="174"/>
      <c r="AB348" s="60"/>
      <c r="AC348" s="47"/>
      <c r="AD348" s="172"/>
      <c r="AE348" s="173"/>
      <c r="AF348" s="47"/>
      <c r="AG348" s="47"/>
      <c r="AH348" s="47"/>
      <c r="AI348" s="47"/>
    </row>
    <row r="349" spans="2:35" ht="12.75" customHeight="1">
      <c r="G349" s="47"/>
      <c r="H349" s="101"/>
      <c r="I349" s="100"/>
      <c r="J349" s="117"/>
      <c r="K349" s="402" t="s">
        <v>303</v>
      </c>
      <c r="L349" s="151" t="s">
        <v>302</v>
      </c>
      <c r="M349" s="262">
        <v>-650.13</v>
      </c>
      <c r="N349" s="137">
        <f t="shared" si="40"/>
        <v>2264.6200940000072</v>
      </c>
      <c r="O349" s="105"/>
      <c r="P349" s="215">
        <v>-167.47</v>
      </c>
      <c r="Q349" s="140">
        <f t="shared" ref="Q349:Q365" si="41">Q348+P349</f>
        <v>-10837.557278481008</v>
      </c>
      <c r="R349" s="100">
        <f t="shared" si="39"/>
        <v>4712.4427215189917</v>
      </c>
      <c r="S349" s="524" t="s">
        <v>299</v>
      </c>
      <c r="T349" s="284"/>
      <c r="U349" s="47"/>
      <c r="V349" s="100"/>
      <c r="W349" s="47"/>
      <c r="X349" s="171"/>
      <c r="Y349" s="192"/>
      <c r="Z349" s="331"/>
      <c r="AA349" s="174"/>
      <c r="AB349" s="60"/>
      <c r="AC349" s="47"/>
      <c r="AD349" s="172"/>
      <c r="AE349" s="173"/>
      <c r="AF349" s="47"/>
      <c r="AG349" s="47"/>
      <c r="AH349" s="47"/>
      <c r="AI349" s="47"/>
    </row>
    <row r="350" spans="2:35">
      <c r="C350" s="43" t="s">
        <v>29</v>
      </c>
      <c r="G350" s="47"/>
      <c r="H350" s="101"/>
      <c r="I350" s="100"/>
      <c r="J350" s="47"/>
      <c r="K350" s="350" t="s">
        <v>306</v>
      </c>
      <c r="L350" s="151" t="s">
        <v>307</v>
      </c>
      <c r="M350" s="262">
        <v>-694.36</v>
      </c>
      <c r="N350" s="137">
        <f t="shared" si="40"/>
        <v>1570.260094000007</v>
      </c>
      <c r="O350" s="106"/>
      <c r="P350" s="215">
        <v>-99.95</v>
      </c>
      <c r="Q350" s="140">
        <f t="shared" si="41"/>
        <v>-10937.507278481009</v>
      </c>
      <c r="R350" s="100">
        <f t="shared" si="39"/>
        <v>4612.4927215189909</v>
      </c>
      <c r="S350" s="524" t="s">
        <v>300</v>
      </c>
      <c r="T350" s="47"/>
      <c r="U350" s="47"/>
      <c r="V350" s="100"/>
      <c r="W350" s="183"/>
      <c r="X350" s="47"/>
      <c r="Y350" s="192"/>
      <c r="Z350" s="331"/>
      <c r="AA350" s="174"/>
      <c r="AB350" s="175"/>
      <c r="AC350" s="47"/>
      <c r="AD350" s="176"/>
      <c r="AE350" s="173"/>
      <c r="AF350" s="47"/>
      <c r="AG350" s="47"/>
      <c r="AH350" s="47"/>
      <c r="AI350" s="47"/>
    </row>
    <row r="351" spans="2:35">
      <c r="D351" t="s">
        <v>30</v>
      </c>
      <c r="E351" s="39">
        <f>1312/2</f>
        <v>656</v>
      </c>
      <c r="G351" s="333"/>
      <c r="H351" s="101"/>
      <c r="I351" s="100"/>
      <c r="J351" s="47"/>
      <c r="K351" s="350" t="s">
        <v>309</v>
      </c>
      <c r="L351" s="151" t="s">
        <v>308</v>
      </c>
      <c r="M351" s="262">
        <v>2500</v>
      </c>
      <c r="N351" s="137">
        <f t="shared" si="40"/>
        <v>4070.260094000007</v>
      </c>
      <c r="O351" s="106"/>
      <c r="P351" s="214">
        <v>-1775.35</v>
      </c>
      <c r="Q351" s="140">
        <f t="shared" si="41"/>
        <v>-12712.857278481009</v>
      </c>
      <c r="R351" s="100">
        <f t="shared" si="39"/>
        <v>2837.1427215189906</v>
      </c>
      <c r="S351" s="530" t="s">
        <v>301</v>
      </c>
      <c r="T351" s="47"/>
      <c r="U351" s="47"/>
      <c r="V351" s="100"/>
      <c r="W351" s="47"/>
      <c r="X351" s="47"/>
      <c r="Y351" s="192"/>
      <c r="Z351" s="331"/>
      <c r="AA351" s="174"/>
      <c r="AB351" s="60"/>
      <c r="AC351" s="47"/>
      <c r="AD351" s="91"/>
      <c r="AE351" s="173"/>
      <c r="AF351" s="47"/>
      <c r="AG351" s="47"/>
      <c r="AH351" s="47"/>
      <c r="AI351" s="47"/>
    </row>
    <row r="352" spans="2:35">
      <c r="D352" t="s">
        <v>45</v>
      </c>
      <c r="E352" s="41"/>
      <c r="F352" s="87"/>
      <c r="G352" s="47"/>
      <c r="H352" s="101"/>
      <c r="I352" s="188"/>
      <c r="J352" s="47"/>
      <c r="K352" s="350" t="s">
        <v>309</v>
      </c>
      <c r="L352" s="151" t="s">
        <v>307</v>
      </c>
      <c r="M352" s="262">
        <v>-2337.44</v>
      </c>
      <c r="N352" s="137">
        <f t="shared" si="40"/>
        <v>1732.820094000007</v>
      </c>
      <c r="O352" s="106"/>
      <c r="P352" s="214">
        <v>-511.62</v>
      </c>
      <c r="Q352" s="140">
        <f t="shared" si="41"/>
        <v>-13224.47727848101</v>
      </c>
      <c r="R352" s="100">
        <f t="shared" si="39"/>
        <v>2325.5227215189898</v>
      </c>
      <c r="S352" s="530" t="s">
        <v>304</v>
      </c>
      <c r="T352" s="47"/>
      <c r="U352" s="47"/>
      <c r="V352" s="215"/>
      <c r="W352" s="47"/>
      <c r="X352" s="47"/>
      <c r="Y352" s="192"/>
      <c r="Z352" s="331"/>
      <c r="AA352" s="174"/>
      <c r="AB352" s="60"/>
      <c r="AC352" s="47"/>
      <c r="AD352" s="172"/>
      <c r="AE352" s="173"/>
      <c r="AF352" s="47"/>
      <c r="AG352" s="47"/>
      <c r="AH352" s="47"/>
      <c r="AI352" s="47"/>
    </row>
    <row r="353" spans="2:35">
      <c r="C353" s="45" t="s">
        <v>17</v>
      </c>
      <c r="E353" s="46">
        <f>SUM(E351:E352)</f>
        <v>656</v>
      </c>
      <c r="G353" s="47"/>
      <c r="H353" s="327"/>
      <c r="I353" s="100"/>
      <c r="J353" s="47"/>
      <c r="K353" s="350"/>
      <c r="L353" s="151" t="s">
        <v>316</v>
      </c>
      <c r="M353" s="262">
        <v>500</v>
      </c>
      <c r="N353" s="137">
        <f t="shared" si="40"/>
        <v>2232.820094000007</v>
      </c>
      <c r="O353" s="88"/>
      <c r="P353" s="214">
        <v>-136.80000000000001</v>
      </c>
      <c r="Q353" s="140">
        <f t="shared" si="41"/>
        <v>-13361.277278481009</v>
      </c>
      <c r="R353" s="100">
        <f t="shared" si="39"/>
        <v>2188.7227215189905</v>
      </c>
      <c r="S353" s="530" t="s">
        <v>305</v>
      </c>
      <c r="T353" s="111"/>
      <c r="U353" s="47"/>
      <c r="V353" s="100"/>
      <c r="W353" s="60"/>
      <c r="X353" s="47"/>
      <c r="Y353" s="192"/>
      <c r="Z353" s="331"/>
      <c r="AA353" s="174"/>
      <c r="AB353" s="175"/>
      <c r="AC353" s="47"/>
      <c r="AD353" s="172"/>
      <c r="AE353" s="173"/>
      <c r="AF353" s="47"/>
      <c r="AG353" s="47"/>
      <c r="AH353" s="47"/>
      <c r="AI353" s="47"/>
    </row>
    <row r="354" spans="2:35" ht="13.5" thickBot="1">
      <c r="C354" s="45"/>
      <c r="G354" s="47"/>
      <c r="H354" s="101"/>
      <c r="I354" s="448"/>
      <c r="J354" s="448"/>
      <c r="K354" s="349"/>
      <c r="L354" s="230" t="s">
        <v>140</v>
      </c>
      <c r="M354" s="233">
        <v>700</v>
      </c>
      <c r="N354" s="137">
        <f t="shared" si="40"/>
        <v>2932.820094000007</v>
      </c>
      <c r="O354" s="88"/>
      <c r="P354" s="214">
        <v>-52.8</v>
      </c>
      <c r="Q354" s="140">
        <f t="shared" si="41"/>
        <v>-13414.077278481009</v>
      </c>
      <c r="R354" s="100">
        <f t="shared" si="39"/>
        <v>2135.9227215189912</v>
      </c>
      <c r="S354" s="524" t="s">
        <v>310</v>
      </c>
      <c r="T354" s="111"/>
      <c r="U354" s="47"/>
      <c r="V354" s="100"/>
      <c r="W354" s="60"/>
      <c r="X354" s="47"/>
      <c r="Y354" s="192"/>
      <c r="Z354" s="331"/>
      <c r="AA354" s="174"/>
      <c r="AB354" s="60"/>
      <c r="AC354" s="47"/>
      <c r="AD354" s="172"/>
      <c r="AE354" s="177"/>
      <c r="AF354" s="47"/>
      <c r="AG354" s="47"/>
      <c r="AH354" s="47"/>
      <c r="AI354" s="47"/>
    </row>
    <row r="355" spans="2:35" ht="13.5" thickBot="1">
      <c r="D355" s="42" t="s">
        <v>105</v>
      </c>
      <c r="E355" s="63">
        <f>E348-E353</f>
        <v>8558.92</v>
      </c>
      <c r="G355" s="47"/>
      <c r="H355" s="327"/>
      <c r="I355" s="448"/>
      <c r="J355" s="448"/>
      <c r="K355" s="350" t="s">
        <v>264</v>
      </c>
      <c r="L355" s="357" t="s">
        <v>87</v>
      </c>
      <c r="M355" s="232">
        <f>E359</f>
        <v>7648.33</v>
      </c>
      <c r="N355" s="137">
        <f t="shared" si="40"/>
        <v>10581.150094000008</v>
      </c>
      <c r="O355" s="88"/>
      <c r="P355" s="214">
        <v>-37.67</v>
      </c>
      <c r="Q355" s="140">
        <f t="shared" si="41"/>
        <v>-13451.747278481009</v>
      </c>
      <c r="R355" s="100">
        <f t="shared" si="39"/>
        <v>2098.2527215189912</v>
      </c>
      <c r="S355" s="524" t="s">
        <v>312</v>
      </c>
      <c r="T355" s="152"/>
      <c r="U355" s="142"/>
      <c r="V355" s="100"/>
      <c r="W355" s="60"/>
      <c r="X355" s="47"/>
      <c r="Y355" s="192"/>
      <c r="Z355" s="331"/>
      <c r="AA355" s="174"/>
      <c r="AB355" s="60"/>
      <c r="AC355" s="47"/>
      <c r="AD355" s="47"/>
      <c r="AE355" s="173"/>
      <c r="AF355" s="47"/>
      <c r="AG355" s="47"/>
      <c r="AH355" s="47"/>
      <c r="AI355" s="47"/>
    </row>
    <row r="356" spans="2:35">
      <c r="D356" s="43"/>
      <c r="E356" s="90"/>
      <c r="G356"/>
      <c r="H356" s="58"/>
      <c r="I356" s="448"/>
      <c r="J356" s="448"/>
      <c r="K356" s="350" t="s">
        <v>264</v>
      </c>
      <c r="L356" s="357" t="s">
        <v>167</v>
      </c>
      <c r="M356" s="232">
        <v>-700</v>
      </c>
      <c r="N356" s="137">
        <f t="shared" si="40"/>
        <v>9881.1500940000078</v>
      </c>
      <c r="O356" s="88"/>
      <c r="P356" s="214">
        <v>-104.44</v>
      </c>
      <c r="Q356" s="140">
        <f t="shared" si="41"/>
        <v>-13556.187278481009</v>
      </c>
      <c r="R356" s="100">
        <f t="shared" si="39"/>
        <v>1993.8127215189907</v>
      </c>
      <c r="S356" s="524" t="s">
        <v>305</v>
      </c>
      <c r="T356" s="111"/>
      <c r="U356" s="142"/>
      <c r="V356" s="60"/>
      <c r="W356" s="60"/>
      <c r="X356" s="171"/>
      <c r="Y356" s="47"/>
      <c r="Z356" s="331"/>
      <c r="AA356" s="174"/>
      <c r="AB356" s="175"/>
      <c r="AC356" s="47"/>
      <c r="AD356" s="178"/>
      <c r="AE356" s="173"/>
      <c r="AF356" s="431"/>
      <c r="AG356" s="47"/>
      <c r="AH356" s="47"/>
      <c r="AI356" s="47"/>
    </row>
    <row r="357" spans="2:35">
      <c r="D357" s="43"/>
      <c r="E357" s="90"/>
      <c r="G357"/>
      <c r="H357" s="58"/>
      <c r="I357" s="448"/>
      <c r="J357" s="448"/>
      <c r="K357" s="350" t="s">
        <v>264</v>
      </c>
      <c r="L357" s="357" t="s">
        <v>222</v>
      </c>
      <c r="M357" s="100">
        <v>-95</v>
      </c>
      <c r="N357" s="137">
        <f t="shared" si="40"/>
        <v>9786.1500940000078</v>
      </c>
      <c r="O357" s="88"/>
      <c r="P357" s="215">
        <v>-114.13</v>
      </c>
      <c r="Q357" s="140">
        <f t="shared" si="41"/>
        <v>-13670.317278481009</v>
      </c>
      <c r="R357" s="100">
        <f t="shared" si="39"/>
        <v>1879.6827215189915</v>
      </c>
      <c r="S357" s="524" t="s">
        <v>314</v>
      </c>
      <c r="T357" s="424"/>
      <c r="U357" s="134"/>
      <c r="V357" s="60"/>
      <c r="W357" s="60"/>
      <c r="X357" s="84"/>
      <c r="Y357" s="47"/>
      <c r="Z357" s="331"/>
      <c r="AA357" s="174"/>
      <c r="AB357" s="60"/>
      <c r="AC357" s="47"/>
      <c r="AD357" s="47"/>
      <c r="AE357" s="47"/>
      <c r="AF357" s="179"/>
      <c r="AG357" s="47"/>
      <c r="AH357" s="47"/>
      <c r="AI357" s="47"/>
    </row>
    <row r="358" spans="2:35">
      <c r="C358" s="153" t="s">
        <v>40</v>
      </c>
      <c r="E358" s="97"/>
      <c r="G358"/>
      <c r="H358" s="58"/>
      <c r="I358" s="39"/>
      <c r="J358" s="47"/>
      <c r="K358" s="350" t="s">
        <v>264</v>
      </c>
      <c r="L358" s="357" t="s">
        <v>97</v>
      </c>
      <c r="M358" s="100">
        <v>-203.5</v>
      </c>
      <c r="N358" s="137">
        <f t="shared" si="40"/>
        <v>9582.6500940000078</v>
      </c>
      <c r="O358" s="88"/>
      <c r="P358" s="214">
        <v>-512</v>
      </c>
      <c r="Q358" s="140">
        <f t="shared" si="41"/>
        <v>-14182.317278481009</v>
      </c>
      <c r="R358" s="100">
        <f t="shared" si="39"/>
        <v>1367.6827215189915</v>
      </c>
      <c r="S358" s="524" t="s">
        <v>315</v>
      </c>
      <c r="T358" s="422"/>
      <c r="U358" s="134"/>
      <c r="V358" s="47"/>
      <c r="W358" s="47"/>
      <c r="X358" s="47"/>
      <c r="Y358" s="191"/>
      <c r="Z358" s="331"/>
      <c r="AA358" s="174"/>
      <c r="AB358" s="60"/>
      <c r="AC358" s="47"/>
      <c r="AD358" s="47"/>
      <c r="AE358" s="47"/>
      <c r="AF358" s="47"/>
      <c r="AG358" s="47"/>
      <c r="AH358" s="47"/>
      <c r="AI358" s="47"/>
    </row>
    <row r="359" spans="2:35">
      <c r="D359" s="47" t="s">
        <v>37</v>
      </c>
      <c r="E359" s="97">
        <v>7648.33</v>
      </c>
      <c r="F359" s="47"/>
      <c r="G359" s="47"/>
      <c r="H359" s="101"/>
      <c r="K359" s="350" t="s">
        <v>264</v>
      </c>
      <c r="L359" s="357" t="s">
        <v>237</v>
      </c>
      <c r="M359" s="100">
        <v>-1738</v>
      </c>
      <c r="N359" s="137">
        <f t="shared" si="40"/>
        <v>7844.6500940000078</v>
      </c>
      <c r="O359" s="88"/>
      <c r="P359" s="214">
        <v>-124.75</v>
      </c>
      <c r="Q359" s="140">
        <f t="shared" si="41"/>
        <v>-14307.067278481009</v>
      </c>
      <c r="R359" s="100">
        <f t="shared" si="39"/>
        <v>1242.9327215189915</v>
      </c>
      <c r="S359" s="524" t="s">
        <v>319</v>
      </c>
      <c r="T359" s="422"/>
      <c r="U359" s="134"/>
      <c r="V359" s="47"/>
      <c r="W359" s="47"/>
      <c r="X359" s="171"/>
      <c r="Y359" s="191"/>
      <c r="Z359" s="331"/>
      <c r="AA359" s="174"/>
      <c r="AB359" s="175"/>
      <c r="AC359" s="47"/>
      <c r="AD359" s="47"/>
      <c r="AE359" s="47"/>
      <c r="AF359" s="47"/>
      <c r="AG359" s="47"/>
      <c r="AH359" s="47"/>
      <c r="AI359" s="47"/>
    </row>
    <row r="360" spans="2:35">
      <c r="D360" s="150" t="s">
        <v>36</v>
      </c>
      <c r="E360" s="41">
        <f>E355-E359-E361</f>
        <v>910.59000000000015</v>
      </c>
      <c r="F360" s="150"/>
      <c r="G360" s="689">
        <f>SUM(E359:E360)</f>
        <v>8558.92</v>
      </c>
      <c r="H360" s="689"/>
      <c r="K360" s="350" t="s">
        <v>264</v>
      </c>
      <c r="L360" s="357" t="s">
        <v>266</v>
      </c>
      <c r="M360" s="100">
        <v>0</v>
      </c>
      <c r="N360" s="137">
        <f t="shared" si="40"/>
        <v>7844.6500940000078</v>
      </c>
      <c r="O360" s="88"/>
      <c r="P360" s="214">
        <f>-350-12</f>
        <v>-362</v>
      </c>
      <c r="Q360" s="140">
        <f t="shared" si="41"/>
        <v>-14669.067278481009</v>
      </c>
      <c r="R360" s="100">
        <f t="shared" si="39"/>
        <v>880.93272151899146</v>
      </c>
      <c r="S360" s="524" t="s">
        <v>323</v>
      </c>
      <c r="T360" s="422"/>
      <c r="U360" s="134"/>
      <c r="V360" s="47"/>
      <c r="W360" s="47"/>
      <c r="X360" s="47"/>
      <c r="Y360" s="191"/>
      <c r="Z360" s="331"/>
      <c r="AA360" s="174"/>
      <c r="AB360" s="60"/>
      <c r="AC360" s="47"/>
      <c r="AD360" s="47"/>
      <c r="AE360" s="47"/>
      <c r="AF360" s="47"/>
      <c r="AG360" s="431"/>
      <c r="AH360" s="47"/>
      <c r="AI360" s="47"/>
    </row>
    <row r="361" spans="2:35">
      <c r="D361" s="47"/>
      <c r="E361" s="60"/>
      <c r="F361" s="204"/>
      <c r="G361" s="688"/>
      <c r="H361" s="688"/>
      <c r="K361" s="350" t="s">
        <v>231</v>
      </c>
      <c r="L361" s="358" t="s">
        <v>39</v>
      </c>
      <c r="M361" s="262">
        <v>-173.99</v>
      </c>
      <c r="N361" s="137">
        <f t="shared" si="40"/>
        <v>7670.660094000008</v>
      </c>
      <c r="O361" s="88"/>
      <c r="P361" s="214">
        <v>-73.5</v>
      </c>
      <c r="Q361" s="140">
        <f t="shared" si="41"/>
        <v>-14742.567278481009</v>
      </c>
      <c r="R361" s="100">
        <f t="shared" si="39"/>
        <v>807.43272151899146</v>
      </c>
      <c r="S361" s="524" t="s">
        <v>324</v>
      </c>
      <c r="T361" s="422"/>
      <c r="U361" s="163"/>
      <c r="V361" s="47"/>
      <c r="W361" s="47"/>
      <c r="X361" s="47"/>
      <c r="Y361" s="191"/>
      <c r="Z361" s="331"/>
      <c r="AA361" s="174"/>
      <c r="AB361" s="60"/>
      <c r="AC361" s="47"/>
      <c r="AD361" s="47"/>
      <c r="AE361" s="47"/>
      <c r="AF361" s="47"/>
      <c r="AG361" s="47"/>
      <c r="AH361" s="47"/>
      <c r="AI361" s="47"/>
    </row>
    <row r="362" spans="2:35">
      <c r="D362" s="47"/>
      <c r="E362" s="60"/>
      <c r="F362" s="204"/>
      <c r="G362" s="688"/>
      <c r="H362" s="688"/>
      <c r="K362" s="350" t="s">
        <v>231</v>
      </c>
      <c r="L362" s="359" t="s">
        <v>92</v>
      </c>
      <c r="M362" s="262">
        <v>-605</v>
      </c>
      <c r="N362" s="137">
        <f t="shared" si="40"/>
        <v>7065.660094000008</v>
      </c>
      <c r="O362" s="97"/>
      <c r="P362" s="215">
        <v>-700</v>
      </c>
      <c r="Q362" s="140">
        <f t="shared" si="41"/>
        <v>-15442.567278481009</v>
      </c>
      <c r="R362" s="100">
        <f t="shared" si="39"/>
        <v>107.43272151899146</v>
      </c>
      <c r="S362" s="524" t="s">
        <v>289</v>
      </c>
      <c r="T362" s="422"/>
      <c r="U362" s="164"/>
      <c r="V362" s="60"/>
      <c r="W362" s="60"/>
      <c r="X362" s="171"/>
      <c r="Y362" s="47"/>
      <c r="Z362" s="331"/>
      <c r="AA362" s="174"/>
      <c r="AB362" s="60"/>
      <c r="AC362" s="47"/>
      <c r="AD362" s="47"/>
      <c r="AE362" s="47"/>
      <c r="AF362" s="47"/>
      <c r="AG362" s="47"/>
      <c r="AH362" s="47"/>
      <c r="AI362" s="47"/>
    </row>
    <row r="363" spans="2:35">
      <c r="D363" s="47"/>
      <c r="E363" s="60"/>
      <c r="F363" s="204"/>
      <c r="G363" s="425"/>
      <c r="H363" s="425"/>
      <c r="K363" s="355" t="s">
        <v>232</v>
      </c>
      <c r="L363" s="360" t="s">
        <v>46</v>
      </c>
      <c r="M363" s="233">
        <v>-198.85</v>
      </c>
      <c r="N363" s="138">
        <f t="shared" si="40"/>
        <v>6866.8100940000077</v>
      </c>
      <c r="O363" s="60"/>
      <c r="P363" s="215">
        <v>1012</v>
      </c>
      <c r="Q363" s="140">
        <f>Q362+P363</f>
        <v>-14430.567278481009</v>
      </c>
      <c r="R363" s="100">
        <f>15550+Q363</f>
        <v>1119.4327215189915</v>
      </c>
      <c r="S363" s="524" t="s">
        <v>334</v>
      </c>
      <c r="T363" s="422"/>
      <c r="U363" s="164"/>
      <c r="V363" s="60"/>
      <c r="W363" s="60"/>
      <c r="X363" s="84"/>
      <c r="Y363" s="47"/>
      <c r="Z363" s="331"/>
      <c r="AA363" s="174"/>
      <c r="AB363" s="60"/>
      <c r="AC363" s="47"/>
      <c r="AD363" s="47"/>
      <c r="AE363" s="47"/>
      <c r="AF363" s="47"/>
      <c r="AG363" s="47"/>
      <c r="AH363" s="47"/>
      <c r="AI363" s="47"/>
    </row>
    <row r="364" spans="2:35" ht="15">
      <c r="B364" s="47"/>
      <c r="C364" s="84"/>
      <c r="D364" s="297"/>
      <c r="E364" s="100"/>
      <c r="F364" s="300"/>
      <c r="G364" s="425"/>
      <c r="H364" s="425"/>
      <c r="I364" s="47"/>
      <c r="L364" s="58"/>
      <c r="M364" s="255">
        <f>SUM(M346:M363)</f>
        <v>6866.8100940000077</v>
      </c>
      <c r="O364" s="60"/>
      <c r="P364" s="214">
        <v>-114.05</v>
      </c>
      <c r="Q364" s="140">
        <f>Q363+P364</f>
        <v>-14544.617278481008</v>
      </c>
      <c r="R364" s="100">
        <f>15550+Q364</f>
        <v>1005.3827215189922</v>
      </c>
      <c r="S364" s="524" t="s">
        <v>325</v>
      </c>
      <c r="T364" s="422"/>
      <c r="U364" s="47"/>
      <c r="V364" s="60"/>
      <c r="W364" s="60"/>
      <c r="X364" s="47"/>
      <c r="Y364" s="47"/>
      <c r="Z364" s="331"/>
      <c r="AA364" s="174"/>
      <c r="AB364" s="60"/>
      <c r="AC364" s="47"/>
      <c r="AD364" s="47"/>
      <c r="AE364" s="47"/>
      <c r="AF364" s="47"/>
      <c r="AG364" s="47"/>
      <c r="AH364" s="47"/>
      <c r="AI364" s="47"/>
    </row>
    <row r="365" spans="2:35">
      <c r="B365" s="47"/>
      <c r="C365" s="84"/>
      <c r="D365" s="298"/>
      <c r="E365" s="100"/>
      <c r="F365" s="204"/>
      <c r="G365" s="299"/>
      <c r="H365" s="425"/>
      <c r="I365" s="47"/>
      <c r="M365" s="60"/>
      <c r="O365" s="60"/>
      <c r="P365" s="214">
        <f>-(M351+M350+M352)-M353</f>
        <v>31.800000000000182</v>
      </c>
      <c r="Q365" s="140">
        <f t="shared" si="41"/>
        <v>-14512.817278481009</v>
      </c>
      <c r="R365" s="100">
        <f t="shared" si="39"/>
        <v>1037.1827215189915</v>
      </c>
      <c r="S365" s="524" t="s">
        <v>313</v>
      </c>
      <c r="T365" s="422"/>
      <c r="U365" s="47"/>
      <c r="V365" s="60"/>
      <c r="W365" s="60"/>
      <c r="X365" s="171"/>
      <c r="Y365" s="47"/>
      <c r="Z365" s="331"/>
      <c r="AA365" s="174"/>
      <c r="AB365" s="60"/>
      <c r="AC365" s="47"/>
      <c r="AD365" s="47"/>
      <c r="AE365" s="47"/>
      <c r="AF365" s="47"/>
      <c r="AG365" s="47"/>
      <c r="AH365" s="47"/>
      <c r="AI365" s="47"/>
    </row>
    <row r="366" spans="2:35">
      <c r="B366" s="47"/>
      <c r="C366" s="84"/>
      <c r="D366" s="298"/>
      <c r="E366" s="100"/>
      <c r="F366" s="204"/>
      <c r="G366" s="299"/>
      <c r="H366" s="425"/>
      <c r="I366" s="47"/>
      <c r="L366" s="274"/>
      <c r="M366" s="325"/>
      <c r="N366" s="374"/>
      <c r="O366" s="60"/>
      <c r="P366" s="106">
        <f>E360</f>
        <v>910.59000000000015</v>
      </c>
      <c r="Q366" s="141">
        <f>Q365+P366</f>
        <v>-13602.227278481008</v>
      </c>
      <c r="R366" s="115">
        <f>15550+Q366</f>
        <v>1947.7727215189916</v>
      </c>
      <c r="S366" s="524" t="s">
        <v>321</v>
      </c>
      <c r="T366" s="422"/>
      <c r="U366" s="47"/>
      <c r="V366" s="60"/>
      <c r="W366" s="60"/>
      <c r="X366" s="171"/>
      <c r="Y366" s="47"/>
      <c r="Z366" s="331"/>
      <c r="AA366" s="174"/>
      <c r="AB366" s="60"/>
      <c r="AC366" s="47"/>
      <c r="AD366" s="47"/>
      <c r="AE366" s="47"/>
      <c r="AF366" s="47"/>
      <c r="AG366" s="47"/>
      <c r="AH366" s="47"/>
      <c r="AI366" s="47"/>
    </row>
    <row r="367" spans="2:35">
      <c r="B367" s="47"/>
      <c r="C367" s="84"/>
      <c r="D367" s="298"/>
      <c r="E367" s="100"/>
      <c r="F367" s="204"/>
      <c r="G367" s="299"/>
      <c r="H367" s="477"/>
      <c r="I367" s="47"/>
      <c r="L367" s="274"/>
      <c r="M367" s="325"/>
      <c r="N367" s="374"/>
      <c r="O367" s="60"/>
      <c r="P367" s="133">
        <f>SUM(P346:P366)</f>
        <v>-13602.227278481008</v>
      </c>
      <c r="Q367" s="377" t="s">
        <v>285</v>
      </c>
      <c r="R367" s="452"/>
      <c r="S367" s="524"/>
      <c r="T367" s="476"/>
      <c r="U367" s="47"/>
      <c r="V367" s="60"/>
      <c r="W367" s="60"/>
      <c r="X367" s="171"/>
      <c r="Y367" s="47"/>
      <c r="Z367" s="331"/>
      <c r="AA367" s="174"/>
      <c r="AB367" s="60"/>
      <c r="AC367" s="47"/>
      <c r="AD367" s="47"/>
      <c r="AE367" s="47"/>
      <c r="AF367" s="47"/>
      <c r="AG367" s="47"/>
      <c r="AH367" s="47"/>
      <c r="AI367" s="47"/>
    </row>
    <row r="368" spans="2:35" s="150" customFormat="1">
      <c r="C368" s="240"/>
      <c r="D368" s="446"/>
      <c r="E368" s="115"/>
      <c r="F368" s="168"/>
      <c r="G368" s="447"/>
      <c r="H368" s="429"/>
      <c r="K368" s="349"/>
      <c r="M368" s="41"/>
      <c r="N368" s="316"/>
      <c r="O368" s="41"/>
      <c r="P368" s="41"/>
      <c r="Q368" s="41"/>
      <c r="R368" s="41"/>
      <c r="S368" s="535"/>
      <c r="T368" s="423"/>
      <c r="V368" s="41"/>
      <c r="W368" s="41"/>
      <c r="X368" s="244"/>
      <c r="Z368" s="245"/>
      <c r="AA368" s="246"/>
      <c r="AB368" s="41"/>
    </row>
    <row r="370" spans="1:35" ht="12.75" customHeight="1">
      <c r="B370" s="966" t="s">
        <v>320</v>
      </c>
      <c r="C370" s="966"/>
      <c r="D370" s="966"/>
      <c r="E370" s="966"/>
      <c r="G370" s="352"/>
      <c r="H370" s="352"/>
      <c r="I370" s="60"/>
      <c r="K370" s="350"/>
      <c r="L370" s="180"/>
      <c r="M370" s="970" t="s">
        <v>90</v>
      </c>
      <c r="N370" s="506"/>
      <c r="O370" s="510"/>
      <c r="P370" s="972" t="s">
        <v>84</v>
      </c>
      <c r="Q370" s="974" t="s">
        <v>284</v>
      </c>
      <c r="R370" s="974"/>
      <c r="S370" s="528"/>
      <c r="X370" s="84"/>
      <c r="Y370" s="84"/>
      <c r="Z370" s="60"/>
      <c r="AA370" s="511"/>
      <c r="AB370" s="60"/>
      <c r="AC370" s="47"/>
      <c r="AD370" s="47"/>
      <c r="AE370" s="47"/>
      <c r="AF370" s="47"/>
      <c r="AG370" s="47"/>
      <c r="AH370" s="47"/>
      <c r="AI370" s="47"/>
    </row>
    <row r="371" spans="1:35" ht="12.75" customHeight="1">
      <c r="C371" s="43" t="s">
        <v>35</v>
      </c>
      <c r="D371" s="39"/>
      <c r="E371" s="99">
        <v>9000</v>
      </c>
      <c r="G371" s="687"/>
      <c r="H371" s="687"/>
      <c r="I371" s="60"/>
      <c r="K371" s="351" t="s">
        <v>263</v>
      </c>
      <c r="L371" s="242"/>
      <c r="M371" s="971"/>
      <c r="N371" s="506" t="s">
        <v>79</v>
      </c>
      <c r="O371" s="510"/>
      <c r="P371" s="973"/>
      <c r="Q371" s="507" t="s">
        <v>79</v>
      </c>
      <c r="R371" s="508" t="s">
        <v>89</v>
      </c>
      <c r="S371" s="528"/>
      <c r="X371" s="198"/>
      <c r="Y371" s="191"/>
      <c r="Z371" s="197"/>
      <c r="AA371" s="169"/>
      <c r="AB371" s="170"/>
      <c r="AC371" s="47"/>
      <c r="AD371" s="91"/>
      <c r="AE371" s="47"/>
      <c r="AF371" s="47"/>
      <c r="AG371" s="47"/>
      <c r="AH371" s="47"/>
      <c r="AI371" s="47"/>
    </row>
    <row r="372" spans="1:35" ht="12.75" customHeight="1">
      <c r="C372" s="43"/>
      <c r="D372" s="39" t="s">
        <v>47</v>
      </c>
      <c r="E372" s="99">
        <v>175</v>
      </c>
      <c r="G372" s="74"/>
      <c r="H372" s="74"/>
      <c r="I372" s="60"/>
      <c r="K372" s="362"/>
      <c r="L372" s="327" t="s">
        <v>268</v>
      </c>
      <c r="M372" s="60">
        <f>$M$364</f>
        <v>6866.8100940000077</v>
      </c>
      <c r="N372" s="376">
        <f>M372</f>
        <v>6866.8100940000077</v>
      </c>
      <c r="O372" s="60"/>
      <c r="P372" s="100">
        <f>$Q$366</f>
        <v>-13602.227278481008</v>
      </c>
      <c r="Q372" s="139">
        <f>P372</f>
        <v>-13602.227278481008</v>
      </c>
      <c r="R372" s="100">
        <f t="shared" ref="R372:R382" si="42">15550+Q372</f>
        <v>1947.7727215189916</v>
      </c>
      <c r="S372" s="532"/>
      <c r="T372" s="71"/>
      <c r="X372" s="171"/>
      <c r="Y372" s="191"/>
      <c r="Z372" s="60"/>
      <c r="AA372" s="511"/>
      <c r="AB372" s="60"/>
      <c r="AC372" s="47"/>
      <c r="AD372" s="172"/>
      <c r="AE372" s="173"/>
      <c r="AF372" s="47"/>
      <c r="AG372" s="47"/>
      <c r="AH372" s="47"/>
      <c r="AI372" s="47"/>
    </row>
    <row r="373" spans="1:35" ht="12.75" customHeight="1">
      <c r="C373" s="43"/>
      <c r="D373" s="229" t="s">
        <v>267</v>
      </c>
      <c r="E373" s="41"/>
      <c r="G373"/>
      <c r="I373" s="60"/>
      <c r="K373" s="400"/>
      <c r="L373" s="151" t="s">
        <v>326</v>
      </c>
      <c r="M373" s="262">
        <v>-115</v>
      </c>
      <c r="N373" s="137">
        <f t="shared" ref="N373:N387" si="43">N372+M373</f>
        <v>6751.8100940000077</v>
      </c>
      <c r="O373" s="134"/>
      <c r="P373" s="215">
        <f>-M375</f>
        <v>3000</v>
      </c>
      <c r="Q373" s="140">
        <f>Q372+P373</f>
        <v>-10602.227278481008</v>
      </c>
      <c r="R373" s="100">
        <f t="shared" si="42"/>
        <v>4947.7727215189916</v>
      </c>
      <c r="S373" s="524" t="s">
        <v>289</v>
      </c>
      <c r="X373" s="47"/>
      <c r="Y373" s="192"/>
      <c r="Z373" s="331"/>
      <c r="AA373" s="174"/>
      <c r="AB373" s="175"/>
      <c r="AC373" s="47"/>
      <c r="AD373" s="91"/>
      <c r="AE373" s="173"/>
      <c r="AF373" s="47"/>
      <c r="AG373" s="47"/>
      <c r="AH373" s="47"/>
      <c r="AI373" s="47"/>
    </row>
    <row r="374" spans="1:35" ht="12.75" customHeight="1">
      <c r="C374" s="45" t="s">
        <v>17</v>
      </c>
      <c r="D374" s="39"/>
      <c r="E374" s="39">
        <f>SUM(E371:E373)</f>
        <v>9175</v>
      </c>
      <c r="G374" s="334"/>
      <c r="H374" s="334"/>
      <c r="I374" s="334"/>
      <c r="J374" s="47"/>
      <c r="K374" s="400"/>
      <c r="L374" s="151" t="s">
        <v>189</v>
      </c>
      <c r="M374" s="262">
        <v>-100</v>
      </c>
      <c r="N374" s="137">
        <f t="shared" si="43"/>
        <v>6651.8100940000077</v>
      </c>
      <c r="O374" s="134"/>
      <c r="P374" s="215">
        <v>-179.14</v>
      </c>
      <c r="Q374" s="140">
        <f>Q373+P374</f>
        <v>-10781.367278481008</v>
      </c>
      <c r="R374" s="100">
        <f t="shared" si="42"/>
        <v>4768.6327215189922</v>
      </c>
      <c r="S374" s="524" t="s">
        <v>299</v>
      </c>
      <c r="U374" s="191"/>
      <c r="V374" s="47"/>
      <c r="W374" s="47"/>
      <c r="X374" s="47"/>
      <c r="Y374" s="192"/>
      <c r="Z374" s="331"/>
      <c r="AA374" s="174"/>
      <c r="AB374" s="60"/>
      <c r="AC374" s="47"/>
      <c r="AD374" s="172"/>
      <c r="AE374" s="173"/>
      <c r="AF374" s="47"/>
      <c r="AG374" s="47"/>
      <c r="AH374" s="47"/>
      <c r="AI374" s="47"/>
    </row>
    <row r="375" spans="1:35" ht="12.75" customHeight="1">
      <c r="G375" s="47"/>
      <c r="H375" s="101"/>
      <c r="I375" s="100"/>
      <c r="J375" s="117"/>
      <c r="K375" s="400"/>
      <c r="L375" s="151" t="s">
        <v>140</v>
      </c>
      <c r="M375" s="262">
        <v>-3000</v>
      </c>
      <c r="N375" s="137">
        <f t="shared" si="43"/>
        <v>3651.8100940000077</v>
      </c>
      <c r="O375" s="105"/>
      <c r="P375" s="215">
        <f>-200-140</f>
        <v>-340</v>
      </c>
      <c r="Q375" s="140">
        <f t="shared" ref="Q375:Q382" si="44">Q374+P375</f>
        <v>-11121.367278481008</v>
      </c>
      <c r="R375" s="100">
        <f t="shared" si="42"/>
        <v>4428.6327215189922</v>
      </c>
      <c r="S375" s="524" t="s">
        <v>329</v>
      </c>
      <c r="T375" s="284"/>
      <c r="U375" s="47"/>
      <c r="V375" s="100"/>
      <c r="W375" s="47"/>
      <c r="X375" s="171"/>
      <c r="Y375" s="192"/>
      <c r="Z375" s="331"/>
      <c r="AA375" s="174"/>
      <c r="AB375" s="60"/>
      <c r="AC375" s="47"/>
      <c r="AD375" s="172"/>
      <c r="AE375" s="173"/>
      <c r="AF375" s="47"/>
      <c r="AG375" s="47"/>
      <c r="AH375" s="47"/>
      <c r="AI375" s="47"/>
    </row>
    <row r="376" spans="1:35" ht="12.75" customHeight="1">
      <c r="C376" s="43" t="s">
        <v>29</v>
      </c>
      <c r="G376" s="47"/>
      <c r="H376" s="101"/>
      <c r="I376" s="100"/>
      <c r="J376" s="47"/>
      <c r="K376" s="347"/>
      <c r="L376" s="151" t="s">
        <v>140</v>
      </c>
      <c r="M376" s="262">
        <f>-P376</f>
        <v>2800</v>
      </c>
      <c r="N376" s="137">
        <f t="shared" si="43"/>
        <v>6451.8100940000077</v>
      </c>
      <c r="O376" s="106"/>
      <c r="P376" s="214">
        <v>-2800</v>
      </c>
      <c r="Q376" s="140">
        <f t="shared" si="44"/>
        <v>-13921.367278481008</v>
      </c>
      <c r="R376" s="100">
        <f t="shared" si="42"/>
        <v>1628.6327215189922</v>
      </c>
      <c r="S376" s="524" t="s">
        <v>289</v>
      </c>
      <c r="T376" s="47"/>
      <c r="U376" s="47"/>
      <c r="V376" s="100"/>
      <c r="W376" s="183"/>
      <c r="X376" s="47"/>
      <c r="Y376" s="192"/>
      <c r="Z376" s="331"/>
      <c r="AA376" s="174"/>
      <c r="AB376" s="175"/>
      <c r="AC376" s="47"/>
      <c r="AD376" s="176"/>
      <c r="AE376" s="173"/>
      <c r="AF376" s="47"/>
      <c r="AG376" s="47"/>
      <c r="AH376" s="47"/>
      <c r="AI376" s="47"/>
    </row>
    <row r="377" spans="1:35" ht="12.75" customHeight="1">
      <c r="D377" t="s">
        <v>30</v>
      </c>
      <c r="E377" s="39">
        <f>1312/2</f>
        <v>656</v>
      </c>
      <c r="G377" s="333"/>
      <c r="H377" s="101"/>
      <c r="I377" s="100"/>
      <c r="J377" s="47"/>
      <c r="K377" s="347" t="s">
        <v>265</v>
      </c>
      <c r="L377" s="181" t="s">
        <v>269</v>
      </c>
      <c r="M377" s="215">
        <v>-308</v>
      </c>
      <c r="N377" s="137">
        <f t="shared" si="43"/>
        <v>6143.8100940000077</v>
      </c>
      <c r="O377" s="106"/>
      <c r="P377" s="214">
        <v>-186.9</v>
      </c>
      <c r="Q377" s="140">
        <f t="shared" si="44"/>
        <v>-14108.267278481007</v>
      </c>
      <c r="R377" s="100">
        <f t="shared" si="42"/>
        <v>1441.7327215189925</v>
      </c>
      <c r="S377" s="530" t="s">
        <v>336</v>
      </c>
      <c r="T377" s="47"/>
      <c r="U377" s="47"/>
      <c r="V377" s="100"/>
      <c r="W377" s="47"/>
      <c r="X377" s="47"/>
      <c r="Y377" s="192"/>
      <c r="Z377" s="331"/>
      <c r="AA377" s="174"/>
      <c r="AB377" s="60"/>
      <c r="AC377" s="47"/>
      <c r="AD377" s="91"/>
      <c r="AE377" s="173"/>
      <c r="AF377" s="47"/>
      <c r="AG377" s="47"/>
      <c r="AH377" s="47"/>
      <c r="AI377" s="47"/>
    </row>
    <row r="378" spans="1:35" ht="12.75" customHeight="1">
      <c r="D378" t="s">
        <v>45</v>
      </c>
      <c r="E378" s="41"/>
      <c r="F378" s="87"/>
      <c r="G378" s="47"/>
      <c r="H378" s="101"/>
      <c r="I378" s="188"/>
      <c r="J378" s="565" t="s">
        <v>387</v>
      </c>
      <c r="K378" s="347" t="s">
        <v>338</v>
      </c>
      <c r="L378" s="151" t="s">
        <v>328</v>
      </c>
      <c r="M378" s="262">
        <v>-3830</v>
      </c>
      <c r="N378" s="137">
        <f t="shared" si="43"/>
        <v>2313.8100940000077</v>
      </c>
      <c r="O378" s="106"/>
      <c r="P378" s="214">
        <v>-575.72</v>
      </c>
      <c r="Q378" s="140">
        <f t="shared" si="44"/>
        <v>-14683.987278481007</v>
      </c>
      <c r="R378" s="100">
        <f t="shared" si="42"/>
        <v>866.0127215189932</v>
      </c>
      <c r="S378" s="530" t="s">
        <v>304</v>
      </c>
      <c r="T378" s="47"/>
      <c r="U378" s="47"/>
      <c r="V378" s="215"/>
      <c r="W378" s="47"/>
      <c r="X378" s="47"/>
      <c r="Y378" s="192"/>
      <c r="Z378" s="331"/>
      <c r="AA378" s="174"/>
      <c r="AB378" s="60"/>
      <c r="AC378" s="47"/>
      <c r="AD378" s="172"/>
      <c r="AE378" s="173"/>
      <c r="AF378" s="47"/>
      <c r="AG378" s="47"/>
      <c r="AH378" s="47"/>
      <c r="AI378" s="47"/>
    </row>
    <row r="379" spans="1:35" ht="12.75" customHeight="1">
      <c r="C379" s="45" t="s">
        <v>17</v>
      </c>
      <c r="E379" s="46">
        <f>SUM(E377:E378)</f>
        <v>656</v>
      </c>
      <c r="G379" s="47"/>
      <c r="H379" s="327"/>
      <c r="I379" s="100"/>
      <c r="J379" s="47"/>
      <c r="K379" s="400" t="s">
        <v>327</v>
      </c>
      <c r="L379" s="151" t="s">
        <v>266</v>
      </c>
      <c r="M379" s="262">
        <v>-533.94000000000005</v>
      </c>
      <c r="N379" s="137">
        <f t="shared" si="43"/>
        <v>1779.8700940000076</v>
      </c>
      <c r="O379" s="88"/>
      <c r="P379" s="214">
        <v>-270</v>
      </c>
      <c r="Q379" s="140">
        <f t="shared" si="44"/>
        <v>-14953.987278481007</v>
      </c>
      <c r="R379" s="100">
        <f t="shared" si="42"/>
        <v>596.0127215189932</v>
      </c>
      <c r="S379" s="530" t="s">
        <v>335</v>
      </c>
      <c r="T379" s="111"/>
      <c r="U379" s="47"/>
      <c r="V379" s="100"/>
      <c r="W379" s="60"/>
      <c r="X379" s="47"/>
      <c r="Y379" s="192"/>
      <c r="Z379" s="331"/>
      <c r="AA379" s="174"/>
      <c r="AB379" s="175"/>
      <c r="AC379" s="47"/>
      <c r="AD379" s="172"/>
      <c r="AE379" s="173"/>
      <c r="AF379" s="47"/>
      <c r="AG379" s="47"/>
      <c r="AH379" s="47"/>
      <c r="AI379" s="47"/>
    </row>
    <row r="380" spans="1:35" ht="12.75" customHeight="1" thickBot="1">
      <c r="C380" s="45"/>
      <c r="G380" s="47"/>
      <c r="H380" s="101"/>
      <c r="I380" s="448"/>
      <c r="J380" s="448"/>
      <c r="K380" s="400" t="s">
        <v>327</v>
      </c>
      <c r="L380" s="151" t="s">
        <v>97</v>
      </c>
      <c r="M380" s="262">
        <v>-29</v>
      </c>
      <c r="N380" s="137">
        <f t="shared" si="43"/>
        <v>1750.8700940000076</v>
      </c>
      <c r="O380" s="88"/>
      <c r="P380" s="214">
        <v>-350</v>
      </c>
      <c r="Q380" s="140">
        <f t="shared" si="44"/>
        <v>-15303.987278481007</v>
      </c>
      <c r="R380" s="100">
        <f t="shared" si="42"/>
        <v>246.0127215189932</v>
      </c>
      <c r="S380" s="524" t="s">
        <v>337</v>
      </c>
      <c r="T380" s="111"/>
      <c r="U380" s="47"/>
      <c r="V380" s="100"/>
      <c r="W380" s="60"/>
      <c r="X380" s="47"/>
      <c r="Y380" s="192"/>
      <c r="Z380" s="331"/>
      <c r="AA380" s="174"/>
      <c r="AB380" s="60"/>
      <c r="AC380" s="47"/>
      <c r="AD380" s="172"/>
      <c r="AE380" s="177"/>
      <c r="AF380" s="47"/>
      <c r="AG380" s="47"/>
      <c r="AH380" s="47"/>
      <c r="AI380" s="47"/>
    </row>
    <row r="381" spans="1:35" ht="12.75" customHeight="1" thickBot="1">
      <c r="D381" s="42" t="s">
        <v>105</v>
      </c>
      <c r="E381" s="63">
        <f>E374-E379</f>
        <v>8519</v>
      </c>
      <c r="G381" s="47"/>
      <c r="H381" s="327"/>
      <c r="I381" s="448"/>
      <c r="J381" s="448"/>
      <c r="K381" s="400" t="s">
        <v>327</v>
      </c>
      <c r="L381" s="151" t="s">
        <v>266</v>
      </c>
      <c r="M381" s="262">
        <v>-59.5</v>
      </c>
      <c r="N381" s="137">
        <f t="shared" si="43"/>
        <v>1691.3700940000076</v>
      </c>
      <c r="O381" s="88"/>
      <c r="P381" s="214">
        <v>-189.65</v>
      </c>
      <c r="Q381" s="140">
        <f t="shared" si="44"/>
        <v>-15493.637278481006</v>
      </c>
      <c r="R381" s="100">
        <f t="shared" si="42"/>
        <v>56.362721518993567</v>
      </c>
      <c r="S381" s="524" t="s">
        <v>319</v>
      </c>
      <c r="T381" s="152"/>
      <c r="U381" s="142"/>
      <c r="V381" s="100"/>
      <c r="W381" s="60"/>
      <c r="X381" s="47"/>
      <c r="Y381" s="192"/>
      <c r="Z381" s="331"/>
      <c r="AA381" s="174"/>
      <c r="AB381" s="60"/>
      <c r="AC381" s="47"/>
      <c r="AD381" s="47"/>
      <c r="AE381" s="173"/>
      <c r="AF381" s="47"/>
      <c r="AG381" s="47"/>
      <c r="AH381" s="47"/>
      <c r="AI381" s="47"/>
    </row>
    <row r="382" spans="1:35" ht="12.75" customHeight="1">
      <c r="D382" s="43"/>
      <c r="E382" s="90"/>
      <c r="G382"/>
      <c r="H382" s="58"/>
      <c r="I382" s="448"/>
      <c r="J382" s="448"/>
      <c r="K382" s="348" t="s">
        <v>340</v>
      </c>
      <c r="L382" s="151" t="s">
        <v>266</v>
      </c>
      <c r="M382" s="100">
        <v>-533.94000000000005</v>
      </c>
      <c r="N382" s="137">
        <f t="shared" si="43"/>
        <v>1157.4300940000076</v>
      </c>
      <c r="O382" s="88"/>
      <c r="P382" s="214">
        <v>-0.1</v>
      </c>
      <c r="Q382" s="140">
        <f t="shared" si="44"/>
        <v>-15493.737278481007</v>
      </c>
      <c r="R382" s="100">
        <f t="shared" si="42"/>
        <v>56.262721518993203</v>
      </c>
      <c r="S382" s="524" t="s">
        <v>341</v>
      </c>
      <c r="T382" s="111"/>
      <c r="U382" s="142"/>
      <c r="V382" s="60"/>
      <c r="W382" s="60"/>
      <c r="X382" s="171"/>
      <c r="Y382" s="47"/>
      <c r="Z382" s="331"/>
      <c r="AA382" s="174"/>
      <c r="AB382" s="175"/>
      <c r="AC382" s="47"/>
      <c r="AD382" s="178"/>
      <c r="AE382" s="173"/>
      <c r="AF382" s="511"/>
      <c r="AG382" s="47"/>
      <c r="AH382" s="47"/>
      <c r="AI382" s="47"/>
    </row>
    <row r="383" spans="1:35" ht="12.75" customHeight="1">
      <c r="A383" s="467"/>
      <c r="D383" s="43"/>
      <c r="E383" s="90"/>
      <c r="G383"/>
      <c r="H383" s="58"/>
      <c r="I383" s="448"/>
      <c r="J383" s="448"/>
      <c r="K383" s="350" t="s">
        <v>343</v>
      </c>
      <c r="L383" s="151" t="s">
        <v>344</v>
      </c>
      <c r="M383" s="100">
        <v>1775.35</v>
      </c>
      <c r="N383" s="137">
        <f t="shared" si="43"/>
        <v>2932.7800940000075</v>
      </c>
      <c r="O383" s="88"/>
      <c r="P383" s="214">
        <v>442.13</v>
      </c>
      <c r="Q383" s="140">
        <f t="shared" ref="Q383:Q388" si="45">Q382+P383</f>
        <v>-15051.607278481008</v>
      </c>
      <c r="R383" s="100">
        <f t="shared" ref="R383:R388" si="46">15550+Q383</f>
        <v>498.3927215189924</v>
      </c>
      <c r="S383" s="524" t="s">
        <v>334</v>
      </c>
      <c r="T383" s="504"/>
      <c r="U383" s="134"/>
      <c r="V383" s="60"/>
      <c r="W383" s="60"/>
      <c r="X383" s="84"/>
      <c r="Y383" s="47"/>
      <c r="Z383" s="331"/>
      <c r="AA383" s="174"/>
      <c r="AB383" s="60"/>
      <c r="AC383" s="47"/>
      <c r="AD383" s="47"/>
      <c r="AE383" s="47"/>
      <c r="AF383" s="179"/>
      <c r="AG383" s="47"/>
      <c r="AH383" s="47"/>
      <c r="AI383" s="47"/>
    </row>
    <row r="384" spans="1:35" ht="12.75" customHeight="1">
      <c r="A384" s="467"/>
      <c r="C384" s="153" t="s">
        <v>40</v>
      </c>
      <c r="E384" s="97"/>
      <c r="G384"/>
      <c r="H384" s="58"/>
      <c r="I384" s="448"/>
      <c r="J384" s="448"/>
      <c r="K384" s="350" t="s">
        <v>343</v>
      </c>
      <c r="L384" s="151" t="s">
        <v>47</v>
      </c>
      <c r="M384" s="100">
        <v>-442.13</v>
      </c>
      <c r="N384" s="137">
        <f t="shared" si="43"/>
        <v>2490.6500940000074</v>
      </c>
      <c r="O384" s="88"/>
      <c r="P384" s="214">
        <v>-72.3</v>
      </c>
      <c r="Q384" s="140">
        <f t="shared" si="45"/>
        <v>-15123.907278481007</v>
      </c>
      <c r="R384" s="100">
        <f t="shared" si="46"/>
        <v>426.09272151899313</v>
      </c>
      <c r="S384" s="524" t="s">
        <v>304</v>
      </c>
      <c r="T384" s="503"/>
      <c r="U384" s="134"/>
      <c r="V384" s="47"/>
      <c r="W384" s="47"/>
      <c r="X384" s="47"/>
      <c r="Y384" s="191"/>
      <c r="Z384" s="331"/>
      <c r="AA384" s="174"/>
      <c r="AB384" s="60"/>
      <c r="AC384" s="47"/>
      <c r="AD384" s="47"/>
      <c r="AE384" s="47"/>
      <c r="AF384" s="47"/>
      <c r="AG384" s="47"/>
      <c r="AH384" s="47"/>
      <c r="AI384" s="47"/>
    </row>
    <row r="385" spans="1:35" ht="12.75" customHeight="1">
      <c r="A385" s="467"/>
      <c r="D385" s="47" t="s">
        <v>37</v>
      </c>
      <c r="E385" s="97">
        <v>7648.33</v>
      </c>
      <c r="F385" s="47"/>
      <c r="G385" s="47"/>
      <c r="H385" s="101"/>
      <c r="I385" s="448"/>
      <c r="J385" s="448"/>
      <c r="K385" s="350" t="s">
        <v>264</v>
      </c>
      <c r="L385" s="357" t="s">
        <v>87</v>
      </c>
      <c r="M385" s="232">
        <f>E385</f>
        <v>7648.33</v>
      </c>
      <c r="N385" s="137">
        <f t="shared" si="43"/>
        <v>10138.980094000008</v>
      </c>
      <c r="O385" s="88"/>
      <c r="P385" s="214">
        <v>-109</v>
      </c>
      <c r="Q385" s="140">
        <f t="shared" si="45"/>
        <v>-15232.907278481007</v>
      </c>
      <c r="R385" s="100">
        <f t="shared" si="46"/>
        <v>317.09272151899313</v>
      </c>
      <c r="S385" s="524" t="s">
        <v>345</v>
      </c>
      <c r="T385" s="503"/>
      <c r="U385" s="134"/>
      <c r="V385" s="47"/>
      <c r="W385" s="47"/>
      <c r="X385" s="171"/>
      <c r="Y385" s="191"/>
      <c r="Z385" s="331"/>
      <c r="AA385" s="174"/>
      <c r="AB385" s="175"/>
      <c r="AC385" s="47"/>
      <c r="AD385" s="47"/>
      <c r="AE385" s="47"/>
      <c r="AF385" s="47"/>
      <c r="AG385" s="47"/>
      <c r="AH385" s="47"/>
      <c r="AI385" s="47"/>
    </row>
    <row r="386" spans="1:35" ht="12.75" customHeight="1">
      <c r="A386" s="467"/>
      <c r="D386" s="150" t="s">
        <v>36</v>
      </c>
      <c r="E386" s="41">
        <f>E381-E385-E387</f>
        <v>870.67000000000007</v>
      </c>
      <c r="F386" s="150"/>
      <c r="G386" s="689">
        <f>SUM(E385:E386)</f>
        <v>8519</v>
      </c>
      <c r="H386" s="689"/>
      <c r="I386" s="448"/>
      <c r="J386" s="565" t="s">
        <v>388</v>
      </c>
      <c r="K386" s="350" t="s">
        <v>264</v>
      </c>
      <c r="L386" s="357" t="s">
        <v>328</v>
      </c>
      <c r="M386" s="232">
        <f>-3830-500</f>
        <v>-4330</v>
      </c>
      <c r="N386" s="137">
        <f t="shared" si="43"/>
        <v>5808.9800940000077</v>
      </c>
      <c r="O386" s="88"/>
      <c r="P386" s="214">
        <v>-262</v>
      </c>
      <c r="Q386" s="140">
        <f t="shared" si="45"/>
        <v>-15494.907278481007</v>
      </c>
      <c r="R386" s="100">
        <f t="shared" si="46"/>
        <v>55.09272151899313</v>
      </c>
      <c r="S386" s="524" t="s">
        <v>346</v>
      </c>
      <c r="T386" s="503"/>
      <c r="U386" s="134"/>
      <c r="V386" s="47"/>
      <c r="W386" s="47"/>
      <c r="X386" s="47"/>
      <c r="Y386" s="191"/>
      <c r="Z386" s="331"/>
      <c r="AA386" s="174"/>
      <c r="AB386" s="60"/>
      <c r="AC386" s="47"/>
      <c r="AD386" s="47"/>
      <c r="AE386" s="47"/>
      <c r="AF386" s="47"/>
      <c r="AG386" s="511"/>
      <c r="AH386" s="47"/>
      <c r="AI386" s="47"/>
    </row>
    <row r="387" spans="1:35" ht="12.75" customHeight="1">
      <c r="A387" s="467"/>
      <c r="D387" s="47"/>
      <c r="E387" s="60"/>
      <c r="F387" s="204"/>
      <c r="G387" s="688"/>
      <c r="H387" s="688"/>
      <c r="I387" s="448"/>
      <c r="J387" s="448"/>
      <c r="K387" s="165" t="s">
        <v>264</v>
      </c>
      <c r="L387" s="357" t="s">
        <v>222</v>
      </c>
      <c r="M387" s="100">
        <v>-69</v>
      </c>
      <c r="N387" s="137">
        <f t="shared" si="43"/>
        <v>5739.9800940000077</v>
      </c>
      <c r="O387" s="88"/>
      <c r="P387" s="214">
        <v>441.8</v>
      </c>
      <c r="Q387" s="140">
        <f t="shared" si="45"/>
        <v>-15053.107278481008</v>
      </c>
      <c r="R387" s="100">
        <f t="shared" si="46"/>
        <v>496.8927215189924</v>
      </c>
      <c r="S387" s="524" t="s">
        <v>334</v>
      </c>
      <c r="T387" s="503"/>
      <c r="U387" s="163"/>
      <c r="V387" s="47"/>
      <c r="W387" s="47"/>
      <c r="X387" s="47"/>
      <c r="Y387" s="191"/>
      <c r="Z387" s="331"/>
      <c r="AA387" s="174"/>
      <c r="AB387" s="60"/>
      <c r="AC387" s="47"/>
      <c r="AD387" s="47"/>
      <c r="AE387" s="47"/>
      <c r="AF387" s="47"/>
      <c r="AG387" s="47"/>
      <c r="AH387" s="47"/>
      <c r="AI387" s="47"/>
    </row>
    <row r="388" spans="1:35" ht="12.75" customHeight="1">
      <c r="A388" s="467"/>
      <c r="D388" s="47"/>
      <c r="E388" s="60"/>
      <c r="F388" s="204"/>
      <c r="G388" s="509"/>
      <c r="H388" s="509"/>
      <c r="I388" s="448"/>
      <c r="J388" s="448"/>
      <c r="K388" s="350" t="s">
        <v>264</v>
      </c>
      <c r="L388" s="357" t="s">
        <v>97</v>
      </c>
      <c r="M388" s="100">
        <v>-203.5</v>
      </c>
      <c r="N388" s="137">
        <f t="shared" ref="N388:N393" si="47">N387+M388</f>
        <v>5536.4800940000077</v>
      </c>
      <c r="O388" s="97"/>
      <c r="P388" s="106">
        <f>E386</f>
        <v>870.67000000000007</v>
      </c>
      <c r="Q388" s="141">
        <f t="shared" si="45"/>
        <v>-14182.437278481008</v>
      </c>
      <c r="R388" s="115">
        <f t="shared" si="46"/>
        <v>1367.5627215189925</v>
      </c>
      <c r="S388" s="524" t="s">
        <v>352</v>
      </c>
      <c r="T388" s="503"/>
      <c r="U388" s="164"/>
      <c r="V388" s="60"/>
      <c r="W388" s="60"/>
      <c r="X388" s="171"/>
      <c r="Y388" s="47"/>
      <c r="Z388" s="331"/>
      <c r="AA388" s="174"/>
      <c r="AB388" s="60"/>
      <c r="AC388" s="47"/>
      <c r="AD388" s="47"/>
      <c r="AE388" s="47"/>
      <c r="AF388" s="47"/>
      <c r="AG388" s="47"/>
      <c r="AH388" s="47"/>
      <c r="AI388" s="47"/>
    </row>
    <row r="389" spans="1:35" ht="12.75" customHeight="1">
      <c r="A389" s="467"/>
      <c r="D389" s="47"/>
      <c r="E389" s="60"/>
      <c r="F389" s="204"/>
      <c r="G389" s="509"/>
      <c r="H389" s="509"/>
      <c r="I389" s="448"/>
      <c r="J389" s="448"/>
      <c r="K389" s="350" t="s">
        <v>264</v>
      </c>
      <c r="L389" s="357" t="s">
        <v>237</v>
      </c>
      <c r="M389" s="100">
        <v>-1738</v>
      </c>
      <c r="N389" s="137">
        <f t="shared" si="47"/>
        <v>3798.4800940000077</v>
      </c>
      <c r="O389" s="60"/>
      <c r="P389" s="133">
        <f>SUM(P372:P388)</f>
        <v>-14182.437278481008</v>
      </c>
      <c r="Q389" s="377" t="s">
        <v>285</v>
      </c>
      <c r="R389" s="453"/>
      <c r="S389" s="524"/>
      <c r="T389" s="503"/>
      <c r="U389" s="164"/>
      <c r="V389" s="60"/>
      <c r="W389" s="60"/>
      <c r="X389" s="84"/>
      <c r="Y389" s="47"/>
      <c r="Z389" s="331"/>
      <c r="AA389" s="174"/>
      <c r="AB389" s="60"/>
      <c r="AC389" s="47"/>
      <c r="AD389" s="47"/>
      <c r="AE389" s="47"/>
      <c r="AF389" s="47"/>
      <c r="AG389" s="47"/>
      <c r="AH389" s="47"/>
      <c r="AI389" s="47"/>
    </row>
    <row r="390" spans="1:35" s="48" customFormat="1" ht="12.75" customHeight="1">
      <c r="A390" s="467"/>
      <c r="B390"/>
      <c r="C390"/>
      <c r="D390" s="47"/>
      <c r="E390" s="60"/>
      <c r="F390" s="204"/>
      <c r="G390" s="509"/>
      <c r="H390" s="509"/>
      <c r="I390" s="448"/>
      <c r="J390" s="448"/>
      <c r="K390" s="350" t="s">
        <v>264</v>
      </c>
      <c r="L390" s="357" t="s">
        <v>266</v>
      </c>
      <c r="M390" s="100">
        <v>0</v>
      </c>
      <c r="N390" s="137">
        <f t="shared" si="47"/>
        <v>3798.4800940000077</v>
      </c>
      <c r="O390" s="471"/>
      <c r="P390" s="136"/>
      <c r="Q390" s="132"/>
      <c r="R390" s="132"/>
      <c r="S390" s="524"/>
      <c r="T390" s="503"/>
      <c r="U390" s="52"/>
      <c r="V390" s="471"/>
      <c r="W390" s="471"/>
      <c r="X390" s="52"/>
      <c r="Y390" s="52"/>
      <c r="Z390" s="505"/>
      <c r="AA390" s="472"/>
      <c r="AB390" s="471"/>
      <c r="AC390" s="52"/>
      <c r="AD390" s="52"/>
      <c r="AE390" s="52"/>
      <c r="AF390" s="52"/>
      <c r="AG390" s="52"/>
      <c r="AH390" s="52"/>
      <c r="AI390" s="52"/>
    </row>
    <row r="391" spans="1:35" ht="12.75" customHeight="1">
      <c r="A391" s="467"/>
      <c r="D391" s="47"/>
      <c r="E391" s="60"/>
      <c r="F391" s="204"/>
      <c r="G391" s="509"/>
      <c r="H391" s="509"/>
      <c r="I391" s="448"/>
      <c r="J391" s="448"/>
      <c r="K391" s="165" t="s">
        <v>231</v>
      </c>
      <c r="L391" s="358" t="s">
        <v>39</v>
      </c>
      <c r="M391" s="262">
        <v>-403.99</v>
      </c>
      <c r="N391" s="137">
        <f t="shared" si="47"/>
        <v>3394.490094000008</v>
      </c>
      <c r="O391" s="60"/>
      <c r="P391" s="413"/>
      <c r="Q391" s="361"/>
      <c r="R391" s="132"/>
      <c r="S391" s="524"/>
      <c r="T391" s="503"/>
      <c r="U391" s="47"/>
      <c r="V391" s="60"/>
      <c r="W391" s="60"/>
      <c r="X391" s="171"/>
      <c r="Y391" s="47"/>
      <c r="Z391" s="331"/>
      <c r="AA391" s="174"/>
      <c r="AB391" s="60"/>
      <c r="AC391" s="47"/>
      <c r="AD391" s="47"/>
      <c r="AE391" s="47"/>
      <c r="AF391" s="47"/>
      <c r="AG391" s="47"/>
      <c r="AH391" s="47"/>
      <c r="AI391" s="47"/>
    </row>
    <row r="392" spans="1:35" ht="12.75" customHeight="1">
      <c r="A392" s="467"/>
      <c r="D392" s="47"/>
      <c r="E392" s="60"/>
      <c r="F392" s="204"/>
      <c r="G392" s="509"/>
      <c r="H392" s="509"/>
      <c r="I392" s="448"/>
      <c r="J392" s="448"/>
      <c r="K392" s="350" t="s">
        <v>231</v>
      </c>
      <c r="L392" s="359" t="s">
        <v>92</v>
      </c>
      <c r="M392" s="262">
        <v>-605</v>
      </c>
      <c r="N392" s="137">
        <f t="shared" si="47"/>
        <v>2789.490094000008</v>
      </c>
      <c r="O392" s="60"/>
      <c r="P392" s="413"/>
      <c r="Q392" s="361"/>
      <c r="R392" s="132"/>
      <c r="S392" s="524"/>
      <c r="T392" s="503"/>
      <c r="U392" s="47"/>
      <c r="V392" s="60"/>
      <c r="W392" s="60"/>
      <c r="X392" s="171"/>
      <c r="Y392" s="47"/>
      <c r="Z392" s="331"/>
      <c r="AA392" s="174"/>
      <c r="AB392" s="60"/>
      <c r="AC392" s="47"/>
      <c r="AD392" s="47"/>
      <c r="AE392" s="47"/>
      <c r="AF392" s="47"/>
      <c r="AG392" s="47"/>
      <c r="AH392" s="47"/>
      <c r="AI392" s="47"/>
    </row>
    <row r="393" spans="1:35" ht="12.75" customHeight="1">
      <c r="A393" s="467"/>
      <c r="D393" s="47"/>
      <c r="E393" s="60"/>
      <c r="F393" s="204"/>
      <c r="G393" s="688"/>
      <c r="H393" s="688"/>
      <c r="I393" s="448"/>
      <c r="J393" s="448"/>
      <c r="K393" s="469" t="s">
        <v>232</v>
      </c>
      <c r="L393" s="360" t="s">
        <v>46</v>
      </c>
      <c r="M393" s="516">
        <v>-187.52</v>
      </c>
      <c r="N393" s="470">
        <f t="shared" si="47"/>
        <v>2601.970094000008</v>
      </c>
      <c r="O393" s="60"/>
      <c r="P393" s="413"/>
      <c r="Q393" s="361"/>
      <c r="R393" s="132"/>
      <c r="S393" s="524"/>
      <c r="T393" s="503"/>
      <c r="U393" s="47"/>
      <c r="V393" s="60"/>
      <c r="W393" s="60"/>
      <c r="X393" s="171"/>
      <c r="Y393" s="47"/>
      <c r="Z393" s="331"/>
      <c r="AA393" s="174"/>
      <c r="AB393" s="60"/>
      <c r="AC393" s="47"/>
      <c r="AD393" s="47"/>
      <c r="AE393" s="47"/>
      <c r="AF393" s="47"/>
      <c r="AG393" s="47"/>
      <c r="AH393" s="47"/>
      <c r="AI393" s="47"/>
    </row>
    <row r="394" spans="1:35">
      <c r="L394" s="58"/>
      <c r="M394" s="255">
        <f>SUM(M372:M393)</f>
        <v>2601.970094000008</v>
      </c>
      <c r="N394" s="399"/>
      <c r="P394" s="413"/>
      <c r="Q394" s="361"/>
      <c r="R394" s="132"/>
      <c r="S394" s="524"/>
    </row>
    <row r="395" spans="1:35" s="150" customFormat="1">
      <c r="E395" s="41"/>
      <c r="G395" s="211"/>
      <c r="K395" s="349"/>
      <c r="M395" s="41"/>
      <c r="P395" s="514"/>
      <c r="Q395" s="515"/>
      <c r="R395" s="342"/>
      <c r="S395" s="538"/>
      <c r="Z395" s="41"/>
      <c r="AA395" s="212"/>
      <c r="AB395" s="41"/>
    </row>
    <row r="396" spans="1:35">
      <c r="P396" s="413"/>
      <c r="Q396" s="361"/>
      <c r="R396" s="132"/>
    </row>
    <row r="397" spans="1:35" ht="12.75" customHeight="1">
      <c r="B397" s="966" t="s">
        <v>342</v>
      </c>
      <c r="C397" s="966"/>
      <c r="D397" s="966"/>
      <c r="E397" s="966"/>
      <c r="G397" s="352"/>
      <c r="H397" s="352"/>
      <c r="I397" s="60"/>
      <c r="K397" s="350"/>
      <c r="L397" s="180"/>
      <c r="M397" s="970" t="s">
        <v>90</v>
      </c>
      <c r="N397" s="547"/>
      <c r="O397" s="545"/>
      <c r="P397" s="972" t="s">
        <v>84</v>
      </c>
      <c r="Q397" s="974" t="s">
        <v>284</v>
      </c>
      <c r="R397" s="974"/>
      <c r="S397" s="528"/>
      <c r="X397" s="84"/>
      <c r="Y397" s="84"/>
      <c r="Z397" s="60"/>
      <c r="AA397" s="550"/>
      <c r="AB397" s="60"/>
      <c r="AC397" s="47"/>
      <c r="AD397" s="47"/>
      <c r="AE397" s="47"/>
      <c r="AF397" s="47"/>
      <c r="AG397" s="47"/>
      <c r="AH397" s="47"/>
      <c r="AI397" s="47"/>
    </row>
    <row r="398" spans="1:35" ht="12.75" customHeight="1">
      <c r="C398" s="43" t="s">
        <v>35</v>
      </c>
      <c r="D398" s="39"/>
      <c r="E398" s="99">
        <v>9000</v>
      </c>
      <c r="G398" s="687"/>
      <c r="H398" s="687"/>
      <c r="I398" s="60"/>
      <c r="K398" s="351" t="s">
        <v>263</v>
      </c>
      <c r="L398" s="242"/>
      <c r="M398" s="971"/>
      <c r="N398" s="547" t="s">
        <v>79</v>
      </c>
      <c r="O398" s="545"/>
      <c r="P398" s="973"/>
      <c r="Q398" s="548" t="s">
        <v>79</v>
      </c>
      <c r="R398" s="549" t="s">
        <v>89</v>
      </c>
      <c r="S398" s="528"/>
      <c r="X398" s="198"/>
      <c r="Y398" s="191"/>
      <c r="Z398" s="197"/>
      <c r="AA398" s="169"/>
      <c r="AB398" s="170"/>
      <c r="AC398" s="47"/>
      <c r="AD398" s="91"/>
      <c r="AE398" s="47"/>
      <c r="AF398" s="47"/>
      <c r="AG398" s="47"/>
      <c r="AH398" s="47"/>
      <c r="AI398" s="47"/>
    </row>
    <row r="399" spans="1:35" ht="12.75" customHeight="1">
      <c r="C399" s="43"/>
      <c r="D399" s="39" t="s">
        <v>47</v>
      </c>
      <c r="E399" s="99">
        <f>'[1]MAY ''12'!$C$86</f>
        <v>575.76</v>
      </c>
      <c r="G399" s="74"/>
      <c r="H399" s="74"/>
      <c r="I399" s="60"/>
      <c r="K399" s="362"/>
      <c r="L399" s="327" t="s">
        <v>268</v>
      </c>
      <c r="M399" s="60">
        <f>$M$394</f>
        <v>2601.970094000008</v>
      </c>
      <c r="N399" s="376">
        <f>M399</f>
        <v>2601.970094000008</v>
      </c>
      <c r="O399" s="60"/>
      <c r="P399" s="100">
        <f>$Q$388</f>
        <v>-14182.437278481008</v>
      </c>
      <c r="Q399" s="139">
        <f>P399</f>
        <v>-14182.437278481008</v>
      </c>
      <c r="R399" s="100">
        <f t="shared" ref="R399:R419" si="48">15550+Q399</f>
        <v>1367.5627215189925</v>
      </c>
      <c r="S399" s="529" t="s">
        <v>357</v>
      </c>
      <c r="T399" s="518" t="s">
        <v>358</v>
      </c>
      <c r="X399" s="171"/>
      <c r="Y399" s="191"/>
      <c r="Z399" s="60"/>
      <c r="AA399" s="550"/>
      <c r="AB399" s="60"/>
      <c r="AC399" s="47"/>
      <c r="AD399" s="172"/>
      <c r="AE399" s="173"/>
      <c r="AF399" s="47"/>
      <c r="AG399" s="47"/>
      <c r="AH399" s="47"/>
      <c r="AI399" s="47"/>
    </row>
    <row r="400" spans="1:35" ht="12.75" customHeight="1">
      <c r="C400" s="43"/>
      <c r="D400" s="229" t="s">
        <v>267</v>
      </c>
      <c r="E400" s="41">
        <f>'[1]APRIL ''12'!$C$56</f>
        <v>255</v>
      </c>
      <c r="G400"/>
      <c r="I400" s="60"/>
      <c r="K400" s="347"/>
      <c r="L400" s="181" t="s">
        <v>354</v>
      </c>
      <c r="M400" s="215">
        <v>-358</v>
      </c>
      <c r="N400" s="137">
        <f t="shared" ref="N400:N429" si="49">N399+M400</f>
        <v>2243.970094000008</v>
      </c>
      <c r="O400" s="134"/>
      <c r="P400" s="215">
        <v>-140</v>
      </c>
      <c r="Q400" s="140">
        <f>Q399+P400</f>
        <v>-14322.437278481008</v>
      </c>
      <c r="R400" s="100">
        <f t="shared" si="48"/>
        <v>1227.5627215189925</v>
      </c>
      <c r="S400" s="524" t="s">
        <v>353</v>
      </c>
      <c r="T400" s="541" t="s">
        <v>361</v>
      </c>
      <c r="X400" s="47"/>
      <c r="Y400" s="192"/>
      <c r="Z400" s="331"/>
      <c r="AA400" s="174"/>
      <c r="AB400" s="175"/>
      <c r="AC400" s="47"/>
      <c r="AD400" s="91"/>
      <c r="AE400" s="173"/>
      <c r="AF400" s="47"/>
      <c r="AG400" s="47"/>
      <c r="AH400" s="47"/>
      <c r="AI400" s="47"/>
    </row>
    <row r="401" spans="1:35" ht="12.75" customHeight="1">
      <c r="C401" s="45" t="s">
        <v>17</v>
      </c>
      <c r="D401" s="39"/>
      <c r="E401" s="39">
        <f>SUM(E398:E400)</f>
        <v>9830.76</v>
      </c>
      <c r="G401" s="334"/>
      <c r="H401" s="334"/>
      <c r="I401" s="334"/>
      <c r="J401" s="47"/>
      <c r="K401" s="347"/>
      <c r="L401" s="181" t="s">
        <v>47</v>
      </c>
      <c r="M401" s="215">
        <v>-100</v>
      </c>
      <c r="N401" s="137">
        <f t="shared" si="49"/>
        <v>2143.970094000008</v>
      </c>
      <c r="O401" s="134"/>
      <c r="P401" s="215">
        <v>-145.30000000000001</v>
      </c>
      <c r="Q401" s="140">
        <f>Q400+P401</f>
        <v>-14467.737278481007</v>
      </c>
      <c r="R401" s="100">
        <f t="shared" si="48"/>
        <v>1082.2627215189932</v>
      </c>
      <c r="S401" s="524" t="s">
        <v>319</v>
      </c>
      <c r="T401" s="541" t="s">
        <v>360</v>
      </c>
      <c r="U401" s="191"/>
      <c r="V401" s="47"/>
      <c r="W401" s="47"/>
      <c r="X401" s="47"/>
      <c r="Y401" s="192"/>
      <c r="Z401" s="331"/>
      <c r="AA401" s="174"/>
      <c r="AB401" s="60"/>
      <c r="AC401" s="47"/>
      <c r="AD401" s="172"/>
      <c r="AE401" s="173"/>
      <c r="AF401" s="47"/>
      <c r="AG401" s="47"/>
      <c r="AH401" s="47"/>
      <c r="AI401" s="47"/>
    </row>
    <row r="402" spans="1:35" ht="12.75" customHeight="1">
      <c r="G402" s="47"/>
      <c r="H402" s="101"/>
      <c r="I402" s="100"/>
      <c r="J402" s="117"/>
      <c r="K402" s="347"/>
      <c r="L402" s="181" t="s">
        <v>362</v>
      </c>
      <c r="M402" s="215">
        <v>-769.96</v>
      </c>
      <c r="N402" s="137">
        <f t="shared" si="49"/>
        <v>1374.0100940000079</v>
      </c>
      <c r="O402" s="105"/>
      <c r="P402" s="215">
        <v>-512</v>
      </c>
      <c r="Q402" s="140">
        <f t="shared" ref="Q402:Q419" si="50">Q401+P402</f>
        <v>-14979.737278481007</v>
      </c>
      <c r="R402" s="100">
        <f t="shared" si="48"/>
        <v>570.2627215189932</v>
      </c>
      <c r="S402" s="524" t="s">
        <v>356</v>
      </c>
      <c r="T402" s="401" t="s">
        <v>355</v>
      </c>
      <c r="U402" s="47"/>
      <c r="V402" s="100"/>
      <c r="W402" s="47"/>
      <c r="X402" s="171"/>
      <c r="Y402" s="192"/>
      <c r="Z402" s="331"/>
      <c r="AA402" s="174"/>
      <c r="AB402" s="60"/>
      <c r="AC402" s="47"/>
      <c r="AD402" s="172"/>
      <c r="AE402" s="173"/>
      <c r="AF402" s="47"/>
      <c r="AG402" s="47"/>
      <c r="AH402" s="47"/>
      <c r="AI402" s="47"/>
    </row>
    <row r="403" spans="1:35" ht="12.75" customHeight="1">
      <c r="C403" s="43" t="s">
        <v>29</v>
      </c>
      <c r="G403" s="47"/>
      <c r="H403" s="101"/>
      <c r="I403" s="100"/>
      <c r="J403" s="47"/>
      <c r="K403" s="347" t="s">
        <v>265</v>
      </c>
      <c r="L403" s="181" t="s">
        <v>269</v>
      </c>
      <c r="M403" s="215">
        <v>-308</v>
      </c>
      <c r="N403" s="137">
        <f t="shared" si="49"/>
        <v>1066.0100940000079</v>
      </c>
      <c r="O403" s="106"/>
      <c r="P403" s="214">
        <v>-95.53</v>
      </c>
      <c r="Q403" s="140">
        <f t="shared" si="50"/>
        <v>-15075.267278481007</v>
      </c>
      <c r="R403" s="100">
        <f t="shared" si="48"/>
        <v>474.73272151899255</v>
      </c>
      <c r="S403" s="524" t="s">
        <v>341</v>
      </c>
      <c r="T403" s="542" t="s">
        <v>359</v>
      </c>
      <c r="U403" s="47"/>
      <c r="V403" s="100"/>
      <c r="W403" s="183"/>
      <c r="X403" s="47"/>
      <c r="Y403" s="192"/>
      <c r="Z403" s="331"/>
      <c r="AA403" s="174"/>
      <c r="AB403" s="175"/>
      <c r="AC403" s="47"/>
      <c r="AD403" s="176"/>
      <c r="AE403" s="173"/>
      <c r="AF403" s="47"/>
      <c r="AG403" s="47"/>
      <c r="AH403" s="47"/>
      <c r="AI403" s="47"/>
    </row>
    <row r="404" spans="1:35" ht="12.75" customHeight="1">
      <c r="D404" t="s">
        <v>30</v>
      </c>
      <c r="E404" s="39">
        <f>1312/2</f>
        <v>656</v>
      </c>
      <c r="G404" s="333"/>
      <c r="H404" s="101"/>
      <c r="I404" s="100"/>
      <c r="J404" s="47"/>
      <c r="K404" s="347"/>
      <c r="L404" s="181" t="s">
        <v>369</v>
      </c>
      <c r="M404" s="215">
        <v>-226.6</v>
      </c>
      <c r="N404" s="137">
        <f t="shared" si="49"/>
        <v>839.41009400000792</v>
      </c>
      <c r="O404" s="106"/>
      <c r="P404" s="214">
        <v>-162.29</v>
      </c>
      <c r="Q404" s="140">
        <f t="shared" si="50"/>
        <v>-15237.557278481008</v>
      </c>
      <c r="R404" s="100">
        <f t="shared" si="48"/>
        <v>312.44272151899168</v>
      </c>
      <c r="S404" s="530" t="s">
        <v>336</v>
      </c>
      <c r="T404" s="519" t="s">
        <v>334</v>
      </c>
      <c r="U404" s="47"/>
      <c r="V404" s="100"/>
      <c r="W404" s="47"/>
      <c r="X404" s="47"/>
      <c r="Y404" s="192"/>
      <c r="Z404" s="331"/>
      <c r="AA404" s="174"/>
      <c r="AB404" s="60"/>
      <c r="AC404" s="47"/>
      <c r="AD404" s="91"/>
      <c r="AE404" s="173"/>
      <c r="AF404" s="47"/>
      <c r="AG404" s="47"/>
      <c r="AH404" s="47"/>
      <c r="AI404" s="47"/>
    </row>
    <row r="405" spans="1:35" ht="12.75" customHeight="1">
      <c r="D405" t="s">
        <v>45</v>
      </c>
      <c r="E405" s="41"/>
      <c r="F405" s="87"/>
      <c r="G405" s="47"/>
      <c r="H405" s="101"/>
      <c r="I405" s="188"/>
      <c r="J405" s="47"/>
      <c r="K405" s="348"/>
      <c r="L405" s="151" t="s">
        <v>47</v>
      </c>
      <c r="M405" s="100">
        <v>500</v>
      </c>
      <c r="N405" s="137">
        <f t="shared" si="49"/>
        <v>1339.410094000008</v>
      </c>
      <c r="O405" s="106"/>
      <c r="P405" s="214">
        <v>-203.24</v>
      </c>
      <c r="Q405" s="140">
        <f t="shared" si="50"/>
        <v>-15440.797278481008</v>
      </c>
      <c r="R405" s="100">
        <f t="shared" si="48"/>
        <v>109.20272151899189</v>
      </c>
      <c r="S405" s="530" t="s">
        <v>299</v>
      </c>
      <c r="T405" s="178"/>
      <c r="U405" s="47"/>
      <c r="V405" s="215"/>
      <c r="W405" s="47"/>
      <c r="X405" s="47"/>
      <c r="Y405" s="192"/>
      <c r="Z405" s="331"/>
      <c r="AA405" s="174"/>
      <c r="AB405" s="60"/>
      <c r="AC405" s="47"/>
      <c r="AD405" s="172"/>
      <c r="AE405" s="173"/>
      <c r="AF405" s="47"/>
      <c r="AG405" s="47"/>
      <c r="AH405" s="47"/>
      <c r="AI405" s="47"/>
    </row>
    <row r="406" spans="1:35" ht="12.75" customHeight="1">
      <c r="C406" s="45" t="s">
        <v>17</v>
      </c>
      <c r="E406" s="46">
        <f>SUM(E404:E405)</f>
        <v>656</v>
      </c>
      <c r="G406" s="47"/>
      <c r="H406" s="327"/>
      <c r="I406" s="448"/>
      <c r="J406" s="448"/>
      <c r="K406" s="348"/>
      <c r="L406" s="151" t="s">
        <v>372</v>
      </c>
      <c r="M406" s="100">
        <v>-189.2</v>
      </c>
      <c r="N406" s="137">
        <f t="shared" si="49"/>
        <v>1150.210094000008</v>
      </c>
      <c r="O406" s="88"/>
      <c r="P406" s="214">
        <v>1000</v>
      </c>
      <c r="Q406" s="140">
        <f t="shared" si="50"/>
        <v>-14440.797278481008</v>
      </c>
      <c r="R406" s="100">
        <f t="shared" si="48"/>
        <v>1109.2027215189919</v>
      </c>
      <c r="S406" s="530" t="s">
        <v>334</v>
      </c>
      <c r="T406" s="521" t="s">
        <v>364</v>
      </c>
      <c r="U406" s="47"/>
      <c r="V406" s="100"/>
      <c r="W406" s="60"/>
      <c r="X406" s="47"/>
      <c r="Y406" s="192"/>
      <c r="Z406" s="331"/>
      <c r="AA406" s="174"/>
      <c r="AB406" s="175"/>
      <c r="AC406" s="47"/>
      <c r="AD406" s="172"/>
      <c r="AE406" s="173"/>
      <c r="AF406" s="47"/>
      <c r="AG406" s="47"/>
      <c r="AH406" s="47"/>
      <c r="AI406" s="47"/>
    </row>
    <row r="407" spans="1:35" ht="12.75" customHeight="1" thickBot="1">
      <c r="C407" s="45"/>
      <c r="G407" s="47"/>
      <c r="H407" s="101"/>
      <c r="I407" s="448"/>
      <c r="J407" s="448"/>
      <c r="K407" s="348"/>
      <c r="L407" s="151" t="s">
        <v>152</v>
      </c>
      <c r="M407" s="100">
        <f>-206.7-5.6</f>
        <v>-212.29999999999998</v>
      </c>
      <c r="N407" s="137">
        <f t="shared" si="49"/>
        <v>937.91009400000803</v>
      </c>
      <c r="O407" s="88"/>
      <c r="P407" s="214">
        <v>-479.87</v>
      </c>
      <c r="Q407" s="140">
        <f t="shared" si="50"/>
        <v>-14920.667278481009</v>
      </c>
      <c r="R407" s="100">
        <f t="shared" si="48"/>
        <v>629.33272151899109</v>
      </c>
      <c r="S407" s="524" t="s">
        <v>363</v>
      </c>
      <c r="T407" s="521" t="s">
        <v>365</v>
      </c>
      <c r="U407" s="47"/>
      <c r="V407" s="100"/>
      <c r="W407" s="60"/>
      <c r="X407" s="47"/>
      <c r="Y407" s="192"/>
      <c r="Z407" s="331"/>
      <c r="AA407" s="174"/>
      <c r="AB407" s="60"/>
      <c r="AC407" s="47"/>
      <c r="AD407" s="172"/>
      <c r="AE407" s="177"/>
      <c r="AF407" s="47"/>
      <c r="AG407" s="47"/>
      <c r="AH407" s="47"/>
      <c r="AI407" s="47"/>
    </row>
    <row r="408" spans="1:35" ht="12.75" customHeight="1" thickBot="1">
      <c r="D408" s="42" t="s">
        <v>105</v>
      </c>
      <c r="E408" s="63">
        <f>E401-E406</f>
        <v>9174.76</v>
      </c>
      <c r="G408" s="47"/>
      <c r="H408" s="327"/>
      <c r="I408" s="448"/>
      <c r="J408" s="448"/>
      <c r="K408" s="348"/>
      <c r="L408" s="151" t="s">
        <v>379</v>
      </c>
      <c r="M408" s="100">
        <v>-619.25</v>
      </c>
      <c r="N408" s="137">
        <f t="shared" si="49"/>
        <v>318.66009400000803</v>
      </c>
      <c r="O408" s="88"/>
      <c r="P408" s="214">
        <v>-512</v>
      </c>
      <c r="Q408" s="140">
        <f t="shared" si="50"/>
        <v>-15432.667278481009</v>
      </c>
      <c r="R408" s="100">
        <f t="shared" si="48"/>
        <v>117.33272151899109</v>
      </c>
      <c r="S408" s="524" t="s">
        <v>356</v>
      </c>
      <c r="T408" s="521" t="s">
        <v>355</v>
      </c>
      <c r="U408" s="142"/>
      <c r="V408" s="100"/>
      <c r="W408" s="60"/>
      <c r="X408" s="47"/>
      <c r="Y408" s="192"/>
      <c r="Z408" s="331"/>
      <c r="AA408" s="174"/>
      <c r="AB408" s="60"/>
      <c r="AC408" s="47"/>
      <c r="AD408" s="47"/>
      <c r="AE408" s="173"/>
      <c r="AF408" s="47"/>
      <c r="AG408" s="47"/>
      <c r="AH408" s="47"/>
      <c r="AI408" s="47"/>
    </row>
    <row r="409" spans="1:35" ht="12.75" customHeight="1">
      <c r="A409" s="467"/>
      <c r="D409" s="43"/>
      <c r="E409" s="90"/>
      <c r="G409"/>
      <c r="H409" s="58"/>
      <c r="I409" s="448"/>
      <c r="J409" s="448"/>
      <c r="K409" s="348"/>
      <c r="L409" s="151" t="s">
        <v>47</v>
      </c>
      <c r="M409" s="100">
        <v>1000</v>
      </c>
      <c r="N409" s="137">
        <f t="shared" si="49"/>
        <v>1318.660094000008</v>
      </c>
      <c r="O409" s="88"/>
      <c r="P409" s="214">
        <v>-35.33</v>
      </c>
      <c r="Q409" s="140">
        <f t="shared" si="50"/>
        <v>-15467.997278481009</v>
      </c>
      <c r="R409" s="100">
        <f t="shared" si="48"/>
        <v>82.002721518991166</v>
      </c>
      <c r="S409" s="524" t="s">
        <v>366</v>
      </c>
      <c r="T409" s="520" t="s">
        <v>367</v>
      </c>
      <c r="U409" s="142"/>
      <c r="V409" s="60"/>
      <c r="W409" s="60"/>
      <c r="X409" s="171"/>
      <c r="Y409" s="47"/>
      <c r="Z409" s="331"/>
      <c r="AA409" s="174"/>
      <c r="AB409" s="175"/>
      <c r="AC409" s="47"/>
      <c r="AD409" s="178"/>
      <c r="AE409" s="173"/>
      <c r="AF409" s="550"/>
      <c r="AG409" s="47"/>
      <c r="AH409" s="47"/>
      <c r="AI409" s="47"/>
    </row>
    <row r="410" spans="1:35" ht="12.75" customHeight="1">
      <c r="A410" s="467"/>
      <c r="C410" s="153" t="s">
        <v>40</v>
      </c>
      <c r="E410" s="97"/>
      <c r="G410"/>
      <c r="H410" s="58"/>
      <c r="I410" s="448"/>
      <c r="J410" s="448"/>
      <c r="K410" s="350" t="s">
        <v>380</v>
      </c>
      <c r="L410" s="151" t="s">
        <v>266</v>
      </c>
      <c r="M410" s="100">
        <v>-533.94000000000005</v>
      </c>
      <c r="N410" s="137">
        <f t="shared" si="49"/>
        <v>784.72009400000798</v>
      </c>
      <c r="O410" s="88"/>
      <c r="P410" s="214">
        <v>-29.95</v>
      </c>
      <c r="Q410" s="140">
        <f t="shared" si="50"/>
        <v>-15497.94727848101</v>
      </c>
      <c r="R410" s="100">
        <f t="shared" si="48"/>
        <v>52.052721518990438</v>
      </c>
      <c r="S410" s="524" t="s">
        <v>305</v>
      </c>
      <c r="T410" s="522" t="s">
        <v>368</v>
      </c>
      <c r="U410" s="134"/>
      <c r="V410" s="60"/>
      <c r="W410" s="60"/>
      <c r="X410" s="84"/>
      <c r="Y410" s="47"/>
      <c r="Z410" s="331"/>
      <c r="AA410" s="174"/>
      <c r="AB410" s="60"/>
      <c r="AC410" s="47"/>
      <c r="AD410" s="47"/>
      <c r="AE410" s="47"/>
      <c r="AF410" s="179"/>
      <c r="AG410" s="47"/>
      <c r="AH410" s="47"/>
      <c r="AI410" s="47"/>
    </row>
    <row r="411" spans="1:35" ht="12.75" customHeight="1">
      <c r="A411" s="467"/>
      <c r="D411" s="47" t="s">
        <v>37</v>
      </c>
      <c r="E411" s="97">
        <v>7648.33</v>
      </c>
      <c r="F411" s="47"/>
      <c r="G411" s="47"/>
      <c r="H411" s="101"/>
      <c r="I411" s="448"/>
      <c r="J411" s="448"/>
      <c r="K411" s="348"/>
      <c r="L411" s="151" t="s">
        <v>381</v>
      </c>
      <c r="M411" s="100">
        <v>-65.900000000000006</v>
      </c>
      <c r="N411" s="137">
        <f t="shared" si="49"/>
        <v>718.820094000008</v>
      </c>
      <c r="O411" s="88"/>
      <c r="P411" s="214">
        <v>-38</v>
      </c>
      <c r="Q411" s="140">
        <f t="shared" si="50"/>
        <v>-15535.94727848101</v>
      </c>
      <c r="R411" s="100">
        <f t="shared" si="48"/>
        <v>14.052721518990438</v>
      </c>
      <c r="S411" s="539" t="s">
        <v>370</v>
      </c>
      <c r="T411" s="540" t="s">
        <v>371</v>
      </c>
      <c r="U411" s="134"/>
      <c r="V411" s="47"/>
      <c r="W411" s="47"/>
      <c r="X411" s="47"/>
      <c r="Y411" s="191"/>
      <c r="Z411" s="331"/>
      <c r="AA411" s="174"/>
      <c r="AB411" s="60"/>
      <c r="AC411" s="47"/>
      <c r="AD411" s="47"/>
      <c r="AE411" s="47"/>
      <c r="AF411" s="47"/>
      <c r="AG411" s="47"/>
      <c r="AH411" s="47"/>
      <c r="AI411" s="47"/>
    </row>
    <row r="412" spans="1:35" ht="12.75" customHeight="1">
      <c r="A412" s="467"/>
      <c r="D412" s="150" t="s">
        <v>36</v>
      </c>
      <c r="E412" s="41">
        <f>E408-E411-M414</f>
        <v>930.01000000000033</v>
      </c>
      <c r="F412" s="150"/>
      <c r="G412" s="689">
        <f>SUM(E411:E412)</f>
        <v>8578.34</v>
      </c>
      <c r="H412" s="689"/>
      <c r="I412" s="448"/>
      <c r="J412" s="448"/>
      <c r="K412" s="348"/>
      <c r="L412" s="151" t="s">
        <v>47</v>
      </c>
      <c r="M412" s="100">
        <v>-502.33</v>
      </c>
      <c r="N412" s="137">
        <f t="shared" si="49"/>
        <v>216.49009400000801</v>
      </c>
      <c r="O412" s="88"/>
      <c r="P412" s="214">
        <v>500</v>
      </c>
      <c r="Q412" s="140">
        <f t="shared" si="50"/>
        <v>-15035.94727848101</v>
      </c>
      <c r="R412" s="100">
        <f t="shared" si="48"/>
        <v>514.05272151899044</v>
      </c>
      <c r="S412" s="539" t="s">
        <v>334</v>
      </c>
      <c r="T412" s="523"/>
      <c r="U412" s="134"/>
      <c r="V412" s="47"/>
      <c r="W412" s="47"/>
      <c r="X412" s="171"/>
      <c r="Y412" s="191"/>
      <c r="Z412" s="331"/>
      <c r="AA412" s="174"/>
      <c r="AB412" s="175"/>
      <c r="AC412" s="47"/>
      <c r="AD412" s="47"/>
      <c r="AE412" s="47"/>
      <c r="AF412" s="47"/>
      <c r="AG412" s="47"/>
      <c r="AH412" s="47"/>
      <c r="AI412" s="47"/>
    </row>
    <row r="413" spans="1:35" ht="12.75" customHeight="1" thickBot="1">
      <c r="A413" s="467"/>
      <c r="D413" s="47"/>
      <c r="E413" s="60"/>
      <c r="F413" s="204"/>
      <c r="G413" s="688">
        <f>M414</f>
        <v>596.41999999999996</v>
      </c>
      <c r="H413" s="688"/>
      <c r="I413" s="448"/>
      <c r="J413" s="448"/>
      <c r="K413" s="348"/>
      <c r="L413" s="151" t="s">
        <v>372</v>
      </c>
      <c r="M413" s="100">
        <v>-77.7</v>
      </c>
      <c r="N413" s="137">
        <f t="shared" si="49"/>
        <v>138.79009400000803</v>
      </c>
      <c r="O413" s="88"/>
      <c r="P413" s="214">
        <v>-275</v>
      </c>
      <c r="Q413" s="140">
        <f t="shared" si="50"/>
        <v>-15310.94727848101</v>
      </c>
      <c r="R413" s="100">
        <f t="shared" si="48"/>
        <v>239.05272151899044</v>
      </c>
      <c r="S413" s="539" t="s">
        <v>373</v>
      </c>
      <c r="T413" s="523"/>
      <c r="U413" s="134"/>
      <c r="V413" s="47"/>
      <c r="W413" s="47"/>
      <c r="X413" s="47"/>
      <c r="Y413" s="191"/>
      <c r="Z413" s="331"/>
      <c r="AA413" s="174"/>
      <c r="AB413" s="60"/>
      <c r="AC413" s="47"/>
      <c r="AD413" s="47"/>
      <c r="AE413" s="47"/>
      <c r="AF413" s="47"/>
      <c r="AG413" s="550"/>
      <c r="AH413" s="47"/>
      <c r="AI413" s="47"/>
    </row>
    <row r="414" spans="1:35" ht="12.75" customHeight="1" thickBot="1">
      <c r="A414" s="467"/>
      <c r="D414" s="47"/>
      <c r="E414" s="60"/>
      <c r="F414" s="204"/>
      <c r="G414" s="692">
        <f>SUM(G412:H413)</f>
        <v>9174.76</v>
      </c>
      <c r="H414" s="693"/>
      <c r="I414" s="448"/>
      <c r="J414" s="448"/>
      <c r="K414" s="348"/>
      <c r="L414" s="151" t="s">
        <v>47</v>
      </c>
      <c r="M414" s="100">
        <v>596.41999999999996</v>
      </c>
      <c r="N414" s="137">
        <f t="shared" si="49"/>
        <v>735.21009400000798</v>
      </c>
      <c r="O414" s="88"/>
      <c r="P414" s="214">
        <v>-59.26</v>
      </c>
      <c r="Q414" s="140">
        <f t="shared" si="50"/>
        <v>-15370.20727848101</v>
      </c>
      <c r="R414" s="100">
        <f t="shared" si="48"/>
        <v>179.79272151899022</v>
      </c>
      <c r="S414" s="539" t="s">
        <v>374</v>
      </c>
      <c r="T414" s="523"/>
      <c r="U414" s="163"/>
      <c r="V414" s="47"/>
      <c r="W414" s="47"/>
      <c r="X414" s="47"/>
      <c r="Y414" s="191"/>
      <c r="Z414" s="331"/>
      <c r="AA414" s="174"/>
      <c r="AB414" s="60"/>
      <c r="AC414" s="47"/>
      <c r="AD414" s="47"/>
      <c r="AE414" s="47"/>
      <c r="AF414" s="47"/>
      <c r="AG414" s="47"/>
      <c r="AH414" s="47"/>
      <c r="AI414" s="47"/>
    </row>
    <row r="415" spans="1:35" ht="12.75" customHeight="1">
      <c r="A415" s="467"/>
      <c r="D415" s="47"/>
      <c r="E415" s="60"/>
      <c r="F415" s="204"/>
      <c r="G415" s="546"/>
      <c r="H415" s="546"/>
      <c r="I415" s="448"/>
      <c r="J415" s="448"/>
      <c r="K415" s="348"/>
      <c r="L415" s="151" t="s">
        <v>152</v>
      </c>
      <c r="M415" s="100">
        <f>-500-6.7-4-8.75</f>
        <v>-519.45000000000005</v>
      </c>
      <c r="N415" s="137">
        <f t="shared" si="49"/>
        <v>215.76009400000794</v>
      </c>
      <c r="O415" s="97"/>
      <c r="P415" s="214">
        <v>-139.94999999999999</v>
      </c>
      <c r="Q415" s="140">
        <f t="shared" si="50"/>
        <v>-15510.157278481011</v>
      </c>
      <c r="R415" s="100">
        <f t="shared" si="48"/>
        <v>39.842721518989492</v>
      </c>
      <c r="S415" s="539" t="s">
        <v>375</v>
      </c>
      <c r="T415" s="540" t="s">
        <v>376</v>
      </c>
      <c r="U415" s="164"/>
      <c r="V415" s="60"/>
      <c r="W415" s="60"/>
      <c r="X415" s="171"/>
      <c r="Y415" s="47"/>
      <c r="Z415" s="331"/>
      <c r="AA415" s="174"/>
      <c r="AB415" s="60"/>
      <c r="AC415" s="47"/>
      <c r="AD415" s="47"/>
      <c r="AE415" s="47"/>
      <c r="AF415" s="47"/>
      <c r="AG415" s="47"/>
      <c r="AH415" s="47"/>
      <c r="AI415" s="47"/>
    </row>
    <row r="416" spans="1:35" ht="12.75" customHeight="1">
      <c r="A416" s="727"/>
      <c r="B416" s="727"/>
      <c r="C416" s="727"/>
      <c r="D416" s="727"/>
      <c r="E416" s="727"/>
      <c r="F416" s="727"/>
      <c r="G416" s="727"/>
      <c r="H416" s="546"/>
      <c r="K416" s="348"/>
      <c r="L416" s="151" t="s">
        <v>385</v>
      </c>
      <c r="M416" s="100">
        <v>-105.85</v>
      </c>
      <c r="N416" s="137">
        <f t="shared" si="49"/>
        <v>109.91009400000794</v>
      </c>
      <c r="O416" s="60"/>
      <c r="P416" s="214">
        <v>-103.75</v>
      </c>
      <c r="Q416" s="140">
        <f t="shared" si="50"/>
        <v>-15613.907278481011</v>
      </c>
      <c r="R416" s="100">
        <f t="shared" si="48"/>
        <v>-63.907278481010508</v>
      </c>
      <c r="S416" s="539" t="s">
        <v>377</v>
      </c>
      <c r="T416" s="540" t="s">
        <v>378</v>
      </c>
      <c r="U416" s="47"/>
      <c r="V416" s="60"/>
      <c r="W416" s="60"/>
      <c r="X416" s="171"/>
      <c r="Y416" s="47"/>
      <c r="Z416" s="331"/>
      <c r="AA416" s="174"/>
      <c r="AB416" s="60"/>
      <c r="AC416" s="47"/>
      <c r="AD416" s="47"/>
      <c r="AE416" s="47"/>
      <c r="AF416" s="47"/>
      <c r="AG416" s="47"/>
      <c r="AH416" s="47"/>
      <c r="AI416" s="47"/>
    </row>
    <row r="417" spans="1:35" ht="12.75" customHeight="1">
      <c r="A417" s="552"/>
      <c r="B417" s="552"/>
      <c r="C417" s="553"/>
      <c r="D417" s="554"/>
      <c r="E417" s="555"/>
      <c r="F417" s="556"/>
      <c r="G417" s="557"/>
      <c r="H417" s="468"/>
      <c r="I417" s="48"/>
      <c r="J417" s="48"/>
      <c r="K417" s="348"/>
      <c r="L417" s="151" t="s">
        <v>176</v>
      </c>
      <c r="M417" s="100">
        <v>-101.91</v>
      </c>
      <c r="N417" s="137">
        <f t="shared" si="49"/>
        <v>8.0000940000079481</v>
      </c>
      <c r="O417" s="60"/>
      <c r="P417" s="214">
        <v>-4.25</v>
      </c>
      <c r="Q417" s="140">
        <f>Q416+P417</f>
        <v>-15618.157278481011</v>
      </c>
      <c r="R417" s="100">
        <f>15550+Q417</f>
        <v>-68.157278481010508</v>
      </c>
      <c r="S417" s="539" t="s">
        <v>392</v>
      </c>
      <c r="T417" s="523"/>
      <c r="U417" s="47"/>
      <c r="V417" s="60"/>
      <c r="W417" s="60"/>
      <c r="X417" s="171"/>
      <c r="Y417" s="47"/>
      <c r="Z417" s="331"/>
      <c r="AA417" s="174"/>
      <c r="AB417" s="60"/>
      <c r="AC417" s="47"/>
      <c r="AD417" s="47"/>
      <c r="AE417" s="47"/>
      <c r="AF417" s="47"/>
      <c r="AG417" s="47"/>
      <c r="AH417" s="47"/>
      <c r="AI417" s="47"/>
    </row>
    <row r="418" spans="1:35" ht="12.75" customHeight="1">
      <c r="A418" s="485"/>
      <c r="B418" s="485"/>
      <c r="C418" s="552"/>
      <c r="D418" s="558"/>
      <c r="E418" s="215"/>
      <c r="F418" s="111"/>
      <c r="G418" s="521"/>
      <c r="H418" s="546"/>
      <c r="K418" s="348"/>
      <c r="L418" s="151" t="s">
        <v>384</v>
      </c>
      <c r="M418" s="100">
        <v>2000</v>
      </c>
      <c r="N418" s="137">
        <f t="shared" si="49"/>
        <v>2008.0000940000079</v>
      </c>
      <c r="O418" s="60"/>
      <c r="P418" s="214">
        <v>30</v>
      </c>
      <c r="Q418" s="140">
        <f>Q417+P418</f>
        <v>-15588.157278481011</v>
      </c>
      <c r="R418" s="100">
        <f>15550+Q418</f>
        <v>-38.157278481010508</v>
      </c>
      <c r="S418" s="539" t="s">
        <v>334</v>
      </c>
      <c r="T418" s="543"/>
      <c r="U418" s="47"/>
      <c r="V418" s="60"/>
      <c r="W418" s="60"/>
      <c r="X418" s="171"/>
      <c r="Y418" s="47"/>
      <c r="Z418" s="331"/>
      <c r="AA418" s="174"/>
      <c r="AB418" s="60"/>
      <c r="AC418" s="47"/>
      <c r="AD418" s="47"/>
      <c r="AE418" s="47"/>
      <c r="AF418" s="47"/>
      <c r="AG418" s="47"/>
      <c r="AH418" s="47"/>
      <c r="AI418" s="47"/>
    </row>
    <row r="419" spans="1:35" ht="12.75" customHeight="1">
      <c r="A419" s="485"/>
      <c r="B419" s="485"/>
      <c r="C419" s="485"/>
      <c r="D419" s="558"/>
      <c r="E419" s="215"/>
      <c r="F419" s="111"/>
      <c r="G419" s="521"/>
      <c r="H419" s="546"/>
      <c r="K419" s="348"/>
      <c r="L419" s="151" t="s">
        <v>152</v>
      </c>
      <c r="M419" s="100">
        <f>-1000-6.7-14</f>
        <v>-1020.7</v>
      </c>
      <c r="N419" s="137">
        <f t="shared" si="49"/>
        <v>987.3000940000079</v>
      </c>
      <c r="O419" s="60"/>
      <c r="P419" s="106">
        <f>E412</f>
        <v>930.01000000000033</v>
      </c>
      <c r="Q419" s="141">
        <f t="shared" si="50"/>
        <v>-14658.14727848101</v>
      </c>
      <c r="R419" s="115">
        <f t="shared" si="48"/>
        <v>891.85272151898971</v>
      </c>
      <c r="S419" s="524" t="s">
        <v>334</v>
      </c>
      <c r="T419" s="543"/>
      <c r="U419" s="47"/>
      <c r="V419" s="60"/>
      <c r="W419" s="60"/>
      <c r="X419" s="171"/>
      <c r="Y419" s="47"/>
      <c r="Z419" s="331"/>
      <c r="AA419" s="174"/>
      <c r="AB419" s="60"/>
      <c r="AC419" s="47"/>
      <c r="AD419" s="47"/>
      <c r="AE419" s="47"/>
      <c r="AF419" s="47"/>
      <c r="AG419" s="47"/>
      <c r="AH419" s="47"/>
      <c r="AI419" s="47"/>
    </row>
    <row r="420" spans="1:35" ht="12.75" customHeight="1">
      <c r="A420" s="485"/>
      <c r="B420" s="485"/>
      <c r="C420" s="485"/>
      <c r="D420" s="105"/>
      <c r="E420" s="215"/>
      <c r="F420" s="111"/>
      <c r="G420" s="559"/>
      <c r="H420" s="546"/>
      <c r="K420" s="348"/>
      <c r="L420" s="151" t="s">
        <v>152</v>
      </c>
      <c r="M420" s="100">
        <v>-250</v>
      </c>
      <c r="N420" s="137">
        <f t="shared" si="49"/>
        <v>737.3000940000079</v>
      </c>
      <c r="O420" s="60"/>
      <c r="P420" s="133">
        <f>SUM(P399:P419)</f>
        <v>-14658.14727848101</v>
      </c>
      <c r="Q420" s="377" t="s">
        <v>285</v>
      </c>
      <c r="R420" s="453"/>
      <c r="S420" s="524"/>
      <c r="T420" s="543"/>
      <c r="U420" s="47"/>
      <c r="V420" s="60"/>
      <c r="W420" s="60"/>
      <c r="X420" s="171"/>
      <c r="Y420" s="47"/>
      <c r="Z420" s="331"/>
      <c r="AA420" s="174"/>
      <c r="AB420" s="60"/>
      <c r="AC420" s="47"/>
      <c r="AD420" s="47"/>
      <c r="AE420" s="47"/>
      <c r="AF420" s="47"/>
      <c r="AG420" s="47"/>
      <c r="AH420" s="47"/>
      <c r="AI420" s="47"/>
    </row>
    <row r="421" spans="1:35" ht="12.75" customHeight="1">
      <c r="A421" s="485"/>
      <c r="B421" s="485"/>
      <c r="C421" s="485"/>
      <c r="D421" s="105"/>
      <c r="E421" s="215"/>
      <c r="F421" s="111"/>
      <c r="G421" s="559"/>
      <c r="H421" s="546"/>
      <c r="K421" s="348"/>
      <c r="L421" s="151" t="s">
        <v>391</v>
      </c>
      <c r="M421" s="100">
        <v>-116.31</v>
      </c>
      <c r="N421" s="137">
        <f t="shared" si="49"/>
        <v>620.99009400000796</v>
      </c>
      <c r="O421" s="60"/>
      <c r="P421" s="136"/>
      <c r="Q421" s="132"/>
      <c r="R421" s="132"/>
      <c r="S421" s="524"/>
      <c r="T421" s="543"/>
      <c r="U421" s="47"/>
      <c r="V421" s="60"/>
      <c r="W421" s="60"/>
      <c r="X421" s="171"/>
      <c r="Y421" s="47"/>
      <c r="Z421" s="331"/>
      <c r="AA421" s="174"/>
      <c r="AB421" s="60"/>
      <c r="AC421" s="47"/>
      <c r="AD421" s="47"/>
      <c r="AE421" s="47"/>
      <c r="AF421" s="47"/>
      <c r="AG421" s="47"/>
      <c r="AH421" s="47"/>
      <c r="AI421" s="47"/>
    </row>
    <row r="422" spans="1:35" ht="12.75" customHeight="1">
      <c r="A422" s="485"/>
      <c r="B422" s="485"/>
      <c r="C422" s="560"/>
      <c r="D422" s="554"/>
      <c r="E422" s="555"/>
      <c r="F422" s="111"/>
      <c r="G422" s="559"/>
      <c r="H422" s="546"/>
      <c r="K422" s="350" t="s">
        <v>264</v>
      </c>
      <c r="L422" s="357" t="s">
        <v>87</v>
      </c>
      <c r="M422" s="232">
        <f>E411</f>
        <v>7648.33</v>
      </c>
      <c r="N422" s="137">
        <f t="shared" si="49"/>
        <v>8269.3200940000079</v>
      </c>
      <c r="O422" s="60"/>
      <c r="P422" s="136"/>
      <c r="Q422" s="132"/>
      <c r="R422" s="132"/>
      <c r="S422" s="524"/>
      <c r="T422" s="543"/>
      <c r="U422" s="47"/>
      <c r="V422" s="60"/>
      <c r="W422" s="60"/>
      <c r="X422" s="171"/>
      <c r="Y422" s="47"/>
      <c r="Z422" s="331"/>
      <c r="AA422" s="174"/>
      <c r="AB422" s="60"/>
      <c r="AC422" s="47"/>
      <c r="AD422" s="47"/>
      <c r="AE422" s="47"/>
      <c r="AF422" s="47"/>
      <c r="AG422" s="47"/>
      <c r="AH422" s="47"/>
      <c r="AI422" s="47"/>
    </row>
    <row r="423" spans="1:35" ht="12.75" customHeight="1">
      <c r="A423" s="485"/>
      <c r="B423" s="485"/>
      <c r="C423" s="485"/>
      <c r="D423" s="561"/>
      <c r="E423" s="215"/>
      <c r="F423" s="111"/>
      <c r="G423" s="559"/>
      <c r="H423" s="546"/>
      <c r="J423" s="565" t="s">
        <v>389</v>
      </c>
      <c r="K423" s="350" t="s">
        <v>264</v>
      </c>
      <c r="L423" s="357" t="s">
        <v>328</v>
      </c>
      <c r="M423" s="232">
        <f>-3830-500</f>
        <v>-4330</v>
      </c>
      <c r="N423" s="137">
        <f t="shared" si="49"/>
        <v>3939.3200940000079</v>
      </c>
      <c r="O423" s="331"/>
      <c r="P423" s="413"/>
      <c r="Q423" s="361"/>
      <c r="R423" s="132"/>
      <c r="S423" s="524"/>
      <c r="T423" s="543"/>
      <c r="U423" s="47"/>
      <c r="V423" s="60"/>
      <c r="W423" s="60"/>
      <c r="X423" s="171"/>
      <c r="Y423" s="47"/>
      <c r="Z423" s="331"/>
      <c r="AA423" s="174"/>
      <c r="AB423" s="60"/>
      <c r="AC423" s="47"/>
      <c r="AD423" s="47"/>
      <c r="AE423" s="47"/>
      <c r="AF423" s="47"/>
      <c r="AG423" s="47"/>
      <c r="AH423" s="47"/>
      <c r="AI423" s="47"/>
    </row>
    <row r="424" spans="1:35" ht="12.75" customHeight="1">
      <c r="A424" s="485"/>
      <c r="B424" s="485"/>
      <c r="C424" s="485"/>
      <c r="D424" s="558"/>
      <c r="E424" s="215"/>
      <c r="F424" s="111"/>
      <c r="G424" s="559"/>
      <c r="H424" s="546"/>
      <c r="K424" s="165" t="s">
        <v>264</v>
      </c>
      <c r="L424" s="357" t="s">
        <v>237</v>
      </c>
      <c r="M424" s="100">
        <v>-1738</v>
      </c>
      <c r="N424" s="137">
        <f t="shared" si="49"/>
        <v>2201.3200940000079</v>
      </c>
      <c r="O424" s="331"/>
      <c r="P424" s="413"/>
      <c r="Q424" s="361"/>
      <c r="R424" s="132"/>
      <c r="S424" s="524"/>
      <c r="T424" s="543"/>
      <c r="U424" s="47"/>
      <c r="V424" s="60"/>
      <c r="W424" s="60"/>
      <c r="X424" s="171"/>
      <c r="Y424" s="47"/>
      <c r="Z424" s="331"/>
      <c r="AA424" s="174"/>
      <c r="AB424" s="60"/>
      <c r="AC424" s="47"/>
      <c r="AD424" s="47"/>
      <c r="AE424" s="47"/>
      <c r="AF424" s="47"/>
      <c r="AG424" s="47"/>
      <c r="AH424" s="47"/>
      <c r="AI424" s="47"/>
    </row>
    <row r="425" spans="1:35" ht="12.75" customHeight="1">
      <c r="A425" s="485"/>
      <c r="B425" s="485"/>
      <c r="C425" s="485"/>
      <c r="D425" s="558"/>
      <c r="E425" s="215"/>
      <c r="F425" s="111"/>
      <c r="G425" s="559"/>
      <c r="H425" s="579"/>
      <c r="K425" s="350" t="s">
        <v>264</v>
      </c>
      <c r="L425" s="357" t="s">
        <v>222</v>
      </c>
      <c r="M425" s="100">
        <v>-69</v>
      </c>
      <c r="N425" s="137">
        <f t="shared" si="49"/>
        <v>2132.3200940000079</v>
      </c>
      <c r="O425" s="331"/>
      <c r="P425" s="413"/>
      <c r="Q425" s="361"/>
      <c r="R425" s="132"/>
      <c r="S425" s="524"/>
      <c r="T425" s="578"/>
      <c r="U425" s="47"/>
      <c r="V425" s="60"/>
      <c r="W425" s="60"/>
      <c r="X425" s="171"/>
      <c r="Y425" s="47"/>
      <c r="Z425" s="331"/>
      <c r="AA425" s="174"/>
      <c r="AB425" s="60"/>
      <c r="AC425" s="47"/>
      <c r="AD425" s="47"/>
      <c r="AE425" s="47"/>
      <c r="AF425" s="47"/>
      <c r="AG425" s="47"/>
      <c r="AH425" s="47"/>
      <c r="AI425" s="47"/>
    </row>
    <row r="426" spans="1:35" ht="12.75" customHeight="1">
      <c r="A426" s="485"/>
      <c r="B426" s="485"/>
      <c r="C426" s="485"/>
      <c r="D426" s="558"/>
      <c r="E426" s="562"/>
      <c r="F426" s="111"/>
      <c r="G426" s="559"/>
      <c r="H426" s="546"/>
      <c r="I426" s="690"/>
      <c r="J426" s="690"/>
      <c r="K426" s="350" t="s">
        <v>264</v>
      </c>
      <c r="L426" s="357" t="s">
        <v>97</v>
      </c>
      <c r="M426" s="100">
        <v>-203.5</v>
      </c>
      <c r="N426" s="137">
        <f t="shared" si="49"/>
        <v>1928.8200940000079</v>
      </c>
      <c r="O426" s="332"/>
      <c r="P426" s="413"/>
      <c r="Q426" s="361"/>
      <c r="R426" s="132"/>
      <c r="S426" s="524"/>
      <c r="T426" s="543"/>
      <c r="U426" s="47"/>
      <c r="V426" s="60"/>
      <c r="W426" s="60"/>
      <c r="X426" s="171"/>
      <c r="Y426" s="47"/>
      <c r="Z426" s="331"/>
      <c r="AA426" s="174"/>
      <c r="AB426" s="60"/>
      <c r="AC426" s="47"/>
      <c r="AD426" s="47"/>
      <c r="AE426" s="47"/>
      <c r="AF426" s="47"/>
      <c r="AG426" s="47"/>
      <c r="AH426" s="47"/>
      <c r="AI426" s="47"/>
    </row>
    <row r="427" spans="1:35" ht="12.75" customHeight="1">
      <c r="A427" s="485"/>
      <c r="B427" s="485"/>
      <c r="C427" s="485"/>
      <c r="D427" s="558"/>
      <c r="E427" s="215"/>
      <c r="F427" s="111"/>
      <c r="G427" s="559"/>
      <c r="H427" s="546"/>
      <c r="K427" s="165" t="s">
        <v>231</v>
      </c>
      <c r="L427" s="358" t="s">
        <v>39</v>
      </c>
      <c r="M427" s="262">
        <v>-403.99</v>
      </c>
      <c r="N427" s="137">
        <f t="shared" si="49"/>
        <v>1524.8300940000079</v>
      </c>
      <c r="O427" s="544"/>
      <c r="P427" s="479"/>
      <c r="Q427" s="132"/>
      <c r="R427" s="132"/>
      <c r="S427" s="524"/>
      <c r="T427" s="543"/>
      <c r="U427" s="47"/>
      <c r="V427" s="60"/>
      <c r="W427" s="60"/>
      <c r="X427" s="171"/>
      <c r="Y427" s="47"/>
      <c r="Z427" s="331"/>
      <c r="AA427" s="174"/>
      <c r="AB427" s="60"/>
      <c r="AC427" s="47"/>
      <c r="AD427" s="47"/>
      <c r="AE427" s="47"/>
      <c r="AF427" s="47"/>
      <c r="AG427" s="47"/>
      <c r="AH427" s="47"/>
      <c r="AI427" s="47"/>
    </row>
    <row r="428" spans="1:35" ht="12.75" customHeight="1">
      <c r="A428" s="485"/>
      <c r="B428" s="485"/>
      <c r="C428" s="485"/>
      <c r="D428" s="558"/>
      <c r="E428" s="215"/>
      <c r="F428" s="111"/>
      <c r="G428" s="559"/>
      <c r="H428" s="546"/>
      <c r="I428" s="573"/>
      <c r="J428" s="573"/>
      <c r="K428" s="350" t="s">
        <v>231</v>
      </c>
      <c r="L428" s="359" t="s">
        <v>92</v>
      </c>
      <c r="M428" s="262">
        <v>-605</v>
      </c>
      <c r="N428" s="137">
        <f t="shared" si="49"/>
        <v>919.83009400000788</v>
      </c>
      <c r="O428" s="60"/>
      <c r="P428" s="136"/>
      <c r="Q428" s="180"/>
      <c r="R428" s="187"/>
      <c r="S428" s="531"/>
      <c r="T428" s="543"/>
      <c r="U428" s="47"/>
      <c r="V428" s="60"/>
      <c r="W428" s="60"/>
      <c r="X428" s="171"/>
      <c r="Y428" s="47"/>
      <c r="Z428" s="331"/>
      <c r="AA428" s="174"/>
      <c r="AB428" s="60"/>
      <c r="AC428" s="47"/>
      <c r="AD428" s="47"/>
      <c r="AE428" s="47"/>
      <c r="AF428" s="47"/>
      <c r="AG428" s="47"/>
      <c r="AH428" s="47"/>
      <c r="AI428" s="47"/>
    </row>
    <row r="429" spans="1:35" ht="12.75" customHeight="1">
      <c r="A429" s="485"/>
      <c r="B429" s="485"/>
      <c r="C429" s="485"/>
      <c r="D429" s="558"/>
      <c r="E429" s="215"/>
      <c r="F429" s="111"/>
      <c r="G429" s="559"/>
      <c r="H429" s="546"/>
      <c r="K429" s="469" t="s">
        <v>232</v>
      </c>
      <c r="L429" s="360" t="s">
        <v>46</v>
      </c>
      <c r="M429" s="516">
        <v>-199.13</v>
      </c>
      <c r="N429" s="138">
        <f t="shared" si="49"/>
        <v>720.70009400000788</v>
      </c>
      <c r="O429" s="60"/>
      <c r="P429" s="136"/>
      <c r="Q429" s="180"/>
      <c r="R429" s="187"/>
      <c r="S429" s="531"/>
      <c r="T429" s="543"/>
      <c r="U429" s="47"/>
      <c r="V429" s="60"/>
      <c r="W429" s="60"/>
      <c r="X429" s="171"/>
      <c r="Y429" s="47"/>
      <c r="Z429" s="331"/>
      <c r="AA429" s="174"/>
      <c r="AB429" s="60"/>
      <c r="AC429" s="47"/>
      <c r="AD429" s="47"/>
      <c r="AE429" s="47"/>
      <c r="AF429" s="47"/>
      <c r="AG429" s="47"/>
      <c r="AH429" s="47"/>
      <c r="AI429" s="47"/>
    </row>
    <row r="430" spans="1:35" s="47" customFormat="1" ht="12.75" customHeight="1">
      <c r="A430" s="485"/>
      <c r="B430" s="485"/>
      <c r="C430" s="485"/>
      <c r="D430" s="215"/>
      <c r="E430" s="215"/>
      <c r="F430" s="111"/>
      <c r="G430" s="559"/>
      <c r="H430" s="572"/>
      <c r="I430"/>
      <c r="J430"/>
      <c r="K430" s="346"/>
      <c r="L430" s="58"/>
      <c r="M430" s="255">
        <f>SUM(M399:M429)</f>
        <v>720.70009400000788</v>
      </c>
      <c r="N430" s="399"/>
      <c r="O430" s="60"/>
      <c r="P430" s="60"/>
      <c r="Q430" s="60"/>
      <c r="R430" s="60"/>
      <c r="S430" s="531"/>
      <c r="T430" s="569"/>
      <c r="V430" s="60"/>
      <c r="W430" s="60"/>
      <c r="X430" s="171"/>
      <c r="Z430" s="331"/>
      <c r="AA430" s="174"/>
      <c r="AB430" s="60"/>
    </row>
    <row r="431" spans="1:35" s="150" customFormat="1" ht="12.75" customHeight="1">
      <c r="A431" s="574"/>
      <c r="B431" s="574"/>
      <c r="C431" s="574"/>
      <c r="D431" s="575"/>
      <c r="E431" s="575"/>
      <c r="F431" s="576"/>
      <c r="G431" s="577"/>
      <c r="H431" s="571"/>
      <c r="K431" s="349"/>
      <c r="M431" s="41"/>
      <c r="O431" s="41"/>
      <c r="P431" s="41"/>
      <c r="Q431" s="41"/>
      <c r="R431" s="41"/>
      <c r="S431" s="536"/>
      <c r="T431" s="570"/>
      <c r="V431" s="41"/>
      <c r="W431" s="41"/>
      <c r="X431" s="244"/>
      <c r="Z431" s="245"/>
      <c r="AA431" s="246"/>
      <c r="AB431" s="41"/>
    </row>
    <row r="432" spans="1:35" ht="12.75" customHeight="1">
      <c r="A432" s="485"/>
      <c r="B432" s="485"/>
      <c r="C432" s="485"/>
      <c r="D432" s="563"/>
      <c r="E432" s="83"/>
      <c r="F432" s="111"/>
      <c r="G432" s="564"/>
      <c r="H432" s="546"/>
      <c r="I432" s="47"/>
      <c r="J432" s="47"/>
      <c r="K432" s="348"/>
      <c r="L432" s="47"/>
      <c r="M432" s="60"/>
      <c r="N432" s="47"/>
      <c r="O432" s="60"/>
      <c r="S432" s="528"/>
      <c r="T432" s="543"/>
      <c r="U432" s="47"/>
      <c r="V432" s="60"/>
      <c r="W432" s="60"/>
      <c r="X432" s="171"/>
      <c r="Y432" s="47"/>
      <c r="Z432" s="331"/>
      <c r="AA432" s="174"/>
      <c r="AB432" s="60"/>
      <c r="AC432" s="47"/>
      <c r="AD432" s="47"/>
      <c r="AE432" s="47"/>
      <c r="AF432" s="47"/>
      <c r="AG432" s="47"/>
      <c r="AH432" s="47"/>
      <c r="AI432" s="47"/>
    </row>
    <row r="433" spans="1:35" ht="12.75" customHeight="1">
      <c r="B433" s="966" t="s">
        <v>386</v>
      </c>
      <c r="C433" s="966"/>
      <c r="D433" s="966"/>
      <c r="E433" s="966"/>
      <c r="G433" s="352"/>
      <c r="H433" s="352"/>
      <c r="I433" s="60"/>
      <c r="K433" s="350"/>
      <c r="L433" s="180"/>
      <c r="M433" s="970" t="s">
        <v>90</v>
      </c>
      <c r="N433" s="628"/>
      <c r="O433" s="632"/>
      <c r="P433" s="972" t="s">
        <v>84</v>
      </c>
      <c r="Q433" s="974" t="s">
        <v>284</v>
      </c>
      <c r="R433" s="974"/>
      <c r="S433" s="528"/>
      <c r="X433" s="84"/>
      <c r="Y433" s="84"/>
      <c r="Z433" s="60"/>
      <c r="AA433" s="633"/>
      <c r="AB433" s="60"/>
      <c r="AC433" s="47"/>
      <c r="AD433" s="47"/>
      <c r="AE433" s="47"/>
      <c r="AF433" s="47"/>
      <c r="AG433" s="47"/>
      <c r="AH433" s="47"/>
      <c r="AI433" s="47"/>
    </row>
    <row r="434" spans="1:35" ht="12.75" customHeight="1">
      <c r="C434" s="43" t="s">
        <v>35</v>
      </c>
      <c r="D434" s="39"/>
      <c r="E434" s="99">
        <v>9000</v>
      </c>
      <c r="G434" s="687"/>
      <c r="H434" s="687"/>
      <c r="I434" s="60"/>
      <c r="K434" s="351" t="s">
        <v>263</v>
      </c>
      <c r="L434" s="242"/>
      <c r="M434" s="971"/>
      <c r="N434" s="628" t="s">
        <v>79</v>
      </c>
      <c r="O434" s="632"/>
      <c r="P434" s="973"/>
      <c r="Q434" s="629" t="s">
        <v>79</v>
      </c>
      <c r="R434" s="630" t="s">
        <v>89</v>
      </c>
      <c r="S434" s="528"/>
      <c r="X434" s="198"/>
      <c r="Y434" s="191"/>
      <c r="Z434" s="197"/>
      <c r="AA434" s="169"/>
      <c r="AB434" s="170"/>
      <c r="AC434" s="47"/>
      <c r="AD434" s="91"/>
      <c r="AE434" s="47"/>
      <c r="AF434" s="47"/>
      <c r="AG434" s="47"/>
      <c r="AH434" s="47"/>
      <c r="AI434" s="47"/>
    </row>
    <row r="435" spans="1:35" ht="12.75" customHeight="1">
      <c r="C435" s="43"/>
      <c r="D435" s="39" t="s">
        <v>47</v>
      </c>
      <c r="E435" s="99">
        <f>'[1]JUNE ''12'!$C$83</f>
        <v>297.06</v>
      </c>
      <c r="G435" s="74"/>
      <c r="H435" s="74"/>
      <c r="I435" s="60"/>
      <c r="K435" s="362"/>
      <c r="L435" s="327" t="s">
        <v>268</v>
      </c>
      <c r="M435" s="60">
        <f>$M$430</f>
        <v>720.70009400000788</v>
      </c>
      <c r="N435" s="376">
        <f>M435</f>
        <v>720.70009400000788</v>
      </c>
      <c r="O435" s="60"/>
      <c r="P435" s="100">
        <f>$Q$419</f>
        <v>-14658.14727848101</v>
      </c>
      <c r="Q435" s="139">
        <f>P435</f>
        <v>-14658.14727848101</v>
      </c>
      <c r="R435" s="100">
        <f>15550+Q435</f>
        <v>891.85272151898971</v>
      </c>
      <c r="S435" s="529" t="s">
        <v>357</v>
      </c>
      <c r="T435" s="518" t="s">
        <v>358</v>
      </c>
      <c r="W435" s="635" t="s">
        <v>428</v>
      </c>
      <c r="X435" s="171"/>
      <c r="Y435" s="191"/>
      <c r="Z435" s="60"/>
      <c r="AA435" s="633"/>
      <c r="AB435" s="60"/>
      <c r="AC435" s="47"/>
      <c r="AD435" s="172"/>
      <c r="AE435" s="173"/>
      <c r="AF435" s="47"/>
      <c r="AG435" s="47"/>
      <c r="AH435" s="47"/>
      <c r="AI435" s="47"/>
    </row>
    <row r="436" spans="1:35" ht="12.75" customHeight="1">
      <c r="C436" s="43"/>
      <c r="D436" s="229" t="s">
        <v>267</v>
      </c>
      <c r="E436" s="41">
        <f>'[1]MAY ''12'!$C$83</f>
        <v>413.26</v>
      </c>
      <c r="G436"/>
      <c r="I436" s="60"/>
      <c r="K436" s="347"/>
      <c r="L436" s="181" t="s">
        <v>403</v>
      </c>
      <c r="M436" s="215">
        <f>1500-479.11-304.9-850.25</f>
        <v>-134.26</v>
      </c>
      <c r="N436" s="137">
        <f t="shared" ref="N436:N463" si="51">N435+M436</f>
        <v>586.44009400000789</v>
      </c>
      <c r="O436" s="134"/>
      <c r="P436" s="215">
        <v>-215.09</v>
      </c>
      <c r="Q436" s="140">
        <f>Q435+P436</f>
        <v>-14873.23727848101</v>
      </c>
      <c r="R436" s="100">
        <f>15550+Q436</f>
        <v>676.76272151898957</v>
      </c>
      <c r="S436" s="524" t="s">
        <v>336</v>
      </c>
      <c r="T436" s="541" t="s">
        <v>397</v>
      </c>
      <c r="W436" s="195"/>
      <c r="X436" s="195" t="s">
        <v>429</v>
      </c>
      <c r="Y436" s="192">
        <v>7692.69</v>
      </c>
      <c r="Z436" s="331">
        <f>Y436-E999</f>
        <v>7692.69</v>
      </c>
      <c r="AA436" s="174"/>
      <c r="AB436" s="175"/>
      <c r="AC436" s="47"/>
      <c r="AD436" s="91"/>
      <c r="AE436" s="173"/>
      <c r="AF436" s="47"/>
      <c r="AG436" s="47"/>
      <c r="AH436" s="47"/>
      <c r="AI436" s="47"/>
    </row>
    <row r="437" spans="1:35" ht="12.75" customHeight="1">
      <c r="C437" s="45" t="s">
        <v>17</v>
      </c>
      <c r="D437" s="39"/>
      <c r="E437" s="39">
        <f>SUM(E434:E436)</f>
        <v>9710.32</v>
      </c>
      <c r="G437" s="334"/>
      <c r="H437" s="334"/>
      <c r="I437" s="334"/>
      <c r="J437" s="47"/>
      <c r="K437" s="347"/>
      <c r="L437" s="181" t="s">
        <v>404</v>
      </c>
      <c r="M437" s="215">
        <v>-160</v>
      </c>
      <c r="N437" s="137">
        <f t="shared" si="51"/>
        <v>426.44009400000789</v>
      </c>
      <c r="O437" s="134"/>
      <c r="P437" s="215">
        <v>-83.97</v>
      </c>
      <c r="Q437" s="140">
        <f>Q436+P437</f>
        <v>-14957.20727848101</v>
      </c>
      <c r="R437" s="100">
        <f>15550+Q437</f>
        <v>592.79272151899022</v>
      </c>
      <c r="S437" s="524" t="s">
        <v>304</v>
      </c>
      <c r="T437" s="541" t="s">
        <v>398</v>
      </c>
      <c r="U437" s="191"/>
      <c r="V437" s="47"/>
      <c r="W437" s="191"/>
      <c r="X437" s="191" t="s">
        <v>430</v>
      </c>
      <c r="Y437" s="192">
        <v>7692.69</v>
      </c>
      <c r="Z437" s="331">
        <f>Y437-E1025</f>
        <v>7692.69</v>
      </c>
      <c r="AA437" s="174"/>
      <c r="AB437" s="60"/>
      <c r="AC437" s="47"/>
      <c r="AD437" s="172"/>
      <c r="AE437" s="173"/>
      <c r="AF437" s="47"/>
      <c r="AG437" s="47"/>
      <c r="AH437" s="47"/>
      <c r="AI437" s="47"/>
    </row>
    <row r="438" spans="1:35" ht="12.75" customHeight="1">
      <c r="G438" s="47"/>
      <c r="H438" s="101"/>
      <c r="I438" s="100"/>
      <c r="J438" s="117"/>
      <c r="K438" s="347" t="s">
        <v>265</v>
      </c>
      <c r="L438" s="181" t="s">
        <v>269</v>
      </c>
      <c r="M438" s="215">
        <v>-308</v>
      </c>
      <c r="N438" s="137">
        <f t="shared" si="51"/>
        <v>118.44009400000789</v>
      </c>
      <c r="O438" s="105"/>
      <c r="P438" s="215">
        <v>-100.25</v>
      </c>
      <c r="Q438" s="140">
        <f t="shared" ref="Q438:Q440" si="52">Q437+P438</f>
        <v>-15057.45727848101</v>
      </c>
      <c r="R438" s="100">
        <f t="shared" ref="R438:R440" si="53">15550+Q438</f>
        <v>492.54272151899022</v>
      </c>
      <c r="S438" s="524" t="s">
        <v>399</v>
      </c>
      <c r="T438" s="401" t="s">
        <v>400</v>
      </c>
      <c r="U438" s="47"/>
      <c r="V438" s="100"/>
      <c r="W438" s="192"/>
      <c r="X438" s="192" t="s">
        <v>431</v>
      </c>
      <c r="Y438" s="192">
        <v>7692.69</v>
      </c>
      <c r="Z438" s="331">
        <f>Y438-E1051</f>
        <v>7692.69</v>
      </c>
      <c r="AA438" s="174"/>
      <c r="AB438" s="60"/>
      <c r="AC438" s="47"/>
      <c r="AD438" s="172"/>
      <c r="AE438" s="173"/>
      <c r="AF438" s="47"/>
      <c r="AG438" s="47"/>
      <c r="AH438" s="47"/>
      <c r="AI438" s="47"/>
    </row>
    <row r="439" spans="1:35" ht="12.75" customHeight="1" thickBot="1">
      <c r="C439" s="43" t="s">
        <v>29</v>
      </c>
      <c r="G439" s="47"/>
      <c r="H439" s="101"/>
      <c r="I439" s="100"/>
      <c r="J439" s="47"/>
      <c r="K439" s="347"/>
      <c r="L439" s="181" t="s">
        <v>152</v>
      </c>
      <c r="M439" s="215">
        <v>-100</v>
      </c>
      <c r="N439" s="137">
        <f t="shared" si="51"/>
        <v>18.440094000007889</v>
      </c>
      <c r="O439" s="106"/>
      <c r="P439" s="214">
        <v>-25</v>
      </c>
      <c r="Q439" s="140">
        <f t="shared" si="52"/>
        <v>-15082.45727848101</v>
      </c>
      <c r="R439" s="100">
        <f t="shared" si="53"/>
        <v>467.54272151899022</v>
      </c>
      <c r="S439" s="524" t="s">
        <v>402</v>
      </c>
      <c r="T439" s="542" t="s">
        <v>401</v>
      </c>
      <c r="U439" s="47"/>
      <c r="V439" s="100"/>
      <c r="W439" s="183"/>
      <c r="X439" s="47"/>
      <c r="Y439" s="192"/>
      <c r="Z439" s="636">
        <f>SUM(Z436:Z438)</f>
        <v>23078.07</v>
      </c>
      <c r="AA439" s="174"/>
      <c r="AB439" s="175"/>
      <c r="AC439" s="47"/>
      <c r="AD439" s="176"/>
      <c r="AE439" s="173"/>
      <c r="AF439" s="47"/>
      <c r="AG439" s="47"/>
      <c r="AH439" s="47"/>
      <c r="AI439" s="47"/>
    </row>
    <row r="440" spans="1:35" ht="12.75" customHeight="1" thickTop="1">
      <c r="D440" t="s">
        <v>30</v>
      </c>
      <c r="E440" s="39">
        <f>1312/2</f>
        <v>656</v>
      </c>
      <c r="G440" s="333"/>
      <c r="H440" s="101"/>
      <c r="I440" s="100"/>
      <c r="J440" s="650" t="s">
        <v>442</v>
      </c>
      <c r="K440" s="348"/>
      <c r="L440" s="181" t="s">
        <v>334</v>
      </c>
      <c r="M440" s="215">
        <v>900</v>
      </c>
      <c r="N440" s="137">
        <f t="shared" si="51"/>
        <v>918.44009400000789</v>
      </c>
      <c r="O440" s="106"/>
      <c r="P440" s="214">
        <v>-203.87</v>
      </c>
      <c r="Q440" s="140">
        <f t="shared" si="52"/>
        <v>-15286.327278481011</v>
      </c>
      <c r="R440" s="100">
        <f t="shared" si="53"/>
        <v>263.67272151898942</v>
      </c>
      <c r="S440" s="530" t="s">
        <v>299</v>
      </c>
      <c r="T440" s="519"/>
      <c r="U440" s="47"/>
      <c r="V440" s="100"/>
      <c r="W440" s="47"/>
      <c r="X440" s="47"/>
      <c r="Y440" s="192"/>
      <c r="Z440" s="331"/>
      <c r="AA440" s="174"/>
      <c r="AB440" s="60"/>
      <c r="AC440" s="47"/>
      <c r="AD440" s="91"/>
      <c r="AE440" s="173"/>
      <c r="AF440" s="47"/>
      <c r="AG440" s="47"/>
      <c r="AH440" s="47"/>
      <c r="AI440" s="47"/>
    </row>
    <row r="441" spans="1:35" ht="12.75" customHeight="1">
      <c r="D441" t="s">
        <v>45</v>
      </c>
      <c r="E441" s="41"/>
      <c r="F441" s="87"/>
      <c r="G441" s="47"/>
      <c r="H441" s="101"/>
      <c r="I441" s="188"/>
      <c r="J441" s="47"/>
      <c r="K441" s="348"/>
      <c r="L441" s="151" t="s">
        <v>405</v>
      </c>
      <c r="M441" s="100">
        <v>-87.72</v>
      </c>
      <c r="N441" s="137">
        <f t="shared" si="51"/>
        <v>830.72009400000786</v>
      </c>
      <c r="O441" s="106"/>
      <c r="P441" s="214">
        <v>-122.3</v>
      </c>
      <c r="Q441" s="140">
        <f t="shared" ref="Q441" si="54">Q440+P441</f>
        <v>-15408.62727848101</v>
      </c>
      <c r="R441" s="100">
        <f t="shared" ref="R441:R443" si="55">15550+Q441</f>
        <v>141.37272151899015</v>
      </c>
      <c r="S441" s="530" t="s">
        <v>319</v>
      </c>
      <c r="T441" s="178" t="s">
        <v>439</v>
      </c>
      <c r="U441" s="47"/>
      <c r="V441" s="215"/>
      <c r="W441" s="47"/>
      <c r="X441" s="47"/>
      <c r="Y441" s="192"/>
      <c r="Z441" s="331"/>
      <c r="AA441" s="174"/>
      <c r="AB441" s="60"/>
      <c r="AC441" s="47"/>
      <c r="AD441" s="172"/>
      <c r="AE441" s="173"/>
      <c r="AF441" s="47"/>
      <c r="AG441" s="47"/>
      <c r="AH441" s="47"/>
      <c r="AI441" s="47"/>
    </row>
    <row r="442" spans="1:35" ht="12.75" customHeight="1">
      <c r="C442" s="45" t="s">
        <v>17</v>
      </c>
      <c r="E442" s="46">
        <f>SUM(E440:E441)</f>
        <v>656</v>
      </c>
      <c r="G442" s="47"/>
      <c r="H442" s="327"/>
      <c r="I442" s="448"/>
      <c r="J442" s="448"/>
      <c r="K442" s="350" t="s">
        <v>380</v>
      </c>
      <c r="L442" s="151" t="s">
        <v>266</v>
      </c>
      <c r="M442" s="100">
        <v>-533.94000000000005</v>
      </c>
      <c r="N442" s="137">
        <f t="shared" si="51"/>
        <v>296.78009400000781</v>
      </c>
      <c r="O442" s="88"/>
      <c r="P442" s="214">
        <v>-138</v>
      </c>
      <c r="Q442" s="140">
        <f t="shared" ref="Q442" si="56">Q441+P442</f>
        <v>-15546.62727848101</v>
      </c>
      <c r="R442" s="100">
        <f t="shared" ref="R442" si="57">15550+Q442</f>
        <v>3.3727215189901472</v>
      </c>
      <c r="S442" s="530" t="s">
        <v>319</v>
      </c>
      <c r="T442" s="521"/>
      <c r="U442" s="47"/>
      <c r="V442" s="100"/>
      <c r="W442" s="60"/>
      <c r="X442" s="47"/>
      <c r="Y442" s="192"/>
      <c r="Z442" s="331"/>
      <c r="AA442" s="174"/>
      <c r="AB442" s="175"/>
      <c r="AC442" s="47"/>
      <c r="AD442" s="172"/>
      <c r="AE442" s="173"/>
      <c r="AF442" s="47"/>
      <c r="AG442" s="47"/>
      <c r="AH442" s="47"/>
      <c r="AI442" s="47"/>
    </row>
    <row r="443" spans="1:35" ht="12.75" customHeight="1" thickBot="1">
      <c r="C443" s="45"/>
      <c r="G443" s="47"/>
      <c r="H443" s="101"/>
      <c r="I443" s="448"/>
      <c r="J443" s="448"/>
      <c r="K443" s="348"/>
      <c r="L443" s="151" t="s">
        <v>406</v>
      </c>
      <c r="M443" s="100">
        <v>-229</v>
      </c>
      <c r="N443" s="137">
        <f t="shared" si="51"/>
        <v>67.780094000007807</v>
      </c>
      <c r="O443" s="88"/>
      <c r="P443" s="149">
        <f>E448</f>
        <v>461.63000000000011</v>
      </c>
      <c r="Q443" s="141">
        <f>Q442+P443</f>
        <v>-15084.997278481009</v>
      </c>
      <c r="R443" s="115">
        <f t="shared" si="55"/>
        <v>465.00272151899117</v>
      </c>
      <c r="S443" s="524" t="s">
        <v>334</v>
      </c>
      <c r="T443" s="521"/>
      <c r="U443" s="47"/>
      <c r="V443" s="100"/>
      <c r="W443" s="60"/>
      <c r="X443" s="47"/>
      <c r="Y443" s="192"/>
      <c r="Z443" s="331"/>
      <c r="AA443" s="174"/>
      <c r="AB443" s="60"/>
      <c r="AC443" s="47"/>
      <c r="AD443" s="172"/>
      <c r="AE443" s="177"/>
      <c r="AF443" s="47"/>
      <c r="AG443" s="47"/>
      <c r="AH443" s="47"/>
      <c r="AI443" s="47"/>
    </row>
    <row r="444" spans="1:35" ht="12.75" customHeight="1" thickBot="1">
      <c r="D444" s="42" t="s">
        <v>105</v>
      </c>
      <c r="E444" s="63">
        <f>E437-E442</f>
        <v>9054.32</v>
      </c>
      <c r="G444" s="47"/>
      <c r="H444" s="327"/>
      <c r="I444" s="448"/>
      <c r="J444" s="448"/>
      <c r="K444" s="348"/>
      <c r="L444" s="151" t="s">
        <v>87</v>
      </c>
      <c r="M444" s="100">
        <v>2000</v>
      </c>
      <c r="N444" s="137">
        <f t="shared" si="51"/>
        <v>2067.7800940000079</v>
      </c>
      <c r="O444" s="88"/>
      <c r="P444" s="133">
        <f>SUM(P435:P443)</f>
        <v>-15084.997278481009</v>
      </c>
      <c r="Q444" s="377" t="s">
        <v>285</v>
      </c>
      <c r="R444" s="453"/>
      <c r="S444" s="524"/>
      <c r="T444" s="520"/>
      <c r="U444" s="142"/>
      <c r="V444" s="100"/>
      <c r="W444" s="60"/>
      <c r="X444" s="47"/>
      <c r="Y444" s="192"/>
      <c r="Z444" s="331"/>
      <c r="AA444" s="174"/>
      <c r="AB444" s="60"/>
      <c r="AC444" s="47"/>
      <c r="AD444" s="47"/>
      <c r="AE444" s="173"/>
      <c r="AF444" s="47"/>
      <c r="AG444" s="47"/>
      <c r="AH444" s="47"/>
      <c r="AI444" s="47"/>
    </row>
    <row r="445" spans="1:35" ht="12.75" customHeight="1">
      <c r="A445" s="467"/>
      <c r="D445" s="43"/>
      <c r="E445" s="90"/>
      <c r="G445"/>
      <c r="H445" s="58"/>
      <c r="I445" s="448"/>
      <c r="J445" s="448"/>
      <c r="K445" s="348"/>
      <c r="L445" s="151" t="s">
        <v>407</v>
      </c>
      <c r="M445" s="100">
        <v>-1115</v>
      </c>
      <c r="N445" s="137">
        <f t="shared" si="51"/>
        <v>952.78009400000792</v>
      </c>
      <c r="O445" s="88"/>
      <c r="P445" s="136"/>
      <c r="Q445" s="132"/>
      <c r="R445" s="132"/>
      <c r="S445" s="524"/>
      <c r="T445" s="522"/>
      <c r="U445" s="142"/>
      <c r="V445" s="60"/>
      <c r="W445" s="60"/>
      <c r="X445" s="171"/>
      <c r="Y445" s="47"/>
      <c r="Z445" s="331"/>
      <c r="AA445" s="174"/>
      <c r="AB445" s="175"/>
      <c r="AC445" s="47"/>
      <c r="AD445" s="178"/>
      <c r="AE445" s="173"/>
      <c r="AF445" s="633"/>
      <c r="AG445" s="47"/>
      <c r="AH445" s="47"/>
      <c r="AI445" s="47"/>
    </row>
    <row r="446" spans="1:35" ht="12.75" customHeight="1">
      <c r="A446" s="467"/>
      <c r="C446" s="153" t="s">
        <v>40</v>
      </c>
      <c r="E446" s="97"/>
      <c r="G446"/>
      <c r="H446" s="58"/>
      <c r="I446" s="448"/>
      <c r="J446" s="448"/>
      <c r="K446" s="348"/>
      <c r="L446" s="151" t="s">
        <v>408</v>
      </c>
      <c r="M446" s="100">
        <v>-555</v>
      </c>
      <c r="N446" s="137">
        <f t="shared" si="51"/>
        <v>397.78009400000792</v>
      </c>
      <c r="O446" s="88"/>
      <c r="P446" s="136"/>
      <c r="Q446" s="132"/>
      <c r="R446" s="132"/>
      <c r="S446" s="524"/>
      <c r="T446" s="540"/>
      <c r="U446" s="134"/>
      <c r="V446" s="60"/>
      <c r="W446" s="60"/>
      <c r="X446" s="84"/>
      <c r="Y446" s="47"/>
      <c r="Z446" s="331"/>
      <c r="AA446" s="174"/>
      <c r="AB446" s="60"/>
      <c r="AC446" s="47"/>
      <c r="AD446" s="47"/>
      <c r="AE446" s="47"/>
      <c r="AF446" s="179"/>
      <c r="AG446" s="47"/>
      <c r="AH446" s="47"/>
      <c r="AI446" s="47"/>
    </row>
    <row r="447" spans="1:35" ht="12.75" customHeight="1">
      <c r="A447" s="467"/>
      <c r="D447" s="47" t="s">
        <v>37</v>
      </c>
      <c r="E447" s="97">
        <v>7692.69</v>
      </c>
      <c r="F447" s="47"/>
      <c r="G447" s="47"/>
      <c r="H447" s="101"/>
      <c r="I447" s="448"/>
      <c r="J447" s="566"/>
      <c r="K447" s="348"/>
      <c r="L447" s="151" t="s">
        <v>205</v>
      </c>
      <c r="M447" s="100">
        <v>150</v>
      </c>
      <c r="N447" s="137">
        <f t="shared" si="51"/>
        <v>547.78009400000792</v>
      </c>
      <c r="O447" s="88"/>
      <c r="P447" s="136"/>
      <c r="Q447" s="132"/>
      <c r="R447" s="132"/>
      <c r="S447" s="524"/>
      <c r="T447" s="523"/>
      <c r="U447" s="134"/>
      <c r="V447" s="47"/>
      <c r="W447" s="47"/>
      <c r="X447" s="47"/>
      <c r="Y447" s="191"/>
      <c r="Z447" s="331"/>
      <c r="AA447" s="174"/>
      <c r="AB447" s="60"/>
      <c r="AC447" s="47"/>
      <c r="AD447" s="47"/>
      <c r="AE447" s="47"/>
      <c r="AF447" s="47"/>
      <c r="AG447" s="47"/>
      <c r="AH447" s="47"/>
      <c r="AI447" s="47"/>
    </row>
    <row r="448" spans="1:35" ht="12.75" customHeight="1">
      <c r="A448" s="467"/>
      <c r="D448" s="150" t="s">
        <v>36</v>
      </c>
      <c r="E448" s="41">
        <f>E444-E447-M440</f>
        <v>461.63000000000011</v>
      </c>
      <c r="F448" s="150"/>
      <c r="G448" s="964">
        <f>SUM(E447:E448)</f>
        <v>8154.32</v>
      </c>
      <c r="H448" s="964"/>
      <c r="I448" s="448"/>
      <c r="J448" s="448"/>
      <c r="K448" s="348"/>
      <c r="L448" s="151" t="s">
        <v>183</v>
      </c>
      <c r="M448" s="100">
        <v>-347.6</v>
      </c>
      <c r="N448" s="137">
        <f t="shared" si="51"/>
        <v>200.1800940000079</v>
      </c>
      <c r="O448" s="88"/>
      <c r="P448" s="136"/>
      <c r="Q448" s="132"/>
      <c r="R448" s="132"/>
      <c r="S448" s="524"/>
      <c r="T448" s="523"/>
      <c r="U448" s="134"/>
      <c r="V448" s="47"/>
      <c r="W448" s="47"/>
      <c r="X448" s="171"/>
      <c r="Y448" s="191"/>
      <c r="Z448" s="331"/>
      <c r="AA448" s="174"/>
      <c r="AB448" s="175"/>
      <c r="AC448" s="47"/>
      <c r="AD448" s="47"/>
      <c r="AE448" s="47"/>
      <c r="AF448" s="47"/>
      <c r="AG448" s="47"/>
      <c r="AH448" s="47"/>
      <c r="AI448" s="47"/>
    </row>
    <row r="449" spans="1:35" ht="12.75" customHeight="1" thickBot="1">
      <c r="A449" s="467"/>
      <c r="D449" s="47"/>
      <c r="E449" s="60"/>
      <c r="F449" s="204"/>
      <c r="G449" s="980">
        <f>M440</f>
        <v>900</v>
      </c>
      <c r="H449" s="980"/>
      <c r="I449" s="650" t="s">
        <v>442</v>
      </c>
      <c r="J449" s="448"/>
      <c r="K449" s="348"/>
      <c r="L449" s="151" t="s">
        <v>438</v>
      </c>
      <c r="M449" s="100">
        <v>-185.55</v>
      </c>
      <c r="N449" s="137">
        <f t="shared" si="51"/>
        <v>14.630094000007887</v>
      </c>
      <c r="O449" s="88"/>
      <c r="P449" s="136"/>
      <c r="Q449" s="132"/>
      <c r="R449" s="132"/>
      <c r="S449" s="524"/>
      <c r="T449" s="540"/>
      <c r="U449" s="134"/>
      <c r="V449" s="47"/>
      <c r="W449" s="47"/>
      <c r="X449" s="47"/>
      <c r="Y449" s="191"/>
      <c r="Z449" s="331"/>
      <c r="AA449" s="174"/>
      <c r="AB449" s="60"/>
      <c r="AC449" s="47"/>
      <c r="AD449" s="47"/>
      <c r="AE449" s="47"/>
      <c r="AF449" s="47"/>
      <c r="AG449" s="633"/>
      <c r="AH449" s="47"/>
      <c r="AI449" s="47"/>
    </row>
    <row r="450" spans="1:35" ht="12.75" customHeight="1" thickTop="1">
      <c r="A450" s="467"/>
      <c r="D450" s="47"/>
      <c r="E450" s="60"/>
      <c r="F450" s="204"/>
      <c r="G450" s="965">
        <f>SUM(G448:H449)</f>
        <v>9054.32</v>
      </c>
      <c r="H450" s="965"/>
      <c r="I450" s="448"/>
      <c r="J450" s="448"/>
      <c r="K450" s="350" t="s">
        <v>264</v>
      </c>
      <c r="L450" s="357" t="s">
        <v>87</v>
      </c>
      <c r="M450" s="232">
        <f>E447</f>
        <v>7692.69</v>
      </c>
      <c r="N450" s="137">
        <f t="shared" si="51"/>
        <v>7707.3200940000079</v>
      </c>
      <c r="O450" s="88"/>
      <c r="P450" s="136"/>
      <c r="Q450" s="132"/>
      <c r="R450" s="132"/>
      <c r="S450" s="524"/>
      <c r="T450" s="540"/>
      <c r="U450" s="163"/>
      <c r="V450" s="47"/>
      <c r="W450" s="47"/>
      <c r="X450" s="47"/>
      <c r="Y450" s="191"/>
      <c r="Z450" s="331"/>
      <c r="AA450" s="174"/>
      <c r="AB450" s="60"/>
      <c r="AC450" s="47"/>
      <c r="AD450" s="47"/>
      <c r="AE450" s="47"/>
      <c r="AF450" s="47"/>
      <c r="AG450" s="47"/>
      <c r="AH450" s="47"/>
      <c r="AI450" s="47"/>
    </row>
    <row r="451" spans="1:35" ht="12.75" customHeight="1">
      <c r="A451" s="467"/>
      <c r="D451" s="47"/>
      <c r="E451" s="60"/>
      <c r="F451" s="204"/>
      <c r="G451" s="631"/>
      <c r="H451" s="631"/>
      <c r="I451" s="448"/>
      <c r="J451" s="448"/>
      <c r="K451" s="350" t="s">
        <v>264</v>
      </c>
      <c r="L451" s="357" t="s">
        <v>390</v>
      </c>
      <c r="M451" s="232">
        <f>-3830</f>
        <v>-3830</v>
      </c>
      <c r="N451" s="137">
        <f t="shared" si="51"/>
        <v>3877.3200940000079</v>
      </c>
      <c r="O451" s="97"/>
      <c r="P451" s="136"/>
      <c r="Q451" s="132"/>
      <c r="R451" s="132"/>
      <c r="S451" s="524"/>
      <c r="T451" s="523"/>
      <c r="U451" s="164"/>
      <c r="V451" s="60"/>
      <c r="W451" s="60"/>
      <c r="X451" s="171"/>
      <c r="Y451" s="47"/>
      <c r="Z451" s="331"/>
      <c r="AA451" s="174"/>
      <c r="AB451" s="60"/>
      <c r="AC451" s="47"/>
      <c r="AD451" s="47"/>
      <c r="AE451" s="47"/>
      <c r="AF451" s="47"/>
      <c r="AG451" s="47"/>
      <c r="AH451" s="47"/>
      <c r="AI451" s="47"/>
    </row>
    <row r="452" spans="1:35" ht="12.75" customHeight="1">
      <c r="H452" s="631"/>
      <c r="I452" s="448"/>
      <c r="J452" s="448"/>
      <c r="K452" s="350" t="s">
        <v>264</v>
      </c>
      <c r="L452" s="357" t="s">
        <v>394</v>
      </c>
      <c r="M452" s="100">
        <v>-140</v>
      </c>
      <c r="N452" s="137">
        <f t="shared" si="51"/>
        <v>3737.3200940000079</v>
      </c>
      <c r="O452" s="60"/>
      <c r="P452" s="136"/>
      <c r="Q452" s="132"/>
      <c r="R452" s="132"/>
      <c r="S452" s="524"/>
      <c r="T452" s="627"/>
      <c r="U452" s="47"/>
      <c r="V452" s="60"/>
      <c r="W452" s="60"/>
      <c r="X452" s="171"/>
      <c r="Y452" s="47"/>
      <c r="Z452" s="331"/>
      <c r="AA452" s="174"/>
      <c r="AB452" s="60"/>
      <c r="AC452" s="47"/>
      <c r="AD452" s="47"/>
      <c r="AE452" s="47"/>
      <c r="AF452" s="47"/>
      <c r="AG452" s="47"/>
      <c r="AH452" s="47"/>
      <c r="AI452" s="47"/>
    </row>
    <row r="453" spans="1:35" ht="12.75" customHeight="1">
      <c r="H453" s="468"/>
      <c r="I453" s="74"/>
      <c r="J453" s="75"/>
      <c r="K453" s="398" t="s">
        <v>264</v>
      </c>
      <c r="L453" s="196" t="s">
        <v>393</v>
      </c>
      <c r="M453" s="100">
        <v>-500</v>
      </c>
      <c r="N453" s="137">
        <f t="shared" si="51"/>
        <v>3237.3200940000079</v>
      </c>
      <c r="O453" s="60"/>
      <c r="P453" s="136"/>
      <c r="Q453" s="132"/>
      <c r="R453" s="132"/>
      <c r="S453" s="524"/>
      <c r="T453" s="627"/>
      <c r="U453" s="47"/>
      <c r="V453" s="60"/>
      <c r="W453" s="60"/>
      <c r="X453" s="171"/>
      <c r="Y453" s="47"/>
      <c r="Z453" s="331"/>
      <c r="AA453" s="174"/>
      <c r="AB453" s="60"/>
      <c r="AC453" s="47"/>
      <c r="AD453" s="47"/>
      <c r="AE453" s="47"/>
      <c r="AF453" s="47"/>
      <c r="AG453" s="47"/>
      <c r="AH453" s="47"/>
      <c r="AI453" s="47"/>
    </row>
    <row r="454" spans="1:35" ht="12.75" customHeight="1">
      <c r="H454" s="631"/>
      <c r="I454" s="75"/>
      <c r="J454" s="75"/>
      <c r="K454" s="350" t="s">
        <v>264</v>
      </c>
      <c r="L454" s="357" t="s">
        <v>237</v>
      </c>
      <c r="M454" s="100">
        <v>-1738</v>
      </c>
      <c r="N454" s="137">
        <f t="shared" si="51"/>
        <v>1499.3200940000079</v>
      </c>
      <c r="O454" s="60"/>
      <c r="P454" s="136"/>
      <c r="Q454" s="132"/>
      <c r="R454" s="132"/>
      <c r="S454" s="524"/>
      <c r="T454" s="627"/>
      <c r="U454" s="47"/>
      <c r="V454" s="60"/>
      <c r="W454" s="60"/>
      <c r="X454" s="171"/>
      <c r="Y454" s="47"/>
      <c r="Z454" s="331"/>
      <c r="AA454" s="174"/>
      <c r="AB454" s="60"/>
      <c r="AC454" s="47"/>
      <c r="AD454" s="47"/>
      <c r="AE454" s="47"/>
      <c r="AF454" s="47"/>
      <c r="AG454" s="47"/>
      <c r="AH454" s="47"/>
      <c r="AI454" s="47"/>
    </row>
    <row r="455" spans="1:35" ht="12.75" customHeight="1">
      <c r="H455" s="631"/>
      <c r="I455" s="75"/>
      <c r="J455" s="75"/>
      <c r="K455" s="350" t="s">
        <v>264</v>
      </c>
      <c r="L455" s="357" t="s">
        <v>222</v>
      </c>
      <c r="M455" s="100">
        <v>-69</v>
      </c>
      <c r="N455" s="137">
        <f t="shared" si="51"/>
        <v>1430.3200940000079</v>
      </c>
      <c r="O455" s="60"/>
      <c r="P455" s="136"/>
      <c r="Q455" s="132"/>
      <c r="R455" s="132"/>
      <c r="S455" s="524"/>
      <c r="T455" s="627"/>
      <c r="U455" s="47"/>
      <c r="V455" s="60"/>
      <c r="W455" s="60"/>
      <c r="X455" s="171"/>
      <c r="Y455" s="47"/>
      <c r="Z455" s="331"/>
      <c r="AA455" s="174"/>
      <c r="AB455" s="60"/>
      <c r="AC455" s="47"/>
      <c r="AD455" s="47"/>
      <c r="AE455" s="47"/>
      <c r="AF455" s="47"/>
      <c r="AG455" s="47"/>
      <c r="AH455" s="47"/>
      <c r="AI455" s="47"/>
    </row>
    <row r="456" spans="1:35" ht="12.75" customHeight="1">
      <c r="H456" s="631"/>
      <c r="K456" s="355" t="s">
        <v>264</v>
      </c>
      <c r="L456" s="357" t="s">
        <v>97</v>
      </c>
      <c r="M456" s="100">
        <v>-203.5</v>
      </c>
      <c r="N456" s="137">
        <f t="shared" si="51"/>
        <v>1226.8200940000079</v>
      </c>
      <c r="O456" s="60"/>
      <c r="P456" s="413"/>
      <c r="Q456" s="361"/>
      <c r="R456" s="132"/>
      <c r="S456" s="524"/>
      <c r="T456" s="627"/>
      <c r="U456" s="47"/>
      <c r="V456" s="60"/>
      <c r="W456" s="60"/>
      <c r="X456" s="171"/>
      <c r="Y456" s="47"/>
      <c r="Z456" s="331"/>
      <c r="AA456" s="174"/>
      <c r="AB456" s="60"/>
      <c r="AC456" s="47"/>
      <c r="AD456" s="47"/>
      <c r="AE456" s="47"/>
      <c r="AF456" s="47"/>
      <c r="AG456" s="47"/>
      <c r="AH456" s="47"/>
      <c r="AI456" s="47"/>
    </row>
    <row r="457" spans="1:35" ht="12.75" customHeight="1">
      <c r="H457" s="631"/>
      <c r="K457" s="350"/>
      <c r="L457" s="357" t="s">
        <v>440</v>
      </c>
      <c r="M457" s="100">
        <v>-198</v>
      </c>
      <c r="N457" s="137">
        <f t="shared" si="51"/>
        <v>1028.8200940000079</v>
      </c>
      <c r="O457" s="60"/>
      <c r="P457" s="413"/>
      <c r="Q457" s="361"/>
      <c r="R457" s="132"/>
      <c r="S457" s="524"/>
      <c r="T457" s="627"/>
      <c r="U457" s="47"/>
      <c r="V457" s="60"/>
      <c r="W457" s="60"/>
      <c r="X457" s="171"/>
      <c r="Y457" s="47"/>
      <c r="Z457" s="331"/>
      <c r="AA457" s="174"/>
      <c r="AB457" s="60"/>
      <c r="AC457" s="47"/>
      <c r="AD457" s="47"/>
      <c r="AE457" s="47"/>
      <c r="AF457" s="47"/>
      <c r="AG457" s="47"/>
      <c r="AH457" s="47"/>
      <c r="AI457" s="47"/>
    </row>
    <row r="458" spans="1:35" ht="12.75" customHeight="1">
      <c r="H458" s="649"/>
      <c r="K458" s="350"/>
      <c r="L458" s="357" t="s">
        <v>441</v>
      </c>
      <c r="M458" s="100">
        <v>-56</v>
      </c>
      <c r="N458" s="137">
        <f t="shared" si="51"/>
        <v>972.82009400000788</v>
      </c>
      <c r="O458" s="60"/>
      <c r="P458" s="413"/>
      <c r="Q458" s="361"/>
      <c r="R458" s="132"/>
      <c r="S458" s="524"/>
      <c r="T458" s="648"/>
      <c r="U458" s="47"/>
      <c r="V458" s="60"/>
      <c r="W458" s="60"/>
      <c r="X458" s="171"/>
      <c r="Y458" s="47"/>
      <c r="Z458" s="331"/>
      <c r="AA458" s="174"/>
      <c r="AB458" s="60"/>
      <c r="AC458" s="47"/>
      <c r="AD458" s="47"/>
      <c r="AE458" s="47"/>
      <c r="AF458" s="47"/>
      <c r="AG458" s="47"/>
      <c r="AH458" s="47"/>
      <c r="AI458" s="47"/>
    </row>
    <row r="459" spans="1:35" ht="12.75" customHeight="1">
      <c r="H459" s="649"/>
      <c r="K459" s="350"/>
      <c r="L459" s="357" t="s">
        <v>406</v>
      </c>
      <c r="M459" s="100">
        <v>-483.69</v>
      </c>
      <c r="N459" s="137">
        <f t="shared" si="51"/>
        <v>489.13009400000789</v>
      </c>
      <c r="O459" s="60"/>
      <c r="P459" s="413"/>
      <c r="Q459" s="361"/>
      <c r="R459" s="132"/>
      <c r="S459" s="524"/>
      <c r="T459" s="648"/>
      <c r="U459" s="47"/>
      <c r="V459" s="60"/>
      <c r="W459" s="60"/>
      <c r="X459" s="171"/>
      <c r="Y459" s="47"/>
      <c r="Z459" s="331"/>
      <c r="AA459" s="174"/>
      <c r="AB459" s="60"/>
      <c r="AC459" s="47"/>
      <c r="AD459" s="47"/>
      <c r="AE459" s="47"/>
      <c r="AF459" s="47"/>
      <c r="AG459" s="47"/>
      <c r="AH459" s="47"/>
      <c r="AI459" s="47"/>
    </row>
    <row r="460" spans="1:35" ht="12.75" customHeight="1">
      <c r="H460" s="631"/>
      <c r="K460" s="348"/>
      <c r="L460" s="151" t="s">
        <v>334</v>
      </c>
      <c r="M460" s="100">
        <v>705</v>
      </c>
      <c r="N460" s="137">
        <f t="shared" si="51"/>
        <v>1194.1300940000078</v>
      </c>
      <c r="O460" s="60"/>
      <c r="P460" s="413"/>
      <c r="Q460" s="361"/>
      <c r="R460" s="132"/>
      <c r="S460" s="524"/>
      <c r="T460" s="645"/>
      <c r="U460" s="47"/>
      <c r="V460" s="60"/>
      <c r="W460" s="60"/>
      <c r="X460" s="171"/>
      <c r="Y460" s="47"/>
      <c r="Z460" s="331"/>
      <c r="AA460" s="174"/>
      <c r="AB460" s="60"/>
      <c r="AC460" s="47"/>
      <c r="AD460" s="47"/>
      <c r="AE460" s="47"/>
      <c r="AF460" s="47"/>
      <c r="AG460" s="47"/>
      <c r="AH460" s="47"/>
      <c r="AI460" s="47"/>
    </row>
    <row r="461" spans="1:35" ht="12.75" customHeight="1">
      <c r="H461" s="631"/>
      <c r="K461" s="165" t="s">
        <v>231</v>
      </c>
      <c r="L461" s="358" t="s">
        <v>39</v>
      </c>
      <c r="M461" s="262">
        <v>-403.99</v>
      </c>
      <c r="N461" s="137">
        <f t="shared" si="51"/>
        <v>790.14009400000782</v>
      </c>
      <c r="O461" s="331"/>
      <c r="P461" s="413"/>
      <c r="Q461" s="361"/>
      <c r="R461" s="132"/>
      <c r="S461" s="524"/>
      <c r="T461" s="627"/>
      <c r="U461" s="47"/>
      <c r="V461" s="60"/>
      <c r="W461" s="60"/>
      <c r="X461" s="171"/>
      <c r="Y461" s="47"/>
      <c r="Z461" s="331"/>
      <c r="AA461" s="174"/>
      <c r="AB461" s="60"/>
      <c r="AC461" s="47"/>
      <c r="AD461" s="47"/>
      <c r="AE461" s="47"/>
      <c r="AF461" s="47"/>
      <c r="AG461" s="47"/>
      <c r="AH461" s="47"/>
      <c r="AI461" s="47"/>
    </row>
    <row r="462" spans="1:35" s="47" customFormat="1">
      <c r="E462" s="60"/>
      <c r="G462" s="101"/>
      <c r="I462"/>
      <c r="J462"/>
      <c r="K462" s="350" t="s">
        <v>231</v>
      </c>
      <c r="L462" s="359" t="s">
        <v>92</v>
      </c>
      <c r="M462" s="262">
        <v>-605</v>
      </c>
      <c r="N462" s="137">
        <f t="shared" si="51"/>
        <v>185.14009400000782</v>
      </c>
      <c r="P462" s="60"/>
      <c r="Q462" s="60"/>
      <c r="R462" s="60"/>
      <c r="S462" s="534"/>
      <c r="Z462" s="60"/>
      <c r="AA462" s="644"/>
      <c r="AB462" s="60"/>
    </row>
    <row r="463" spans="1:35" s="47" customFormat="1">
      <c r="E463" s="60"/>
      <c r="G463" s="101"/>
      <c r="K463" s="469" t="s">
        <v>232</v>
      </c>
      <c r="L463" s="360" t="s">
        <v>46</v>
      </c>
      <c r="M463" s="516">
        <v>-187.79</v>
      </c>
      <c r="N463" s="138">
        <f t="shared" si="51"/>
        <v>-2.6499059999921712</v>
      </c>
      <c r="P463" s="60"/>
      <c r="Q463" s="60"/>
      <c r="R463" s="60"/>
      <c r="S463" s="534"/>
      <c r="Z463" s="60"/>
      <c r="AA463" s="646"/>
      <c r="AB463" s="60"/>
    </row>
    <row r="464" spans="1:35" s="47" customFormat="1">
      <c r="E464" s="60"/>
      <c r="G464" s="101"/>
      <c r="K464" s="346"/>
      <c r="L464" s="58"/>
      <c r="M464" s="113">
        <f>SUM(M435:M463)</f>
        <v>-2.6499059999921712</v>
      </c>
      <c r="N464" s="567"/>
      <c r="P464" s="60"/>
      <c r="Q464" s="60"/>
      <c r="R464" s="60"/>
      <c r="S464" s="534"/>
      <c r="Z464" s="60"/>
      <c r="AA464" s="647"/>
      <c r="AB464" s="60"/>
    </row>
    <row r="465" spans="1:35" s="150" customFormat="1">
      <c r="E465" s="41"/>
      <c r="G465" s="211"/>
      <c r="K465" s="349"/>
      <c r="M465" s="41"/>
      <c r="P465" s="41"/>
      <c r="Q465" s="41"/>
      <c r="R465" s="41"/>
      <c r="S465" s="535"/>
      <c r="Z465" s="41"/>
      <c r="AA465" s="212"/>
      <c r="AB465" s="41"/>
    </row>
    <row r="466" spans="1:35">
      <c r="K466" s="348"/>
      <c r="L466" s="47"/>
      <c r="M466" s="60"/>
      <c r="N466" s="47"/>
    </row>
    <row r="467" spans="1:35" ht="12.75" customHeight="1">
      <c r="B467" s="966" t="s">
        <v>434</v>
      </c>
      <c r="C467" s="966"/>
      <c r="D467" s="966"/>
      <c r="E467" s="966"/>
      <c r="G467" s="352"/>
      <c r="H467" s="352"/>
      <c r="I467" s="60"/>
      <c r="K467" s="350"/>
      <c r="L467" s="180"/>
      <c r="M467" s="970" t="s">
        <v>90</v>
      </c>
      <c r="N467" s="697"/>
      <c r="O467" s="700"/>
      <c r="P467" s="972" t="s">
        <v>84</v>
      </c>
      <c r="Q467" s="974" t="s">
        <v>284</v>
      </c>
      <c r="R467" s="974"/>
      <c r="S467" s="528"/>
      <c r="X467" s="84"/>
      <c r="Y467" s="84"/>
      <c r="Z467" s="60"/>
      <c r="AA467" s="702"/>
      <c r="AB467" s="60"/>
      <c r="AC467" s="47"/>
      <c r="AD467" s="47"/>
      <c r="AE467" s="47"/>
      <c r="AF467" s="47"/>
      <c r="AG467" s="47"/>
      <c r="AH467" s="47"/>
      <c r="AI467" s="47"/>
    </row>
    <row r="468" spans="1:35" ht="12.75" customHeight="1">
      <c r="C468" s="43" t="s">
        <v>435</v>
      </c>
      <c r="D468" s="39"/>
      <c r="E468" s="99">
        <v>8502.7000000000007</v>
      </c>
      <c r="G468" s="976"/>
      <c r="H468" s="976"/>
      <c r="I468" s="60"/>
      <c r="K468" s="351" t="s">
        <v>263</v>
      </c>
      <c r="L468" s="242"/>
      <c r="M468" s="971"/>
      <c r="N468" s="697" t="s">
        <v>79</v>
      </c>
      <c r="O468" s="700"/>
      <c r="P468" s="973"/>
      <c r="Q468" s="698" t="s">
        <v>79</v>
      </c>
      <c r="R468" s="699" t="s">
        <v>89</v>
      </c>
      <c r="S468" s="528"/>
      <c r="X468" s="198"/>
      <c r="Y468" s="191"/>
      <c r="Z468" s="197"/>
      <c r="AA468" s="169"/>
      <c r="AB468" s="170"/>
      <c r="AC468" s="47"/>
      <c r="AD468" s="91"/>
      <c r="AE468" s="47"/>
      <c r="AF468" s="47"/>
      <c r="AG468" s="47"/>
      <c r="AH468" s="47"/>
      <c r="AI468" s="47"/>
    </row>
    <row r="469" spans="1:35" ht="12.75" customHeight="1">
      <c r="C469" s="43"/>
      <c r="D469" s="39" t="s">
        <v>47</v>
      </c>
      <c r="E469" s="99">
        <f>'[1]JULY ''12'!$C$83</f>
        <v>164.55</v>
      </c>
      <c r="G469" s="74"/>
      <c r="H469" s="977">
        <f>SUM(E469:E470)</f>
        <v>868.24</v>
      </c>
      <c r="I469" s="60"/>
      <c r="K469" s="362"/>
      <c r="L469" s="327" t="s">
        <v>268</v>
      </c>
      <c r="M469" s="100">
        <f>$M$464</f>
        <v>-2.6499059999921712</v>
      </c>
      <c r="N469" s="376">
        <f>M469</f>
        <v>-2.6499059999921712</v>
      </c>
      <c r="O469" s="60"/>
      <c r="P469" s="100">
        <f>$Q$443</f>
        <v>-15084.997278481009</v>
      </c>
      <c r="Q469" s="139">
        <f>P469</f>
        <v>-15084.997278481009</v>
      </c>
      <c r="R469" s="100">
        <f>15550+Q469</f>
        <v>465.00272151899117</v>
      </c>
      <c r="S469" s="529" t="s">
        <v>357</v>
      </c>
      <c r="T469" s="518" t="s">
        <v>358</v>
      </c>
      <c r="W469" s="542"/>
      <c r="X469" s="191"/>
      <c r="Y469" s="191"/>
      <c r="Z469" s="100"/>
      <c r="AA469" s="661"/>
      <c r="AB469" s="60"/>
      <c r="AC469" s="47"/>
      <c r="AD469" s="172"/>
      <c r="AE469" s="173"/>
      <c r="AF469" s="47"/>
      <c r="AG469" s="47"/>
      <c r="AH469" s="47"/>
      <c r="AI469" s="47"/>
    </row>
    <row r="470" spans="1:35" ht="12.75" customHeight="1">
      <c r="C470" s="43"/>
      <c r="D470" s="229" t="s">
        <v>267</v>
      </c>
      <c r="E470" s="41">
        <f>'[1]JUNE ''12'!$C$80</f>
        <v>703.69</v>
      </c>
      <c r="G470"/>
      <c r="H470" s="977"/>
      <c r="I470" s="60"/>
      <c r="K470" s="400"/>
      <c r="L470" s="274" t="s">
        <v>437</v>
      </c>
      <c r="M470" s="100">
        <v>133.08000000000001</v>
      </c>
      <c r="N470" s="137">
        <f>N469+M470</f>
        <v>130.43009400000784</v>
      </c>
      <c r="O470" s="134"/>
      <c r="P470" s="215">
        <v>-118.83</v>
      </c>
      <c r="Q470" s="140">
        <f>Q469+P470</f>
        <v>-15203.827278481009</v>
      </c>
      <c r="R470" s="100">
        <f>15550+Q470</f>
        <v>346.17272151899124</v>
      </c>
      <c r="S470" s="524" t="s">
        <v>336</v>
      </c>
      <c r="T470" s="541" t="s">
        <v>334</v>
      </c>
      <c r="W470" s="191"/>
      <c r="X470" s="191"/>
      <c r="Y470" s="192"/>
      <c r="Z470" s="119"/>
      <c r="AA470" s="662"/>
      <c r="AB470" s="175"/>
      <c r="AC470" s="47"/>
      <c r="AD470" s="91"/>
      <c r="AE470" s="173"/>
      <c r="AF470" s="47"/>
      <c r="AG470" s="47"/>
      <c r="AH470" s="47"/>
      <c r="AI470" s="47"/>
    </row>
    <row r="471" spans="1:35" ht="12.75" customHeight="1">
      <c r="C471" s="45" t="s">
        <v>17</v>
      </c>
      <c r="D471" s="39"/>
      <c r="E471" s="39">
        <f>SUM(E468:E470)</f>
        <v>9370.94</v>
      </c>
      <c r="G471" s="334"/>
      <c r="H471" s="664"/>
      <c r="I471" s="334"/>
      <c r="J471" s="650" t="s">
        <v>442</v>
      </c>
      <c r="K471" s="347"/>
      <c r="L471" s="196" t="s">
        <v>47</v>
      </c>
      <c r="M471" s="100">
        <v>750</v>
      </c>
      <c r="N471" s="137">
        <f>N470+M471</f>
        <v>880.43009400000778</v>
      </c>
      <c r="O471" s="134"/>
      <c r="P471" s="215">
        <v>-193.13</v>
      </c>
      <c r="Q471" s="140">
        <f>Q470+P471</f>
        <v>-15396.957278481008</v>
      </c>
      <c r="R471" s="100">
        <f>15550+Q471</f>
        <v>153.04272151899204</v>
      </c>
      <c r="S471" s="524" t="s">
        <v>299</v>
      </c>
      <c r="T471" s="541"/>
      <c r="U471" s="191"/>
      <c r="V471" s="47"/>
      <c r="W471" s="191"/>
      <c r="X471" s="191"/>
      <c r="Y471" s="192"/>
      <c r="Z471" s="119"/>
      <c r="AA471" s="662"/>
      <c r="AB471" s="60"/>
      <c r="AC471" s="47"/>
      <c r="AD471" s="172"/>
      <c r="AE471" s="173"/>
      <c r="AF471" s="47"/>
      <c r="AG471" s="47"/>
      <c r="AH471" s="47"/>
      <c r="AI471" s="47"/>
    </row>
    <row r="472" spans="1:35" ht="12.75" customHeight="1">
      <c r="G472" s="47"/>
      <c r="H472" s="663"/>
      <c r="I472" s="100"/>
      <c r="J472" s="650"/>
      <c r="K472" s="400"/>
      <c r="L472" s="274" t="s">
        <v>176</v>
      </c>
      <c r="M472" s="100">
        <v>-379.37</v>
      </c>
      <c r="N472" s="137">
        <f t="shared" ref="N472:N494" si="58">N471+M472</f>
        <v>501.06009400000778</v>
      </c>
      <c r="O472" s="105"/>
      <c r="P472" s="215">
        <v>-53.86</v>
      </c>
      <c r="Q472" s="140">
        <f t="shared" ref="Q472" si="59">Q471+P472</f>
        <v>-15450.817278481009</v>
      </c>
      <c r="R472" s="100">
        <f t="shared" ref="R472" si="60">15550+Q472</f>
        <v>99.182721518991457</v>
      </c>
      <c r="S472" s="524" t="s">
        <v>336</v>
      </c>
      <c r="T472" s="401" t="s">
        <v>449</v>
      </c>
      <c r="U472" s="47"/>
      <c r="V472" s="100"/>
      <c r="W472" s="192"/>
      <c r="X472" s="192"/>
      <c r="Y472" s="192"/>
      <c r="Z472" s="119"/>
      <c r="AA472" s="662"/>
      <c r="AB472" s="60"/>
      <c r="AC472" s="47"/>
      <c r="AD472" s="172"/>
      <c r="AE472" s="173"/>
      <c r="AF472" s="47"/>
      <c r="AG472" s="47"/>
      <c r="AH472" s="47"/>
      <c r="AI472" s="47"/>
    </row>
    <row r="473" spans="1:35" ht="12.75" customHeight="1">
      <c r="A473" s="467"/>
      <c r="C473" s="153" t="s">
        <v>40</v>
      </c>
      <c r="E473" s="97"/>
      <c r="G473"/>
      <c r="H473" s="701"/>
      <c r="I473" s="448"/>
      <c r="J473" s="448"/>
      <c r="K473" s="400" t="s">
        <v>265</v>
      </c>
      <c r="L473" s="274" t="s">
        <v>269</v>
      </c>
      <c r="M473" s="100">
        <v>-357</v>
      </c>
      <c r="N473" s="137">
        <f t="shared" si="58"/>
        <v>144.06009400000778</v>
      </c>
      <c r="O473" s="106"/>
      <c r="P473" s="214">
        <v>-50</v>
      </c>
      <c r="Q473" s="140">
        <f t="shared" ref="Q473:Q474" si="61">Q472+P473</f>
        <v>-15500.817278481009</v>
      </c>
      <c r="R473" s="100">
        <f t="shared" ref="R473:R474" si="62">15550+Q473</f>
        <v>49.182721518991457</v>
      </c>
      <c r="S473" s="539" t="s">
        <v>289</v>
      </c>
      <c r="T473" s="523"/>
      <c r="U473" s="47"/>
      <c r="V473" s="100"/>
      <c r="W473" s="183"/>
      <c r="X473" s="191"/>
      <c r="Y473" s="192"/>
      <c r="Z473" s="119"/>
      <c r="AA473" s="662"/>
      <c r="AB473" s="175"/>
      <c r="AC473" s="47"/>
      <c r="AD473" s="176"/>
      <c r="AE473" s="173"/>
      <c r="AF473" s="47"/>
      <c r="AG473" s="47"/>
      <c r="AH473" s="47"/>
      <c r="AI473" s="47"/>
    </row>
    <row r="474" spans="1:35" ht="12.75" customHeight="1">
      <c r="A474" s="467"/>
      <c r="D474" s="47" t="s">
        <v>37</v>
      </c>
      <c r="E474" s="97">
        <f>E468</f>
        <v>8502.7000000000007</v>
      </c>
      <c r="F474" s="47"/>
      <c r="G474" s="47"/>
      <c r="H474" s="663">
        <f>SUM(E475:H475)+G476</f>
        <v>868.23999999999978</v>
      </c>
      <c r="I474" s="448"/>
      <c r="J474" s="650"/>
      <c r="K474" s="347"/>
      <c r="L474" s="196" t="s">
        <v>47</v>
      </c>
      <c r="M474" s="100">
        <v>1000</v>
      </c>
      <c r="N474" s="137">
        <f t="shared" si="58"/>
        <v>1144.0600940000077</v>
      </c>
      <c r="O474" s="106"/>
      <c r="P474" s="214">
        <v>-41.95</v>
      </c>
      <c r="Q474" s="140">
        <f t="shared" si="61"/>
        <v>-15542.767278481009</v>
      </c>
      <c r="R474" s="100">
        <f t="shared" si="62"/>
        <v>7.2327215189907292</v>
      </c>
      <c r="S474" s="539" t="s">
        <v>305</v>
      </c>
      <c r="T474" s="523" t="s">
        <v>454</v>
      </c>
      <c r="U474" s="47"/>
      <c r="V474" s="100"/>
      <c r="W474" s="191"/>
      <c r="X474" s="191"/>
      <c r="Y474" s="192"/>
      <c r="Z474" s="119"/>
      <c r="AA474" s="662"/>
      <c r="AB474" s="60"/>
      <c r="AC474" s="47"/>
      <c r="AD474" s="91"/>
      <c r="AE474" s="173"/>
      <c r="AF474" s="47"/>
      <c r="AG474" s="47"/>
      <c r="AH474" s="47"/>
      <c r="AI474" s="47"/>
    </row>
    <row r="475" spans="1:35" ht="12.75" customHeight="1">
      <c r="A475" s="467"/>
      <c r="D475" s="150" t="s">
        <v>36</v>
      </c>
      <c r="E475" s="651">
        <f>E471-E474-M471</f>
        <v>118.23999999999978</v>
      </c>
      <c r="F475" s="650" t="s">
        <v>442</v>
      </c>
      <c r="G475" s="963">
        <f>M471</f>
        <v>750</v>
      </c>
      <c r="H475" s="963"/>
      <c r="I475" s="448"/>
      <c r="J475" s="448"/>
      <c r="K475" s="350"/>
      <c r="L475" s="151" t="s">
        <v>344</v>
      </c>
      <c r="M475" s="100">
        <v>-492.95</v>
      </c>
      <c r="N475" s="137">
        <f t="shared" si="58"/>
        <v>651.11009400000762</v>
      </c>
      <c r="O475" s="106"/>
      <c r="P475" s="106">
        <f>E475</f>
        <v>118.23999999999978</v>
      </c>
      <c r="Q475" s="141">
        <f>Q474+P475</f>
        <v>-15424.527278481009</v>
      </c>
      <c r="R475" s="115">
        <f>15550+Q475</f>
        <v>125.47272151899051</v>
      </c>
      <c r="S475" s="524" t="s">
        <v>334</v>
      </c>
      <c r="T475" s="695"/>
      <c r="U475" s="47"/>
      <c r="V475" s="215"/>
      <c r="W475" s="47"/>
      <c r="X475" s="47"/>
      <c r="Y475" s="192"/>
      <c r="Z475" s="331"/>
      <c r="AA475" s="174"/>
      <c r="AB475" s="60"/>
      <c r="AC475" s="47"/>
      <c r="AD475" s="172"/>
      <c r="AE475" s="173"/>
      <c r="AF475" s="47"/>
      <c r="AG475" s="47"/>
      <c r="AH475" s="47"/>
      <c r="AI475" s="47"/>
    </row>
    <row r="476" spans="1:35" ht="12.75" customHeight="1" thickBot="1">
      <c r="A476" s="467"/>
      <c r="D476" s="47"/>
      <c r="E476" s="60"/>
      <c r="F476" s="650"/>
      <c r="G476" s="979"/>
      <c r="H476" s="979"/>
      <c r="I476" s="448"/>
      <c r="J476" s="448"/>
      <c r="K476" s="347"/>
      <c r="L476" s="196" t="s">
        <v>174</v>
      </c>
      <c r="M476" s="100">
        <v>-100</v>
      </c>
      <c r="N476" s="137">
        <f t="shared" si="58"/>
        <v>551.11009400000762</v>
      </c>
      <c r="O476" s="88"/>
      <c r="P476" s="133">
        <f>SUM(P469:P475)</f>
        <v>-15424.527278481009</v>
      </c>
      <c r="Q476" s="377" t="s">
        <v>285</v>
      </c>
      <c r="R476" s="453"/>
      <c r="S476" s="524"/>
      <c r="T476" s="695"/>
      <c r="U476" s="47"/>
      <c r="V476" s="100"/>
      <c r="W476" s="60"/>
      <c r="X476" s="47"/>
      <c r="Y476" s="192"/>
      <c r="Z476" s="331"/>
      <c r="AA476" s="174"/>
      <c r="AB476" s="175"/>
      <c r="AC476" s="47"/>
      <c r="AD476" s="172"/>
      <c r="AE476" s="173"/>
      <c r="AF476" s="47"/>
      <c r="AG476" s="47"/>
      <c r="AH476" s="47"/>
      <c r="AI476" s="47"/>
    </row>
    <row r="477" spans="1:35" ht="12.75" customHeight="1" thickTop="1">
      <c r="A477" s="467"/>
      <c r="D477" s="47"/>
      <c r="E477" s="60"/>
      <c r="F477" s="204"/>
      <c r="G477" s="965">
        <f>E474+E475+G475+G476</f>
        <v>9370.94</v>
      </c>
      <c r="H477" s="965"/>
      <c r="I477" s="448"/>
      <c r="J477" s="448"/>
      <c r="K477" s="347" t="s">
        <v>450</v>
      </c>
      <c r="L477" s="196" t="s">
        <v>451</v>
      </c>
      <c r="M477" s="100">
        <v>200</v>
      </c>
      <c r="N477" s="137">
        <f t="shared" si="58"/>
        <v>751.11009400000762</v>
      </c>
      <c r="O477" s="88"/>
      <c r="P477" s="136"/>
      <c r="Q477" s="132"/>
      <c r="R477" s="132"/>
      <c r="S477" s="524"/>
      <c r="T477" s="695"/>
      <c r="U477" s="47"/>
      <c r="V477" s="100"/>
      <c r="W477" s="60"/>
      <c r="X477" s="47"/>
      <c r="Y477" s="192"/>
      <c r="Z477" s="331"/>
      <c r="AA477" s="174"/>
      <c r="AB477" s="60"/>
      <c r="AC477" s="47"/>
      <c r="AD477" s="172"/>
      <c r="AE477" s="177"/>
      <c r="AF477" s="47"/>
      <c r="AG477" s="47"/>
      <c r="AH477" s="47"/>
      <c r="AI477" s="47"/>
    </row>
    <row r="478" spans="1:35" ht="12.75" customHeight="1">
      <c r="A478" s="467"/>
      <c r="D478" s="47"/>
      <c r="E478" s="60"/>
      <c r="F478" s="204"/>
      <c r="G478" s="696"/>
      <c r="H478" s="696"/>
      <c r="I478" s="448"/>
      <c r="J478" s="650"/>
      <c r="K478" s="347"/>
      <c r="L478" s="196" t="s">
        <v>140</v>
      </c>
      <c r="M478" s="100">
        <v>50</v>
      </c>
      <c r="N478" s="137">
        <f t="shared" si="58"/>
        <v>801.11009400000762</v>
      </c>
      <c r="O478" s="88"/>
      <c r="P478" s="136"/>
      <c r="Q478" s="132"/>
      <c r="R478" s="132"/>
      <c r="S478" s="524"/>
      <c r="T478" s="695"/>
      <c r="U478" s="142"/>
      <c r="V478" s="100"/>
      <c r="W478" s="60"/>
      <c r="X478" s="47"/>
      <c r="Y478" s="192"/>
      <c r="Z478" s="331"/>
      <c r="AA478" s="174"/>
      <c r="AB478" s="60"/>
      <c r="AC478" s="47"/>
      <c r="AD478" s="47"/>
      <c r="AE478" s="173"/>
      <c r="AF478" s="47"/>
      <c r="AG478" s="47"/>
      <c r="AH478" s="47"/>
      <c r="AI478" s="47"/>
    </row>
    <row r="479" spans="1:35" ht="12.75" customHeight="1">
      <c r="A479" s="467"/>
      <c r="D479" s="47"/>
      <c r="E479" s="60"/>
      <c r="F479" s="204"/>
      <c r="G479" s="696"/>
      <c r="H479" s="696"/>
      <c r="I479" s="448"/>
      <c r="J479" s="448"/>
      <c r="K479" s="347"/>
      <c r="L479" s="196" t="s">
        <v>452</v>
      </c>
      <c r="M479" s="100">
        <v>-250</v>
      </c>
      <c r="N479" s="137">
        <f t="shared" si="58"/>
        <v>551.11009400000762</v>
      </c>
      <c r="O479" s="88"/>
      <c r="P479" s="413"/>
      <c r="Q479" s="361"/>
      <c r="R479" s="132"/>
      <c r="S479" s="524"/>
      <c r="T479" s="695"/>
      <c r="U479" s="142"/>
      <c r="V479" s="60"/>
      <c r="W479" s="60"/>
      <c r="X479" s="171"/>
      <c r="Y479" s="47"/>
      <c r="Z479" s="331"/>
      <c r="AA479" s="174"/>
      <c r="AB479" s="175"/>
      <c r="AC479" s="47"/>
      <c r="AD479" s="178"/>
      <c r="AE479" s="173"/>
      <c r="AF479" s="702"/>
      <c r="AG479" s="47"/>
      <c r="AH479" s="47"/>
      <c r="AI479" s="47"/>
    </row>
    <row r="480" spans="1:35" ht="12.75" customHeight="1">
      <c r="A480" s="467"/>
      <c r="D480" s="47"/>
      <c r="E480" s="60"/>
      <c r="F480" s="204"/>
      <c r="G480" s="696"/>
      <c r="H480" s="696"/>
      <c r="I480" s="448"/>
      <c r="J480" s="448"/>
      <c r="K480" s="347"/>
      <c r="L480" s="196" t="s">
        <v>87</v>
      </c>
      <c r="M480" s="100">
        <v>1000</v>
      </c>
      <c r="N480" s="137">
        <f t="shared" si="58"/>
        <v>1551.1100940000076</v>
      </c>
      <c r="O480" s="88"/>
      <c r="P480" s="568"/>
      <c r="Q480" s="361"/>
      <c r="R480" s="132"/>
      <c r="S480" s="524"/>
      <c r="T480" s="695"/>
      <c r="U480" s="134"/>
      <c r="V480" s="60"/>
      <c r="W480" s="60"/>
      <c r="X480" s="84"/>
      <c r="Y480" s="47"/>
      <c r="Z480" s="331"/>
      <c r="AA480" s="174"/>
      <c r="AB480" s="60"/>
      <c r="AC480" s="47"/>
      <c r="AD480" s="47"/>
      <c r="AE480" s="47"/>
      <c r="AF480" s="179"/>
      <c r="AG480" s="47"/>
      <c r="AH480" s="47"/>
      <c r="AI480" s="47"/>
    </row>
    <row r="481" spans="1:35" ht="12.75" customHeight="1">
      <c r="A481" s="467"/>
      <c r="D481" s="47"/>
      <c r="E481" s="60"/>
      <c r="F481" s="204"/>
      <c r="G481" s="709"/>
      <c r="H481" s="709"/>
      <c r="I481" s="448"/>
      <c r="J481" s="448"/>
      <c r="K481" s="347"/>
      <c r="L481" s="196" t="s">
        <v>459</v>
      </c>
      <c r="M481" s="100">
        <v>-269.3</v>
      </c>
      <c r="N481" s="137">
        <f t="shared" si="58"/>
        <v>1281.8100940000077</v>
      </c>
      <c r="O481" s="88"/>
      <c r="P481" s="568"/>
      <c r="Q481" s="361"/>
      <c r="R481" s="132"/>
      <c r="S481" s="524"/>
      <c r="T481" s="708"/>
      <c r="U481" s="134"/>
      <c r="V481" s="60"/>
      <c r="W481" s="60"/>
      <c r="X481" s="84"/>
      <c r="Y481" s="47"/>
      <c r="Z481" s="331"/>
      <c r="AA481" s="174"/>
      <c r="AB481" s="60"/>
      <c r="AC481" s="47"/>
      <c r="AD481" s="47"/>
      <c r="AE481" s="47"/>
      <c r="AF481" s="179"/>
      <c r="AG481" s="47"/>
      <c r="AH481" s="47"/>
      <c r="AI481" s="47"/>
    </row>
    <row r="482" spans="1:35" ht="12.75" customHeight="1">
      <c r="A482" s="467"/>
      <c r="D482" s="47"/>
      <c r="E482" s="60"/>
      <c r="F482" s="204"/>
      <c r="G482" s="709"/>
      <c r="H482" s="709"/>
      <c r="I482" s="448"/>
      <c r="J482" s="448"/>
      <c r="K482" s="347"/>
      <c r="L482" s="196" t="s">
        <v>458</v>
      </c>
      <c r="M482" s="188">
        <v>-209</v>
      </c>
      <c r="N482" s="137">
        <f t="shared" si="58"/>
        <v>1072.8100940000077</v>
      </c>
      <c r="O482" s="88"/>
      <c r="P482" s="568"/>
      <c r="Q482" s="361"/>
      <c r="R482" s="132"/>
      <c r="S482" s="524"/>
      <c r="T482" s="708"/>
      <c r="U482" s="134"/>
      <c r="V482" s="60"/>
      <c r="W482" s="60"/>
      <c r="X482" s="84"/>
      <c r="Y482" s="47"/>
      <c r="Z482" s="331"/>
      <c r="AA482" s="174"/>
      <c r="AB482" s="60"/>
      <c r="AC482" s="47"/>
      <c r="AD482" s="47"/>
      <c r="AE482" s="47"/>
      <c r="AF482" s="179"/>
      <c r="AG482" s="47"/>
      <c r="AH482" s="47"/>
      <c r="AI482" s="47"/>
    </row>
    <row r="483" spans="1:35" ht="12.75" customHeight="1">
      <c r="A483" s="467"/>
      <c r="D483" s="47"/>
      <c r="E483" s="60"/>
      <c r="F483" s="204"/>
      <c r="G483" s="709"/>
      <c r="H483" s="709"/>
      <c r="I483" s="448"/>
      <c r="J483" s="448"/>
      <c r="K483" s="347"/>
      <c r="L483" s="196" t="s">
        <v>176</v>
      </c>
      <c r="M483" s="100">
        <v>-157.96</v>
      </c>
      <c r="N483" s="137">
        <f t="shared" si="58"/>
        <v>914.85009400000763</v>
      </c>
      <c r="O483" s="88"/>
      <c r="P483" s="568"/>
      <c r="Q483" s="361"/>
      <c r="R483" s="132"/>
      <c r="S483" s="524"/>
      <c r="T483" s="708"/>
      <c r="U483" s="134"/>
      <c r="V483" s="60"/>
      <c r="W483" s="60"/>
      <c r="X483" s="84"/>
      <c r="Y483" s="47"/>
      <c r="Z483" s="331"/>
      <c r="AA483" s="174"/>
      <c r="AB483" s="60"/>
      <c r="AC483" s="47"/>
      <c r="AD483" s="47"/>
      <c r="AE483" s="47"/>
      <c r="AF483" s="179"/>
      <c r="AG483" s="47"/>
      <c r="AH483" s="47"/>
      <c r="AI483" s="47"/>
    </row>
    <row r="484" spans="1:35" ht="12.75" customHeight="1">
      <c r="A484" s="727"/>
      <c r="B484" s="727"/>
      <c r="C484" s="727"/>
      <c r="D484" s="727"/>
      <c r="E484" s="727"/>
      <c r="F484" s="727"/>
      <c r="G484" s="727"/>
      <c r="H484" s="658"/>
      <c r="I484" s="665"/>
      <c r="K484" s="355"/>
      <c r="L484" s="196" t="s">
        <v>249</v>
      </c>
      <c r="M484" s="100">
        <v>-200</v>
      </c>
      <c r="N484" s="137">
        <f t="shared" si="58"/>
        <v>714.85009400000763</v>
      </c>
      <c r="O484" s="88"/>
      <c r="P484" s="479"/>
      <c r="Q484" s="132"/>
      <c r="R484" s="132"/>
      <c r="S484" s="524"/>
      <c r="T484" s="695"/>
      <c r="U484" s="134"/>
      <c r="V484" s="47"/>
      <c r="W484" s="47"/>
      <c r="X484" s="47"/>
      <c r="Y484" s="191"/>
      <c r="Z484" s="331"/>
      <c r="AA484" s="174"/>
      <c r="AB484" s="60"/>
      <c r="AC484" s="47"/>
      <c r="AD484" s="47"/>
      <c r="AE484" s="47"/>
      <c r="AF484" s="47"/>
      <c r="AG484" s="47"/>
      <c r="AH484" s="47"/>
      <c r="AI484" s="47"/>
    </row>
    <row r="485" spans="1:35" ht="12.75" customHeight="1">
      <c r="A485" s="727"/>
      <c r="B485" s="727"/>
      <c r="C485" s="727"/>
      <c r="D485" s="727"/>
      <c r="E485" s="727"/>
      <c r="F485" s="727"/>
      <c r="G485" s="727"/>
      <c r="H485" s="657"/>
      <c r="I485" s="667"/>
      <c r="K485" s="350" t="s">
        <v>453</v>
      </c>
      <c r="L485" s="357" t="s">
        <v>87</v>
      </c>
      <c r="M485" s="232">
        <f>E474-M480</f>
        <v>7502.7000000000007</v>
      </c>
      <c r="N485" s="137">
        <f t="shared" si="58"/>
        <v>8217.5500940000093</v>
      </c>
      <c r="O485" s="88"/>
      <c r="P485" s="479"/>
      <c r="Q485" s="132"/>
      <c r="R485" s="132"/>
      <c r="S485" s="531"/>
      <c r="T485" s="695"/>
      <c r="U485" s="134"/>
      <c r="V485" s="47"/>
      <c r="W485" s="47"/>
      <c r="X485" s="47"/>
      <c r="Y485" s="191"/>
      <c r="Z485" s="331"/>
      <c r="AA485" s="174"/>
      <c r="AB485" s="60"/>
      <c r="AC485" s="47"/>
      <c r="AD485" s="47"/>
      <c r="AE485" s="47"/>
      <c r="AF485" s="47"/>
      <c r="AG485" s="702"/>
      <c r="AH485" s="47"/>
      <c r="AI485" s="47"/>
    </row>
    <row r="486" spans="1:35" ht="12.75" customHeight="1">
      <c r="A486" s="552"/>
      <c r="B486" s="552"/>
      <c r="C486" s="553"/>
      <c r="D486" s="554"/>
      <c r="E486" s="555"/>
      <c r="F486" s="556"/>
      <c r="G486" s="557"/>
      <c r="H486" s="657"/>
      <c r="I486" s="667"/>
      <c r="J486" s="683"/>
      <c r="K486" s="350" t="s">
        <v>453</v>
      </c>
      <c r="L486" s="357" t="s">
        <v>436</v>
      </c>
      <c r="M486" s="232">
        <f>-3830</f>
        <v>-3830</v>
      </c>
      <c r="N486" s="137">
        <f t="shared" si="58"/>
        <v>4387.5500940000093</v>
      </c>
      <c r="O486" s="88"/>
      <c r="P486" s="136"/>
      <c r="Q486" s="180"/>
      <c r="R486" s="187"/>
      <c r="S486" s="528"/>
      <c r="T486" s="695"/>
      <c r="U486" s="163"/>
      <c r="V486" s="47"/>
      <c r="W486" s="47"/>
      <c r="X486" s="47"/>
      <c r="Y486" s="191"/>
      <c r="Z486" s="331"/>
      <c r="AA486" s="174"/>
      <c r="AB486" s="60"/>
      <c r="AC486" s="47"/>
      <c r="AD486" s="47"/>
      <c r="AE486" s="47"/>
      <c r="AF486" s="47"/>
      <c r="AG486" s="47"/>
      <c r="AH486" s="47"/>
      <c r="AI486" s="47"/>
    </row>
    <row r="487" spans="1:35" ht="12.75" customHeight="1">
      <c r="A487" s="485"/>
      <c r="B487" s="485"/>
      <c r="C487" s="485"/>
      <c r="D487" s="105"/>
      <c r="E487" s="215"/>
      <c r="F487" s="111"/>
      <c r="G487" s="559"/>
      <c r="H487" s="709"/>
      <c r="J487" s="683"/>
      <c r="K487" s="350" t="s">
        <v>453</v>
      </c>
      <c r="L487" s="357" t="s">
        <v>237</v>
      </c>
      <c r="M487" s="100">
        <v>-1738</v>
      </c>
      <c r="N487" s="137">
        <f t="shared" si="58"/>
        <v>2649.5500940000093</v>
      </c>
      <c r="O487" s="60"/>
      <c r="P487" s="671"/>
      <c r="Q487" s="672"/>
      <c r="R487" s="673"/>
      <c r="S487" s="674"/>
      <c r="T487" s="675"/>
      <c r="U487" s="47"/>
      <c r="V487" s="60"/>
      <c r="W487" s="60"/>
      <c r="X487" s="171"/>
      <c r="Y487" s="47"/>
      <c r="Z487" s="331"/>
      <c r="AA487" s="174"/>
      <c r="AB487" s="60"/>
      <c r="AC487" s="47"/>
      <c r="AD487" s="47"/>
      <c r="AE487" s="47"/>
      <c r="AF487" s="47"/>
      <c r="AG487" s="47"/>
      <c r="AH487" s="47"/>
      <c r="AI487" s="47"/>
    </row>
    <row r="488" spans="1:35" ht="12.75" customHeight="1">
      <c r="A488" s="485"/>
      <c r="B488" s="485"/>
      <c r="C488" s="560"/>
      <c r="D488" s="554"/>
      <c r="E488" s="555"/>
      <c r="F488" s="111"/>
      <c r="G488" s="559"/>
      <c r="H488" s="709"/>
      <c r="I488" s="690"/>
      <c r="K488" s="350" t="s">
        <v>453</v>
      </c>
      <c r="L488" s="357" t="s">
        <v>393</v>
      </c>
      <c r="M488" s="100">
        <v>-500</v>
      </c>
      <c r="N488" s="137">
        <f t="shared" si="58"/>
        <v>2149.5500940000093</v>
      </c>
      <c r="O488" s="60"/>
      <c r="P488" s="671"/>
      <c r="Q488" s="672"/>
      <c r="R488" s="673"/>
      <c r="S488" s="674"/>
      <c r="T488" s="675"/>
      <c r="U488" s="47"/>
      <c r="V488" s="60"/>
      <c r="W488" s="60"/>
      <c r="X488" s="171"/>
      <c r="Y488" s="47"/>
      <c r="Z488" s="331"/>
      <c r="AA488" s="174"/>
      <c r="AB488" s="60"/>
      <c r="AC488" s="47"/>
      <c r="AD488" s="47"/>
      <c r="AE488" s="47"/>
      <c r="AF488" s="47"/>
      <c r="AG488" s="47"/>
      <c r="AH488" s="47"/>
      <c r="AI488" s="47"/>
    </row>
    <row r="489" spans="1:35" ht="12.75" customHeight="1">
      <c r="A489" s="485"/>
      <c r="B489" s="485"/>
      <c r="C489" s="485"/>
      <c r="D489" s="105"/>
      <c r="E489" s="215"/>
      <c r="F489" s="111"/>
      <c r="G489" s="559"/>
      <c r="H489" s="709"/>
      <c r="J489" s="683"/>
      <c r="K489" s="350" t="s">
        <v>453</v>
      </c>
      <c r="L489" s="357" t="s">
        <v>394</v>
      </c>
      <c r="M489" s="100">
        <v>-180</v>
      </c>
      <c r="N489" s="137">
        <f t="shared" si="58"/>
        <v>1969.5500940000093</v>
      </c>
      <c r="O489" s="60"/>
      <c r="P489" s="671"/>
      <c r="Q489" s="672"/>
      <c r="R489" s="673"/>
      <c r="S489" s="674"/>
      <c r="T489" s="675"/>
      <c r="U489" s="47"/>
      <c r="V489" s="60"/>
      <c r="W489" s="60"/>
      <c r="X489" s="171"/>
      <c r="Y489" s="47"/>
      <c r="Z489" s="331"/>
      <c r="AA489" s="174"/>
      <c r="AB489" s="60"/>
      <c r="AC489" s="47"/>
      <c r="AD489" s="47"/>
      <c r="AE489" s="47"/>
      <c r="AF489" s="47"/>
      <c r="AG489" s="47"/>
      <c r="AH489" s="47"/>
      <c r="AI489" s="47"/>
    </row>
    <row r="490" spans="1:35" ht="12.75" customHeight="1">
      <c r="A490" s="485"/>
      <c r="B490" s="485"/>
      <c r="C490" s="552"/>
      <c r="D490" s="558"/>
      <c r="E490" s="215"/>
      <c r="F490" s="111"/>
      <c r="G490" s="521"/>
      <c r="H490" s="696"/>
      <c r="I490" s="665"/>
      <c r="K490" s="350" t="s">
        <v>453</v>
      </c>
      <c r="L490" s="357" t="s">
        <v>222</v>
      </c>
      <c r="M490" s="100">
        <v>-69</v>
      </c>
      <c r="N490" s="137">
        <f t="shared" si="58"/>
        <v>1900.5500940000093</v>
      </c>
      <c r="O490" s="97"/>
      <c r="P490" s="671"/>
      <c r="Q490" s="672"/>
      <c r="R490" s="673"/>
      <c r="S490" s="674"/>
      <c r="T490" s="675"/>
      <c r="U490" s="164"/>
      <c r="V490" s="60"/>
      <c r="W490" s="60"/>
      <c r="X490" s="171"/>
      <c r="Y490" s="47"/>
      <c r="Z490" s="331"/>
      <c r="AA490" s="174"/>
      <c r="AB490" s="60"/>
      <c r="AC490" s="47"/>
      <c r="AD490" s="47"/>
      <c r="AE490" s="47"/>
      <c r="AF490" s="47"/>
      <c r="AG490" s="47"/>
      <c r="AH490" s="47"/>
      <c r="AI490" s="47"/>
    </row>
    <row r="491" spans="1:35" ht="12.75" customHeight="1">
      <c r="A491" s="485"/>
      <c r="B491" s="485"/>
      <c r="C491" s="485"/>
      <c r="D491" s="558"/>
      <c r="E491" s="215"/>
      <c r="F491" s="111"/>
      <c r="G491" s="521"/>
      <c r="H491" s="696"/>
      <c r="I491" s="681"/>
      <c r="J491" s="683"/>
      <c r="K491" s="350" t="s">
        <v>453</v>
      </c>
      <c r="L491" s="357" t="s">
        <v>97</v>
      </c>
      <c r="M491" s="100">
        <v>-203.5</v>
      </c>
      <c r="N491" s="137">
        <f t="shared" si="58"/>
        <v>1697.0500940000093</v>
      </c>
      <c r="O491" s="60"/>
      <c r="P491" s="671"/>
      <c r="Q491" s="672"/>
      <c r="R491" s="673"/>
      <c r="S491" s="674"/>
      <c r="T491" s="675"/>
      <c r="U491" s="47"/>
      <c r="V491" s="60"/>
      <c r="W491" s="60"/>
      <c r="X491" s="171"/>
      <c r="Y491" s="47"/>
      <c r="Z491" s="331"/>
      <c r="AA491" s="174"/>
      <c r="AB491" s="60"/>
      <c r="AC491" s="47"/>
      <c r="AD491" s="47"/>
      <c r="AE491" s="47"/>
      <c r="AF491" s="47"/>
      <c r="AG491" s="47"/>
      <c r="AH491" s="47"/>
      <c r="AI491" s="47"/>
    </row>
    <row r="492" spans="1:35" ht="12.75" customHeight="1">
      <c r="A492" s="485"/>
      <c r="B492" s="485"/>
      <c r="C492" s="485"/>
      <c r="D492" s="105"/>
      <c r="E492" s="215"/>
      <c r="F492" s="111"/>
      <c r="G492" s="559"/>
      <c r="H492" s="696"/>
      <c r="K492" s="350" t="s">
        <v>453</v>
      </c>
      <c r="L492" s="357" t="s">
        <v>189</v>
      </c>
      <c r="M492" s="100">
        <v>250</v>
      </c>
      <c r="N492" s="137">
        <f t="shared" si="58"/>
        <v>1947.0500940000093</v>
      </c>
      <c r="O492" s="60"/>
      <c r="P492" s="671"/>
      <c r="Q492" s="672"/>
      <c r="R492" s="673"/>
      <c r="S492" s="674"/>
      <c r="T492" s="675"/>
      <c r="U492" s="47"/>
      <c r="V492" s="60"/>
      <c r="W492" s="60"/>
      <c r="X492" s="171"/>
      <c r="Y492" s="47"/>
      <c r="Z492" s="331"/>
      <c r="AA492" s="174"/>
      <c r="AB492" s="60"/>
      <c r="AC492" s="47"/>
      <c r="AD492" s="47"/>
      <c r="AE492" s="47"/>
      <c r="AF492" s="47"/>
      <c r="AG492" s="47"/>
      <c r="AH492" s="47"/>
      <c r="AI492" s="47"/>
    </row>
    <row r="493" spans="1:35" ht="12.75" customHeight="1">
      <c r="A493" s="485"/>
      <c r="B493" s="485"/>
      <c r="C493" s="485"/>
      <c r="D493" s="561"/>
      <c r="E493" s="215"/>
      <c r="F493" s="111"/>
      <c r="G493" s="559"/>
      <c r="H493" s="696"/>
      <c r="I493" s="551"/>
      <c r="J493" s="690"/>
      <c r="K493" s="165" t="s">
        <v>231</v>
      </c>
      <c r="L493" s="358" t="s">
        <v>39</v>
      </c>
      <c r="M493" s="262">
        <v>-403.99</v>
      </c>
      <c r="N493" s="137">
        <f t="shared" si="58"/>
        <v>1543.0600940000093</v>
      </c>
      <c r="O493" s="60"/>
      <c r="P493" s="671"/>
      <c r="Q493" s="672"/>
      <c r="R493" s="673"/>
      <c r="S493" s="674"/>
      <c r="T493" s="675"/>
      <c r="U493" s="47"/>
      <c r="V493" s="60"/>
      <c r="W493" s="60"/>
      <c r="X493" s="171"/>
      <c r="Y493" s="47"/>
      <c r="Z493" s="331"/>
      <c r="AA493" s="174"/>
      <c r="AB493" s="60"/>
      <c r="AC493" s="47"/>
      <c r="AD493" s="47"/>
      <c r="AE493" s="47"/>
      <c r="AF493" s="47"/>
      <c r="AG493" s="47"/>
      <c r="AH493" s="47"/>
      <c r="AI493" s="47"/>
    </row>
    <row r="494" spans="1:35" ht="12.75" customHeight="1">
      <c r="A494" s="485"/>
      <c r="B494" s="485"/>
      <c r="C494" s="485"/>
      <c r="D494" s="558"/>
      <c r="E494" s="215"/>
      <c r="F494" s="111"/>
      <c r="G494" s="559"/>
      <c r="H494" s="696"/>
      <c r="K494" s="350" t="s">
        <v>298</v>
      </c>
      <c r="L494" s="359" t="s">
        <v>92</v>
      </c>
      <c r="M494" s="262">
        <v>-605</v>
      </c>
      <c r="N494" s="137">
        <f t="shared" si="58"/>
        <v>938.06009400000926</v>
      </c>
      <c r="O494" s="60"/>
      <c r="P494" s="671"/>
      <c r="Q494" s="672"/>
      <c r="R494" s="673"/>
      <c r="S494" s="674"/>
      <c r="T494" s="675"/>
      <c r="U494" s="47"/>
      <c r="V494" s="60"/>
      <c r="W494" s="60"/>
      <c r="X494" s="171"/>
      <c r="Y494" s="47"/>
      <c r="Z494" s="331"/>
      <c r="AA494" s="174"/>
      <c r="AB494" s="60"/>
      <c r="AC494" s="47"/>
      <c r="AD494" s="47"/>
      <c r="AE494" s="47"/>
      <c r="AF494" s="47"/>
      <c r="AG494" s="47"/>
      <c r="AH494" s="47"/>
      <c r="AI494" s="47"/>
    </row>
    <row r="495" spans="1:35" s="47" customFormat="1">
      <c r="A495" s="485"/>
      <c r="B495" s="485"/>
      <c r="C495" s="485"/>
      <c r="D495" s="485"/>
      <c r="E495" s="105"/>
      <c r="F495" s="485"/>
      <c r="G495" s="482"/>
      <c r="K495" s="469" t="s">
        <v>232</v>
      </c>
      <c r="L495" s="360" t="s">
        <v>46</v>
      </c>
      <c r="M495" s="713">
        <v>-292.08999999999997</v>
      </c>
      <c r="N495" s="138">
        <f>N494+M495</f>
        <v>645.97009400000934</v>
      </c>
      <c r="P495" s="671"/>
      <c r="Q495" s="672"/>
      <c r="R495" s="673"/>
      <c r="S495" s="674"/>
      <c r="T495" s="675"/>
      <c r="Z495" s="60"/>
      <c r="AA495" s="703"/>
      <c r="AB495" s="60"/>
    </row>
    <row r="496" spans="1:35">
      <c r="A496" s="485"/>
      <c r="B496" s="485"/>
      <c r="C496" s="485"/>
      <c r="D496" s="485"/>
      <c r="E496" s="105"/>
      <c r="F496" s="485"/>
      <c r="G496" s="482"/>
      <c r="L496" s="58"/>
      <c r="M496" s="255">
        <f>SUM(M469:M495)</f>
        <v>645.97009400000934</v>
      </c>
      <c r="N496" s="399"/>
    </row>
    <row r="497" spans="1:35" s="150" customFormat="1">
      <c r="E497" s="41"/>
      <c r="G497" s="211"/>
      <c r="K497" s="349"/>
      <c r="M497" s="41"/>
      <c r="P497" s="41"/>
      <c r="Q497" s="41"/>
      <c r="R497" s="41"/>
      <c r="S497" s="535"/>
      <c r="Z497" s="41"/>
      <c r="AA497" s="212"/>
      <c r="AB497" s="41"/>
    </row>
    <row r="499" spans="1:35" ht="12.75" customHeight="1">
      <c r="B499" s="966" t="s">
        <v>455</v>
      </c>
      <c r="C499" s="966"/>
      <c r="D499" s="966"/>
      <c r="E499" s="966"/>
      <c r="G499" s="352"/>
      <c r="H499" s="352"/>
      <c r="I499" s="60"/>
      <c r="K499" s="350"/>
      <c r="L499" s="180"/>
      <c r="M499" s="970" t="s">
        <v>90</v>
      </c>
      <c r="N499" s="736"/>
      <c r="O499" s="731"/>
      <c r="P499" s="972" t="s">
        <v>84</v>
      </c>
      <c r="Q499" s="974" t="s">
        <v>284</v>
      </c>
      <c r="R499" s="974"/>
      <c r="S499" s="528"/>
      <c r="X499" s="84"/>
      <c r="Y499" s="84"/>
      <c r="Z499" s="60"/>
      <c r="AA499" s="733"/>
      <c r="AB499" s="60"/>
      <c r="AC499" s="47"/>
      <c r="AD499" s="47"/>
      <c r="AE499" s="47"/>
      <c r="AF499" s="47"/>
      <c r="AG499" s="47"/>
      <c r="AH499" s="47"/>
      <c r="AI499" s="47"/>
    </row>
    <row r="500" spans="1:35" ht="12.75" customHeight="1">
      <c r="C500" s="43" t="s">
        <v>435</v>
      </c>
      <c r="D500" s="39"/>
      <c r="E500" s="99">
        <v>8502.7000000000007</v>
      </c>
      <c r="G500" s="976"/>
      <c r="H500" s="976"/>
      <c r="I500" s="60"/>
      <c r="K500" s="351" t="s">
        <v>263</v>
      </c>
      <c r="L500" s="242"/>
      <c r="M500" s="971"/>
      <c r="N500" s="736" t="s">
        <v>79</v>
      </c>
      <c r="O500" s="731"/>
      <c r="P500" s="973"/>
      <c r="Q500" s="734" t="s">
        <v>79</v>
      </c>
      <c r="R500" s="735" t="s">
        <v>89</v>
      </c>
      <c r="S500" s="528"/>
      <c r="X500" s="198"/>
      <c r="Y500" s="191"/>
      <c r="Z500" s="197"/>
      <c r="AA500" s="169"/>
      <c r="AB500" s="170"/>
      <c r="AC500" s="47"/>
      <c r="AD500" s="91"/>
      <c r="AE500" s="47"/>
      <c r="AF500" s="47"/>
      <c r="AG500" s="47"/>
      <c r="AH500" s="47"/>
      <c r="AI500" s="47"/>
    </row>
    <row r="501" spans="1:35" ht="12.75" customHeight="1">
      <c r="C501" s="43"/>
      <c r="D501" s="39" t="s">
        <v>47</v>
      </c>
      <c r="E501" s="99">
        <f>'[1]AUG ''12'!$C$81</f>
        <v>1022.35</v>
      </c>
      <c r="G501" s="74"/>
      <c r="H501" s="977">
        <f>SUM(E501:E502)</f>
        <v>1960.1</v>
      </c>
      <c r="I501" s="60"/>
      <c r="K501" s="362"/>
      <c r="L501" s="327" t="s">
        <v>268</v>
      </c>
      <c r="M501" s="100">
        <f>$M$496</f>
        <v>645.97009400000934</v>
      </c>
      <c r="N501" s="376">
        <f>M501</f>
        <v>645.97009400000934</v>
      </c>
      <c r="O501" s="60"/>
      <c r="P501" s="100">
        <f>$Q$475</f>
        <v>-15424.527278481009</v>
      </c>
      <c r="Q501" s="139">
        <f>P501</f>
        <v>-15424.527278481009</v>
      </c>
      <c r="R501" s="100">
        <f t="shared" ref="R501:R502" si="63">15550+Q501</f>
        <v>125.47272151899051</v>
      </c>
      <c r="S501" s="529" t="s">
        <v>357</v>
      </c>
      <c r="T501" s="518" t="s">
        <v>358</v>
      </c>
      <c r="W501" s="542"/>
      <c r="X501" s="191"/>
      <c r="Y501" s="191"/>
      <c r="Z501" s="100"/>
      <c r="AA501" s="661"/>
      <c r="AB501" s="60"/>
      <c r="AC501" s="47"/>
      <c r="AD501" s="172"/>
      <c r="AE501" s="173"/>
      <c r="AF501" s="47"/>
      <c r="AG501" s="47"/>
      <c r="AH501" s="47"/>
      <c r="AI501" s="47"/>
    </row>
    <row r="502" spans="1:35" ht="12.75" customHeight="1">
      <c r="C502" s="43"/>
      <c r="D502" s="229" t="s">
        <v>267</v>
      </c>
      <c r="E502" s="41">
        <f>'[1]JULY ''12'!$C$80</f>
        <v>937.75</v>
      </c>
      <c r="G502"/>
      <c r="H502" s="977"/>
      <c r="I502" s="60"/>
      <c r="K502" s="362"/>
      <c r="L502" s="327" t="s">
        <v>381</v>
      </c>
      <c r="M502" s="100">
        <v>-65.900000000000006</v>
      </c>
      <c r="N502" s="704">
        <f t="shared" ref="N502:N538" si="64">N501+M502</f>
        <v>580.07009400000936</v>
      </c>
      <c r="O502" s="134"/>
      <c r="P502" s="215">
        <v>-182.75</v>
      </c>
      <c r="Q502" s="140">
        <f>Q501+P502</f>
        <v>-15607.277278481009</v>
      </c>
      <c r="R502" s="100">
        <f t="shared" si="63"/>
        <v>-57.277278481009489</v>
      </c>
      <c r="S502" s="524" t="s">
        <v>460</v>
      </c>
      <c r="T502" s="541"/>
      <c r="W502" s="191"/>
      <c r="X502" s="191"/>
      <c r="Y502" s="192"/>
      <c r="Z502" s="119"/>
      <c r="AA502" s="662"/>
      <c r="AB502" s="175"/>
      <c r="AC502" s="47"/>
      <c r="AD502" s="91"/>
      <c r="AE502" s="173"/>
      <c r="AF502" s="47"/>
      <c r="AG502" s="47"/>
      <c r="AH502" s="47"/>
      <c r="AI502" s="47"/>
    </row>
    <row r="503" spans="1:35" ht="12.75" customHeight="1">
      <c r="C503" s="45" t="s">
        <v>17</v>
      </c>
      <c r="D503" s="39"/>
      <c r="E503" s="39">
        <f>SUM(E500:E502)</f>
        <v>10462.800000000001</v>
      </c>
      <c r="G503" s="334"/>
      <c r="H503" s="664"/>
      <c r="I503" s="334"/>
      <c r="J503" s="448"/>
      <c r="K503" s="362"/>
      <c r="L503" s="327" t="s">
        <v>183</v>
      </c>
      <c r="M503" s="100">
        <v>-108.64</v>
      </c>
      <c r="N503" s="711">
        <f t="shared" si="64"/>
        <v>471.43009400000938</v>
      </c>
      <c r="O503" s="106"/>
      <c r="P503" s="215">
        <v>100</v>
      </c>
      <c r="Q503" s="140">
        <f>Q502+P503</f>
        <v>-15507.277278481009</v>
      </c>
      <c r="R503" s="100">
        <f>15550+Q503</f>
        <v>42.722721518990511</v>
      </c>
      <c r="S503" s="524" t="s">
        <v>289</v>
      </c>
      <c r="T503" s="732"/>
      <c r="U503" s="191"/>
      <c r="V503" s="47"/>
      <c r="W503" s="191"/>
      <c r="X503" s="191"/>
      <c r="Y503" s="192"/>
      <c r="Z503" s="119"/>
      <c r="AA503" s="662"/>
      <c r="AB503" s="60"/>
      <c r="AC503" s="47"/>
      <c r="AD503" s="172"/>
      <c r="AE503" s="173"/>
      <c r="AF503" s="47"/>
      <c r="AG503" s="47"/>
      <c r="AH503" s="47"/>
      <c r="AI503" s="47"/>
    </row>
    <row r="504" spans="1:35" ht="12.75" customHeight="1">
      <c r="G504" s="47"/>
      <c r="H504" s="663"/>
      <c r="I504" s="100"/>
      <c r="J504" s="650"/>
      <c r="K504" s="650" t="s">
        <v>442</v>
      </c>
      <c r="L504" s="327" t="s">
        <v>47</v>
      </c>
      <c r="M504" s="712">
        <v>500</v>
      </c>
      <c r="N504" s="711">
        <f t="shared" si="64"/>
        <v>971.43009400000938</v>
      </c>
      <c r="O504" s="106"/>
      <c r="P504" s="106">
        <f>E507</f>
        <v>460.10000000000036</v>
      </c>
      <c r="Q504" s="141">
        <f>Q503+P504</f>
        <v>-15047.177278481009</v>
      </c>
      <c r="R504" s="185">
        <f>15550+Q504</f>
        <v>502.82272151899087</v>
      </c>
      <c r="S504" s="524" t="s">
        <v>334</v>
      </c>
      <c r="T504" s="732"/>
      <c r="U504" s="47"/>
      <c r="V504" s="100"/>
      <c r="W504" s="192"/>
      <c r="X504" s="192"/>
      <c r="Y504" s="192"/>
      <c r="Z504" s="119"/>
      <c r="AA504" s="662"/>
      <c r="AB504" s="60"/>
      <c r="AC504" s="47"/>
      <c r="AD504" s="172"/>
      <c r="AE504" s="173"/>
      <c r="AF504" s="47"/>
      <c r="AG504" s="47"/>
      <c r="AH504" s="47"/>
      <c r="AI504" s="47"/>
    </row>
    <row r="505" spans="1:35" ht="12.75" customHeight="1">
      <c r="A505" s="467"/>
      <c r="C505" s="153" t="s">
        <v>40</v>
      </c>
      <c r="E505" s="97"/>
      <c r="G505"/>
      <c r="H505" s="737"/>
      <c r="I505" s="448"/>
      <c r="J505" s="448"/>
      <c r="K505" s="650"/>
      <c r="L505" s="327" t="s">
        <v>463</v>
      </c>
      <c r="M505" s="100">
        <v>-77.42</v>
      </c>
      <c r="N505" s="711">
        <f t="shared" si="64"/>
        <v>894.01009400000942</v>
      </c>
      <c r="O505" s="88"/>
      <c r="P505" s="133">
        <f>SUM(P501:P504)</f>
        <v>-15047.177278481009</v>
      </c>
      <c r="Q505" s="377" t="s">
        <v>285</v>
      </c>
      <c r="R505" s="453"/>
      <c r="S505" s="524"/>
      <c r="T505" s="732"/>
      <c r="U505" s="47"/>
      <c r="V505" s="100"/>
      <c r="W505" s="183"/>
      <c r="X505" s="191"/>
      <c r="Y505" s="192"/>
      <c r="Z505" s="119"/>
      <c r="AA505" s="662"/>
      <c r="AB505" s="175"/>
      <c r="AC505" s="47"/>
      <c r="AD505" s="176"/>
      <c r="AE505" s="173"/>
      <c r="AF505" s="47"/>
      <c r="AG505" s="47"/>
      <c r="AH505" s="47"/>
      <c r="AI505" s="47"/>
    </row>
    <row r="506" spans="1:35" ht="12.75" customHeight="1">
      <c r="A506" s="467"/>
      <c r="D506" s="47" t="s">
        <v>37</v>
      </c>
      <c r="E506" s="97">
        <f>E500</f>
        <v>8502.7000000000007</v>
      </c>
      <c r="F506" s="47"/>
      <c r="G506" s="47"/>
      <c r="H506" s="663">
        <f>G507+E507+G508+G510+G509</f>
        <v>1560.1000000000004</v>
      </c>
      <c r="I506" s="448"/>
      <c r="J506" s="448"/>
      <c r="K506" s="400" t="s">
        <v>265</v>
      </c>
      <c r="L506" s="274" t="s">
        <v>269</v>
      </c>
      <c r="M506" s="100">
        <v>-357</v>
      </c>
      <c r="N506" s="711">
        <f t="shared" si="64"/>
        <v>537.01009400000942</v>
      </c>
      <c r="O506" s="88"/>
      <c r="P506" s="136"/>
      <c r="Q506" s="725"/>
      <c r="R506" s="747"/>
      <c r="S506" s="524"/>
      <c r="T506" s="732"/>
      <c r="U506" s="47"/>
      <c r="V506" s="100"/>
      <c r="W506" s="191"/>
      <c r="X506" s="191"/>
      <c r="Y506" s="192"/>
      <c r="Z506" s="119"/>
      <c r="AA506" s="662"/>
      <c r="AB506" s="60"/>
      <c r="AC506" s="47"/>
      <c r="AD506" s="91"/>
      <c r="AE506" s="173"/>
      <c r="AF506" s="47"/>
      <c r="AG506" s="47"/>
      <c r="AH506" s="47"/>
      <c r="AI506" s="47"/>
    </row>
    <row r="507" spans="1:35" ht="12.75" customHeight="1">
      <c r="A507" s="467"/>
      <c r="D507" s="150" t="s">
        <v>36</v>
      </c>
      <c r="E507" s="651">
        <f>E503-E506-M504-M508-M516-M521</f>
        <v>460.10000000000036</v>
      </c>
      <c r="F507" s="650" t="s">
        <v>442</v>
      </c>
      <c r="G507" s="963">
        <f>M504</f>
        <v>500</v>
      </c>
      <c r="H507" s="963"/>
      <c r="I507" s="448"/>
      <c r="K507" s="400"/>
      <c r="L507" s="274" t="s">
        <v>464</v>
      </c>
      <c r="M507" s="100">
        <v>-79.98</v>
      </c>
      <c r="N507" s="711">
        <f t="shared" si="64"/>
        <v>457.0300940000094</v>
      </c>
      <c r="O507" s="88"/>
      <c r="P507" s="136"/>
      <c r="Q507" s="132"/>
      <c r="R507" s="132"/>
      <c r="S507" s="524"/>
      <c r="T507" s="732"/>
      <c r="U507" s="47"/>
      <c r="V507" s="215"/>
      <c r="W507" s="47"/>
      <c r="X507" s="47"/>
      <c r="Y507" s="192"/>
      <c r="Z507" s="331"/>
      <c r="AA507" s="174"/>
      <c r="AB507" s="60"/>
      <c r="AC507" s="47"/>
      <c r="AD507" s="172"/>
      <c r="AE507" s="173"/>
      <c r="AF507" s="47"/>
      <c r="AG507" s="47"/>
      <c r="AH507" s="47"/>
      <c r="AI507" s="47"/>
    </row>
    <row r="508" spans="1:35" ht="12.75" customHeight="1">
      <c r="A508" s="467"/>
      <c r="D508" s="47"/>
      <c r="E508" s="60"/>
      <c r="F508" s="650" t="s">
        <v>442</v>
      </c>
      <c r="G508" s="963"/>
      <c r="H508" s="963"/>
      <c r="I508" s="448"/>
      <c r="J508" s="48"/>
      <c r="K508" s="650" t="s">
        <v>442</v>
      </c>
      <c r="L508" s="274" t="s">
        <v>47</v>
      </c>
      <c r="M508" s="712">
        <v>400</v>
      </c>
      <c r="N508" s="711">
        <f t="shared" si="64"/>
        <v>857.0300940000094</v>
      </c>
      <c r="O508" s="88"/>
      <c r="P508" s="413"/>
      <c r="Q508" s="361"/>
      <c r="R508" s="132"/>
      <c r="S508" s="524"/>
      <c r="T508" s="732"/>
      <c r="U508" s="47"/>
      <c r="V508" s="100"/>
      <c r="W508" s="60"/>
      <c r="X508" s="47"/>
      <c r="Y508" s="192"/>
      <c r="Z508" s="331"/>
      <c r="AA508" s="174"/>
      <c r="AB508" s="175"/>
      <c r="AC508" s="47"/>
      <c r="AD508" s="172"/>
      <c r="AE508" s="173"/>
      <c r="AF508" s="47"/>
      <c r="AG508" s="47"/>
      <c r="AH508" s="47"/>
      <c r="AI508" s="47"/>
    </row>
    <row r="509" spans="1:35" ht="12.75" customHeight="1">
      <c r="A509" s="467"/>
      <c r="D509" s="47"/>
      <c r="E509" s="60"/>
      <c r="F509" s="650" t="s">
        <v>442</v>
      </c>
      <c r="G509" s="963">
        <f>M516</f>
        <v>300</v>
      </c>
      <c r="H509" s="963"/>
      <c r="I509" s="448"/>
      <c r="K509" s="400"/>
      <c r="L509" s="274" t="s">
        <v>465</v>
      </c>
      <c r="M509" s="100">
        <v>-59.9</v>
      </c>
      <c r="N509" s="711">
        <f t="shared" si="64"/>
        <v>797.13009400000942</v>
      </c>
      <c r="O509" s="88"/>
      <c r="P509" s="568"/>
      <c r="Q509" s="361"/>
      <c r="R509" s="132"/>
      <c r="S509" s="524"/>
      <c r="T509" s="732"/>
      <c r="U509" s="47"/>
      <c r="V509" s="100"/>
      <c r="W509" s="60"/>
      <c r="X509" s="47"/>
      <c r="Y509" s="192"/>
      <c r="Z509" s="331"/>
      <c r="AA509" s="174"/>
      <c r="AB509" s="60"/>
      <c r="AC509" s="47"/>
      <c r="AD509" s="172"/>
      <c r="AE509" s="177"/>
      <c r="AF509" s="47"/>
      <c r="AG509" s="47"/>
      <c r="AH509" s="47"/>
      <c r="AI509" s="47"/>
    </row>
    <row r="510" spans="1:35" ht="12.75" customHeight="1" thickBot="1">
      <c r="A510" s="467"/>
      <c r="D510" s="47"/>
      <c r="E510" s="60"/>
      <c r="F510" s="650" t="s">
        <v>442</v>
      </c>
      <c r="G510" s="979">
        <f>M521</f>
        <v>300</v>
      </c>
      <c r="H510" s="979"/>
      <c r="I510" s="448"/>
      <c r="J510" s="683"/>
      <c r="K510" s="400"/>
      <c r="L510" s="274" t="s">
        <v>183</v>
      </c>
      <c r="M510" s="100">
        <v>-58.96</v>
      </c>
      <c r="N510" s="711">
        <f t="shared" si="64"/>
        <v>738.17009400000939</v>
      </c>
      <c r="O510" s="88"/>
      <c r="P510" s="479"/>
      <c r="Q510" s="132"/>
      <c r="R510" s="132"/>
      <c r="S510" s="524"/>
      <c r="T510" s="732"/>
      <c r="U510" s="142"/>
      <c r="V510" s="100"/>
      <c r="W510" s="60"/>
      <c r="X510" s="47"/>
      <c r="Y510" s="192"/>
      <c r="Z510" s="331"/>
      <c r="AA510" s="174"/>
      <c r="AB510" s="60"/>
      <c r="AC510" s="47"/>
      <c r="AD510" s="47"/>
      <c r="AE510" s="173"/>
      <c r="AF510" s="47"/>
      <c r="AG510" s="47"/>
      <c r="AH510" s="47"/>
      <c r="AI510" s="47"/>
    </row>
    <row r="511" spans="1:35" ht="12.75" customHeight="1" thickTop="1">
      <c r="A511" s="467"/>
      <c r="D511" s="47"/>
      <c r="E511" s="60"/>
      <c r="F511" s="204"/>
      <c r="G511" s="965">
        <f>E506+E507+G508+G510+G507</f>
        <v>9762.8000000000011</v>
      </c>
      <c r="H511" s="965"/>
      <c r="I511" s="448"/>
      <c r="K511" s="400"/>
      <c r="L511" s="274" t="s">
        <v>466</v>
      </c>
      <c r="M511" s="100">
        <v>-66.7</v>
      </c>
      <c r="N511" s="711">
        <f t="shared" si="64"/>
        <v>671.47009400000934</v>
      </c>
      <c r="O511" s="88"/>
      <c r="P511" s="568"/>
      <c r="Q511" s="361"/>
      <c r="R511" s="187"/>
      <c r="S511" s="531"/>
      <c r="T511" s="732"/>
      <c r="U511" s="142"/>
      <c r="V511" s="60"/>
      <c r="W511" s="60"/>
      <c r="X511" s="171"/>
      <c r="Y511" s="47"/>
      <c r="Z511" s="331"/>
      <c r="AA511" s="174"/>
      <c r="AB511" s="175"/>
      <c r="AC511" s="47"/>
      <c r="AD511" s="178"/>
      <c r="AE511" s="173"/>
      <c r="AF511" s="733"/>
      <c r="AG511" s="47"/>
      <c r="AH511" s="47"/>
      <c r="AI511" s="47"/>
    </row>
    <row r="512" spans="1:35" ht="12.75" customHeight="1">
      <c r="A512" s="467"/>
      <c r="D512" s="47"/>
      <c r="E512" s="60"/>
      <c r="F512" s="204"/>
      <c r="G512" s="738"/>
      <c r="H512" s="738"/>
      <c r="I512" s="448"/>
      <c r="J512" s="683"/>
      <c r="K512" s="400"/>
      <c r="L512" s="274" t="s">
        <v>467</v>
      </c>
      <c r="M512" s="100">
        <v>-44</v>
      </c>
      <c r="N512" s="711">
        <f t="shared" si="64"/>
        <v>627.47009400000934</v>
      </c>
      <c r="O512" s="88"/>
      <c r="P512" s="479"/>
      <c r="Q512" s="132"/>
      <c r="R512" s="132"/>
      <c r="S512" s="531"/>
      <c r="T512" s="675"/>
      <c r="U512" s="134"/>
      <c r="V512" s="60"/>
      <c r="W512" s="60"/>
      <c r="X512" s="84"/>
      <c r="Y512" s="47"/>
      <c r="Z512" s="331"/>
      <c r="AA512" s="174"/>
      <c r="AB512" s="60"/>
      <c r="AC512" s="47"/>
      <c r="AD512" s="47"/>
      <c r="AE512" s="47"/>
      <c r="AF512" s="179"/>
      <c r="AG512" s="47"/>
      <c r="AH512" s="47"/>
      <c r="AI512" s="47"/>
    </row>
    <row r="513" spans="1:35" ht="12.75" customHeight="1">
      <c r="A513" s="727"/>
      <c r="B513" s="727"/>
      <c r="C513" s="727"/>
      <c r="D513" s="727"/>
      <c r="E513" s="748" t="s">
        <v>480</v>
      </c>
      <c r="F513" s="204"/>
      <c r="G513" s="738"/>
      <c r="H513" s="738">
        <v>400</v>
      </c>
      <c r="I513" s="665"/>
      <c r="J513" s="683"/>
      <c r="K513" s="350" t="s">
        <v>468</v>
      </c>
      <c r="L513" s="196" t="s">
        <v>266</v>
      </c>
      <c r="M513" s="100">
        <v>-533.94000000000005</v>
      </c>
      <c r="N513" s="711">
        <f t="shared" si="64"/>
        <v>93.530094000009285</v>
      </c>
      <c r="O513" s="88"/>
      <c r="P513" s="136"/>
      <c r="Q513" s="180"/>
      <c r="R513" s="187"/>
      <c r="S513" s="528"/>
      <c r="T513" s="675"/>
      <c r="U513" s="134"/>
      <c r="V513" s="47"/>
      <c r="W513" s="47"/>
      <c r="X513" s="47"/>
      <c r="Y513" s="191"/>
      <c r="Z513" s="331"/>
      <c r="AA513" s="174"/>
      <c r="AB513" s="60"/>
      <c r="AC513" s="47"/>
      <c r="AD513" s="47"/>
      <c r="AE513" s="47"/>
      <c r="AF513" s="47"/>
      <c r="AG513" s="47"/>
      <c r="AH513" s="47"/>
      <c r="AI513" s="47"/>
    </row>
    <row r="514" spans="1:35" ht="12.75" customHeight="1">
      <c r="A514" s="552"/>
      <c r="B514" s="552"/>
      <c r="C514" s="553"/>
      <c r="D514" s="554"/>
      <c r="E514" s="555"/>
      <c r="F514" s="556"/>
      <c r="G514" s="557"/>
      <c r="H514" s="656"/>
      <c r="I514" s="666"/>
      <c r="K514" s="350"/>
      <c r="L514" s="196" t="s">
        <v>47</v>
      </c>
      <c r="M514" s="100">
        <f>400-449.75</f>
        <v>-49.75</v>
      </c>
      <c r="N514" s="711">
        <f t="shared" si="64"/>
        <v>43.780094000009285</v>
      </c>
      <c r="O514" s="97"/>
      <c r="P514" s="671"/>
      <c r="Q514" s="672"/>
      <c r="R514" s="673"/>
      <c r="S514" s="674"/>
      <c r="T514" s="675"/>
      <c r="U514" s="134"/>
      <c r="V514" s="47"/>
      <c r="W514" s="47"/>
      <c r="X514" s="171"/>
      <c r="Y514" s="191"/>
      <c r="Z514" s="331"/>
      <c r="AA514" s="174"/>
      <c r="AB514" s="175"/>
      <c r="AC514" s="47"/>
      <c r="AD514" s="47"/>
      <c r="AE514" s="47"/>
      <c r="AF514" s="47"/>
      <c r="AG514" s="47"/>
      <c r="AH514" s="47"/>
      <c r="AI514" s="47"/>
    </row>
    <row r="515" spans="1:35" ht="12.75" customHeight="1">
      <c r="A515" s="727"/>
      <c r="B515" s="727"/>
      <c r="C515" s="727"/>
      <c r="D515" s="727"/>
      <c r="E515" s="727"/>
      <c r="F515" s="727"/>
      <c r="G515" s="727"/>
      <c r="H515" s="739"/>
      <c r="I515" s="667"/>
      <c r="K515" s="350"/>
      <c r="L515" s="196" t="s">
        <v>249</v>
      </c>
      <c r="M515" s="100">
        <v>-40.01</v>
      </c>
      <c r="N515" s="711">
        <f t="shared" si="64"/>
        <v>3.7700940000092871</v>
      </c>
      <c r="O515" s="60"/>
      <c r="P515" s="671"/>
      <c r="Q515" s="672"/>
      <c r="R515" s="673"/>
      <c r="S515" s="674"/>
      <c r="T515" s="675"/>
      <c r="U515" s="134"/>
      <c r="V515" s="47"/>
      <c r="W515" s="47"/>
      <c r="X515" s="47"/>
      <c r="Y515" s="191"/>
      <c r="Z515" s="331"/>
      <c r="AA515" s="174"/>
      <c r="AB515" s="60"/>
      <c r="AC515" s="47"/>
      <c r="AD515" s="47"/>
      <c r="AE515" s="47"/>
      <c r="AF515" s="47"/>
      <c r="AG515" s="733"/>
      <c r="AH515" s="47"/>
      <c r="AI515" s="47"/>
    </row>
    <row r="516" spans="1:35" ht="12.75" customHeight="1">
      <c r="A516" s="552"/>
      <c r="B516" s="552"/>
      <c r="C516" s="553"/>
      <c r="D516" s="554"/>
      <c r="E516" s="555"/>
      <c r="F516" s="556"/>
      <c r="G516" s="557"/>
      <c r="H516" s="739"/>
      <c r="I516" s="667"/>
      <c r="J516" s="690"/>
      <c r="K516" s="650" t="s">
        <v>442</v>
      </c>
      <c r="L516" s="274" t="s">
        <v>47</v>
      </c>
      <c r="M516" s="712">
        <v>300</v>
      </c>
      <c r="N516" s="711">
        <f t="shared" si="64"/>
        <v>303.77009400000929</v>
      </c>
      <c r="O516" s="60"/>
      <c r="P516" s="671"/>
      <c r="Q516" s="672"/>
      <c r="R516" s="673"/>
      <c r="S516" s="674"/>
      <c r="T516" s="675"/>
      <c r="U516" s="163"/>
      <c r="V516" s="47"/>
      <c r="W516" s="47"/>
      <c r="X516" s="47"/>
      <c r="Y516" s="191"/>
      <c r="Z516" s="331"/>
      <c r="AA516" s="174"/>
      <c r="AB516" s="60"/>
      <c r="AC516" s="47"/>
      <c r="AD516" s="47"/>
      <c r="AE516" s="47"/>
      <c r="AF516" s="47"/>
      <c r="AG516" s="47"/>
      <c r="AH516" s="47"/>
      <c r="AI516" s="47"/>
    </row>
    <row r="517" spans="1:35" ht="12.75" customHeight="1">
      <c r="A517" s="485"/>
      <c r="B517" s="485"/>
      <c r="C517" s="552"/>
      <c r="D517" s="558"/>
      <c r="E517" s="215"/>
      <c r="F517" s="111"/>
      <c r="G517" s="521"/>
      <c r="H517" s="559"/>
      <c r="I517" s="665"/>
      <c r="K517" s="350"/>
      <c r="L517" s="196" t="s">
        <v>469</v>
      </c>
      <c r="M517" s="100">
        <v>-100</v>
      </c>
      <c r="N517" s="711">
        <f t="shared" si="64"/>
        <v>203.77009400000929</v>
      </c>
      <c r="O517" s="60"/>
      <c r="P517" s="671"/>
      <c r="Q517" s="672"/>
      <c r="R517" s="673"/>
      <c r="S517" s="674"/>
      <c r="T517" s="675"/>
      <c r="U517" s="164"/>
      <c r="V517" s="60"/>
      <c r="W517" s="60"/>
      <c r="X517" s="171"/>
      <c r="Y517" s="47"/>
      <c r="Z517" s="331"/>
      <c r="AA517" s="174"/>
      <c r="AB517" s="60"/>
      <c r="AC517" s="47"/>
      <c r="AD517" s="47"/>
      <c r="AE517" s="47"/>
      <c r="AF517" s="47"/>
      <c r="AG517" s="47"/>
      <c r="AH517" s="47"/>
      <c r="AI517" s="47"/>
    </row>
    <row r="518" spans="1:35" ht="12.75" customHeight="1">
      <c r="A518" s="485"/>
      <c r="B518" s="485"/>
      <c r="C518" s="485"/>
      <c r="D518" s="558"/>
      <c r="E518" s="215"/>
      <c r="F518" s="111"/>
      <c r="G518" s="521"/>
      <c r="H518" s="559"/>
      <c r="I518" s="681"/>
      <c r="K518" s="350"/>
      <c r="L518" s="196" t="s">
        <v>470</v>
      </c>
      <c r="M518" s="100">
        <v>-16.899999999999999</v>
      </c>
      <c r="N518" s="711">
        <f t="shared" si="64"/>
        <v>186.87009400000929</v>
      </c>
      <c r="O518" s="60"/>
      <c r="P518" s="671"/>
      <c r="Q518" s="672"/>
      <c r="R518" s="673"/>
      <c r="S518" s="674"/>
      <c r="T518" s="675"/>
      <c r="U518" s="47"/>
      <c r="V518" s="60"/>
      <c r="W518" s="60"/>
      <c r="X518" s="171"/>
      <c r="Y518" s="47"/>
      <c r="Z518" s="331"/>
      <c r="AA518" s="174"/>
      <c r="AB518" s="60"/>
      <c r="AC518" s="47"/>
      <c r="AD518" s="47"/>
      <c r="AE518" s="47"/>
      <c r="AF518" s="47"/>
      <c r="AG518" s="47"/>
      <c r="AH518" s="47"/>
      <c r="AI518" s="47"/>
    </row>
    <row r="519" spans="1:35" ht="12.75" customHeight="1">
      <c r="A519" s="485"/>
      <c r="B519" s="485"/>
      <c r="C519" s="485"/>
      <c r="D519" s="105"/>
      <c r="E519" s="215"/>
      <c r="F519" s="111"/>
      <c r="G519" s="559"/>
      <c r="H519" s="559"/>
      <c r="K519" s="350"/>
      <c r="L519" s="196" t="s">
        <v>176</v>
      </c>
      <c r="M519" s="100">
        <v>-87.97</v>
      </c>
      <c r="N519" s="711">
        <f t="shared" si="64"/>
        <v>98.90009400000929</v>
      </c>
      <c r="O519" s="363"/>
      <c r="P519" s="671"/>
      <c r="Q519" s="672"/>
      <c r="R519" s="673"/>
      <c r="S519" s="674"/>
      <c r="T519" s="675"/>
      <c r="U519" s="47"/>
      <c r="V519" s="60"/>
      <c r="W519" s="60"/>
      <c r="X519" s="171"/>
      <c r="Y519" s="47"/>
      <c r="Z519" s="331"/>
      <c r="AA519" s="174"/>
      <c r="AB519" s="60"/>
      <c r="AC519" s="47"/>
      <c r="AD519" s="47"/>
      <c r="AE519" s="47"/>
      <c r="AF519" s="47"/>
      <c r="AG519" s="47"/>
      <c r="AH519" s="47"/>
      <c r="AI519" s="47"/>
    </row>
    <row r="520" spans="1:35" ht="12.75" customHeight="1">
      <c r="A520" s="485"/>
      <c r="B520" s="485"/>
      <c r="C520" s="485"/>
      <c r="D520" s="105"/>
      <c r="E520" s="215"/>
      <c r="F520" s="111"/>
      <c r="G520" s="559"/>
      <c r="H520" s="559"/>
      <c r="K520" s="350"/>
      <c r="L520" s="196" t="s">
        <v>372</v>
      </c>
      <c r="M520" s="100">
        <v>-76.099999999999994</v>
      </c>
      <c r="N520" s="711">
        <f t="shared" si="64"/>
        <v>22.800094000009295</v>
      </c>
      <c r="O520" s="345"/>
      <c r="P520" s="671"/>
      <c r="Q520" s="672"/>
      <c r="R520" s="673"/>
      <c r="S520" s="674"/>
      <c r="T520" s="675"/>
      <c r="U520" s="47"/>
      <c r="V520" s="60"/>
      <c r="W520" s="60"/>
      <c r="X520" s="171"/>
      <c r="Y520" s="47"/>
      <c r="Z520" s="331"/>
      <c r="AA520" s="174"/>
      <c r="AB520" s="60"/>
      <c r="AC520" s="47"/>
      <c r="AD520" s="47"/>
      <c r="AE520" s="47"/>
      <c r="AF520" s="47"/>
      <c r="AG520" s="47"/>
      <c r="AH520" s="47"/>
      <c r="AI520" s="47"/>
    </row>
    <row r="521" spans="1:35" ht="12.75" customHeight="1">
      <c r="A521" s="485"/>
      <c r="B521" s="485"/>
      <c r="C521" s="560"/>
      <c r="D521" s="554"/>
      <c r="E521" s="555"/>
      <c r="F521" s="111"/>
      <c r="G521" s="559"/>
      <c r="H521" s="559"/>
      <c r="I521" s="690"/>
      <c r="K521" s="650" t="s">
        <v>442</v>
      </c>
      <c r="L521" s="274" t="s">
        <v>47</v>
      </c>
      <c r="M521" s="712">
        <v>300</v>
      </c>
      <c r="N521" s="711">
        <f t="shared" si="64"/>
        <v>322.80009400000927</v>
      </c>
      <c r="O521" s="345"/>
      <c r="P521" s="671"/>
      <c r="Q521" s="672"/>
      <c r="R521" s="673"/>
      <c r="S521" s="674"/>
      <c r="T521" s="675"/>
      <c r="U521" s="47"/>
      <c r="V521" s="60"/>
      <c r="W521" s="60"/>
      <c r="X521" s="171"/>
      <c r="Y521" s="47"/>
      <c r="Z521" s="331"/>
      <c r="AA521" s="174"/>
      <c r="AB521" s="60"/>
      <c r="AC521" s="47"/>
      <c r="AD521" s="47"/>
      <c r="AE521" s="47"/>
      <c r="AF521" s="47"/>
      <c r="AG521" s="47"/>
      <c r="AH521" s="47"/>
      <c r="AI521" s="47"/>
    </row>
    <row r="522" spans="1:35" ht="12.75" customHeight="1">
      <c r="A522" s="485"/>
      <c r="B522" s="485"/>
      <c r="C522" s="485"/>
      <c r="D522" s="561"/>
      <c r="E522" s="215"/>
      <c r="F522" s="111"/>
      <c r="G522" s="559"/>
      <c r="H522" s="559"/>
      <c r="I522" s="551"/>
      <c r="J522" s="694"/>
      <c r="K522" s="350"/>
      <c r="L522" s="196" t="s">
        <v>473</v>
      </c>
      <c r="M522" s="100">
        <v>-66</v>
      </c>
      <c r="N522" s="711">
        <f t="shared" si="64"/>
        <v>256.80009400000927</v>
      </c>
      <c r="O522" s="345"/>
      <c r="P522" s="671"/>
      <c r="Q522" s="672"/>
      <c r="R522" s="673"/>
      <c r="S522" s="674"/>
      <c r="T522" s="675"/>
      <c r="U522" s="47"/>
      <c r="V522" s="60"/>
      <c r="W522" s="60"/>
      <c r="X522" s="171"/>
      <c r="Y522" s="47"/>
      <c r="Z522" s="331"/>
      <c r="AA522" s="174"/>
      <c r="AB522" s="60"/>
      <c r="AC522" s="47"/>
      <c r="AD522" s="47"/>
      <c r="AE522" s="47"/>
      <c r="AF522" s="47"/>
      <c r="AG522" s="47"/>
      <c r="AH522" s="47"/>
      <c r="AI522" s="47"/>
    </row>
    <row r="523" spans="1:35" ht="12.75" customHeight="1">
      <c r="A523" s="485"/>
      <c r="B523" s="485"/>
      <c r="C523" s="485"/>
      <c r="D523" s="558"/>
      <c r="E523" s="215"/>
      <c r="F523" s="111"/>
      <c r="G523" s="559"/>
      <c r="H523" s="559"/>
      <c r="K523" s="350"/>
      <c r="L523" s="196" t="s">
        <v>474</v>
      </c>
      <c r="M523" s="100">
        <v>-50</v>
      </c>
      <c r="N523" s="711">
        <f t="shared" si="64"/>
        <v>206.80009400000927</v>
      </c>
      <c r="O523" s="345"/>
      <c r="P523" s="671"/>
      <c r="Q523" s="672"/>
      <c r="R523" s="673"/>
      <c r="S523" s="674"/>
      <c r="T523" s="675"/>
      <c r="U523" s="47"/>
      <c r="V523" s="60"/>
      <c r="W523" s="60"/>
      <c r="X523" s="171"/>
      <c r="Y523" s="47"/>
      <c r="Z523" s="331"/>
      <c r="AA523" s="174"/>
      <c r="AB523" s="60"/>
      <c r="AC523" s="47"/>
      <c r="AD523" s="47"/>
      <c r="AE523" s="47"/>
      <c r="AF523" s="47"/>
      <c r="AG523" s="47"/>
      <c r="AH523" s="47"/>
      <c r="AI523" s="47"/>
    </row>
    <row r="524" spans="1:35" ht="12.75" customHeight="1">
      <c r="A524" s="485"/>
      <c r="B524" s="485"/>
      <c r="C524" s="485"/>
      <c r="D524" s="558"/>
      <c r="E524" s="562"/>
      <c r="F524" s="111"/>
      <c r="G524" s="559"/>
      <c r="H524" s="559"/>
      <c r="I524" s="705"/>
      <c r="J524" s="706"/>
      <c r="K524" s="350"/>
      <c r="L524" s="196" t="s">
        <v>174</v>
      </c>
      <c r="M524" s="100">
        <v>-200</v>
      </c>
      <c r="N524" s="711">
        <f t="shared" si="64"/>
        <v>6.8000940000092669</v>
      </c>
      <c r="O524" s="345"/>
      <c r="P524" s="671"/>
      <c r="Q524" s="672"/>
      <c r="R524" s="673"/>
      <c r="S524" s="674"/>
      <c r="T524" s="675"/>
      <c r="U524" s="47"/>
      <c r="V524" s="60"/>
      <c r="W524" s="60"/>
      <c r="X524" s="171"/>
      <c r="Y524" s="47"/>
      <c r="Z524" s="331"/>
      <c r="AA524" s="174"/>
      <c r="AB524" s="60"/>
      <c r="AC524" s="47"/>
      <c r="AD524" s="47"/>
      <c r="AE524" s="47"/>
      <c r="AF524" s="47"/>
      <c r="AG524" s="47"/>
      <c r="AH524" s="47"/>
      <c r="AI524" s="47"/>
    </row>
    <row r="525" spans="1:35" ht="12.75" customHeight="1">
      <c r="A525" s="485"/>
      <c r="B525" s="485"/>
      <c r="C525" s="560"/>
      <c r="D525" s="740"/>
      <c r="E525" s="555"/>
      <c r="F525" s="111"/>
      <c r="G525" s="559"/>
      <c r="H525" s="559"/>
      <c r="I525" s="47"/>
      <c r="J525" s="707"/>
      <c r="K525" s="350"/>
      <c r="L525" s="196" t="s">
        <v>475</v>
      </c>
      <c r="M525" s="100">
        <f>300-282.31</f>
        <v>17.689999999999998</v>
      </c>
      <c r="N525" s="711">
        <f t="shared" si="64"/>
        <v>24.490094000009265</v>
      </c>
      <c r="O525" s="345"/>
      <c r="P525" s="671"/>
      <c r="Q525" s="672"/>
      <c r="R525" s="673"/>
      <c r="S525" s="674"/>
      <c r="T525" s="675"/>
      <c r="U525" s="47"/>
      <c r="V525" s="60"/>
      <c r="W525" s="60"/>
      <c r="X525" s="171"/>
      <c r="Y525" s="47"/>
      <c r="Z525" s="331"/>
      <c r="AA525" s="174"/>
      <c r="AB525" s="60"/>
      <c r="AC525" s="47"/>
      <c r="AD525" s="47"/>
      <c r="AE525" s="47"/>
      <c r="AF525" s="47"/>
      <c r="AG525" s="47"/>
      <c r="AH525" s="47"/>
      <c r="AI525" s="47"/>
    </row>
    <row r="526" spans="1:35" ht="12.75" customHeight="1">
      <c r="A526" s="485"/>
      <c r="B526" s="485"/>
      <c r="C526" s="560"/>
      <c r="D526" s="740"/>
      <c r="E526" s="555"/>
      <c r="F526" s="111"/>
      <c r="G526" s="559"/>
      <c r="H526" s="559"/>
      <c r="I526" s="47"/>
      <c r="J526" s="707"/>
      <c r="K526" s="350"/>
      <c r="L526" s="196" t="s">
        <v>475</v>
      </c>
      <c r="M526" s="100">
        <f>400-350.95-48</f>
        <v>1.0500000000000114</v>
      </c>
      <c r="N526" s="711">
        <f t="shared" si="64"/>
        <v>25.540094000009276</v>
      </c>
      <c r="O526" s="345"/>
      <c r="P526" s="671"/>
      <c r="Q526" s="672"/>
      <c r="R526" s="673"/>
      <c r="S526" s="674"/>
      <c r="T526" s="675"/>
      <c r="U526" s="47"/>
      <c r="V526" s="60"/>
      <c r="W526" s="60"/>
      <c r="X526" s="171"/>
      <c r="Y526" s="47"/>
      <c r="Z526" s="331"/>
      <c r="AA526" s="174"/>
      <c r="AB526" s="60"/>
      <c r="AC526" s="47"/>
      <c r="AD526" s="47"/>
      <c r="AE526" s="47"/>
      <c r="AF526" s="47"/>
      <c r="AG526" s="47"/>
      <c r="AH526" s="47"/>
      <c r="AI526" s="47"/>
    </row>
    <row r="527" spans="1:35" ht="12.75" customHeight="1">
      <c r="A527" s="485"/>
      <c r="B527" s="485"/>
      <c r="C527" s="485"/>
      <c r="D527" s="558"/>
      <c r="E527" s="215"/>
      <c r="F527" s="111"/>
      <c r="G527" s="559"/>
      <c r="H527" s="559"/>
      <c r="I527" s="47"/>
      <c r="J527" s="676"/>
      <c r="K527" s="350" t="s">
        <v>453</v>
      </c>
      <c r="L527" s="357" t="s">
        <v>87</v>
      </c>
      <c r="M527" s="232">
        <f>E506</f>
        <v>8502.7000000000007</v>
      </c>
      <c r="N527" s="711">
        <f t="shared" si="64"/>
        <v>8528.2400940000098</v>
      </c>
      <c r="O527" s="60"/>
      <c r="P527" s="671"/>
      <c r="Q527" s="672"/>
      <c r="R527" s="673"/>
      <c r="S527" s="674"/>
      <c r="T527" s="675"/>
      <c r="U527" s="47"/>
      <c r="V527" s="60"/>
      <c r="W527" s="60"/>
      <c r="X527" s="171"/>
      <c r="Y527" s="47"/>
      <c r="Z527" s="331"/>
      <c r="AA527" s="174"/>
      <c r="AB527" s="60"/>
      <c r="AC527" s="47"/>
      <c r="AD527" s="47"/>
      <c r="AE527" s="47"/>
      <c r="AF527" s="47"/>
      <c r="AG527" s="47"/>
      <c r="AH527" s="47"/>
      <c r="AI527" s="47"/>
    </row>
    <row r="528" spans="1:35" ht="12.75" customHeight="1">
      <c r="A528" s="485"/>
      <c r="B528" s="485"/>
      <c r="C528" s="485"/>
      <c r="D528" s="726"/>
      <c r="E528" s="215"/>
      <c r="F528" s="111"/>
      <c r="G528" s="564"/>
      <c r="H528" s="670"/>
      <c r="I528" s="668"/>
      <c r="J528" s="676"/>
      <c r="K528" s="350" t="s">
        <v>453</v>
      </c>
      <c r="L528" s="357" t="s">
        <v>451</v>
      </c>
      <c r="M528" s="100">
        <v>250</v>
      </c>
      <c r="N528" s="711">
        <f t="shared" si="64"/>
        <v>8778.2400940000098</v>
      </c>
      <c r="O528" s="60"/>
      <c r="P528" s="671"/>
      <c r="Q528" s="672"/>
      <c r="R528" s="673"/>
      <c r="S528" s="674"/>
      <c r="T528" s="675"/>
      <c r="U528" s="47"/>
      <c r="V528" s="60"/>
      <c r="W528" s="60"/>
      <c r="X528" s="171"/>
      <c r="Y528" s="47"/>
      <c r="Z528" s="331"/>
      <c r="AA528" s="174"/>
      <c r="AB528" s="60"/>
      <c r="AC528" s="47"/>
      <c r="AD528" s="47"/>
      <c r="AE528" s="47"/>
      <c r="AF528" s="47"/>
      <c r="AG528" s="47"/>
      <c r="AH528" s="47"/>
      <c r="AI528" s="47"/>
    </row>
    <row r="529" spans="1:35" ht="12.75" customHeight="1">
      <c r="A529" s="485"/>
      <c r="B529" s="485"/>
      <c r="C529" s="485"/>
      <c r="D529" s="558"/>
      <c r="E529" s="215"/>
      <c r="F529" s="111"/>
      <c r="G529" s="559"/>
      <c r="H529" s="559"/>
      <c r="I529" s="47"/>
      <c r="J529" s="676"/>
      <c r="K529" s="350" t="s">
        <v>453</v>
      </c>
      <c r="L529" s="357" t="s">
        <v>456</v>
      </c>
      <c r="M529" s="232">
        <f>-3830</f>
        <v>-3830</v>
      </c>
      <c r="N529" s="711">
        <f t="shared" si="64"/>
        <v>4948.2400940000098</v>
      </c>
      <c r="O529" s="331"/>
      <c r="P529" s="671"/>
      <c r="Q529" s="672"/>
      <c r="R529" s="673"/>
      <c r="S529" s="674"/>
      <c r="T529" s="675"/>
      <c r="U529" s="47"/>
      <c r="V529" s="60"/>
      <c r="W529" s="60"/>
      <c r="X529" s="171"/>
      <c r="Y529" s="47"/>
      <c r="Z529" s="331"/>
      <c r="AA529" s="174"/>
      <c r="AB529" s="60"/>
      <c r="AC529" s="47"/>
      <c r="AD529" s="47"/>
      <c r="AE529" s="47"/>
      <c r="AF529" s="47"/>
      <c r="AG529" s="47"/>
      <c r="AH529" s="47"/>
      <c r="AI529" s="47"/>
    </row>
    <row r="530" spans="1:35" ht="12.75" customHeight="1">
      <c r="A530" s="485"/>
      <c r="B530" s="485"/>
      <c r="C530" s="485"/>
      <c r="D530" s="563"/>
      <c r="E530" s="83"/>
      <c r="F530" s="111"/>
      <c r="G530" s="564"/>
      <c r="H530" s="741"/>
      <c r="I530" s="680"/>
      <c r="J530" s="676"/>
      <c r="K530" s="355" t="s">
        <v>453</v>
      </c>
      <c r="L530" s="357" t="s">
        <v>394</v>
      </c>
      <c r="M530" s="100">
        <v>-190</v>
      </c>
      <c r="N530" s="711">
        <f t="shared" si="64"/>
        <v>4758.2400940000098</v>
      </c>
      <c r="O530" s="730"/>
      <c r="P530" s="671"/>
      <c r="Q530" s="672"/>
      <c r="R530" s="673"/>
      <c r="S530" s="674"/>
      <c r="T530" s="675"/>
      <c r="U530" s="47"/>
      <c r="V530" s="60"/>
      <c r="W530" s="60"/>
      <c r="X530" s="171"/>
      <c r="Y530" s="47"/>
      <c r="Z530" s="331"/>
      <c r="AA530" s="174"/>
      <c r="AB530" s="60"/>
      <c r="AC530" s="47"/>
      <c r="AD530" s="47"/>
      <c r="AE530" s="47"/>
      <c r="AF530" s="47"/>
      <c r="AG530" s="47"/>
      <c r="AH530" s="47"/>
      <c r="AI530" s="47"/>
    </row>
    <row r="531" spans="1:35" ht="12.75" customHeight="1">
      <c r="A531" s="485"/>
      <c r="B531" s="485"/>
      <c r="C531" s="485"/>
      <c r="D531" s="215"/>
      <c r="E531" s="215"/>
      <c r="F531" s="111"/>
      <c r="G531" s="559"/>
      <c r="H531" s="741"/>
      <c r="I531" s="680"/>
      <c r="J531" s="676"/>
      <c r="K531" s="350" t="s">
        <v>453</v>
      </c>
      <c r="L531" s="357" t="s">
        <v>237</v>
      </c>
      <c r="M531" s="100">
        <v>-1738</v>
      </c>
      <c r="N531" s="711">
        <f t="shared" si="64"/>
        <v>3020.2400940000098</v>
      </c>
      <c r="O531" s="363"/>
      <c r="P531" s="671"/>
      <c r="Q531" s="672"/>
      <c r="R531" s="673"/>
      <c r="S531" s="674"/>
      <c r="T531" s="675"/>
      <c r="U531" s="47"/>
      <c r="V531" s="60"/>
      <c r="W531" s="60"/>
      <c r="X531" s="171"/>
      <c r="Y531" s="47"/>
      <c r="Z531" s="331"/>
      <c r="AA531" s="174"/>
      <c r="AB531" s="60"/>
      <c r="AC531" s="47"/>
      <c r="AD531" s="47"/>
      <c r="AE531" s="47"/>
      <c r="AF531" s="47"/>
      <c r="AG531" s="47"/>
      <c r="AH531" s="47"/>
      <c r="AI531" s="47"/>
    </row>
    <row r="532" spans="1:35" ht="12.75" customHeight="1">
      <c r="A532" s="485"/>
      <c r="B532" s="485"/>
      <c r="C532" s="485"/>
      <c r="D532" s="215"/>
      <c r="E532" s="215"/>
      <c r="F532" s="111"/>
      <c r="G532" s="559"/>
      <c r="H532" s="741"/>
      <c r="I532" s="680"/>
      <c r="J532" s="676"/>
      <c r="K532" s="350"/>
      <c r="L532" s="357" t="s">
        <v>152</v>
      </c>
      <c r="M532" s="100">
        <v>-300</v>
      </c>
      <c r="N532" s="711">
        <f t="shared" si="64"/>
        <v>2720.2400940000098</v>
      </c>
      <c r="O532" s="363"/>
      <c r="P532" s="671"/>
      <c r="Q532" s="672"/>
      <c r="R532" s="673"/>
      <c r="S532" s="674"/>
      <c r="T532" s="675"/>
      <c r="U532" s="47"/>
      <c r="V532" s="60"/>
      <c r="W532" s="60"/>
      <c r="X532" s="171"/>
      <c r="Y532" s="47"/>
      <c r="Z532" s="331"/>
      <c r="AA532" s="174"/>
      <c r="AB532" s="60"/>
      <c r="AC532" s="47"/>
      <c r="AD532" s="47"/>
      <c r="AE532" s="47"/>
      <c r="AF532" s="47"/>
      <c r="AG532" s="47"/>
      <c r="AH532" s="47"/>
      <c r="AI532" s="47"/>
    </row>
    <row r="533" spans="1:35" ht="12.75" customHeight="1">
      <c r="A533" s="485"/>
      <c r="B533" s="485"/>
      <c r="C533" s="485"/>
      <c r="D533" s="105"/>
      <c r="E533" s="215"/>
      <c r="F533" s="111"/>
      <c r="G533" s="564"/>
      <c r="H533" s="559"/>
      <c r="I533" s="47"/>
      <c r="J533" s="676"/>
      <c r="K533" s="350" t="s">
        <v>453</v>
      </c>
      <c r="L533" s="357" t="s">
        <v>189</v>
      </c>
      <c r="M533" s="100">
        <v>250</v>
      </c>
      <c r="N533" s="711">
        <f t="shared" si="64"/>
        <v>2970.2400940000098</v>
      </c>
      <c r="O533" s="345"/>
      <c r="P533" s="671"/>
      <c r="Q533" s="672"/>
      <c r="R533" s="673"/>
      <c r="S533" s="674"/>
      <c r="T533" s="675"/>
      <c r="U533" s="47"/>
      <c r="V533" s="60"/>
      <c r="W533" s="60"/>
      <c r="X533" s="171"/>
      <c r="Y533" s="47"/>
      <c r="Z533" s="331"/>
      <c r="AA533" s="174"/>
      <c r="AB533" s="60"/>
      <c r="AC533" s="47"/>
      <c r="AD533" s="47"/>
      <c r="AE533" s="47"/>
      <c r="AF533" s="47"/>
      <c r="AG533" s="47"/>
      <c r="AH533" s="47"/>
      <c r="AI533" s="47"/>
    </row>
    <row r="534" spans="1:35" ht="12.75" customHeight="1">
      <c r="A534" s="485"/>
      <c r="B534" s="485"/>
      <c r="C534" s="485"/>
      <c r="D534" s="558"/>
      <c r="E534" s="215"/>
      <c r="F534" s="111"/>
      <c r="G534" s="559"/>
      <c r="H534" s="559"/>
      <c r="I534" s="47"/>
      <c r="J534" s="676"/>
      <c r="K534" s="350" t="s">
        <v>453</v>
      </c>
      <c r="L534" s="357" t="s">
        <v>222</v>
      </c>
      <c r="M534" s="100">
        <v>-69</v>
      </c>
      <c r="N534" s="711">
        <f t="shared" si="64"/>
        <v>2901.2400940000098</v>
      </c>
      <c r="O534" s="331"/>
      <c r="P534" s="671"/>
      <c r="Q534" s="672"/>
      <c r="R534" s="673"/>
      <c r="S534" s="674"/>
      <c r="T534" s="675"/>
      <c r="U534" s="47"/>
      <c r="V534" s="60"/>
      <c r="W534" s="60"/>
      <c r="X534" s="171"/>
      <c r="Y534" s="47"/>
      <c r="Z534" s="331"/>
      <c r="AA534" s="174"/>
      <c r="AB534" s="60"/>
      <c r="AC534" s="47"/>
      <c r="AD534" s="47"/>
      <c r="AE534" s="47"/>
      <c r="AF534" s="47"/>
      <c r="AG534" s="47"/>
      <c r="AH534" s="47"/>
      <c r="AI534" s="47"/>
    </row>
    <row r="535" spans="1:35" ht="12.75" customHeight="1">
      <c r="A535" s="485"/>
      <c r="B535" s="485"/>
      <c r="C535" s="485"/>
      <c r="D535" s="215"/>
      <c r="E535" s="215"/>
      <c r="F535" s="111"/>
      <c r="G535" s="559"/>
      <c r="H535" s="559"/>
      <c r="I535" s="47"/>
      <c r="J535" s="676"/>
      <c r="K535" s="350" t="s">
        <v>453</v>
      </c>
      <c r="L535" s="357" t="s">
        <v>97</v>
      </c>
      <c r="M535" s="100">
        <v>-252.5</v>
      </c>
      <c r="N535" s="711">
        <f t="shared" si="64"/>
        <v>2648.7400940000098</v>
      </c>
      <c r="O535" s="332"/>
      <c r="P535" s="671"/>
      <c r="Q535" s="672"/>
      <c r="R535" s="673"/>
      <c r="S535" s="674"/>
      <c r="T535" s="675"/>
      <c r="U535" s="47"/>
      <c r="V535" s="60"/>
      <c r="W535" s="60"/>
      <c r="X535" s="171"/>
      <c r="Y535" s="47"/>
      <c r="Z535" s="331"/>
      <c r="AA535" s="174"/>
      <c r="AB535" s="60"/>
      <c r="AC535" s="47"/>
      <c r="AD535" s="47"/>
      <c r="AE535" s="47"/>
      <c r="AF535" s="47"/>
      <c r="AG535" s="47"/>
      <c r="AH535" s="47"/>
      <c r="AI535" s="47"/>
    </row>
    <row r="536" spans="1:35" ht="12.75" customHeight="1">
      <c r="A536" s="485"/>
      <c r="B536" s="485"/>
      <c r="C536" s="485"/>
      <c r="D536" s="726"/>
      <c r="E536" s="215"/>
      <c r="F536" s="111"/>
      <c r="G536" s="564"/>
      <c r="H536" s="670"/>
      <c r="I536" s="668"/>
      <c r="J536" s="676"/>
      <c r="K536" s="165" t="s">
        <v>231</v>
      </c>
      <c r="L536" s="358" t="s">
        <v>39</v>
      </c>
      <c r="M536" s="262">
        <v>-403.99</v>
      </c>
      <c r="N536" s="711">
        <f t="shared" si="64"/>
        <v>2244.75009400001</v>
      </c>
      <c r="O536" s="669"/>
      <c r="P536" s="671"/>
      <c r="Q536" s="672"/>
      <c r="R536" s="673"/>
      <c r="S536" s="674"/>
      <c r="T536" s="675"/>
      <c r="U536" s="47"/>
      <c r="V536" s="60"/>
      <c r="W536" s="60"/>
      <c r="X536" s="171"/>
      <c r="Y536" s="47"/>
      <c r="Z536" s="331"/>
      <c r="AA536" s="174"/>
      <c r="AB536" s="60"/>
      <c r="AC536" s="47"/>
      <c r="AD536" s="47"/>
      <c r="AE536" s="47"/>
      <c r="AF536" s="47"/>
      <c r="AG536" s="47"/>
      <c r="AH536" s="47"/>
      <c r="AI536" s="47"/>
    </row>
    <row r="537" spans="1:35" ht="12.75" customHeight="1">
      <c r="A537" s="480"/>
      <c r="B537" s="480"/>
      <c r="C537" s="480"/>
      <c r="D537" s="726"/>
      <c r="E537" s="215"/>
      <c r="F537" s="111"/>
      <c r="G537" s="564"/>
      <c r="H537" s="670"/>
      <c r="I537" s="668"/>
      <c r="J537" s="676"/>
      <c r="K537" s="350" t="s">
        <v>231</v>
      </c>
      <c r="L537" s="359" t="s">
        <v>92</v>
      </c>
      <c r="M537" s="262">
        <v>-790</v>
      </c>
      <c r="N537" s="711">
        <f t="shared" si="64"/>
        <v>1454.75009400001</v>
      </c>
      <c r="O537" s="669"/>
      <c r="P537" s="671"/>
      <c r="Q537" s="672"/>
      <c r="R537" s="673"/>
      <c r="S537" s="674"/>
      <c r="T537" s="675"/>
      <c r="U537" s="47"/>
      <c r="V537" s="60"/>
      <c r="W537" s="60"/>
      <c r="X537" s="171"/>
      <c r="Y537" s="47"/>
      <c r="Z537" s="331"/>
      <c r="AA537" s="174"/>
      <c r="AB537" s="60"/>
      <c r="AC537" s="47"/>
      <c r="AD537" s="47"/>
      <c r="AE537" s="47"/>
      <c r="AF537" s="47"/>
      <c r="AG537" s="47"/>
      <c r="AH537" s="47"/>
      <c r="AI537" s="47"/>
    </row>
    <row r="538" spans="1:35" ht="12.75" customHeight="1">
      <c r="A538" s="480"/>
      <c r="B538" s="480"/>
      <c r="C538" s="480"/>
      <c r="D538" s="726"/>
      <c r="E538" s="215"/>
      <c r="F538" s="111"/>
      <c r="G538" s="564"/>
      <c r="H538" s="670"/>
      <c r="I538" s="668"/>
      <c r="J538" s="676"/>
      <c r="K538" s="350" t="s">
        <v>232</v>
      </c>
      <c r="L538" s="359" t="s">
        <v>457</v>
      </c>
      <c r="M538" s="262">
        <v>-63.85</v>
      </c>
      <c r="N538" s="711">
        <f t="shared" si="64"/>
        <v>1390.9000940000101</v>
      </c>
      <c r="O538" s="669"/>
      <c r="P538" s="671"/>
      <c r="Q538" s="672"/>
      <c r="R538" s="673"/>
      <c r="S538" s="674"/>
      <c r="T538" s="675"/>
      <c r="U538" s="47"/>
      <c r="V538" s="60"/>
      <c r="W538" s="60"/>
      <c r="X538" s="171"/>
      <c r="Y538" s="47"/>
      <c r="Z538" s="331"/>
      <c r="AA538" s="174"/>
      <c r="AB538" s="60"/>
      <c r="AC538" s="47"/>
      <c r="AD538" s="47"/>
      <c r="AE538" s="47"/>
      <c r="AF538" s="47"/>
      <c r="AG538" s="47"/>
      <c r="AH538" s="47"/>
      <c r="AI538" s="47"/>
    </row>
    <row r="539" spans="1:35" s="668" customFormat="1" ht="12.75" customHeight="1">
      <c r="A539" s="480"/>
      <c r="B539" s="480"/>
      <c r="C539" s="480"/>
      <c r="D539" s="726"/>
      <c r="E539" s="215"/>
      <c r="F539" s="111"/>
      <c r="G539" s="564"/>
      <c r="H539" s="670"/>
      <c r="J539" s="676"/>
      <c r="K539" s="469" t="s">
        <v>232</v>
      </c>
      <c r="L539" s="360" t="s">
        <v>46</v>
      </c>
      <c r="M539" s="516">
        <v>-275.31</v>
      </c>
      <c r="N539" s="751">
        <f>N538+M539</f>
        <v>1115.5900940000101</v>
      </c>
      <c r="O539" s="669"/>
      <c r="P539" s="671"/>
      <c r="Q539" s="672"/>
      <c r="R539" s="673"/>
      <c r="S539" s="674"/>
      <c r="T539" s="675"/>
      <c r="U539" s="676"/>
      <c r="V539" s="669"/>
      <c r="W539" s="669"/>
      <c r="X539" s="677"/>
      <c r="Y539" s="676"/>
      <c r="Z539" s="678"/>
      <c r="AA539" s="679"/>
      <c r="AB539" s="669"/>
      <c r="AC539" s="676"/>
      <c r="AD539" s="676"/>
      <c r="AE539" s="676"/>
      <c r="AF539" s="676"/>
      <c r="AG539" s="676"/>
      <c r="AH539" s="676"/>
      <c r="AI539" s="676"/>
    </row>
    <row r="540" spans="1:35" s="668" customFormat="1" ht="12.75" customHeight="1">
      <c r="A540" s="480"/>
      <c r="B540" s="480"/>
      <c r="C540" s="480"/>
      <c r="D540" s="726"/>
      <c r="E540" s="215"/>
      <c r="F540" s="111"/>
      <c r="G540" s="564"/>
      <c r="H540" s="670"/>
      <c r="J540" s="676"/>
      <c r="K540" s="346"/>
      <c r="L540" s="58"/>
      <c r="M540" s="255">
        <f>SUM(M501:M539)</f>
        <v>1115.5900940000101</v>
      </c>
      <c r="N540" s="399"/>
      <c r="O540" s="669"/>
      <c r="P540" s="671"/>
      <c r="Q540" s="672"/>
      <c r="R540" s="673"/>
      <c r="S540" s="674"/>
      <c r="T540" s="675"/>
      <c r="U540" s="676"/>
      <c r="V540" s="669"/>
      <c r="W540" s="669"/>
      <c r="X540" s="677"/>
      <c r="Y540" s="676"/>
      <c r="Z540" s="678"/>
      <c r="AA540" s="679"/>
      <c r="AB540" s="669"/>
      <c r="AC540" s="676"/>
      <c r="AD540" s="676"/>
      <c r="AE540" s="676"/>
      <c r="AF540" s="676"/>
      <c r="AG540" s="676"/>
      <c r="AH540" s="676"/>
      <c r="AI540" s="676"/>
    </row>
    <row r="541" spans="1:35" s="150" customFormat="1">
      <c r="E541" s="41"/>
      <c r="G541" s="211"/>
      <c r="K541" s="349"/>
      <c r="M541" s="41"/>
      <c r="P541" s="41"/>
      <c r="Q541" s="41"/>
      <c r="R541" s="41"/>
      <c r="S541" s="535"/>
      <c r="Z541" s="41"/>
      <c r="AA541" s="212"/>
      <c r="AB541" s="41"/>
    </row>
    <row r="543" spans="1:35" ht="12.75" customHeight="1">
      <c r="B543" s="966" t="s">
        <v>476</v>
      </c>
      <c r="C543" s="966"/>
      <c r="D543" s="966"/>
      <c r="E543" s="966"/>
      <c r="G543" s="352"/>
      <c r="H543" s="352"/>
      <c r="I543" s="60"/>
      <c r="K543" s="350"/>
      <c r="L543" s="180"/>
      <c r="M543" s="970" t="s">
        <v>90</v>
      </c>
      <c r="N543" s="760"/>
      <c r="O543" s="764"/>
      <c r="P543" s="972" t="s">
        <v>84</v>
      </c>
      <c r="Q543" s="974" t="s">
        <v>284</v>
      </c>
      <c r="R543" s="974"/>
      <c r="S543" s="528"/>
      <c r="X543" s="84"/>
      <c r="Y543" s="84"/>
      <c r="Z543" s="60"/>
      <c r="AA543" s="765"/>
      <c r="AB543" s="60"/>
      <c r="AC543" s="47"/>
      <c r="AD543" s="47"/>
      <c r="AE543" s="47"/>
      <c r="AF543" s="47"/>
      <c r="AG543" s="47"/>
      <c r="AH543" s="47"/>
      <c r="AI543" s="47"/>
    </row>
    <row r="544" spans="1:35" ht="12.75" customHeight="1">
      <c r="C544" s="43" t="s">
        <v>435</v>
      </c>
      <c r="D544" s="39"/>
      <c r="E544" s="99">
        <v>8502.7000000000007</v>
      </c>
      <c r="G544" s="976"/>
      <c r="H544" s="976"/>
      <c r="I544" s="60"/>
      <c r="K544" s="351" t="s">
        <v>263</v>
      </c>
      <c r="L544" s="242"/>
      <c r="M544" s="971"/>
      <c r="N544" s="760" t="s">
        <v>79</v>
      </c>
      <c r="O544" s="764"/>
      <c r="P544" s="973"/>
      <c r="Q544" s="761" t="s">
        <v>79</v>
      </c>
      <c r="R544" s="762" t="s">
        <v>89</v>
      </c>
      <c r="S544" s="528"/>
      <c r="X544" s="198"/>
      <c r="Y544" s="191"/>
      <c r="Z544" s="197"/>
      <c r="AA544" s="169"/>
      <c r="AB544" s="170"/>
      <c r="AC544" s="47"/>
      <c r="AD544" s="91"/>
      <c r="AE544" s="47"/>
      <c r="AF544" s="47"/>
      <c r="AG544" s="47"/>
      <c r="AH544" s="47"/>
      <c r="AI544" s="47"/>
    </row>
    <row r="545" spans="1:35" ht="12.75" customHeight="1">
      <c r="C545" s="43"/>
      <c r="D545" s="39" t="s">
        <v>47</v>
      </c>
      <c r="E545" s="99">
        <f>'[1]SEP ''12'!$C$103</f>
        <v>1467.3999999999999</v>
      </c>
      <c r="G545" s="74"/>
      <c r="H545" s="977">
        <f>SUM(E545:E546)</f>
        <v>1467.3999999999999</v>
      </c>
      <c r="I545" s="60"/>
      <c r="K545" s="362"/>
      <c r="L545" s="327" t="s">
        <v>268</v>
      </c>
      <c r="M545" s="100">
        <f>$M$540</f>
        <v>1115.5900940000101</v>
      </c>
      <c r="N545" s="139">
        <f>M545</f>
        <v>1115.5900940000101</v>
      </c>
      <c r="O545" s="60"/>
      <c r="P545" s="100">
        <f>$Q$504</f>
        <v>-15047.177278481009</v>
      </c>
      <c r="Q545" s="139">
        <f>P545</f>
        <v>-15047.177278481009</v>
      </c>
      <c r="R545" s="100">
        <f t="shared" ref="R545:R546" si="65">15550+Q545</f>
        <v>502.82272151899087</v>
      </c>
      <c r="S545" s="529" t="s">
        <v>357</v>
      </c>
      <c r="T545" s="518" t="s">
        <v>358</v>
      </c>
      <c r="W545" s="542"/>
      <c r="X545" s="191"/>
      <c r="Y545" s="191"/>
      <c r="Z545" s="100"/>
      <c r="AA545" s="661"/>
      <c r="AB545" s="60"/>
      <c r="AC545" s="47"/>
      <c r="AD545" s="172"/>
      <c r="AE545" s="173"/>
      <c r="AF545" s="47"/>
      <c r="AG545" s="47"/>
      <c r="AH545" s="47"/>
      <c r="AI545" s="47"/>
    </row>
    <row r="546" spans="1:35" ht="12.75" customHeight="1">
      <c r="C546" s="43"/>
      <c r="D546" s="229" t="s">
        <v>267</v>
      </c>
      <c r="E546" s="41"/>
      <c r="G546"/>
      <c r="H546" s="977"/>
      <c r="I546" s="60"/>
      <c r="K546" s="400"/>
      <c r="L546" s="327" t="s">
        <v>47</v>
      </c>
      <c r="M546" s="100">
        <v>400</v>
      </c>
      <c r="N546" s="711">
        <f>N545+M546</f>
        <v>1515.5900940000101</v>
      </c>
      <c r="O546" s="134"/>
      <c r="P546" s="215">
        <v>-196.13</v>
      </c>
      <c r="Q546" s="140">
        <f t="shared" ref="Q546" si="66">Q545+P546</f>
        <v>-15243.307278481008</v>
      </c>
      <c r="R546" s="100">
        <f t="shared" si="65"/>
        <v>306.69272151899168</v>
      </c>
      <c r="S546" s="524" t="s">
        <v>460</v>
      </c>
      <c r="T546" s="541"/>
      <c r="W546" s="191"/>
      <c r="X546" s="191"/>
      <c r="Y546" s="192"/>
      <c r="Z546" s="119"/>
      <c r="AA546" s="662"/>
      <c r="AB546" s="175"/>
      <c r="AC546" s="47"/>
      <c r="AD546" s="91"/>
      <c r="AE546" s="173"/>
      <c r="AF546" s="47"/>
      <c r="AG546" s="47"/>
      <c r="AH546" s="47"/>
      <c r="AI546" s="47"/>
    </row>
    <row r="547" spans="1:35" ht="12.75" customHeight="1">
      <c r="C547" s="45" t="s">
        <v>17</v>
      </c>
      <c r="D547" s="39"/>
      <c r="E547" s="39">
        <f>SUM(E544:E546)</f>
        <v>9970.1</v>
      </c>
      <c r="G547" s="334"/>
      <c r="H547" s="664"/>
      <c r="I547" s="334"/>
      <c r="J547" s="448"/>
      <c r="K547" s="400" t="s">
        <v>265</v>
      </c>
      <c r="L547" s="274" t="s">
        <v>269</v>
      </c>
      <c r="M547" s="100">
        <v>-357</v>
      </c>
      <c r="N547" s="711">
        <f>N546+M547</f>
        <v>1158.5900940000101</v>
      </c>
      <c r="O547" s="106"/>
      <c r="P547" s="106">
        <f>E551</f>
        <v>717.39999999999964</v>
      </c>
      <c r="Q547" s="141">
        <f>Q546+P547</f>
        <v>-14525.907278481009</v>
      </c>
      <c r="R547" s="185">
        <f>15550+Q547</f>
        <v>1024.0927215189913</v>
      </c>
      <c r="S547" s="524" t="s">
        <v>334</v>
      </c>
      <c r="T547" s="541"/>
      <c r="U547" s="191"/>
      <c r="V547" s="47"/>
      <c r="W547" s="191"/>
      <c r="X547" s="191"/>
      <c r="Y547" s="192"/>
      <c r="Z547" s="119"/>
      <c r="AA547" s="662"/>
      <c r="AB547" s="60"/>
      <c r="AC547" s="47"/>
      <c r="AD547" s="172"/>
      <c r="AE547" s="173"/>
      <c r="AF547" s="47"/>
      <c r="AG547" s="47"/>
      <c r="AH547" s="47"/>
      <c r="AI547" s="47"/>
    </row>
    <row r="548" spans="1:35" ht="12.75" customHeight="1">
      <c r="G548" s="47"/>
      <c r="H548" s="663"/>
      <c r="I548" s="100"/>
      <c r="J548" s="650"/>
      <c r="K548" s="400"/>
      <c r="L548" s="274" t="s">
        <v>174</v>
      </c>
      <c r="M548" s="100">
        <v>-200</v>
      </c>
      <c r="N548" s="711">
        <f t="shared" ref="N548:N570" si="67">N547+M548</f>
        <v>958.59009400001014</v>
      </c>
      <c r="O548" s="106"/>
      <c r="P548" s="133">
        <f>SUM(P545:P547)</f>
        <v>-14525.907278481009</v>
      </c>
      <c r="Q548" s="377" t="s">
        <v>285</v>
      </c>
      <c r="R548" s="453"/>
      <c r="S548" s="524"/>
      <c r="T548" s="766"/>
      <c r="U548" s="47"/>
      <c r="V548" s="100"/>
      <c r="W548" s="192"/>
      <c r="X548" s="192"/>
      <c r="Y548" s="192"/>
      <c r="Z548" s="119"/>
      <c r="AA548" s="662"/>
      <c r="AB548" s="60"/>
      <c r="AC548" s="47"/>
      <c r="AD548" s="172"/>
      <c r="AE548" s="173"/>
      <c r="AF548" s="47"/>
      <c r="AG548" s="47"/>
      <c r="AH548" s="47"/>
      <c r="AI548" s="47"/>
    </row>
    <row r="549" spans="1:35" ht="12.75" customHeight="1">
      <c r="A549" s="467"/>
      <c r="C549" s="153" t="s">
        <v>40</v>
      </c>
      <c r="E549" s="97"/>
      <c r="G549"/>
      <c r="H549" s="759"/>
      <c r="I549" s="448"/>
      <c r="J549" s="448"/>
      <c r="K549" s="400"/>
      <c r="L549" s="274" t="s">
        <v>482</v>
      </c>
      <c r="M549" s="100">
        <v>-470</v>
      </c>
      <c r="N549" s="711">
        <f t="shared" si="67"/>
        <v>488.59009400001014</v>
      </c>
      <c r="O549" s="88"/>
      <c r="P549" s="136"/>
      <c r="Q549" s="725"/>
      <c r="R549" s="213"/>
      <c r="S549" s="524"/>
      <c r="T549" s="766"/>
      <c r="U549" s="47"/>
      <c r="V549" s="100"/>
      <c r="W549" s="183"/>
      <c r="X549" s="191"/>
      <c r="Y549" s="192"/>
      <c r="Z549" s="119"/>
      <c r="AA549" s="662"/>
      <c r="AB549" s="175"/>
      <c r="AC549" s="47"/>
      <c r="AD549" s="176"/>
      <c r="AE549" s="173"/>
      <c r="AF549" s="47"/>
      <c r="AG549" s="47"/>
      <c r="AH549" s="47"/>
      <c r="AI549" s="47"/>
    </row>
    <row r="550" spans="1:35" ht="12.75" customHeight="1">
      <c r="A550" s="467"/>
      <c r="D550" s="47" t="s">
        <v>37</v>
      </c>
      <c r="E550" s="97">
        <f>E544</f>
        <v>8502.7000000000007</v>
      </c>
      <c r="F550" s="47"/>
      <c r="G550" s="47"/>
      <c r="H550" s="663">
        <f>G551+E551+G552+G553</f>
        <v>1467.3999999999996</v>
      </c>
      <c r="I550" s="448"/>
      <c r="J550" s="448"/>
      <c r="K550" s="350"/>
      <c r="L550" s="196" t="s">
        <v>176</v>
      </c>
      <c r="M550" s="100">
        <v>-173.26</v>
      </c>
      <c r="N550" s="711">
        <f t="shared" si="67"/>
        <v>315.33009400001015</v>
      </c>
      <c r="O550" s="88"/>
      <c r="P550" s="136"/>
      <c r="Q550" s="132"/>
      <c r="R550" s="132"/>
      <c r="S550" s="524"/>
      <c r="T550" s="766"/>
      <c r="U550" s="47"/>
      <c r="V550" s="100"/>
      <c r="W550" s="191"/>
      <c r="X550" s="191"/>
      <c r="Y550" s="192"/>
      <c r="Z550" s="119"/>
      <c r="AA550" s="662"/>
      <c r="AB550" s="60"/>
      <c r="AC550" s="47"/>
      <c r="AD550" s="91"/>
      <c r="AE550" s="173"/>
      <c r="AF550" s="47"/>
      <c r="AG550" s="47"/>
      <c r="AH550" s="47"/>
      <c r="AI550" s="47"/>
    </row>
    <row r="551" spans="1:35" ht="12.75" customHeight="1">
      <c r="A551" s="467"/>
      <c r="D551" s="150" t="s">
        <v>36</v>
      </c>
      <c r="E551" s="651">
        <f>E547-E550-G551-M556</f>
        <v>717.39999999999964</v>
      </c>
      <c r="F551" s="650" t="s">
        <v>442</v>
      </c>
      <c r="G551" s="963">
        <v>400</v>
      </c>
      <c r="H551" s="963"/>
      <c r="I551" s="448"/>
      <c r="K551" s="400"/>
      <c r="L551" s="274" t="s">
        <v>372</v>
      </c>
      <c r="M551" s="100">
        <v>-138.69999999999999</v>
      </c>
      <c r="N551" s="711">
        <f t="shared" si="67"/>
        <v>176.63009400001016</v>
      </c>
      <c r="O551" s="88"/>
      <c r="P551" s="568"/>
      <c r="Q551" s="361"/>
      <c r="R551" s="132"/>
      <c r="S551" s="524"/>
      <c r="T551" s="766"/>
      <c r="U551" s="47"/>
      <c r="V551" s="215"/>
      <c r="W551" s="47"/>
      <c r="X551" s="47"/>
      <c r="Y551" s="192"/>
      <c r="Z551" s="331"/>
      <c r="AA551" s="174"/>
      <c r="AB551" s="60"/>
      <c r="AC551" s="47"/>
      <c r="AD551" s="172"/>
      <c r="AE551" s="173"/>
      <c r="AF551" s="47"/>
      <c r="AG551" s="47"/>
      <c r="AH551" s="47"/>
      <c r="AI551" s="47"/>
    </row>
    <row r="552" spans="1:35" ht="12.75" customHeight="1">
      <c r="A552" s="467"/>
      <c r="D552" s="47"/>
      <c r="E552" s="60"/>
      <c r="F552" s="650" t="s">
        <v>442</v>
      </c>
      <c r="G552" s="963">
        <f>M556</f>
        <v>350</v>
      </c>
      <c r="H552" s="963"/>
      <c r="I552" s="448"/>
      <c r="J552" s="48"/>
      <c r="K552" s="650" t="s">
        <v>442</v>
      </c>
      <c r="L552" s="196" t="s">
        <v>47</v>
      </c>
      <c r="M552" s="758">
        <v>400</v>
      </c>
      <c r="N552" s="711">
        <f t="shared" si="67"/>
        <v>576.6300940000101</v>
      </c>
      <c r="O552" s="88"/>
      <c r="P552" s="479"/>
      <c r="Q552" s="132"/>
      <c r="R552" s="132"/>
      <c r="S552" s="524"/>
      <c r="T552" s="766"/>
      <c r="U552" s="47"/>
      <c r="V552" s="100"/>
      <c r="W552" s="60"/>
      <c r="X552" s="47"/>
      <c r="Y552" s="192"/>
      <c r="Z552" s="331"/>
      <c r="AA552" s="174"/>
      <c r="AB552" s="175"/>
      <c r="AC552" s="47"/>
      <c r="AD552" s="172"/>
      <c r="AE552" s="173"/>
      <c r="AF552" s="47"/>
      <c r="AG552" s="47"/>
      <c r="AH552" s="47"/>
      <c r="AI552" s="47"/>
    </row>
    <row r="553" spans="1:35" ht="12.75" customHeight="1" thickBot="1">
      <c r="A553" s="467"/>
      <c r="D553" s="47"/>
      <c r="E553" s="60"/>
      <c r="F553" s="650" t="s">
        <v>442</v>
      </c>
      <c r="G553" s="963"/>
      <c r="H553" s="963"/>
      <c r="I553" s="448"/>
      <c r="J553" s="48"/>
      <c r="K553" s="350" t="s">
        <v>468</v>
      </c>
      <c r="L553" s="196" t="s">
        <v>266</v>
      </c>
      <c r="M553" s="100">
        <v>-533.94000000000005</v>
      </c>
      <c r="N553" s="711">
        <f t="shared" si="67"/>
        <v>42.690094000010049</v>
      </c>
      <c r="O553" s="88"/>
      <c r="P553" s="136"/>
      <c r="Q553" s="180"/>
      <c r="R553" s="132"/>
      <c r="S553" s="524"/>
      <c r="T553" s="766"/>
      <c r="U553" s="47"/>
      <c r="V553" s="100"/>
      <c r="W553" s="60"/>
      <c r="X553" s="47"/>
      <c r="Y553" s="192"/>
      <c r="Z553" s="331"/>
      <c r="AA553" s="174"/>
      <c r="AB553" s="60"/>
      <c r="AC553" s="47"/>
      <c r="AD553" s="172"/>
      <c r="AE553" s="177"/>
      <c r="AF553" s="47"/>
      <c r="AG553" s="47"/>
      <c r="AH553" s="47"/>
      <c r="AI553" s="47"/>
    </row>
    <row r="554" spans="1:35" ht="12.75" customHeight="1" thickTop="1">
      <c r="A554" s="467"/>
      <c r="D554" s="47"/>
      <c r="E554" s="60"/>
      <c r="F554" s="204"/>
      <c r="G554" s="965">
        <f>E550+E551+G552+G551+G553</f>
        <v>9970.1</v>
      </c>
      <c r="H554" s="965"/>
      <c r="I554" s="448"/>
      <c r="K554" s="400"/>
      <c r="L554" s="274" t="s">
        <v>483</v>
      </c>
      <c r="M554" s="100">
        <f>1000-285.65-691.95</f>
        <v>22.399999999999977</v>
      </c>
      <c r="N554" s="711">
        <f t="shared" si="67"/>
        <v>65.090094000010026</v>
      </c>
      <c r="O554" s="88"/>
      <c r="P554" s="479"/>
      <c r="Q554" s="132"/>
      <c r="R554" s="132"/>
      <c r="S554" s="531"/>
      <c r="T554" s="766"/>
      <c r="U554" s="142"/>
      <c r="V554" s="60"/>
      <c r="W554" s="60"/>
      <c r="X554" s="171"/>
      <c r="Y554" s="47"/>
      <c r="Z554" s="331"/>
      <c r="AA554" s="174"/>
      <c r="AB554" s="175"/>
      <c r="AC554" s="47"/>
      <c r="AD554" s="178"/>
      <c r="AE554" s="173"/>
      <c r="AF554" s="765"/>
      <c r="AG554" s="47"/>
      <c r="AH554" s="47"/>
      <c r="AI554" s="47"/>
    </row>
    <row r="555" spans="1:35" ht="12.75" customHeight="1">
      <c r="A555" s="467"/>
      <c r="D555" s="47"/>
      <c r="E555" s="60"/>
      <c r="F555" s="204"/>
      <c r="G555" s="763"/>
      <c r="H555" s="763"/>
      <c r="I555" s="448"/>
      <c r="J555" s="683"/>
      <c r="K555" s="400"/>
      <c r="L555" s="274" t="s">
        <v>483</v>
      </c>
      <c r="M555" s="100">
        <f>1000-98-482.51-153.2-60.68</f>
        <v>205.61</v>
      </c>
      <c r="N555" s="711">
        <f t="shared" si="67"/>
        <v>270.70009400001004</v>
      </c>
      <c r="O555" s="88"/>
      <c r="P555" s="136"/>
      <c r="Q555" s="180"/>
      <c r="R555" s="187"/>
      <c r="S555" s="528"/>
      <c r="T555" s="766"/>
      <c r="U555" s="134"/>
      <c r="V555" s="60"/>
      <c r="W555" s="60"/>
      <c r="X555" s="84"/>
      <c r="Y555" s="47"/>
      <c r="Z555" s="331"/>
      <c r="AA555" s="174"/>
      <c r="AB555" s="60"/>
      <c r="AC555" s="47"/>
      <c r="AD555" s="47"/>
      <c r="AE555" s="47"/>
      <c r="AF555" s="179"/>
      <c r="AG555" s="47"/>
      <c r="AH555" s="47"/>
      <c r="AI555" s="47"/>
    </row>
    <row r="556" spans="1:35" ht="12.75" customHeight="1">
      <c r="A556" s="727"/>
      <c r="B556" s="727"/>
      <c r="C556" s="727"/>
      <c r="D556" s="727"/>
      <c r="E556" s="727"/>
      <c r="F556" s="204"/>
      <c r="G556" s="763"/>
      <c r="H556" s="763"/>
      <c r="I556" s="665"/>
      <c r="J556" s="683"/>
      <c r="K556" s="650" t="s">
        <v>442</v>
      </c>
      <c r="L556" s="196" t="s">
        <v>47</v>
      </c>
      <c r="M556" s="758">
        <v>350</v>
      </c>
      <c r="N556" s="711">
        <f t="shared" si="67"/>
        <v>620.70009400001004</v>
      </c>
      <c r="O556" s="88"/>
      <c r="P556" s="136"/>
      <c r="Q556" s="180"/>
      <c r="R556" s="187"/>
      <c r="S556" s="528"/>
      <c r="T556" s="766"/>
      <c r="U556" s="134"/>
      <c r="V556" s="47"/>
      <c r="W556" s="47"/>
      <c r="X556" s="47"/>
      <c r="Y556" s="191"/>
      <c r="Z556" s="331"/>
      <c r="AA556" s="174"/>
      <c r="AB556" s="60"/>
      <c r="AC556" s="47"/>
      <c r="AD556" s="47"/>
      <c r="AE556" s="47"/>
      <c r="AF556" s="47"/>
      <c r="AG556" s="47"/>
      <c r="AH556" s="47"/>
      <c r="AI556" s="47"/>
    </row>
    <row r="557" spans="1:35" ht="12.75" customHeight="1">
      <c r="A557" s="727"/>
      <c r="B557" s="727"/>
      <c r="C557" s="727"/>
      <c r="D557" s="727"/>
      <c r="E557" s="727"/>
      <c r="F557" s="204"/>
      <c r="G557" s="768"/>
      <c r="H557" s="768"/>
      <c r="I557" s="665"/>
      <c r="J557" s="683"/>
      <c r="K557" s="650"/>
      <c r="L557" s="196" t="s">
        <v>385</v>
      </c>
      <c r="M557" s="100">
        <v>-109.9</v>
      </c>
      <c r="N557" s="711">
        <f t="shared" si="67"/>
        <v>510.80009400001006</v>
      </c>
      <c r="O557" s="88"/>
      <c r="P557" s="136"/>
      <c r="Q557" s="180"/>
      <c r="R557" s="187"/>
      <c r="S557" s="528"/>
      <c r="T557" s="767"/>
      <c r="U557" s="134"/>
      <c r="V557" s="47"/>
      <c r="W557" s="47"/>
      <c r="X557" s="47"/>
      <c r="Y557" s="191"/>
      <c r="Z557" s="331"/>
      <c r="AA557" s="174"/>
      <c r="AB557" s="60"/>
      <c r="AC557" s="47"/>
      <c r="AD557" s="47"/>
      <c r="AE557" s="47"/>
      <c r="AF557" s="47"/>
      <c r="AG557" s="47"/>
      <c r="AH557" s="47"/>
      <c r="AI557" s="47"/>
    </row>
    <row r="558" spans="1:35" ht="12.75" customHeight="1">
      <c r="A558" s="727"/>
      <c r="B558" s="727"/>
      <c r="C558" s="727"/>
      <c r="D558" s="727"/>
      <c r="E558" s="727"/>
      <c r="F558" s="204"/>
      <c r="G558" s="768"/>
      <c r="H558" s="768"/>
      <c r="I558" s="665"/>
      <c r="J558" s="683"/>
      <c r="K558" s="650"/>
      <c r="L558" s="196" t="s">
        <v>485</v>
      </c>
      <c r="M558" s="100">
        <v>-175.96</v>
      </c>
      <c r="N558" s="711">
        <f t="shared" si="67"/>
        <v>334.84009400001003</v>
      </c>
      <c r="O558" s="88"/>
      <c r="P558" s="671"/>
      <c r="Q558" s="672"/>
      <c r="R558" s="673"/>
      <c r="S558" s="674"/>
      <c r="T558" s="767"/>
      <c r="U558" s="134"/>
      <c r="V558" s="47"/>
      <c r="W558" s="47"/>
      <c r="X558" s="47"/>
      <c r="Y558" s="191"/>
      <c r="Z558" s="331"/>
      <c r="AA558" s="174"/>
      <c r="AB558" s="60"/>
      <c r="AC558" s="47"/>
      <c r="AD558" s="47"/>
      <c r="AE558" s="47"/>
      <c r="AF558" s="47"/>
      <c r="AG558" s="47"/>
      <c r="AH558" s="47"/>
      <c r="AI558" s="47"/>
    </row>
    <row r="559" spans="1:35" ht="12.75" customHeight="1">
      <c r="A559" s="552"/>
      <c r="B559" s="552"/>
      <c r="C559" s="553"/>
      <c r="D559" s="554"/>
      <c r="E559" s="555"/>
      <c r="F559" s="556"/>
      <c r="G559" s="557"/>
      <c r="H559" s="656"/>
      <c r="I559" s="666"/>
      <c r="K559" s="350" t="s">
        <v>264</v>
      </c>
      <c r="L559" s="357" t="s">
        <v>87</v>
      </c>
      <c r="M559" s="232">
        <f>E550</f>
        <v>8502.7000000000007</v>
      </c>
      <c r="N559" s="711">
        <f t="shared" si="67"/>
        <v>8837.5400940000109</v>
      </c>
      <c r="O559" s="97"/>
      <c r="P559" s="671"/>
      <c r="Q559" s="672"/>
      <c r="R559" s="673"/>
      <c r="S559" s="674"/>
      <c r="T559" s="675"/>
      <c r="U559" s="134"/>
      <c r="V559" s="47"/>
      <c r="W559" s="47"/>
      <c r="X559" s="171"/>
      <c r="Y559" s="191"/>
      <c r="Z559" s="331"/>
      <c r="AA559" s="174"/>
      <c r="AB559" s="175"/>
      <c r="AC559" s="47"/>
      <c r="AD559" s="47"/>
      <c r="AE559" s="47"/>
      <c r="AF559" s="47"/>
      <c r="AG559" s="47"/>
      <c r="AH559" s="47"/>
      <c r="AI559" s="47"/>
    </row>
    <row r="560" spans="1:35" ht="12.75" customHeight="1">
      <c r="H560" s="657"/>
      <c r="I560" s="667"/>
      <c r="K560" s="350" t="s">
        <v>264</v>
      </c>
      <c r="L560" s="357" t="s">
        <v>489</v>
      </c>
      <c r="M560" s="232">
        <v>-4120</v>
      </c>
      <c r="N560" s="711">
        <f t="shared" si="67"/>
        <v>4717.5400940000109</v>
      </c>
      <c r="O560" s="60"/>
      <c r="P560" s="671"/>
      <c r="Q560" s="672"/>
      <c r="R560" s="673"/>
      <c r="S560" s="674"/>
      <c r="T560" s="675"/>
      <c r="U560" s="134"/>
      <c r="V560" s="47"/>
      <c r="W560" s="47"/>
      <c r="X560" s="47"/>
      <c r="Y560" s="191"/>
      <c r="Z560" s="331"/>
      <c r="AA560" s="174"/>
      <c r="AB560" s="60"/>
      <c r="AC560" s="47"/>
      <c r="AD560" s="47"/>
      <c r="AE560" s="47"/>
      <c r="AF560" s="47"/>
      <c r="AG560" s="765"/>
      <c r="AH560" s="47"/>
      <c r="AI560" s="47"/>
    </row>
    <row r="561" spans="2:35" ht="12.75" customHeight="1">
      <c r="H561" s="657"/>
      <c r="I561" s="667"/>
      <c r="J561" s="690"/>
      <c r="K561" s="165" t="s">
        <v>264</v>
      </c>
      <c r="L561" s="357" t="s">
        <v>222</v>
      </c>
      <c r="M561" s="100">
        <v>-69</v>
      </c>
      <c r="N561" s="711">
        <f t="shared" si="67"/>
        <v>4648.5400940000109</v>
      </c>
      <c r="O561" s="60"/>
      <c r="P561" s="671"/>
      <c r="Q561" s="672"/>
      <c r="R561" s="673"/>
      <c r="S561" s="674"/>
      <c r="T561" s="675"/>
      <c r="U561" s="163"/>
      <c r="V561" s="47"/>
      <c r="W561" s="47"/>
      <c r="X561" s="47"/>
      <c r="Y561" s="191"/>
      <c r="Z561" s="331"/>
      <c r="AA561" s="174"/>
      <c r="AB561" s="60"/>
      <c r="AC561" s="47"/>
      <c r="AD561" s="47"/>
      <c r="AE561" s="47"/>
      <c r="AF561" s="47"/>
      <c r="AG561" s="47"/>
      <c r="AH561" s="47"/>
      <c r="AI561" s="47"/>
    </row>
    <row r="562" spans="2:35" ht="12.75" customHeight="1">
      <c r="H562" s="763"/>
      <c r="I562" s="665"/>
      <c r="K562" s="350" t="s">
        <v>264</v>
      </c>
      <c r="L562" s="357" t="s">
        <v>97</v>
      </c>
      <c r="M562" s="100">
        <v>-252.5</v>
      </c>
      <c r="N562" s="711">
        <f t="shared" si="67"/>
        <v>4396.0400940000109</v>
      </c>
      <c r="O562" s="60"/>
      <c r="P562" s="671"/>
      <c r="Q562" s="672"/>
      <c r="R562" s="673"/>
      <c r="S562" s="674"/>
      <c r="T562" s="675"/>
      <c r="U562" s="164"/>
      <c r="V562" s="60"/>
      <c r="W562" s="60"/>
      <c r="X562" s="171"/>
      <c r="Y562" s="47"/>
      <c r="Z562" s="331"/>
      <c r="AA562" s="174"/>
      <c r="AB562" s="60"/>
      <c r="AC562" s="47"/>
      <c r="AD562" s="47"/>
      <c r="AE562" s="47"/>
      <c r="AF562" s="47"/>
      <c r="AG562" s="47"/>
      <c r="AH562" s="47"/>
      <c r="AI562" s="47"/>
    </row>
    <row r="563" spans="2:35" ht="12.75" customHeight="1">
      <c r="H563" s="763"/>
      <c r="I563" s="681"/>
      <c r="K563" s="350" t="s">
        <v>264</v>
      </c>
      <c r="L563" s="357" t="s">
        <v>237</v>
      </c>
      <c r="M563" s="100">
        <v>-1738</v>
      </c>
      <c r="N563" s="711">
        <f t="shared" si="67"/>
        <v>2658.0400940000109</v>
      </c>
      <c r="O563" s="60"/>
      <c r="P563" s="671"/>
      <c r="Q563" s="672"/>
      <c r="R563" s="673"/>
      <c r="S563" s="674"/>
      <c r="T563" s="675"/>
      <c r="U563" s="47"/>
      <c r="V563" s="60"/>
      <c r="W563" s="60"/>
      <c r="X563" s="171"/>
      <c r="Y563" s="47"/>
      <c r="Z563" s="331"/>
      <c r="AA563" s="174"/>
      <c r="AB563" s="60"/>
      <c r="AC563" s="47"/>
      <c r="AD563" s="47"/>
      <c r="AE563" s="47"/>
      <c r="AF563" s="47"/>
      <c r="AG563" s="47"/>
      <c r="AH563" s="47"/>
      <c r="AI563" s="47"/>
    </row>
    <row r="564" spans="2:35" ht="12.75" customHeight="1">
      <c r="H564" s="763"/>
      <c r="K564" s="350" t="s">
        <v>264</v>
      </c>
      <c r="L564" s="357" t="s">
        <v>394</v>
      </c>
      <c r="M564" s="100">
        <v>-200</v>
      </c>
      <c r="N564" s="711">
        <f t="shared" si="67"/>
        <v>2458.0400940000109</v>
      </c>
      <c r="O564" s="363"/>
      <c r="P564" s="671"/>
      <c r="Q564" s="672"/>
      <c r="R564" s="673"/>
      <c r="S564" s="674"/>
      <c r="T564" s="675"/>
      <c r="U564" s="47"/>
      <c r="V564" s="60"/>
      <c r="W564" s="60"/>
      <c r="X564" s="171"/>
      <c r="Y564" s="47"/>
      <c r="Z564" s="331"/>
      <c r="AA564" s="174"/>
      <c r="AB564" s="60"/>
      <c r="AC564" s="47"/>
      <c r="AD564" s="47"/>
      <c r="AE564" s="47"/>
      <c r="AF564" s="47"/>
      <c r="AG564" s="47"/>
      <c r="AH564" s="47"/>
      <c r="AI564" s="47"/>
    </row>
    <row r="565" spans="2:35" ht="12.75" customHeight="1">
      <c r="H565" s="769"/>
      <c r="K565" s="355"/>
      <c r="L565" s="357" t="s">
        <v>486</v>
      </c>
      <c r="M565" s="100">
        <v>-300</v>
      </c>
      <c r="N565" s="711">
        <f t="shared" si="67"/>
        <v>2158.0400940000109</v>
      </c>
      <c r="O565" s="363"/>
      <c r="P565" s="671"/>
      <c r="Q565" s="672"/>
      <c r="R565" s="673"/>
      <c r="S565" s="674"/>
      <c r="T565" s="675"/>
      <c r="U565" s="47"/>
      <c r="V565" s="60"/>
      <c r="W565" s="60"/>
      <c r="X565" s="171"/>
      <c r="Y565" s="47"/>
      <c r="Z565" s="331"/>
      <c r="AA565" s="174"/>
      <c r="AB565" s="60"/>
      <c r="AC565" s="47"/>
      <c r="AD565" s="47"/>
      <c r="AE565" s="47"/>
      <c r="AF565" s="47"/>
      <c r="AG565" s="47"/>
      <c r="AH565" s="47"/>
      <c r="AI565" s="47"/>
    </row>
    <row r="566" spans="2:35" ht="12.75" customHeight="1">
      <c r="H566" s="763"/>
      <c r="K566" s="350" t="s">
        <v>453</v>
      </c>
      <c r="L566" s="357" t="s">
        <v>189</v>
      </c>
      <c r="M566" s="100">
        <v>250</v>
      </c>
      <c r="N566" s="711">
        <f t="shared" si="67"/>
        <v>2408.0400940000109</v>
      </c>
      <c r="O566" s="345"/>
      <c r="P566" s="770"/>
      <c r="Q566" s="672"/>
      <c r="R566" s="673"/>
      <c r="S566" s="674"/>
      <c r="T566" s="675"/>
      <c r="U566" s="47"/>
      <c r="V566" s="60"/>
      <c r="W566" s="60"/>
      <c r="X566" s="171"/>
      <c r="Y566" s="47"/>
      <c r="Z566" s="331"/>
      <c r="AA566" s="174"/>
      <c r="AB566" s="60"/>
      <c r="AC566" s="47"/>
      <c r="AD566" s="47"/>
      <c r="AE566" s="47"/>
      <c r="AF566" s="47"/>
      <c r="AG566" s="47"/>
      <c r="AH566" s="47"/>
      <c r="AI566" s="47"/>
    </row>
    <row r="567" spans="2:35" ht="12.75" customHeight="1">
      <c r="H567" s="763"/>
      <c r="I567" s="690"/>
      <c r="K567" s="350" t="s">
        <v>453</v>
      </c>
      <c r="L567" s="357" t="s">
        <v>451</v>
      </c>
      <c r="M567" s="100">
        <v>250</v>
      </c>
      <c r="N567" s="711">
        <f t="shared" si="67"/>
        <v>2658.0400940000109</v>
      </c>
      <c r="O567" s="345"/>
      <c r="P567" s="671"/>
      <c r="Q567" s="672"/>
      <c r="R567" s="673"/>
      <c r="S567" s="674"/>
      <c r="T567" s="675"/>
      <c r="U567" s="47"/>
      <c r="V567" s="60"/>
      <c r="W567" s="60"/>
      <c r="X567" s="171"/>
      <c r="Y567" s="47"/>
      <c r="Z567" s="331"/>
      <c r="AA567" s="174"/>
      <c r="AB567" s="60"/>
      <c r="AC567" s="47"/>
      <c r="AD567" s="47"/>
      <c r="AE567" s="47"/>
      <c r="AF567" s="47"/>
      <c r="AG567" s="47"/>
      <c r="AH567" s="47"/>
      <c r="AI567" s="47"/>
    </row>
    <row r="568" spans="2:35" ht="12.75" customHeight="1">
      <c r="H568" s="763"/>
      <c r="I568" s="551"/>
      <c r="J568" s="694"/>
      <c r="K568" s="165" t="s">
        <v>231</v>
      </c>
      <c r="L568" s="358" t="s">
        <v>39</v>
      </c>
      <c r="M568" s="262">
        <v>-517.99</v>
      </c>
      <c r="N568" s="711">
        <f t="shared" si="67"/>
        <v>2140.0500940000111</v>
      </c>
      <c r="O568" s="345"/>
      <c r="P568" s="776"/>
      <c r="Q568" s="672"/>
      <c r="R568" s="673"/>
      <c r="S568" s="674"/>
      <c r="T568" s="675"/>
      <c r="U568" s="47"/>
      <c r="V568" s="60"/>
      <c r="W568" s="60"/>
      <c r="X568" s="171"/>
      <c r="Y568" s="47"/>
      <c r="Z568" s="331"/>
      <c r="AA568" s="174"/>
      <c r="AB568" s="60"/>
      <c r="AC568" s="47"/>
      <c r="AD568" s="47"/>
      <c r="AE568" s="47"/>
      <c r="AF568" s="47"/>
      <c r="AG568" s="47"/>
      <c r="AH568" s="47"/>
      <c r="AI568" s="47"/>
    </row>
    <row r="569" spans="2:35" ht="12.75" customHeight="1">
      <c r="H569" s="763"/>
      <c r="K569" s="350" t="s">
        <v>231</v>
      </c>
      <c r="L569" s="359" t="s">
        <v>92</v>
      </c>
      <c r="M569" s="262">
        <v>-900</v>
      </c>
      <c r="N569" s="704">
        <f t="shared" si="67"/>
        <v>1240.0500940000111</v>
      </c>
      <c r="O569" s="345"/>
      <c r="P569" s="671"/>
      <c r="Q569" s="672"/>
      <c r="R569" s="673"/>
      <c r="S569" s="674"/>
      <c r="T569" s="675"/>
      <c r="U569" s="47"/>
      <c r="V569" s="60"/>
      <c r="W569" s="60"/>
      <c r="X569" s="171"/>
      <c r="Y569" s="47"/>
      <c r="Z569" s="331"/>
      <c r="AA569" s="174"/>
      <c r="AB569" s="60"/>
      <c r="AC569" s="47"/>
      <c r="AD569" s="47"/>
      <c r="AE569" s="47"/>
      <c r="AF569" s="47"/>
      <c r="AG569" s="47"/>
      <c r="AH569" s="47"/>
      <c r="AI569" s="47"/>
    </row>
    <row r="570" spans="2:35" ht="12.75" customHeight="1">
      <c r="H570" s="763"/>
      <c r="I570" s="705"/>
      <c r="J570" s="706"/>
      <c r="K570" s="350" t="s">
        <v>232</v>
      </c>
      <c r="L570" s="359" t="s">
        <v>457</v>
      </c>
      <c r="M570" s="262">
        <v>-63.85</v>
      </c>
      <c r="N570" s="704">
        <f t="shared" si="67"/>
        <v>1176.2000940000112</v>
      </c>
      <c r="O570" s="345"/>
      <c r="P570" s="671"/>
      <c r="Q570" s="672"/>
      <c r="R570" s="673"/>
      <c r="S570" s="674"/>
      <c r="T570" s="675"/>
      <c r="U570" s="47"/>
      <c r="V570" s="60"/>
      <c r="W570" s="60"/>
      <c r="X570" s="171"/>
      <c r="Y570" s="47"/>
      <c r="Z570" s="331"/>
      <c r="AA570" s="174"/>
      <c r="AB570" s="60"/>
      <c r="AC570" s="47"/>
      <c r="AD570" s="47"/>
      <c r="AE570" s="47"/>
      <c r="AF570" s="47"/>
      <c r="AG570" s="47"/>
      <c r="AH570" s="47"/>
      <c r="AI570" s="47"/>
    </row>
    <row r="571" spans="2:35" ht="12.75" customHeight="1">
      <c r="H571" s="763"/>
      <c r="I571" s="47"/>
      <c r="J571" s="707"/>
      <c r="K571" s="469" t="s">
        <v>232</v>
      </c>
      <c r="L571" s="360" t="s">
        <v>46</v>
      </c>
      <c r="M571" s="516">
        <v>-390.2</v>
      </c>
      <c r="N571" s="751">
        <f>N570+M571</f>
        <v>786.00009400001113</v>
      </c>
      <c r="O571" s="345"/>
      <c r="P571" s="771"/>
      <c r="Q571" s="672"/>
      <c r="R571" s="673"/>
      <c r="S571" s="674"/>
      <c r="T571" s="675"/>
      <c r="U571" s="47"/>
      <c r="V571" s="60"/>
      <c r="W571" s="60"/>
      <c r="X571" s="171"/>
      <c r="Y571" s="47"/>
      <c r="Z571" s="331"/>
      <c r="AA571" s="174"/>
      <c r="AB571" s="60"/>
      <c r="AC571" s="47"/>
      <c r="AD571" s="47"/>
      <c r="AE571" s="47"/>
      <c r="AF571" s="47"/>
      <c r="AG571" s="47"/>
      <c r="AH571" s="47"/>
      <c r="AI571" s="47"/>
    </row>
    <row r="572" spans="2:35" ht="12.75" customHeight="1">
      <c r="H572" s="763"/>
      <c r="I572" s="47"/>
      <c r="J572" s="676"/>
      <c r="L572" s="58"/>
      <c r="M572" s="255">
        <f>SUM(M545:M571)</f>
        <v>786.00009400001113</v>
      </c>
      <c r="N572" s="399"/>
      <c r="O572" s="60"/>
      <c r="T572" s="675"/>
      <c r="U572" s="47"/>
      <c r="V572" s="60"/>
      <c r="W572" s="60"/>
      <c r="X572" s="171"/>
      <c r="Y572" s="47"/>
      <c r="Z572" s="331"/>
      <c r="AA572" s="174"/>
      <c r="AB572" s="60"/>
      <c r="AC572" s="47"/>
      <c r="AD572" s="47"/>
      <c r="AE572" s="47"/>
      <c r="AF572" s="47"/>
      <c r="AG572" s="47"/>
      <c r="AH572" s="47"/>
      <c r="AI572" s="47"/>
    </row>
    <row r="573" spans="2:35" s="150" customFormat="1" ht="12.75" customHeight="1">
      <c r="E573" s="41"/>
      <c r="G573" s="211"/>
      <c r="H573" s="689"/>
      <c r="J573" s="773"/>
      <c r="K573" s="637"/>
      <c r="L573" s="211"/>
      <c r="M573" s="41"/>
      <c r="N573" s="774"/>
      <c r="O573" s="245"/>
      <c r="P573" s="41"/>
      <c r="Q573" s="41"/>
      <c r="R573" s="41"/>
      <c r="S573" s="535"/>
      <c r="V573" s="41"/>
      <c r="W573" s="41"/>
      <c r="X573" s="244"/>
      <c r="Z573" s="245"/>
      <c r="AA573" s="246"/>
      <c r="AB573" s="41"/>
    </row>
    <row r="574" spans="2:35" ht="12.75" customHeight="1">
      <c r="H574" s="763"/>
      <c r="I574" s="47"/>
      <c r="J574" s="676"/>
      <c r="K574" s="772"/>
      <c r="L574" s="581"/>
      <c r="M574" s="188"/>
      <c r="N574" s="567"/>
      <c r="O574" s="331"/>
      <c r="U574" s="47"/>
      <c r="V574" s="60"/>
      <c r="W574" s="60"/>
      <c r="X574" s="171"/>
      <c r="Y574" s="47"/>
      <c r="Z574" s="331"/>
      <c r="AA574" s="174"/>
      <c r="AB574" s="60"/>
      <c r="AC574" s="47"/>
      <c r="AD574" s="47"/>
      <c r="AE574" s="47"/>
      <c r="AF574" s="47"/>
      <c r="AG574" s="47"/>
      <c r="AH574" s="47"/>
      <c r="AI574" s="47"/>
    </row>
    <row r="575" spans="2:35" ht="12.75" customHeight="1">
      <c r="B575" s="966" t="s">
        <v>484</v>
      </c>
      <c r="C575" s="966"/>
      <c r="D575" s="966"/>
      <c r="E575" s="966"/>
      <c r="G575" s="352"/>
      <c r="H575" s="352"/>
      <c r="I575" s="60"/>
      <c r="K575" s="350"/>
      <c r="L575" s="180"/>
      <c r="M575" s="970" t="s">
        <v>90</v>
      </c>
      <c r="N575" s="786"/>
      <c r="O575" s="791"/>
      <c r="P575" s="972" t="s">
        <v>84</v>
      </c>
      <c r="Q575" s="974" t="s">
        <v>284</v>
      </c>
      <c r="R575" s="974"/>
      <c r="S575" s="528"/>
      <c r="X575" s="84"/>
      <c r="Y575" s="84"/>
      <c r="Z575" s="60"/>
      <c r="AA575" s="792"/>
      <c r="AB575" s="60"/>
      <c r="AC575" s="47"/>
      <c r="AD575" s="47"/>
      <c r="AE575" s="47"/>
      <c r="AF575" s="47"/>
      <c r="AG575" s="47"/>
      <c r="AH575" s="47"/>
      <c r="AI575" s="47"/>
    </row>
    <row r="576" spans="2:35" ht="12.75" customHeight="1">
      <c r="C576" s="43" t="s">
        <v>435</v>
      </c>
      <c r="D576" s="39"/>
      <c r="E576" s="99">
        <v>8502.7000000000007</v>
      </c>
      <c r="G576" s="976"/>
      <c r="H576" s="976"/>
      <c r="I576" s="60"/>
      <c r="K576" s="351" t="s">
        <v>263</v>
      </c>
      <c r="L576" s="242"/>
      <c r="M576" s="971"/>
      <c r="N576" s="786" t="s">
        <v>79</v>
      </c>
      <c r="O576" s="791"/>
      <c r="P576" s="973"/>
      <c r="Q576" s="787" t="s">
        <v>79</v>
      </c>
      <c r="R576" s="788" t="s">
        <v>89</v>
      </c>
      <c r="S576" s="528"/>
      <c r="X576" s="198"/>
      <c r="Y576" s="191"/>
      <c r="Z576" s="197"/>
      <c r="AA576" s="169"/>
      <c r="AB576" s="170"/>
      <c r="AC576" s="47"/>
      <c r="AD576" s="91"/>
      <c r="AE576" s="47"/>
      <c r="AF576" s="47"/>
      <c r="AG576" s="47"/>
      <c r="AH576" s="47"/>
      <c r="AI576" s="47"/>
    </row>
    <row r="577" spans="1:35" ht="12.75" customHeight="1">
      <c r="C577" s="43"/>
      <c r="D577" s="39" t="s">
        <v>47</v>
      </c>
      <c r="E577" s="99">
        <f>'[1]OCT ''12'!$C$59</f>
        <v>3275.87</v>
      </c>
      <c r="G577" s="74"/>
      <c r="H577" s="977">
        <f>SUM(E577:E578)</f>
        <v>3275.87</v>
      </c>
      <c r="I577" s="60"/>
      <c r="K577" s="362"/>
      <c r="L577" s="327" t="s">
        <v>268</v>
      </c>
      <c r="M577" s="100">
        <f>$M$572</f>
        <v>786.00009400001113</v>
      </c>
      <c r="N577" s="139">
        <f>M577</f>
        <v>786.00009400001113</v>
      </c>
      <c r="O577" s="60"/>
      <c r="P577" s="100">
        <f>$Q$547</f>
        <v>-14525.907278481009</v>
      </c>
      <c r="Q577" s="139">
        <f>P577</f>
        <v>-14525.907278481009</v>
      </c>
      <c r="R577" s="100">
        <f t="shared" ref="R577:R595" si="68">15550+Q577</f>
        <v>1024.0927215189913</v>
      </c>
      <c r="S577" s="529" t="s">
        <v>357</v>
      </c>
      <c r="T577" s="518" t="s">
        <v>358</v>
      </c>
      <c r="W577" s="542"/>
      <c r="X577" s="191"/>
      <c r="Y577" s="191"/>
      <c r="Z577" s="100"/>
      <c r="AA577" s="661"/>
      <c r="AB577" s="60"/>
      <c r="AC577" s="47"/>
      <c r="AD577" s="172"/>
      <c r="AE577" s="173"/>
      <c r="AF577" s="47"/>
      <c r="AG577" s="47"/>
      <c r="AH577" s="47"/>
      <c r="AI577" s="47"/>
    </row>
    <row r="578" spans="1:35" ht="12.75" customHeight="1">
      <c r="C578" s="43"/>
      <c r="D578" s="229" t="s">
        <v>267</v>
      </c>
      <c r="E578" s="41"/>
      <c r="G578"/>
      <c r="H578" s="977"/>
      <c r="I578" s="60"/>
      <c r="K578" s="650" t="s">
        <v>442</v>
      </c>
      <c r="L578" s="327" t="s">
        <v>47</v>
      </c>
      <c r="M578" s="777">
        <v>200</v>
      </c>
      <c r="N578" s="711">
        <f>N577+M578</f>
        <v>986.00009400001113</v>
      </c>
      <c r="O578" s="134"/>
      <c r="P578" s="215">
        <v>-101.5</v>
      </c>
      <c r="Q578" s="140">
        <f t="shared" ref="Q578:Q596" si="69">Q577+P578</f>
        <v>-14627.407278481009</v>
      </c>
      <c r="R578" s="100">
        <f t="shared" si="68"/>
        <v>922.59272151899131</v>
      </c>
      <c r="S578" s="524" t="s">
        <v>487</v>
      </c>
      <c r="T578" s="541"/>
      <c r="W578" s="191"/>
      <c r="X578" s="191"/>
      <c r="Y578" s="192"/>
      <c r="Z578" s="119"/>
      <c r="AA578" s="662"/>
      <c r="AB578" s="175"/>
      <c r="AC578" s="47"/>
      <c r="AD578" s="91"/>
      <c r="AE578" s="173"/>
      <c r="AF578" s="47"/>
      <c r="AG578" s="47"/>
      <c r="AH578" s="47"/>
      <c r="AI578" s="47"/>
    </row>
    <row r="579" spans="1:35" ht="12.75" customHeight="1">
      <c r="C579" s="45" t="s">
        <v>17</v>
      </c>
      <c r="D579" s="39"/>
      <c r="E579" s="39">
        <f>SUM(E576:E578)</f>
        <v>11778.57</v>
      </c>
      <c r="G579" s="334"/>
      <c r="H579" s="664"/>
      <c r="I579" s="334"/>
      <c r="J579" s="448"/>
      <c r="K579" s="650"/>
      <c r="L579" s="327" t="s">
        <v>183</v>
      </c>
      <c r="M579" s="100">
        <v>-38.979999999999997</v>
      </c>
      <c r="N579" s="711">
        <f>N578+M579</f>
        <v>947.02009400001111</v>
      </c>
      <c r="O579" s="106"/>
      <c r="P579" s="215">
        <v>-158.13999999999999</v>
      </c>
      <c r="Q579" s="140">
        <f t="shared" si="69"/>
        <v>-14785.547278481008</v>
      </c>
      <c r="R579" s="100">
        <f t="shared" si="68"/>
        <v>764.45272151899189</v>
      </c>
      <c r="S579" s="524" t="s">
        <v>299</v>
      </c>
      <c r="T579" s="541"/>
      <c r="U579" s="191"/>
      <c r="V579" s="47"/>
      <c r="W579" s="191"/>
      <c r="X579" s="191"/>
      <c r="Y579" s="192"/>
      <c r="Z579" s="119"/>
      <c r="AA579" s="662"/>
      <c r="AB579" s="60"/>
      <c r="AC579" s="47"/>
      <c r="AD579" s="172"/>
      <c r="AE579" s="173"/>
      <c r="AF579" s="47"/>
      <c r="AG579" s="47"/>
      <c r="AH579" s="47"/>
      <c r="AI579" s="47"/>
    </row>
    <row r="580" spans="1:35" ht="12.75" customHeight="1">
      <c r="G580" s="47"/>
      <c r="H580" s="663"/>
      <c r="I580" s="100"/>
      <c r="J580" s="650"/>
      <c r="K580" s="400"/>
      <c r="L580" s="274" t="s">
        <v>493</v>
      </c>
      <c r="M580" s="100">
        <v>-154.94999999999999</v>
      </c>
      <c r="N580" s="711">
        <f>N579+M580</f>
        <v>792.07009400001107</v>
      </c>
      <c r="O580" s="106"/>
      <c r="P580" s="215">
        <v>-125</v>
      </c>
      <c r="Q580" s="140">
        <f t="shared" si="69"/>
        <v>-14910.547278481008</v>
      </c>
      <c r="R580" s="100">
        <f t="shared" si="68"/>
        <v>639.45272151899189</v>
      </c>
      <c r="S580" s="524" t="s">
        <v>491</v>
      </c>
      <c r="T580" s="541"/>
      <c r="U580" s="47"/>
      <c r="V580" s="100"/>
      <c r="W580" s="192"/>
      <c r="X580" s="192"/>
      <c r="Y580" s="192"/>
      <c r="Z580" s="119"/>
      <c r="AA580" s="662"/>
      <c r="AB580" s="60"/>
      <c r="AC580" s="47"/>
      <c r="AD580" s="172"/>
      <c r="AE580" s="173"/>
      <c r="AF580" s="47"/>
      <c r="AG580" s="47"/>
      <c r="AH580" s="47"/>
      <c r="AI580" s="47"/>
    </row>
    <row r="581" spans="1:35" ht="12.75" customHeight="1">
      <c r="A581" s="467"/>
      <c r="C581" s="153" t="s">
        <v>40</v>
      </c>
      <c r="E581" s="97"/>
      <c r="G581"/>
      <c r="H581" s="790"/>
      <c r="I581" s="448"/>
      <c r="J581" s="448"/>
      <c r="K581" s="400"/>
      <c r="L581" s="274" t="s">
        <v>496</v>
      </c>
      <c r="M581" s="100">
        <v>-413</v>
      </c>
      <c r="N581" s="711">
        <f>N580+M581</f>
        <v>379.07009400001107</v>
      </c>
      <c r="O581" s="88"/>
      <c r="P581" s="215">
        <v>5130</v>
      </c>
      <c r="Q581" s="140">
        <f t="shared" si="69"/>
        <v>-9780.5472784810081</v>
      </c>
      <c r="R581" s="100">
        <f t="shared" si="68"/>
        <v>5769.4527215189919</v>
      </c>
      <c r="S581" s="524" t="s">
        <v>492</v>
      </c>
      <c r="T581" s="541"/>
      <c r="U581" s="47"/>
      <c r="V581" s="100"/>
      <c r="W581" s="183"/>
      <c r="X581" s="191"/>
      <c r="Y581" s="192"/>
      <c r="Z581" s="119"/>
      <c r="AA581" s="662"/>
      <c r="AB581" s="175"/>
      <c r="AC581" s="47"/>
      <c r="AD581" s="176"/>
      <c r="AE581" s="173"/>
      <c r="AF581" s="47"/>
      <c r="AG581" s="47"/>
      <c r="AH581" s="47"/>
      <c r="AI581" s="47"/>
    </row>
    <row r="582" spans="1:35" ht="12.75" customHeight="1">
      <c r="A582" s="467"/>
      <c r="D582" s="47" t="s">
        <v>37</v>
      </c>
      <c r="E582" s="97">
        <f>E576</f>
        <v>8502.7000000000007</v>
      </c>
      <c r="F582" s="47"/>
      <c r="G582" s="47"/>
      <c r="H582" s="663">
        <f>G583+E583+G584+G585</f>
        <v>3275.87</v>
      </c>
      <c r="I582" s="448"/>
      <c r="J582" s="448"/>
      <c r="K582" s="400"/>
      <c r="L582" s="274" t="s">
        <v>140</v>
      </c>
      <c r="M582" s="100">
        <v>600</v>
      </c>
      <c r="N582" s="711">
        <f t="shared" ref="N582:N595" si="70">N581+M582</f>
        <v>979.07009400001107</v>
      </c>
      <c r="O582" s="88"/>
      <c r="P582" s="215">
        <v>-204.29</v>
      </c>
      <c r="Q582" s="140">
        <f t="shared" si="69"/>
        <v>-9984.837278481009</v>
      </c>
      <c r="R582" s="100">
        <f t="shared" si="68"/>
        <v>5565.162721518991</v>
      </c>
      <c r="S582" s="524" t="s">
        <v>304</v>
      </c>
      <c r="T582" s="541" t="s">
        <v>494</v>
      </c>
      <c r="U582" s="47"/>
      <c r="V582" s="100"/>
      <c r="W582" s="191"/>
      <c r="X582" s="191"/>
      <c r="Y582" s="192"/>
      <c r="Z582" s="119"/>
      <c r="AA582" s="662"/>
      <c r="AB582" s="60"/>
      <c r="AC582" s="47"/>
      <c r="AD582" s="91"/>
      <c r="AE582" s="173"/>
      <c r="AF582" s="47"/>
      <c r="AG582" s="47"/>
      <c r="AH582" s="47"/>
      <c r="AI582" s="47"/>
    </row>
    <row r="583" spans="1:35" ht="12.75" customHeight="1">
      <c r="A583" s="467"/>
      <c r="D583" s="150" t="s">
        <v>36</v>
      </c>
      <c r="E583" s="651">
        <f>E577-G583-G584-G585</f>
        <v>3075.87</v>
      </c>
      <c r="F583" s="650" t="s">
        <v>442</v>
      </c>
      <c r="G583" s="963">
        <v>200</v>
      </c>
      <c r="H583" s="963"/>
      <c r="I583" s="448"/>
      <c r="K583" s="400" t="s">
        <v>265</v>
      </c>
      <c r="L583" s="274" t="s">
        <v>269</v>
      </c>
      <c r="M583" s="100">
        <v>-357</v>
      </c>
      <c r="N583" s="711">
        <f t="shared" si="70"/>
        <v>622.07009400001107</v>
      </c>
      <c r="O583" s="88"/>
      <c r="P583" s="215">
        <v>-712</v>
      </c>
      <c r="Q583" s="140">
        <f t="shared" si="69"/>
        <v>-10696.837278481009</v>
      </c>
      <c r="R583" s="100">
        <f t="shared" si="68"/>
        <v>4853.162721518991</v>
      </c>
      <c r="S583" s="524" t="s">
        <v>495</v>
      </c>
      <c r="T583" s="789"/>
      <c r="U583" s="47"/>
      <c r="V583" s="215"/>
      <c r="W583" s="47"/>
      <c r="X583" s="47"/>
      <c r="Y583" s="192"/>
      <c r="Z583" s="331"/>
      <c r="AA583" s="174"/>
      <c r="AB583" s="60"/>
      <c r="AC583" s="47"/>
      <c r="AD583" s="172"/>
      <c r="AE583" s="173"/>
      <c r="AF583" s="47"/>
      <c r="AG583" s="47"/>
      <c r="AH583" s="47"/>
      <c r="AI583" s="47"/>
    </row>
    <row r="584" spans="1:35" ht="12.75" customHeight="1">
      <c r="A584" s="467"/>
      <c r="D584" s="47"/>
      <c r="E584" s="60"/>
      <c r="F584" s="650" t="s">
        <v>442</v>
      </c>
      <c r="G584" s="963"/>
      <c r="H584" s="963"/>
      <c r="I584" s="448"/>
      <c r="J584" s="48"/>
      <c r="K584" s="350" t="s">
        <v>468</v>
      </c>
      <c r="L584" s="196" t="s">
        <v>266</v>
      </c>
      <c r="M584" s="100">
        <v>-533.94000000000005</v>
      </c>
      <c r="N584" s="711">
        <f t="shared" si="70"/>
        <v>88.130094000011013</v>
      </c>
      <c r="O584" s="88"/>
      <c r="P584" s="215">
        <f>-M582</f>
        <v>-600</v>
      </c>
      <c r="Q584" s="140">
        <f t="shared" si="69"/>
        <v>-11296.837278481009</v>
      </c>
      <c r="R584" s="100">
        <f t="shared" si="68"/>
        <v>4253.162721518991</v>
      </c>
      <c r="S584" s="524" t="s">
        <v>289</v>
      </c>
      <c r="T584" s="789"/>
      <c r="U584" s="47"/>
      <c r="V584" s="100"/>
      <c r="W584" s="60"/>
      <c r="X584" s="47"/>
      <c r="Y584" s="192"/>
      <c r="Z584" s="331"/>
      <c r="AA584" s="174"/>
      <c r="AB584" s="175"/>
      <c r="AC584" s="47"/>
      <c r="AD584" s="172"/>
      <c r="AE584" s="173"/>
      <c r="AF584" s="47"/>
      <c r="AG584" s="47"/>
      <c r="AH584" s="47"/>
      <c r="AI584" s="47"/>
    </row>
    <row r="585" spans="1:35" ht="12.75" customHeight="1" thickBot="1">
      <c r="A585" s="467"/>
      <c r="D585" s="47"/>
      <c r="E585" s="60"/>
      <c r="F585" s="650" t="s">
        <v>442</v>
      </c>
      <c r="G585" s="963"/>
      <c r="H585" s="963"/>
      <c r="I585" s="448"/>
      <c r="J585" s="48"/>
      <c r="K585" s="350" t="s">
        <v>453</v>
      </c>
      <c r="L585" s="357" t="s">
        <v>87</v>
      </c>
      <c r="M585" s="232">
        <f>E582</f>
        <v>8502.7000000000007</v>
      </c>
      <c r="N585" s="711">
        <f t="shared" si="70"/>
        <v>8590.8300940000117</v>
      </c>
      <c r="O585" s="88"/>
      <c r="P585" s="215">
        <v>-200</v>
      </c>
      <c r="Q585" s="140">
        <f t="shared" si="69"/>
        <v>-11496.837278481009</v>
      </c>
      <c r="R585" s="100">
        <f t="shared" si="68"/>
        <v>4053.162721518991</v>
      </c>
      <c r="S585" s="524" t="s">
        <v>497</v>
      </c>
      <c r="T585" s="540" t="s">
        <v>498</v>
      </c>
      <c r="U585" s="47"/>
      <c r="V585" s="100"/>
      <c r="W585" s="60"/>
      <c r="X585" s="47"/>
      <c r="Y585" s="192"/>
      <c r="Z585" s="331"/>
      <c r="AA585" s="174"/>
      <c r="AB585" s="60"/>
      <c r="AC585" s="47"/>
      <c r="AD585" s="172"/>
      <c r="AE585" s="177"/>
      <c r="AF585" s="47"/>
      <c r="AG585" s="47"/>
      <c r="AH585" s="47"/>
      <c r="AI585" s="47"/>
    </row>
    <row r="586" spans="1:35" ht="12.75" customHeight="1" thickTop="1">
      <c r="A586" s="467"/>
      <c r="D586" s="47"/>
      <c r="E586" s="60"/>
      <c r="F586" s="204"/>
      <c r="G586" s="965">
        <f>E582+E583+G584+G583+G585</f>
        <v>11778.57</v>
      </c>
      <c r="H586" s="965"/>
      <c r="I586" s="448"/>
      <c r="K586" s="350" t="s">
        <v>453</v>
      </c>
      <c r="L586" s="357" t="s">
        <v>488</v>
      </c>
      <c r="M586" s="232">
        <v>-4120</v>
      </c>
      <c r="N586" s="711">
        <f t="shared" si="70"/>
        <v>4470.8300940000117</v>
      </c>
      <c r="O586" s="88"/>
      <c r="P586" s="215">
        <v>-209.22</v>
      </c>
      <c r="Q586" s="140">
        <f t="shared" si="69"/>
        <v>-11706.057278481008</v>
      </c>
      <c r="R586" s="100">
        <f t="shared" si="68"/>
        <v>3843.9427215189917</v>
      </c>
      <c r="S586" s="524" t="s">
        <v>336</v>
      </c>
      <c r="T586" s="540" t="s">
        <v>334</v>
      </c>
      <c r="U586" s="142"/>
      <c r="V586" s="60"/>
      <c r="W586" s="60"/>
      <c r="X586" s="171"/>
      <c r="Y586" s="47"/>
      <c r="Z586" s="331"/>
      <c r="AA586" s="174"/>
      <c r="AB586" s="175"/>
      <c r="AC586" s="47"/>
      <c r="AD586" s="178"/>
      <c r="AE586" s="173"/>
      <c r="AF586" s="792"/>
      <c r="AG586" s="47"/>
      <c r="AH586" s="47"/>
      <c r="AI586" s="47"/>
    </row>
    <row r="587" spans="1:35" ht="12.75" customHeight="1">
      <c r="A587" s="467"/>
      <c r="D587" s="47"/>
      <c r="E587" s="60"/>
      <c r="F587" s="204"/>
      <c r="G587" s="785"/>
      <c r="H587" s="785"/>
      <c r="I587" s="448"/>
      <c r="J587" s="683"/>
      <c r="K587" s="350" t="s">
        <v>453</v>
      </c>
      <c r="L587" s="357" t="s">
        <v>237</v>
      </c>
      <c r="M587" s="100">
        <v>-1738</v>
      </c>
      <c r="N587" s="711">
        <f t="shared" si="70"/>
        <v>2732.8300940000117</v>
      </c>
      <c r="O587" s="88"/>
      <c r="P587" s="215">
        <v>-224.74</v>
      </c>
      <c r="Q587" s="140">
        <f t="shared" si="69"/>
        <v>-11930.797278481008</v>
      </c>
      <c r="R587" s="100">
        <f t="shared" si="68"/>
        <v>3619.2027215189919</v>
      </c>
      <c r="S587" s="524" t="s">
        <v>336</v>
      </c>
      <c r="T587" s="540" t="s">
        <v>334</v>
      </c>
      <c r="U587" s="134"/>
      <c r="V587" s="60"/>
      <c r="W587" s="60"/>
      <c r="X587" s="84"/>
      <c r="Y587" s="47"/>
      <c r="Z587" s="331"/>
      <c r="AA587" s="174"/>
      <c r="AB587" s="60"/>
      <c r="AC587" s="47"/>
      <c r="AD587" s="47"/>
      <c r="AE587" s="47"/>
      <c r="AF587" s="179"/>
      <c r="AG587" s="47"/>
      <c r="AH587" s="47"/>
      <c r="AI587" s="47"/>
    </row>
    <row r="588" spans="1:35" ht="12.75" customHeight="1">
      <c r="A588" s="727"/>
      <c r="B588" s="727"/>
      <c r="C588" s="727"/>
      <c r="D588" s="727"/>
      <c r="E588" s="727"/>
      <c r="F588" s="204"/>
      <c r="G588" s="785"/>
      <c r="H588" s="785"/>
      <c r="I588" s="665"/>
      <c r="J588" s="683"/>
      <c r="K588" s="350" t="s">
        <v>453</v>
      </c>
      <c r="L588" s="357" t="s">
        <v>394</v>
      </c>
      <c r="M588" s="100">
        <v>-200</v>
      </c>
      <c r="N588" s="711">
        <f t="shared" si="70"/>
        <v>2532.8300940000117</v>
      </c>
      <c r="O588" s="88"/>
      <c r="P588" s="215">
        <v>-261.64999999999998</v>
      </c>
      <c r="Q588" s="140">
        <f t="shared" si="69"/>
        <v>-12192.447278481008</v>
      </c>
      <c r="R588" s="100">
        <f t="shared" si="68"/>
        <v>3357.5527215189923</v>
      </c>
      <c r="S588" s="524" t="s">
        <v>319</v>
      </c>
      <c r="T588" s="540" t="s">
        <v>334</v>
      </c>
      <c r="U588" s="134"/>
      <c r="V588" s="47"/>
      <c r="W588" s="47"/>
      <c r="X588" s="47"/>
      <c r="Y588" s="191"/>
      <c r="Z588" s="331"/>
      <c r="AA588" s="174"/>
      <c r="AB588" s="60"/>
      <c r="AC588" s="47"/>
      <c r="AD588" s="47"/>
      <c r="AE588" s="47"/>
      <c r="AF588" s="47"/>
      <c r="AG588" s="47"/>
      <c r="AH588" s="47"/>
      <c r="AI588" s="47"/>
    </row>
    <row r="589" spans="1:35" ht="12.75" customHeight="1">
      <c r="A589" s="552"/>
      <c r="B589" s="552"/>
      <c r="C589" s="553"/>
      <c r="D589" s="554"/>
      <c r="E589" s="555"/>
      <c r="F589" s="556"/>
      <c r="G589" s="557"/>
      <c r="H589" s="656"/>
      <c r="I589" s="666"/>
      <c r="K589" s="350" t="s">
        <v>453</v>
      </c>
      <c r="L589" s="357" t="s">
        <v>451</v>
      </c>
      <c r="M589" s="100">
        <v>250</v>
      </c>
      <c r="N589" s="711">
        <f t="shared" si="70"/>
        <v>2782.8300940000117</v>
      </c>
      <c r="O589" s="97"/>
      <c r="P589" s="215">
        <v>-369.91</v>
      </c>
      <c r="Q589" s="140">
        <f t="shared" si="69"/>
        <v>-12562.357278481008</v>
      </c>
      <c r="R589" s="100">
        <f t="shared" si="68"/>
        <v>2987.6427215189924</v>
      </c>
      <c r="S589" s="524" t="s">
        <v>304</v>
      </c>
      <c r="T589" s="540" t="s">
        <v>499</v>
      </c>
      <c r="U589" s="134"/>
      <c r="V589" s="47"/>
      <c r="W589" s="47"/>
      <c r="X589" s="171"/>
      <c r="Y589" s="191"/>
      <c r="Z589" s="331"/>
      <c r="AA589" s="174"/>
      <c r="AB589" s="175"/>
      <c r="AC589" s="47"/>
      <c r="AD589" s="47"/>
      <c r="AE589" s="47"/>
      <c r="AF589" s="47"/>
      <c r="AG589" s="47"/>
      <c r="AH589" s="47"/>
      <c r="AI589" s="47"/>
    </row>
    <row r="590" spans="1:35" ht="12.75" customHeight="1">
      <c r="H590" s="657"/>
      <c r="I590" s="667"/>
      <c r="K590" s="165" t="s">
        <v>453</v>
      </c>
      <c r="L590" s="357" t="s">
        <v>222</v>
      </c>
      <c r="M590" s="100">
        <v>-69</v>
      </c>
      <c r="N590" s="711">
        <f t="shared" si="70"/>
        <v>2713.8300940000117</v>
      </c>
      <c r="O590" s="60"/>
      <c r="P590" s="215">
        <v>-239.76</v>
      </c>
      <c r="Q590" s="140">
        <f t="shared" si="69"/>
        <v>-12802.117278481008</v>
      </c>
      <c r="R590" s="100">
        <f t="shared" si="68"/>
        <v>2747.8827215189922</v>
      </c>
      <c r="S590" s="524" t="s">
        <v>304</v>
      </c>
      <c r="T590" s="523" t="s">
        <v>500</v>
      </c>
      <c r="U590" s="134"/>
      <c r="V590" s="47"/>
      <c r="W590" s="47"/>
      <c r="X590" s="47"/>
      <c r="Y590" s="191"/>
      <c r="Z590" s="331"/>
      <c r="AA590" s="174"/>
      <c r="AB590" s="60"/>
      <c r="AC590" s="47"/>
      <c r="AD590" s="47"/>
      <c r="AE590" s="47"/>
      <c r="AF590" s="47"/>
      <c r="AG590" s="792"/>
      <c r="AH590" s="47"/>
      <c r="AI590" s="47"/>
    </row>
    <row r="591" spans="1:35" ht="12.75" customHeight="1">
      <c r="H591" s="657"/>
      <c r="I591" s="667"/>
      <c r="J591" s="690"/>
      <c r="K591" s="350" t="s">
        <v>453</v>
      </c>
      <c r="L591" s="357" t="s">
        <v>97</v>
      </c>
      <c r="M591" s="100">
        <v>-252.5</v>
      </c>
      <c r="N591" s="711">
        <f t="shared" si="70"/>
        <v>2461.3300940000117</v>
      </c>
      <c r="O591" s="60"/>
      <c r="P591" s="215">
        <v>-352.91</v>
      </c>
      <c r="Q591" s="140">
        <f t="shared" si="69"/>
        <v>-13155.027278481008</v>
      </c>
      <c r="R591" s="100">
        <f t="shared" si="68"/>
        <v>2394.9727215189923</v>
      </c>
      <c r="S591" s="524" t="s">
        <v>319</v>
      </c>
      <c r="T591" s="523" t="s">
        <v>334</v>
      </c>
      <c r="U591" s="163"/>
      <c r="V591" s="47"/>
      <c r="W591" s="47"/>
      <c r="X591" s="47"/>
      <c r="Y591" s="191"/>
      <c r="Z591" s="331"/>
      <c r="AA591" s="174"/>
      <c r="AB591" s="60"/>
      <c r="AC591" s="47"/>
      <c r="AD591" s="47"/>
      <c r="AE591" s="47"/>
      <c r="AF591" s="47"/>
      <c r="AG591" s="47"/>
      <c r="AH591" s="47"/>
      <c r="AI591" s="47"/>
    </row>
    <row r="592" spans="1:35" ht="12.75" customHeight="1">
      <c r="H592" s="785"/>
      <c r="I592" s="665"/>
      <c r="K592" s="350" t="s">
        <v>453</v>
      </c>
      <c r="L592" s="357" t="s">
        <v>189</v>
      </c>
      <c r="M592" s="100">
        <v>250</v>
      </c>
      <c r="N592" s="711">
        <f t="shared" si="70"/>
        <v>2711.3300940000117</v>
      </c>
      <c r="O592" s="60"/>
      <c r="P592" s="215">
        <v>-283.87</v>
      </c>
      <c r="Q592" s="140">
        <f t="shared" si="69"/>
        <v>-13438.897278481008</v>
      </c>
      <c r="R592" s="100">
        <f t="shared" si="68"/>
        <v>2111.1027215189915</v>
      </c>
      <c r="S592" s="524" t="s">
        <v>336</v>
      </c>
      <c r="T592" s="523" t="s">
        <v>501</v>
      </c>
      <c r="U592" s="164"/>
      <c r="V592" s="60"/>
      <c r="W592" s="60"/>
      <c r="X592" s="171"/>
      <c r="Y592" s="47"/>
      <c r="Z592" s="331"/>
      <c r="AA592" s="174"/>
      <c r="AB592" s="60"/>
      <c r="AC592" s="47"/>
      <c r="AD592" s="47"/>
      <c r="AE592" s="47"/>
      <c r="AF592" s="47"/>
      <c r="AG592" s="47"/>
      <c r="AH592" s="47"/>
      <c r="AI592" s="47"/>
    </row>
    <row r="593" spans="1:35" ht="12.75" customHeight="1">
      <c r="H593" s="785"/>
      <c r="I593" s="681"/>
      <c r="K593" s="165" t="s">
        <v>231</v>
      </c>
      <c r="L593" s="358" t="s">
        <v>39</v>
      </c>
      <c r="M593" s="262">
        <v>-493.99</v>
      </c>
      <c r="N593" s="711">
        <f t="shared" si="70"/>
        <v>2217.340094000012</v>
      </c>
      <c r="O593" s="60"/>
      <c r="P593" s="215">
        <v>-25.8</v>
      </c>
      <c r="Q593" s="140">
        <f t="shared" si="69"/>
        <v>-13464.697278481008</v>
      </c>
      <c r="R593" s="100">
        <f t="shared" si="68"/>
        <v>2085.3027215189923</v>
      </c>
      <c r="S593" s="524" t="s">
        <v>502</v>
      </c>
      <c r="T593" s="523"/>
      <c r="U593" s="47"/>
      <c r="V593" s="60"/>
      <c r="W593" s="60"/>
      <c r="X593" s="171"/>
      <c r="Y593" s="47"/>
      <c r="Z593" s="331"/>
      <c r="AA593" s="174"/>
      <c r="AB593" s="60"/>
      <c r="AC593" s="47"/>
      <c r="AD593" s="47"/>
      <c r="AE593" s="47"/>
      <c r="AF593" s="47"/>
      <c r="AG593" s="47"/>
      <c r="AH593" s="47"/>
      <c r="AI593" s="47"/>
    </row>
    <row r="594" spans="1:35" ht="12.75" customHeight="1">
      <c r="H594" s="785"/>
      <c r="K594" s="350" t="s">
        <v>231</v>
      </c>
      <c r="L594" s="359" t="s">
        <v>92</v>
      </c>
      <c r="M594" s="262">
        <v>-900</v>
      </c>
      <c r="N594" s="711">
        <f t="shared" si="70"/>
        <v>1317.340094000012</v>
      </c>
      <c r="O594" s="363"/>
      <c r="P594" s="215">
        <f>-350-12</f>
        <v>-362</v>
      </c>
      <c r="Q594" s="140">
        <f t="shared" si="69"/>
        <v>-13826.697278481008</v>
      </c>
      <c r="R594" s="100">
        <f t="shared" si="68"/>
        <v>1723.3027215189923</v>
      </c>
      <c r="S594" s="524" t="s">
        <v>495</v>
      </c>
      <c r="T594" s="523"/>
      <c r="U594" s="47"/>
      <c r="V594" s="60"/>
      <c r="W594" s="60"/>
      <c r="X594" s="171"/>
      <c r="Y594" s="47"/>
      <c r="Z594" s="331"/>
      <c r="AA594" s="174"/>
      <c r="AB594" s="60"/>
      <c r="AC594" s="47"/>
      <c r="AD594" s="47"/>
      <c r="AE594" s="47"/>
      <c r="AF594" s="47"/>
      <c r="AG594" s="47"/>
      <c r="AH594" s="47"/>
      <c r="AI594" s="47"/>
    </row>
    <row r="595" spans="1:35" ht="12.75" customHeight="1">
      <c r="H595" s="785"/>
      <c r="K595" s="350" t="s">
        <v>232</v>
      </c>
      <c r="L595" s="359" t="s">
        <v>457</v>
      </c>
      <c r="M595" s="262">
        <v>-533.94000000000005</v>
      </c>
      <c r="N595" s="704">
        <f t="shared" si="70"/>
        <v>783.4000940000119</v>
      </c>
      <c r="O595" s="345"/>
      <c r="P595" s="215">
        <v>-1012</v>
      </c>
      <c r="Q595" s="140">
        <f t="shared" si="69"/>
        <v>-14838.697278481008</v>
      </c>
      <c r="R595" s="100">
        <f t="shared" si="68"/>
        <v>711.30272151899226</v>
      </c>
      <c r="S595" s="524" t="s">
        <v>495</v>
      </c>
      <c r="T595" s="540" t="s">
        <v>334</v>
      </c>
      <c r="U595" s="47"/>
      <c r="V595" s="60"/>
      <c r="W595" s="60"/>
      <c r="X595" s="171"/>
      <c r="Y595" s="47"/>
      <c r="Z595" s="331"/>
      <c r="AA595" s="174"/>
      <c r="AB595" s="60"/>
      <c r="AC595" s="47"/>
      <c r="AD595" s="47"/>
      <c r="AE595" s="47"/>
      <c r="AF595" s="47"/>
      <c r="AG595" s="47"/>
      <c r="AH595" s="47"/>
      <c r="AI595" s="47"/>
    </row>
    <row r="596" spans="1:35" ht="12.75" customHeight="1">
      <c r="H596" s="785"/>
      <c r="I596" s="690"/>
      <c r="K596" s="469" t="s">
        <v>232</v>
      </c>
      <c r="L596" s="360" t="s">
        <v>46</v>
      </c>
      <c r="M596" s="516">
        <v>-275.31</v>
      </c>
      <c r="N596" s="710">
        <f>N595+M596</f>
        <v>508.0900940000119</v>
      </c>
      <c r="O596" s="345"/>
      <c r="P596" s="106">
        <f>E583</f>
        <v>3075.87</v>
      </c>
      <c r="Q596" s="141">
        <f t="shared" si="69"/>
        <v>-11762.827278481007</v>
      </c>
      <c r="R596" s="185">
        <f>15550+Q596</f>
        <v>3787.1727215189931</v>
      </c>
      <c r="S596" s="524" t="s">
        <v>334</v>
      </c>
      <c r="T596" s="783"/>
      <c r="U596" s="47"/>
      <c r="V596" s="60"/>
      <c r="W596" s="60"/>
      <c r="X596" s="171"/>
      <c r="Y596" s="47"/>
      <c r="Z596" s="331"/>
      <c r="AA596" s="174"/>
      <c r="AB596" s="60"/>
      <c r="AC596" s="47"/>
      <c r="AD596" s="47"/>
      <c r="AE596" s="47"/>
      <c r="AF596" s="47"/>
      <c r="AG596" s="47"/>
      <c r="AH596" s="47"/>
      <c r="AI596" s="47"/>
    </row>
    <row r="597" spans="1:35" ht="12.75" customHeight="1">
      <c r="A597" s="47"/>
      <c r="B597" s="47"/>
      <c r="C597" s="47"/>
      <c r="D597" s="47"/>
      <c r="E597" s="60"/>
      <c r="H597" s="785"/>
      <c r="I597" s="551"/>
      <c r="J597" s="694"/>
      <c r="L597" s="58"/>
      <c r="M597" s="255">
        <f>SUM(M577:M596)</f>
        <v>508.0900940000119</v>
      </c>
      <c r="N597" s="399"/>
      <c r="O597" s="345"/>
      <c r="P597" s="133">
        <f>SUM(P577:P596)</f>
        <v>-11762.827278481007</v>
      </c>
      <c r="Q597" s="377" t="s">
        <v>285</v>
      </c>
      <c r="R597" s="453"/>
      <c r="S597" s="524"/>
      <c r="T597" s="789"/>
      <c r="U597" s="47"/>
      <c r="V597" s="60"/>
      <c r="W597" s="60"/>
      <c r="X597" s="171"/>
      <c r="Y597" s="47"/>
      <c r="Z597" s="331"/>
      <c r="AA597" s="174"/>
      <c r="AB597" s="60"/>
      <c r="AC597" s="47"/>
      <c r="AD597" s="47"/>
      <c r="AE597" s="47"/>
      <c r="AF597" s="47"/>
      <c r="AG597" s="47"/>
      <c r="AH597" s="47"/>
      <c r="AI597" s="47"/>
    </row>
    <row r="598" spans="1:35" s="150" customFormat="1" ht="12.75" customHeight="1">
      <c r="E598" s="41"/>
      <c r="G598" s="211"/>
      <c r="H598" s="689"/>
      <c r="J598" s="773"/>
      <c r="K598" s="793"/>
      <c r="L598" s="794"/>
      <c r="M598" s="795"/>
      <c r="N598" s="796"/>
      <c r="O598" s="797"/>
      <c r="P598" s="41"/>
      <c r="Q598" s="41"/>
      <c r="R598" s="41"/>
      <c r="S598" s="535"/>
      <c r="V598" s="41"/>
      <c r="W598" s="41"/>
      <c r="X598" s="244"/>
      <c r="Z598" s="245"/>
      <c r="AA598" s="246"/>
      <c r="AB598" s="41"/>
    </row>
    <row r="599" spans="1:35" s="47" customFormat="1" ht="12.75" customHeight="1">
      <c r="E599" s="60"/>
      <c r="G599" s="101"/>
      <c r="H599" s="807"/>
      <c r="J599" s="676"/>
      <c r="K599" s="723"/>
      <c r="L599" s="328"/>
      <c r="M599" s="325"/>
      <c r="N599" s="724"/>
      <c r="O599" s="332"/>
      <c r="P599" s="60"/>
      <c r="Q599" s="60"/>
      <c r="R599" s="60"/>
      <c r="S599" s="534"/>
      <c r="V599" s="60"/>
      <c r="W599" s="60"/>
      <c r="X599" s="171"/>
      <c r="Z599" s="331"/>
      <c r="AA599" s="174"/>
      <c r="AB599" s="60"/>
    </row>
    <row r="600" spans="1:35" ht="12.75" customHeight="1">
      <c r="B600" s="966" t="s">
        <v>503</v>
      </c>
      <c r="C600" s="966"/>
      <c r="D600" s="966"/>
      <c r="E600" s="966"/>
      <c r="G600" s="352"/>
      <c r="H600" s="352"/>
      <c r="I600" s="60"/>
      <c r="K600" s="350"/>
      <c r="L600" s="180"/>
      <c r="M600" s="970" t="s">
        <v>90</v>
      </c>
      <c r="N600" s="803"/>
      <c r="O600" s="809"/>
      <c r="P600" s="972" t="s">
        <v>84</v>
      </c>
      <c r="Q600" s="974" t="s">
        <v>284</v>
      </c>
      <c r="R600" s="974"/>
      <c r="S600" s="528"/>
      <c r="X600" s="84"/>
      <c r="Y600" s="84"/>
      <c r="Z600" s="60"/>
      <c r="AA600" s="810"/>
      <c r="AB600" s="60"/>
      <c r="AC600" s="47"/>
      <c r="AD600" s="47"/>
      <c r="AE600" s="47"/>
      <c r="AF600" s="47"/>
      <c r="AG600" s="47"/>
      <c r="AH600" s="47"/>
      <c r="AI600" s="47"/>
    </row>
    <row r="601" spans="1:35" ht="12.75" customHeight="1">
      <c r="C601" s="43" t="s">
        <v>435</v>
      </c>
      <c r="D601" s="39"/>
      <c r="E601" s="99">
        <v>8502.7000000000007</v>
      </c>
      <c r="G601" s="976"/>
      <c r="H601" s="976"/>
      <c r="I601" s="60"/>
      <c r="K601" s="351" t="s">
        <v>263</v>
      </c>
      <c r="L601" s="242"/>
      <c r="M601" s="971"/>
      <c r="N601" s="803" t="s">
        <v>79</v>
      </c>
      <c r="O601" s="809"/>
      <c r="P601" s="973"/>
      <c r="Q601" s="804" t="s">
        <v>79</v>
      </c>
      <c r="R601" s="805" t="s">
        <v>89</v>
      </c>
      <c r="S601" s="528"/>
      <c r="X601" s="198"/>
      <c r="Y601" s="191"/>
      <c r="Z601" s="197"/>
      <c r="AA601" s="169"/>
      <c r="AB601" s="170"/>
      <c r="AC601" s="47"/>
      <c r="AD601" s="91"/>
      <c r="AE601" s="47"/>
      <c r="AF601" s="47"/>
      <c r="AG601" s="47"/>
      <c r="AH601" s="47"/>
      <c r="AI601" s="47"/>
    </row>
    <row r="602" spans="1:35" ht="12.75" customHeight="1">
      <c r="C602" s="43"/>
      <c r="D602" s="39" t="s">
        <v>47</v>
      </c>
      <c r="E602" s="99">
        <f>'[1]NOV ''12'!$C$42</f>
        <v>5181.3499999999995</v>
      </c>
      <c r="G602" s="74"/>
      <c r="H602" s="977">
        <f>SUM(E602:E603)</f>
        <v>5181.3499999999995</v>
      </c>
      <c r="I602" s="60"/>
      <c r="K602" s="362"/>
      <c r="L602" s="327" t="s">
        <v>268</v>
      </c>
      <c r="M602" s="100">
        <f>$M$597</f>
        <v>508.0900940000119</v>
      </c>
      <c r="N602" s="139">
        <f>M602</f>
        <v>508.0900940000119</v>
      </c>
      <c r="O602" s="60"/>
      <c r="P602" s="100">
        <f>$Q$596</f>
        <v>-11762.827278481007</v>
      </c>
      <c r="Q602" s="139">
        <f>P602</f>
        <v>-11762.827278481007</v>
      </c>
      <c r="R602" s="100">
        <f t="shared" ref="R602:R612" si="71">15550+Q602</f>
        <v>3787.1727215189931</v>
      </c>
      <c r="S602" s="529" t="s">
        <v>357</v>
      </c>
      <c r="T602" s="518" t="s">
        <v>358</v>
      </c>
      <c r="W602" s="542"/>
      <c r="X602" s="191"/>
      <c r="Y602" s="191"/>
      <c r="Z602" s="100"/>
      <c r="AA602" s="661"/>
      <c r="AB602" s="60"/>
      <c r="AC602" s="47"/>
      <c r="AD602" s="172"/>
      <c r="AE602" s="173"/>
      <c r="AF602" s="47"/>
      <c r="AG602" s="47"/>
      <c r="AH602" s="47"/>
      <c r="AI602" s="47"/>
    </row>
    <row r="603" spans="1:35" ht="12.75" customHeight="1">
      <c r="C603" s="43"/>
      <c r="D603" s="229" t="s">
        <v>267</v>
      </c>
      <c r="E603" s="41"/>
      <c r="G603"/>
      <c r="H603" s="977"/>
      <c r="I603" s="60"/>
      <c r="K603" s="400" t="s">
        <v>265</v>
      </c>
      <c r="L603" s="274" t="s">
        <v>269</v>
      </c>
      <c r="M603" s="100">
        <v>-357</v>
      </c>
      <c r="N603" s="711">
        <f>N602+M603</f>
        <v>151.0900940000119</v>
      </c>
      <c r="O603" s="134"/>
      <c r="P603" s="215">
        <v>-249.33</v>
      </c>
      <c r="Q603" s="140">
        <f t="shared" ref="Q603:Q612" si="72">Q602+P603</f>
        <v>-12012.157278481007</v>
      </c>
      <c r="R603" s="100">
        <f t="shared" si="71"/>
        <v>3537.8427215189931</v>
      </c>
      <c r="S603" s="524" t="s">
        <v>304</v>
      </c>
      <c r="T603" s="541" t="s">
        <v>506</v>
      </c>
      <c r="W603" s="191"/>
      <c r="X603" s="191"/>
      <c r="Y603" s="192"/>
      <c r="Z603" s="119"/>
      <c r="AA603" s="662"/>
      <c r="AB603" s="175"/>
      <c r="AC603" s="47"/>
      <c r="AD603" s="91"/>
      <c r="AE603" s="173"/>
      <c r="AF603" s="47"/>
      <c r="AG603" s="47"/>
      <c r="AH603" s="47"/>
      <c r="AI603" s="47"/>
    </row>
    <row r="604" spans="1:35" ht="12.75" customHeight="1">
      <c r="C604" s="45" t="s">
        <v>17</v>
      </c>
      <c r="D604" s="39"/>
      <c r="E604" s="39">
        <f>SUM(E601:E603)</f>
        <v>13684.05</v>
      </c>
      <c r="G604" s="334"/>
      <c r="H604" s="664"/>
      <c r="I604" s="334"/>
      <c r="J604" s="448"/>
      <c r="K604" s="350" t="s">
        <v>265</v>
      </c>
      <c r="L604" s="196" t="s">
        <v>266</v>
      </c>
      <c r="M604" s="100">
        <v>-63.85</v>
      </c>
      <c r="N604" s="711">
        <f t="shared" ref="N604:N616" si="73">N603+M604</f>
        <v>87.240094000011908</v>
      </c>
      <c r="O604" s="106"/>
      <c r="P604" s="798">
        <v>1000</v>
      </c>
      <c r="Q604" s="140">
        <f t="shared" si="72"/>
        <v>-11012.157278481007</v>
      </c>
      <c r="R604" s="100">
        <f t="shared" si="71"/>
        <v>4537.8427215189931</v>
      </c>
      <c r="S604" s="524" t="s">
        <v>334</v>
      </c>
      <c r="T604" s="541" t="s">
        <v>507</v>
      </c>
      <c r="U604" s="191"/>
      <c r="V604" s="47"/>
      <c r="W604" s="191"/>
      <c r="X604" s="191"/>
      <c r="Y604" s="192"/>
      <c r="Z604" s="119"/>
      <c r="AA604" s="662"/>
      <c r="AB604" s="60"/>
      <c r="AC604" s="47"/>
      <c r="AD604" s="172"/>
      <c r="AE604" s="173"/>
      <c r="AF604" s="47"/>
      <c r="AG604" s="47"/>
      <c r="AH604" s="47"/>
      <c r="AI604" s="47"/>
    </row>
    <row r="605" spans="1:35" ht="12.75" customHeight="1">
      <c r="G605" s="47"/>
      <c r="H605" s="663"/>
      <c r="I605" s="100"/>
      <c r="J605" s="650"/>
      <c r="K605" s="350" t="s">
        <v>264</v>
      </c>
      <c r="L605" s="357" t="s">
        <v>87</v>
      </c>
      <c r="M605" s="232">
        <f>E607</f>
        <v>8502.7000000000007</v>
      </c>
      <c r="N605" s="711">
        <f t="shared" si="73"/>
        <v>8589.9400940000123</v>
      </c>
      <c r="O605" s="106"/>
      <c r="P605" s="215">
        <v>-138.66999999999999</v>
      </c>
      <c r="Q605" s="140">
        <f t="shared" si="72"/>
        <v>-11150.827278481007</v>
      </c>
      <c r="R605" s="100">
        <f t="shared" si="71"/>
        <v>4399.1727215189931</v>
      </c>
      <c r="S605" s="524" t="s">
        <v>299</v>
      </c>
      <c r="T605" s="541"/>
      <c r="U605" s="47"/>
      <c r="V605" s="100"/>
      <c r="W605" s="192"/>
      <c r="X605" s="192"/>
      <c r="Y605" s="192"/>
      <c r="Z605" s="119"/>
      <c r="AA605" s="662"/>
      <c r="AB605" s="60"/>
      <c r="AC605" s="47"/>
      <c r="AD605" s="172"/>
      <c r="AE605" s="173"/>
      <c r="AF605" s="47"/>
      <c r="AG605" s="47"/>
      <c r="AH605" s="47"/>
      <c r="AI605" s="47"/>
    </row>
    <row r="606" spans="1:35" ht="12.75" customHeight="1">
      <c r="A606" s="467"/>
      <c r="C606" s="153" t="s">
        <v>40</v>
      </c>
      <c r="E606" s="97"/>
      <c r="G606"/>
      <c r="H606" s="806"/>
      <c r="I606" s="448"/>
      <c r="J606" s="448"/>
      <c r="K606" s="350" t="s">
        <v>264</v>
      </c>
      <c r="L606" s="357" t="s">
        <v>451</v>
      </c>
      <c r="M606" s="100">
        <v>250</v>
      </c>
      <c r="N606" s="711">
        <f t="shared" si="73"/>
        <v>8839.9400940000123</v>
      </c>
      <c r="O606" s="88"/>
      <c r="P606" s="215">
        <v>-110.74</v>
      </c>
      <c r="Q606" s="140">
        <f t="shared" si="72"/>
        <v>-11261.567278481007</v>
      </c>
      <c r="R606" s="100">
        <f t="shared" si="71"/>
        <v>4288.4327215189933</v>
      </c>
      <c r="S606" s="524" t="s">
        <v>319</v>
      </c>
      <c r="T606" s="541"/>
      <c r="U606" s="47"/>
      <c r="V606" s="100"/>
      <c r="W606" s="183"/>
      <c r="X606" s="191"/>
      <c r="Y606" s="192"/>
      <c r="Z606" s="119"/>
      <c r="AA606" s="662"/>
      <c r="AB606" s="175"/>
      <c r="AC606" s="47"/>
      <c r="AD606" s="176"/>
      <c r="AE606" s="173"/>
      <c r="AF606" s="47"/>
      <c r="AG606" s="47"/>
      <c r="AH606" s="47"/>
      <c r="AI606" s="47"/>
    </row>
    <row r="607" spans="1:35" ht="12.75" customHeight="1">
      <c r="A607" s="467"/>
      <c r="D607" s="47" t="s">
        <v>37</v>
      </c>
      <c r="E607" s="97">
        <f>E601</f>
        <v>8502.7000000000007</v>
      </c>
      <c r="F607" s="47"/>
      <c r="G607" s="47"/>
      <c r="H607" s="663">
        <f>G608+E608+G609+G610</f>
        <v>5181.3499999999995</v>
      </c>
      <c r="I607" s="448"/>
      <c r="J607" s="448"/>
      <c r="K607" s="350" t="s">
        <v>264</v>
      </c>
      <c r="L607" s="357" t="s">
        <v>504</v>
      </c>
      <c r="M607" s="232">
        <v>-1770</v>
      </c>
      <c r="N607" s="711">
        <f t="shared" si="73"/>
        <v>7069.9400940000123</v>
      </c>
      <c r="O607" s="88"/>
      <c r="P607" s="215">
        <v>-1012</v>
      </c>
      <c r="Q607" s="140">
        <f t="shared" si="72"/>
        <v>-12273.567278481007</v>
      </c>
      <c r="R607" s="100">
        <f t="shared" si="71"/>
        <v>3276.4327215189933</v>
      </c>
      <c r="S607" s="524" t="s">
        <v>508</v>
      </c>
      <c r="T607" s="541"/>
      <c r="U607" s="47"/>
      <c r="V607" s="100"/>
      <c r="W607" s="191"/>
      <c r="X607" s="191"/>
      <c r="Y607" s="192"/>
      <c r="Z607" s="119"/>
      <c r="AA607" s="662"/>
      <c r="AB607" s="60"/>
      <c r="AC607" s="47"/>
      <c r="AD607" s="91"/>
      <c r="AE607" s="173"/>
      <c r="AF607" s="47"/>
      <c r="AG607" s="47"/>
      <c r="AH607" s="47"/>
      <c r="AI607" s="47"/>
    </row>
    <row r="608" spans="1:35" ht="12.75" customHeight="1">
      <c r="A608" s="467"/>
      <c r="D608" s="150" t="s">
        <v>36</v>
      </c>
      <c r="E608" s="651">
        <f>E602-G608-G609-G610</f>
        <v>2181.3499999999995</v>
      </c>
      <c r="F608" s="650" t="s">
        <v>442</v>
      </c>
      <c r="G608" s="963">
        <f>P604</f>
        <v>1000</v>
      </c>
      <c r="H608" s="963"/>
      <c r="I608" s="448"/>
      <c r="K608" s="350" t="s">
        <v>264</v>
      </c>
      <c r="L608" s="357" t="s">
        <v>394</v>
      </c>
      <c r="M608" s="100">
        <v>-250</v>
      </c>
      <c r="N608" s="711">
        <f t="shared" si="73"/>
        <v>6819.9400940000123</v>
      </c>
      <c r="O608" s="88"/>
      <c r="P608" s="215">
        <v>-338</v>
      </c>
      <c r="Q608" s="140">
        <f t="shared" si="72"/>
        <v>-12611.567278481007</v>
      </c>
      <c r="R608" s="100">
        <f t="shared" si="71"/>
        <v>2938.4327215189933</v>
      </c>
      <c r="S608" s="524" t="s">
        <v>510</v>
      </c>
      <c r="T608" s="808"/>
      <c r="U608" s="47"/>
      <c r="V608" s="215"/>
      <c r="W608" s="47"/>
      <c r="X608" s="47"/>
      <c r="Y608" s="192"/>
      <c r="Z608" s="331"/>
      <c r="AA608" s="174"/>
      <c r="AB608" s="60"/>
      <c r="AC608" s="47"/>
      <c r="AD608" s="172"/>
      <c r="AE608" s="173"/>
      <c r="AF608" s="47"/>
      <c r="AG608" s="47"/>
      <c r="AH608" s="47"/>
      <c r="AI608" s="47"/>
    </row>
    <row r="609" spans="1:35" ht="12.75" customHeight="1">
      <c r="A609" s="467"/>
      <c r="D609" s="47"/>
      <c r="E609" s="60"/>
      <c r="F609" s="650" t="s">
        <v>442</v>
      </c>
      <c r="G609" s="963">
        <f>P616</f>
        <v>2000</v>
      </c>
      <c r="H609" s="963"/>
      <c r="I609" s="448"/>
      <c r="J609" s="48"/>
      <c r="K609" s="350" t="s">
        <v>264</v>
      </c>
      <c r="L609" s="357" t="s">
        <v>237</v>
      </c>
      <c r="M609" s="100">
        <v>-1738</v>
      </c>
      <c r="N609" s="711">
        <f t="shared" si="73"/>
        <v>5081.9400940000123</v>
      </c>
      <c r="O609" s="88"/>
      <c r="P609" s="215">
        <v>-600</v>
      </c>
      <c r="Q609" s="140">
        <f t="shared" si="72"/>
        <v>-13211.567278481007</v>
      </c>
      <c r="R609" s="100">
        <f t="shared" si="71"/>
        <v>2338.4327215189933</v>
      </c>
      <c r="S609" s="524" t="s">
        <v>511</v>
      </c>
      <c r="T609" s="801" t="s">
        <v>334</v>
      </c>
      <c r="U609" s="47"/>
      <c r="V609" s="100"/>
      <c r="W609" s="60"/>
      <c r="X609" s="47"/>
      <c r="Y609" s="192"/>
      <c r="Z609" s="331"/>
      <c r="AA609" s="174"/>
      <c r="AB609" s="175"/>
      <c r="AC609" s="47"/>
      <c r="AD609" s="172"/>
      <c r="AE609" s="173"/>
      <c r="AF609" s="47"/>
      <c r="AG609" s="47"/>
      <c r="AH609" s="47"/>
      <c r="AI609" s="47"/>
    </row>
    <row r="610" spans="1:35" ht="12.75" customHeight="1" thickBot="1">
      <c r="A610" s="467"/>
      <c r="D610" s="47"/>
      <c r="E610" s="60"/>
      <c r="F610" s="650" t="s">
        <v>442</v>
      </c>
      <c r="G610" s="963"/>
      <c r="H610" s="963"/>
      <c r="I610" s="448"/>
      <c r="J610" s="48"/>
      <c r="K610" s="165" t="s">
        <v>264</v>
      </c>
      <c r="L610" s="357" t="s">
        <v>222</v>
      </c>
      <c r="M610" s="100">
        <v>-69</v>
      </c>
      <c r="N610" s="711">
        <f t="shared" si="73"/>
        <v>5012.9400940000123</v>
      </c>
      <c r="O610" s="88"/>
      <c r="P610" s="215">
        <v>-898</v>
      </c>
      <c r="Q610" s="140">
        <f t="shared" si="72"/>
        <v>-14109.567278481007</v>
      </c>
      <c r="R610" s="100">
        <f t="shared" si="71"/>
        <v>1440.4327215189933</v>
      </c>
      <c r="S610" s="524" t="s">
        <v>512</v>
      </c>
      <c r="T610" s="540" t="s">
        <v>513</v>
      </c>
      <c r="U610" s="47"/>
      <c r="V610" s="100"/>
      <c r="W610" s="60"/>
      <c r="X610" s="47"/>
      <c r="Y610" s="192"/>
      <c r="Z610" s="331"/>
      <c r="AA610" s="174"/>
      <c r="AB610" s="60"/>
      <c r="AC610" s="47"/>
      <c r="AD610" s="172"/>
      <c r="AE610" s="177"/>
      <c r="AF610" s="47"/>
      <c r="AG610" s="47"/>
      <c r="AH610" s="47"/>
      <c r="AI610" s="47"/>
    </row>
    <row r="611" spans="1:35" ht="12.75" customHeight="1" thickTop="1">
      <c r="A611" s="467"/>
      <c r="D611" s="47"/>
      <c r="E611" s="60"/>
      <c r="F611" s="204"/>
      <c r="G611" s="965">
        <f>E607+E608+G609+G608+G610</f>
        <v>13684.05</v>
      </c>
      <c r="H611" s="965"/>
      <c r="I611" s="448"/>
      <c r="K611" s="350" t="s">
        <v>264</v>
      </c>
      <c r="L611" s="357" t="s">
        <v>97</v>
      </c>
      <c r="M611" s="100">
        <v>-252.5</v>
      </c>
      <c r="N611" s="711">
        <f t="shared" si="73"/>
        <v>4760.4400940000123</v>
      </c>
      <c r="O611" s="88"/>
      <c r="P611" s="215">
        <v>-465.73</v>
      </c>
      <c r="Q611" s="140">
        <f t="shared" si="72"/>
        <v>-14575.297278481006</v>
      </c>
      <c r="R611" s="100">
        <f t="shared" si="71"/>
        <v>974.70272151899371</v>
      </c>
      <c r="S611" s="524" t="s">
        <v>336</v>
      </c>
      <c r="T611" s="540" t="s">
        <v>334</v>
      </c>
      <c r="U611" s="142"/>
      <c r="V611" s="60"/>
      <c r="W611" s="60"/>
      <c r="X611" s="171"/>
      <c r="Y611" s="47"/>
      <c r="Z611" s="331"/>
      <c r="AA611" s="174"/>
      <c r="AB611" s="175"/>
      <c r="AC611" s="47"/>
      <c r="AD611" s="178"/>
      <c r="AE611" s="173"/>
      <c r="AF611" s="810"/>
      <c r="AG611" s="47"/>
      <c r="AH611" s="47"/>
      <c r="AI611" s="47"/>
    </row>
    <row r="612" spans="1:35" ht="12.75" customHeight="1">
      <c r="A612" s="467"/>
      <c r="D612" s="47"/>
      <c r="E612" s="60"/>
      <c r="F612" s="204"/>
      <c r="G612" s="807"/>
      <c r="H612" s="807"/>
      <c r="I612" s="448"/>
      <c r="J612" s="683"/>
      <c r="K612" s="350" t="s">
        <v>453</v>
      </c>
      <c r="L612" s="357" t="s">
        <v>189</v>
      </c>
      <c r="M612" s="100">
        <v>250</v>
      </c>
      <c r="N612" s="711">
        <f t="shared" si="73"/>
        <v>5010.4400940000123</v>
      </c>
      <c r="O612" s="88"/>
      <c r="P612" s="215">
        <v>-17.38</v>
      </c>
      <c r="Q612" s="140">
        <f t="shared" si="72"/>
        <v>-14592.677278481005</v>
      </c>
      <c r="R612" s="100">
        <f t="shared" si="71"/>
        <v>957.32272151899451</v>
      </c>
      <c r="S612" s="524" t="s">
        <v>514</v>
      </c>
      <c r="T612" s="540" t="s">
        <v>515</v>
      </c>
      <c r="U612" s="134"/>
      <c r="V612" s="60"/>
      <c r="W612" s="60"/>
      <c r="X612" s="84"/>
      <c r="Y612" s="47"/>
      <c r="Z612" s="331"/>
      <c r="AA612" s="174"/>
      <c r="AB612" s="60"/>
      <c r="AC612" s="47"/>
      <c r="AD612" s="47"/>
      <c r="AE612" s="47"/>
      <c r="AF612" s="179"/>
      <c r="AG612" s="47"/>
      <c r="AH612" s="47"/>
      <c r="AI612" s="47"/>
    </row>
    <row r="613" spans="1:35" ht="12.75" customHeight="1">
      <c r="A613" s="811"/>
      <c r="B613" s="811"/>
      <c r="C613" s="811"/>
      <c r="D613" s="811"/>
      <c r="E613" s="811"/>
      <c r="F613" s="204"/>
      <c r="G613" s="807"/>
      <c r="H613" s="807"/>
      <c r="I613" s="665"/>
      <c r="J613" s="683"/>
      <c r="K613" s="165" t="s">
        <v>231</v>
      </c>
      <c r="L613" s="358" t="s">
        <v>39</v>
      </c>
      <c r="M613" s="262">
        <v>-493.99</v>
      </c>
      <c r="N613" s="711">
        <f t="shared" si="73"/>
        <v>4516.4500940000125</v>
      </c>
      <c r="O613" s="88"/>
      <c r="P613" s="215">
        <v>-195.35</v>
      </c>
      <c r="Q613" s="140">
        <f t="shared" ref="Q613:Q621" si="74">Q612+P613</f>
        <v>-14788.027278481006</v>
      </c>
      <c r="R613" s="100">
        <f t="shared" ref="R613:R621" si="75">15550+Q613</f>
        <v>761.97272151899415</v>
      </c>
      <c r="S613" s="524" t="s">
        <v>304</v>
      </c>
      <c r="T613" s="540" t="s">
        <v>516</v>
      </c>
      <c r="U613" s="134"/>
      <c r="V613" s="47"/>
      <c r="W613" s="47"/>
      <c r="X613" s="47"/>
      <c r="Y613" s="191"/>
      <c r="Z613" s="331"/>
      <c r="AA613" s="174"/>
      <c r="AB613" s="60"/>
      <c r="AC613" s="47"/>
      <c r="AD613" s="47"/>
      <c r="AE613" s="47"/>
      <c r="AF613" s="47"/>
      <c r="AG613" s="47"/>
      <c r="AH613" s="47"/>
      <c r="AI613" s="47"/>
    </row>
    <row r="614" spans="1:35" ht="12.75" customHeight="1">
      <c r="A614" s="552"/>
      <c r="B614" s="552"/>
      <c r="C614" s="553"/>
      <c r="D614" s="554"/>
      <c r="E614" s="555"/>
      <c r="F614" s="556"/>
      <c r="G614" s="557"/>
      <c r="H614" s="656"/>
      <c r="I614" s="666"/>
      <c r="K614" s="350" t="s">
        <v>231</v>
      </c>
      <c r="L614" s="359" t="s">
        <v>92</v>
      </c>
      <c r="M614" s="262">
        <v>-900</v>
      </c>
      <c r="N614" s="711">
        <f t="shared" si="73"/>
        <v>3616.4500940000125</v>
      </c>
      <c r="O614" s="97"/>
      <c r="P614" s="215">
        <v>-512</v>
      </c>
      <c r="Q614" s="140">
        <f t="shared" si="74"/>
        <v>-15300.027278481006</v>
      </c>
      <c r="R614" s="100">
        <f t="shared" si="75"/>
        <v>249.97272151899415</v>
      </c>
      <c r="S614" s="524" t="s">
        <v>495</v>
      </c>
      <c r="T614" s="523" t="s">
        <v>517</v>
      </c>
      <c r="U614" s="134"/>
      <c r="V614" s="47"/>
      <c r="W614" s="47"/>
      <c r="X614" s="171"/>
      <c r="Y614" s="191"/>
      <c r="Z614" s="331"/>
      <c r="AA614" s="174"/>
      <c r="AB614" s="175"/>
      <c r="AC614" s="47"/>
      <c r="AD614" s="47"/>
      <c r="AE614" s="47"/>
      <c r="AF614" s="47"/>
      <c r="AG614" s="47"/>
      <c r="AH614" s="47"/>
      <c r="AI614" s="47"/>
    </row>
    <row r="615" spans="1:35" ht="12.75" customHeight="1">
      <c r="A615" s="887" t="s">
        <v>509</v>
      </c>
      <c r="B615" s="887"/>
      <c r="C615" s="887"/>
      <c r="D615" s="887"/>
      <c r="E615" s="887"/>
      <c r="F615" s="887"/>
      <c r="G615" s="887"/>
      <c r="H615" s="657"/>
      <c r="I615" s="667"/>
      <c r="K615" s="350" t="s">
        <v>232</v>
      </c>
      <c r="L615" s="359" t="s">
        <v>457</v>
      </c>
      <c r="M615" s="262">
        <v>-63.85</v>
      </c>
      <c r="N615" s="711">
        <f t="shared" si="73"/>
        <v>3552.6000940000126</v>
      </c>
      <c r="O615" s="60"/>
      <c r="P615" s="215">
        <v>-122</v>
      </c>
      <c r="Q615" s="140">
        <f t="shared" si="74"/>
        <v>-15422.027278481006</v>
      </c>
      <c r="R615" s="100">
        <f t="shared" si="75"/>
        <v>127.97272151899415</v>
      </c>
      <c r="S615" s="524" t="s">
        <v>487</v>
      </c>
      <c r="T615" s="540" t="s">
        <v>500</v>
      </c>
      <c r="U615" s="164"/>
      <c r="V615" s="47"/>
      <c r="W615" s="47"/>
      <c r="X615" s="47"/>
      <c r="Y615" s="191"/>
      <c r="Z615" s="331"/>
      <c r="AA615" s="174"/>
      <c r="AB615" s="60"/>
      <c r="AC615" s="47"/>
      <c r="AD615" s="47"/>
      <c r="AE615" s="47"/>
      <c r="AF615" s="47"/>
      <c r="AG615" s="810"/>
      <c r="AH615" s="47"/>
      <c r="AI615" s="47"/>
    </row>
    <row r="616" spans="1:35" ht="12.75" customHeight="1">
      <c r="A616" s="552"/>
      <c r="B616" s="552"/>
      <c r="C616" s="553"/>
      <c r="D616" s="554"/>
      <c r="E616" s="555"/>
      <c r="F616" s="556"/>
      <c r="G616" s="557"/>
      <c r="H616" s="657"/>
      <c r="I616" s="667"/>
      <c r="J616" s="690"/>
      <c r="K616" s="350" t="s">
        <v>265</v>
      </c>
      <c r="L616" s="196" t="s">
        <v>266</v>
      </c>
      <c r="M616" s="100">
        <v>-533.94000000000005</v>
      </c>
      <c r="N616" s="711">
        <f t="shared" si="73"/>
        <v>3018.6600940000126</v>
      </c>
      <c r="O616" s="60"/>
      <c r="P616" s="798">
        <v>2000</v>
      </c>
      <c r="Q616" s="140">
        <f t="shared" si="74"/>
        <v>-13422.027278481006</v>
      </c>
      <c r="R616" s="100">
        <f t="shared" si="75"/>
        <v>2127.9727215189941</v>
      </c>
      <c r="S616" s="524" t="s">
        <v>334</v>
      </c>
      <c r="T616" s="540" t="s">
        <v>507</v>
      </c>
      <c r="U616" s="47"/>
      <c r="V616" s="47"/>
      <c r="W616" s="47"/>
      <c r="X616" s="47"/>
      <c r="Y616" s="191"/>
      <c r="Z616" s="331"/>
      <c r="AA616" s="174"/>
      <c r="AB616" s="60"/>
      <c r="AC616" s="47"/>
      <c r="AD616" s="47"/>
      <c r="AE616" s="47"/>
      <c r="AF616" s="47"/>
      <c r="AG616" s="47"/>
      <c r="AH616" s="47"/>
      <c r="AI616" s="47"/>
    </row>
    <row r="617" spans="1:35" ht="12.75" customHeight="1">
      <c r="A617" s="552"/>
      <c r="B617" s="552"/>
      <c r="C617" s="553"/>
      <c r="D617" s="554"/>
      <c r="E617" s="555"/>
      <c r="F617" s="556"/>
      <c r="G617" s="557"/>
      <c r="H617" s="657"/>
      <c r="I617" s="667"/>
      <c r="J617" s="690"/>
      <c r="K617" s="469" t="s">
        <v>232</v>
      </c>
      <c r="L617" s="360" t="s">
        <v>46</v>
      </c>
      <c r="M617" s="516">
        <v>-259.38</v>
      </c>
      <c r="N617" s="710">
        <f>N616+M617</f>
        <v>2759.2800940000125</v>
      </c>
      <c r="O617" s="60"/>
      <c r="P617" s="215">
        <v>-250</v>
      </c>
      <c r="Q617" s="140">
        <f t="shared" si="74"/>
        <v>-13672.027278481006</v>
      </c>
      <c r="R617" s="100">
        <f t="shared" si="75"/>
        <v>1877.9727215189941</v>
      </c>
      <c r="S617" s="524" t="s">
        <v>525</v>
      </c>
      <c r="T617" s="540"/>
      <c r="U617" s="47"/>
      <c r="V617" s="47"/>
      <c r="W617" s="47"/>
      <c r="X617" s="47"/>
      <c r="Y617" s="191"/>
      <c r="Z617" s="331"/>
      <c r="AA617" s="174"/>
      <c r="AB617" s="60"/>
      <c r="AC617" s="47"/>
      <c r="AD617" s="47"/>
      <c r="AE617" s="47"/>
      <c r="AF617" s="47"/>
      <c r="AG617" s="47"/>
      <c r="AH617" s="47"/>
      <c r="AI617" s="47"/>
    </row>
    <row r="618" spans="1:35" ht="12.75" customHeight="1">
      <c r="A618" s="485"/>
      <c r="B618" s="485"/>
      <c r="C618" s="552"/>
      <c r="D618" s="558"/>
      <c r="E618" s="215"/>
      <c r="F618" s="111"/>
      <c r="G618" s="521"/>
      <c r="H618" s="807"/>
      <c r="I618" s="665"/>
      <c r="L618" s="58"/>
      <c r="M618" s="255">
        <f>SUM(M602:M617)</f>
        <v>2759.2800940000125</v>
      </c>
      <c r="N618" s="399"/>
      <c r="O618" s="60"/>
      <c r="P618" s="215">
        <v>-199.26</v>
      </c>
      <c r="Q618" s="140">
        <f t="shared" si="74"/>
        <v>-13871.287278481006</v>
      </c>
      <c r="R618" s="100">
        <f t="shared" si="75"/>
        <v>1678.7127215189939</v>
      </c>
      <c r="S618" s="524" t="s">
        <v>319</v>
      </c>
      <c r="T618" s="540" t="s">
        <v>334</v>
      </c>
      <c r="U618" s="47"/>
      <c r="V618" s="60"/>
      <c r="W618" s="60"/>
      <c r="X618" s="171"/>
      <c r="Y618" s="47"/>
      <c r="Z618" s="331"/>
      <c r="AA618" s="174"/>
      <c r="AB618" s="60"/>
      <c r="AC618" s="47"/>
      <c r="AD618" s="47"/>
      <c r="AE618" s="47"/>
      <c r="AF618" s="47"/>
      <c r="AG618" s="47"/>
      <c r="AH618" s="47"/>
      <c r="AI618" s="47"/>
    </row>
    <row r="619" spans="1:35" ht="12.75" customHeight="1">
      <c r="A619" s="485"/>
      <c r="B619" s="485"/>
      <c r="C619" s="485"/>
      <c r="D619" s="558"/>
      <c r="E619" s="215"/>
      <c r="F619" s="111"/>
      <c r="G619" s="521"/>
      <c r="H619" s="807"/>
      <c r="I619" s="681"/>
      <c r="K619" s="812"/>
      <c r="L619" s="101"/>
      <c r="M619" s="60"/>
      <c r="N619" s="399"/>
      <c r="O619" s="60"/>
      <c r="P619" s="215">
        <v>-145.01</v>
      </c>
      <c r="Q619" s="140">
        <f t="shared" si="74"/>
        <v>-14016.297278481006</v>
      </c>
      <c r="R619" s="100">
        <f t="shared" si="75"/>
        <v>1533.7027215189937</v>
      </c>
      <c r="S619" s="524" t="s">
        <v>319</v>
      </c>
      <c r="T619" s="540"/>
      <c r="U619" s="47"/>
      <c r="V619" s="60"/>
      <c r="W619" s="60"/>
      <c r="X619" s="171"/>
      <c r="Y619" s="47"/>
      <c r="Z619" s="331"/>
      <c r="AA619" s="174"/>
      <c r="AB619" s="60"/>
      <c r="AC619" s="47"/>
      <c r="AD619" s="47"/>
      <c r="AE619" s="47"/>
      <c r="AF619" s="47"/>
      <c r="AG619" s="47"/>
      <c r="AH619" s="47"/>
      <c r="AI619" s="47"/>
    </row>
    <row r="620" spans="1:35" s="47" customFormat="1">
      <c r="E620" s="60"/>
      <c r="G620" s="101"/>
      <c r="K620" s="812"/>
      <c r="L620" s="101"/>
      <c r="M620" s="60"/>
      <c r="N620" s="399"/>
      <c r="P620" s="215">
        <v>-53</v>
      </c>
      <c r="Q620" s="140">
        <f t="shared" si="74"/>
        <v>-14069.297278481006</v>
      </c>
      <c r="R620" s="100">
        <f t="shared" si="75"/>
        <v>1480.7027215189937</v>
      </c>
      <c r="S620" s="524" t="s">
        <v>523</v>
      </c>
      <c r="T620" s="540" t="s">
        <v>524</v>
      </c>
      <c r="Z620" s="60"/>
      <c r="AA620" s="818"/>
      <c r="AB620" s="60"/>
    </row>
    <row r="621" spans="1:35">
      <c r="K621" s="348"/>
      <c r="L621" s="47"/>
      <c r="M621" s="60"/>
      <c r="N621" s="47"/>
      <c r="P621" s="149">
        <f>E608</f>
        <v>2181.3499999999995</v>
      </c>
      <c r="Q621" s="141">
        <f t="shared" si="74"/>
        <v>-11887.947278481006</v>
      </c>
      <c r="R621" s="115">
        <f t="shared" si="75"/>
        <v>3662.0527215189941</v>
      </c>
      <c r="S621" s="524" t="s">
        <v>334</v>
      </c>
      <c r="T621" s="523"/>
    </row>
    <row r="622" spans="1:35">
      <c r="P622" s="133">
        <f>SUM(P602:P621)</f>
        <v>-11887.947278481006</v>
      </c>
      <c r="Q622" s="377" t="s">
        <v>285</v>
      </c>
      <c r="R622" s="453"/>
      <c r="S622" s="802"/>
      <c r="T622" s="523"/>
    </row>
    <row r="623" spans="1:35" s="150" customFormat="1">
      <c r="E623" s="41"/>
      <c r="G623" s="211"/>
      <c r="K623" s="349"/>
      <c r="M623" s="41"/>
      <c r="P623" s="41"/>
      <c r="Q623" s="41"/>
      <c r="R623" s="41"/>
      <c r="S623" s="535"/>
      <c r="Z623" s="41"/>
      <c r="AA623" s="212"/>
      <c r="AB623" s="41"/>
    </row>
    <row r="625" spans="1:35" ht="12.75" customHeight="1">
      <c r="B625" s="966" t="s">
        <v>518</v>
      </c>
      <c r="C625" s="966"/>
      <c r="D625" s="966"/>
      <c r="E625" s="966"/>
      <c r="G625" s="352"/>
      <c r="H625" s="352"/>
      <c r="I625" s="60"/>
      <c r="K625" s="350"/>
      <c r="L625" s="180"/>
      <c r="M625" s="970" t="s">
        <v>90</v>
      </c>
      <c r="N625" s="840"/>
      <c r="O625" s="835"/>
      <c r="P625" s="972" t="s">
        <v>84</v>
      </c>
      <c r="Q625" s="974" t="s">
        <v>284</v>
      </c>
      <c r="R625" s="974"/>
      <c r="S625" s="528"/>
      <c r="X625" s="84"/>
      <c r="Y625" s="84"/>
      <c r="Z625" s="60"/>
      <c r="AA625" s="838"/>
      <c r="AB625" s="60"/>
      <c r="AC625" s="47"/>
      <c r="AD625" s="47"/>
      <c r="AE625" s="47"/>
      <c r="AF625" s="47"/>
      <c r="AG625" s="47"/>
      <c r="AH625" s="47"/>
      <c r="AI625" s="47"/>
    </row>
    <row r="626" spans="1:35" ht="12.75" customHeight="1">
      <c r="C626" s="43" t="s">
        <v>435</v>
      </c>
      <c r="D626" s="39"/>
      <c r="E626" s="99">
        <v>8502.7000000000007</v>
      </c>
      <c r="G626" s="976"/>
      <c r="H626" s="976"/>
      <c r="I626" s="60"/>
      <c r="K626" s="351" t="s">
        <v>263</v>
      </c>
      <c r="L626" s="242"/>
      <c r="M626" s="971"/>
      <c r="N626" s="840" t="s">
        <v>79</v>
      </c>
      <c r="O626" s="835"/>
      <c r="P626" s="973"/>
      <c r="Q626" s="836" t="s">
        <v>79</v>
      </c>
      <c r="R626" s="837" t="s">
        <v>89</v>
      </c>
      <c r="S626" s="528"/>
      <c r="X626" s="198"/>
      <c r="Y626" s="191"/>
      <c r="Z626" s="197"/>
      <c r="AA626" s="169"/>
      <c r="AB626" s="170"/>
      <c r="AC626" s="47"/>
      <c r="AD626" s="91"/>
      <c r="AE626" s="47"/>
      <c r="AF626" s="47"/>
      <c r="AG626" s="47"/>
      <c r="AH626" s="47"/>
      <c r="AI626" s="47"/>
    </row>
    <row r="627" spans="1:35" ht="12.75" customHeight="1">
      <c r="C627" s="43"/>
      <c r="D627" s="39" t="s">
        <v>47</v>
      </c>
      <c r="E627" s="99">
        <f>'[1]DEC ''12'!$C$33</f>
        <v>2055.16</v>
      </c>
      <c r="G627" s="74"/>
      <c r="H627" s="830">
        <f>SUM(E627:E628)</f>
        <v>2055.16</v>
      </c>
      <c r="I627" s="60"/>
      <c r="K627" s="362"/>
      <c r="L627" s="327" t="s">
        <v>268</v>
      </c>
      <c r="M627" s="100">
        <f>$M$618</f>
        <v>2759.2800940000125</v>
      </c>
      <c r="N627" s="139">
        <f>M627</f>
        <v>2759.2800940000125</v>
      </c>
      <c r="O627" s="60"/>
      <c r="P627" s="100">
        <f>$Q$621</f>
        <v>-11887.947278481006</v>
      </c>
      <c r="Q627" s="139">
        <f>P627</f>
        <v>-11887.947278481006</v>
      </c>
      <c r="R627" s="100">
        <f t="shared" ref="R627:R639" si="76">15550+Q627</f>
        <v>3662.0527215189941</v>
      </c>
      <c r="S627" s="529" t="s">
        <v>357</v>
      </c>
      <c r="T627" s="518" t="s">
        <v>358</v>
      </c>
      <c r="W627" s="542"/>
      <c r="X627" s="191"/>
      <c r="Y627" s="191"/>
      <c r="Z627" s="100"/>
      <c r="AA627" s="661"/>
      <c r="AB627" s="60"/>
      <c r="AC627" s="47"/>
      <c r="AD627" s="172"/>
      <c r="AE627" s="173"/>
      <c r="AF627" s="47"/>
      <c r="AG627" s="47"/>
      <c r="AH627" s="47"/>
      <c r="AI627" s="47"/>
    </row>
    <row r="628" spans="1:35" ht="12.75" customHeight="1">
      <c r="C628" s="43"/>
      <c r="D628" s="229" t="s">
        <v>267</v>
      </c>
      <c r="E628" s="41"/>
      <c r="G628"/>
      <c r="H628" s="830"/>
      <c r="I628" s="60"/>
      <c r="K628" s="362"/>
      <c r="L628" s="327" t="s">
        <v>140</v>
      </c>
      <c r="M628" s="100">
        <v>-2300</v>
      </c>
      <c r="N628" s="711">
        <f>N627+M628</f>
        <v>459.28009400001247</v>
      </c>
      <c r="O628" s="134"/>
      <c r="P628" s="215">
        <f>-M628</f>
        <v>2300</v>
      </c>
      <c r="Q628" s="140">
        <f t="shared" ref="Q628:Q639" si="77">Q627+P628</f>
        <v>-9587.9472784810059</v>
      </c>
      <c r="R628" s="100">
        <f t="shared" si="76"/>
        <v>5962.0527215189941</v>
      </c>
      <c r="S628" s="524" t="s">
        <v>289</v>
      </c>
      <c r="T628" s="541"/>
      <c r="W628" s="191"/>
      <c r="X628" s="191"/>
      <c r="Y628" s="192"/>
      <c r="Z628" s="119"/>
      <c r="AA628" s="662"/>
      <c r="AB628" s="175"/>
      <c r="AC628" s="47"/>
      <c r="AD628" s="91"/>
      <c r="AE628" s="173"/>
      <c r="AF628" s="47"/>
      <c r="AG628" s="47"/>
      <c r="AH628" s="47"/>
      <c r="AI628" s="47"/>
    </row>
    <row r="629" spans="1:35" ht="12.75" customHeight="1">
      <c r="C629" s="45" t="s">
        <v>17</v>
      </c>
      <c r="D629" s="39"/>
      <c r="E629" s="39">
        <f>SUM(E626:E628)</f>
        <v>10557.86</v>
      </c>
      <c r="G629" s="334"/>
      <c r="H629" s="664"/>
      <c r="I629" s="334"/>
      <c r="J629" s="448"/>
      <c r="K629" s="400" t="s">
        <v>265</v>
      </c>
      <c r="L629" s="274" t="s">
        <v>269</v>
      </c>
      <c r="M629" s="100">
        <v>-357</v>
      </c>
      <c r="N629" s="711">
        <f>N628+M629</f>
        <v>102.28009400001247</v>
      </c>
      <c r="O629" s="106"/>
      <c r="P629" s="215">
        <v>-4466.76</v>
      </c>
      <c r="Q629" s="140">
        <f t="shared" si="77"/>
        <v>-14054.707278481006</v>
      </c>
      <c r="R629" s="100">
        <f t="shared" si="76"/>
        <v>1495.2927215189939</v>
      </c>
      <c r="S629" s="524" t="s">
        <v>519</v>
      </c>
      <c r="T629" s="541"/>
      <c r="U629" s="191"/>
      <c r="V629" s="47"/>
      <c r="W629" s="191"/>
      <c r="X629" s="191"/>
      <c r="Y629" s="192"/>
      <c r="Z629" s="119"/>
      <c r="AA629" s="662"/>
      <c r="AB629" s="60"/>
      <c r="AC629" s="47"/>
      <c r="AD629" s="172"/>
      <c r="AE629" s="173"/>
      <c r="AF629" s="47"/>
      <c r="AG629" s="47"/>
      <c r="AH629" s="47"/>
      <c r="AI629" s="47"/>
    </row>
    <row r="630" spans="1:35" ht="12.75" customHeight="1">
      <c r="G630" s="47"/>
      <c r="H630" s="663"/>
      <c r="I630" s="100"/>
      <c r="J630" s="650"/>
      <c r="K630" s="350"/>
      <c r="L630" s="196" t="s">
        <v>529</v>
      </c>
      <c r="M630" s="100">
        <v>4000</v>
      </c>
      <c r="N630" s="711">
        <f t="shared" ref="N630:N649" si="78">N629+M630</f>
        <v>4102.2800940000125</v>
      </c>
      <c r="O630" s="106"/>
      <c r="P630" s="215">
        <v>-143.66</v>
      </c>
      <c r="Q630" s="140">
        <f t="shared" si="77"/>
        <v>-14198.367278481006</v>
      </c>
      <c r="R630" s="100">
        <f t="shared" si="76"/>
        <v>1351.632721518994</v>
      </c>
      <c r="S630" s="524" t="s">
        <v>299</v>
      </c>
      <c r="T630" s="541"/>
      <c r="U630" s="47"/>
      <c r="V630" s="100"/>
      <c r="W630" s="192"/>
      <c r="X630" s="192"/>
      <c r="Y630" s="192"/>
      <c r="Z630" s="119"/>
      <c r="AA630" s="662"/>
      <c r="AB630" s="60"/>
      <c r="AC630" s="47"/>
      <c r="AD630" s="172"/>
      <c r="AE630" s="173"/>
      <c r="AF630" s="47"/>
      <c r="AG630" s="47"/>
      <c r="AH630" s="47"/>
      <c r="AI630" s="47"/>
    </row>
    <row r="631" spans="1:35" ht="12.75" customHeight="1">
      <c r="A631" s="467"/>
      <c r="C631" s="153" t="s">
        <v>40</v>
      </c>
      <c r="E631" s="97"/>
      <c r="G631"/>
      <c r="H631" s="841"/>
      <c r="I631" s="448"/>
      <c r="J631" s="448"/>
      <c r="K631" s="350"/>
      <c r="L631" s="196" t="s">
        <v>532</v>
      </c>
      <c r="M631" s="100">
        <v>-397.95</v>
      </c>
      <c r="N631" s="711">
        <f t="shared" si="78"/>
        <v>3704.3300940000127</v>
      </c>
      <c r="O631" s="88"/>
      <c r="P631" s="215">
        <v>-999.99</v>
      </c>
      <c r="Q631" s="140">
        <f t="shared" si="77"/>
        <v>-15198.357278481006</v>
      </c>
      <c r="R631" s="100">
        <f t="shared" si="76"/>
        <v>351.64272151899422</v>
      </c>
      <c r="S631" s="524" t="s">
        <v>527</v>
      </c>
      <c r="T631" s="541"/>
      <c r="U631" s="47"/>
      <c r="V631" s="100"/>
      <c r="W631" s="183"/>
      <c r="X631" s="191"/>
      <c r="Y631" s="192"/>
      <c r="Z631" s="119"/>
      <c r="AA631" s="662"/>
      <c r="AB631" s="175"/>
      <c r="AC631" s="47"/>
      <c r="AD631" s="176"/>
      <c r="AE631" s="173"/>
      <c r="AF631" s="47"/>
      <c r="AG631" s="47"/>
      <c r="AH631" s="47"/>
      <c r="AI631" s="47"/>
    </row>
    <row r="632" spans="1:35" ht="12.75" customHeight="1">
      <c r="A632" s="467"/>
      <c r="D632" s="47" t="s">
        <v>37</v>
      </c>
      <c r="E632" s="97">
        <f>E626</f>
        <v>8502.7000000000007</v>
      </c>
      <c r="F632" s="47"/>
      <c r="G632" s="47"/>
      <c r="H632" s="663">
        <f>G633+E633+G634+G635</f>
        <v>2055.16</v>
      </c>
      <c r="I632" s="448"/>
      <c r="J632" s="448"/>
      <c r="K632" s="355" t="s">
        <v>264</v>
      </c>
      <c r="L632" s="843" t="s">
        <v>237</v>
      </c>
      <c r="M632" s="216">
        <v>-1738</v>
      </c>
      <c r="N632" s="711">
        <f t="shared" si="78"/>
        <v>1966.3300940000127</v>
      </c>
      <c r="O632" s="88"/>
      <c r="P632" s="215">
        <v>-120.35</v>
      </c>
      <c r="Q632" s="140">
        <f t="shared" si="77"/>
        <v>-15318.707278481006</v>
      </c>
      <c r="R632" s="100">
        <f t="shared" si="76"/>
        <v>231.29272151899386</v>
      </c>
      <c r="S632" s="524" t="s">
        <v>304</v>
      </c>
      <c r="T632" s="541"/>
      <c r="U632" s="47"/>
      <c r="V632" s="100"/>
      <c r="W632" s="191"/>
      <c r="X632" s="191"/>
      <c r="Y632" s="192"/>
      <c r="Z632" s="119"/>
      <c r="AA632" s="662"/>
      <c r="AB632" s="60"/>
      <c r="AC632" s="47"/>
      <c r="AD632" s="91"/>
      <c r="AE632" s="173"/>
      <c r="AF632" s="47"/>
      <c r="AG632" s="47"/>
      <c r="AH632" s="47"/>
      <c r="AI632" s="47"/>
    </row>
    <row r="633" spans="1:35" ht="12.75" customHeight="1">
      <c r="A633" s="467"/>
      <c r="D633" s="150" t="s">
        <v>36</v>
      </c>
      <c r="E633" s="651">
        <f>E627-G633-G634-G635</f>
        <v>2055.16</v>
      </c>
      <c r="F633" s="650" t="s">
        <v>442</v>
      </c>
      <c r="G633" s="963"/>
      <c r="H633" s="963"/>
      <c r="I633" s="448"/>
      <c r="K633" s="350"/>
      <c r="L633" s="357" t="s">
        <v>152</v>
      </c>
      <c r="M633" s="232">
        <v>-500</v>
      </c>
      <c r="N633" s="711">
        <f t="shared" si="78"/>
        <v>1466.3300940000127</v>
      </c>
      <c r="O633" s="88"/>
      <c r="P633" s="215">
        <v>4500</v>
      </c>
      <c r="Q633" s="140">
        <f t="shared" si="77"/>
        <v>-10818.707278481006</v>
      </c>
      <c r="R633" s="100">
        <f t="shared" si="76"/>
        <v>4731.2927215189939</v>
      </c>
      <c r="S633" s="524" t="s">
        <v>526</v>
      </c>
      <c r="T633" s="801"/>
      <c r="U633" s="47"/>
      <c r="V633" s="215"/>
      <c r="W633" s="47"/>
      <c r="X633" s="47"/>
      <c r="Y633" s="192"/>
      <c r="Z633" s="331"/>
      <c r="AA633" s="174"/>
      <c r="AB633" s="60"/>
      <c r="AC633" s="47"/>
      <c r="AD633" s="172"/>
      <c r="AE633" s="173"/>
      <c r="AF633" s="47"/>
      <c r="AG633" s="47"/>
      <c r="AH633" s="47"/>
      <c r="AI633" s="47"/>
    </row>
    <row r="634" spans="1:35" ht="12.75" customHeight="1">
      <c r="A634" s="467"/>
      <c r="D634" s="47"/>
      <c r="E634" s="60"/>
      <c r="F634" s="650" t="s">
        <v>442</v>
      </c>
      <c r="G634" s="963"/>
      <c r="H634" s="963"/>
      <c r="I634" s="448"/>
      <c r="J634" s="48"/>
      <c r="K634" s="350" t="s">
        <v>264</v>
      </c>
      <c r="L634" s="357" t="s">
        <v>87</v>
      </c>
      <c r="M634" s="232">
        <v>4000</v>
      </c>
      <c r="N634" s="711">
        <f t="shared" si="78"/>
        <v>5466.3300940000127</v>
      </c>
      <c r="O634" s="88"/>
      <c r="P634" s="215">
        <v>-307.43</v>
      </c>
      <c r="Q634" s="140">
        <f t="shared" si="77"/>
        <v>-11126.137278481006</v>
      </c>
      <c r="R634" s="100">
        <f t="shared" si="76"/>
        <v>4423.8627215189936</v>
      </c>
      <c r="S634" s="524" t="s">
        <v>533</v>
      </c>
      <c r="T634" s="540" t="s">
        <v>319</v>
      </c>
      <c r="U634" s="47"/>
      <c r="V634" s="100"/>
      <c r="W634" s="60"/>
      <c r="X634" s="47"/>
      <c r="Y634" s="192"/>
      <c r="Z634" s="331"/>
      <c r="AA634" s="174"/>
      <c r="AB634" s="175"/>
      <c r="AC634" s="47"/>
      <c r="AD634" s="172"/>
      <c r="AE634" s="173"/>
      <c r="AF634" s="47"/>
      <c r="AG634" s="47"/>
      <c r="AH634" s="47"/>
      <c r="AI634" s="47"/>
    </row>
    <row r="635" spans="1:35" ht="12.75" customHeight="1" thickBot="1">
      <c r="A635" s="467"/>
      <c r="D635" s="47"/>
      <c r="E635" s="60"/>
      <c r="F635" s="650" t="s">
        <v>442</v>
      </c>
      <c r="G635" s="963"/>
      <c r="H635" s="963"/>
      <c r="I635" s="448"/>
      <c r="J635" s="48"/>
      <c r="K635" s="350" t="s">
        <v>264</v>
      </c>
      <c r="L635" s="357" t="s">
        <v>451</v>
      </c>
      <c r="M635" s="287">
        <v>250</v>
      </c>
      <c r="N635" s="711">
        <f t="shared" si="78"/>
        <v>5716.3300940000127</v>
      </c>
      <c r="O635" s="88"/>
      <c r="P635" s="215">
        <v>-599.95000000000005</v>
      </c>
      <c r="Q635" s="140">
        <f t="shared" si="77"/>
        <v>-11726.087278481007</v>
      </c>
      <c r="R635" s="100">
        <f t="shared" si="76"/>
        <v>3823.9127215189928</v>
      </c>
      <c r="S635" s="524" t="s">
        <v>535</v>
      </c>
      <c r="T635" s="540"/>
      <c r="U635" s="47"/>
      <c r="V635" s="100"/>
      <c r="W635" s="60"/>
      <c r="X635" s="47"/>
      <c r="Y635" s="192"/>
      <c r="Z635" s="331"/>
      <c r="AA635" s="174"/>
      <c r="AB635" s="60"/>
      <c r="AC635" s="47"/>
      <c r="AD635" s="172"/>
      <c r="AE635" s="177"/>
      <c r="AF635" s="47"/>
      <c r="AG635" s="47"/>
      <c r="AH635" s="47"/>
      <c r="AI635" s="47"/>
    </row>
    <row r="636" spans="1:35" ht="12.75" customHeight="1" thickTop="1">
      <c r="A636" s="467"/>
      <c r="D636" s="47"/>
      <c r="E636" s="60"/>
      <c r="F636" s="204"/>
      <c r="G636" s="965">
        <f>E632+E633+G634+G633+G635</f>
        <v>10557.86</v>
      </c>
      <c r="H636" s="965"/>
      <c r="I636" s="448"/>
      <c r="K636" s="350" t="s">
        <v>264</v>
      </c>
      <c r="L636" s="357" t="s">
        <v>505</v>
      </c>
      <c r="M636" s="232">
        <v>-2700</v>
      </c>
      <c r="N636" s="711">
        <f t="shared" si="78"/>
        <v>3016.3300940000127</v>
      </c>
      <c r="O636" s="88"/>
      <c r="P636" s="215">
        <f>-250-12</f>
        <v>-262</v>
      </c>
      <c r="Q636" s="140">
        <f t="shared" si="77"/>
        <v>-11988.087278481007</v>
      </c>
      <c r="R636" s="100">
        <f t="shared" si="76"/>
        <v>3561.9127215189928</v>
      </c>
      <c r="S636" s="524" t="s">
        <v>534</v>
      </c>
      <c r="T636" s="540"/>
      <c r="U636" s="142"/>
      <c r="V636" s="60"/>
      <c r="W636" s="60"/>
      <c r="X636" s="171"/>
      <c r="Y636" s="47"/>
      <c r="Z636" s="331"/>
      <c r="AA636" s="174"/>
      <c r="AB636" s="175"/>
      <c r="AC636" s="47"/>
      <c r="AD636" s="178"/>
      <c r="AE636" s="173"/>
      <c r="AF636" s="838"/>
      <c r="AG636" s="47"/>
      <c r="AH636" s="47"/>
      <c r="AI636" s="47"/>
    </row>
    <row r="637" spans="1:35" ht="12.75" customHeight="1">
      <c r="A637" s="467"/>
      <c r="D637" s="47"/>
      <c r="E637" s="60"/>
      <c r="F637" s="204"/>
      <c r="G637" s="842"/>
      <c r="H637" s="842"/>
      <c r="I637" s="448"/>
      <c r="J637" s="683"/>
      <c r="K637" s="350" t="s">
        <v>264</v>
      </c>
      <c r="L637" s="357" t="s">
        <v>394</v>
      </c>
      <c r="M637" s="100">
        <v>-250</v>
      </c>
      <c r="N637" s="711">
        <f t="shared" si="78"/>
        <v>2766.3300940000127</v>
      </c>
      <c r="O637" s="88"/>
      <c r="P637" s="215">
        <v>-544.53</v>
      </c>
      <c r="Q637" s="140">
        <f t="shared" si="77"/>
        <v>-12532.617278481008</v>
      </c>
      <c r="R637" s="100">
        <f t="shared" si="76"/>
        <v>3017.3827215189922</v>
      </c>
      <c r="S637" s="524" t="s">
        <v>536</v>
      </c>
      <c r="T637" s="540" t="s">
        <v>397</v>
      </c>
      <c r="U637" s="134"/>
      <c r="V637" s="60"/>
      <c r="W637" s="60"/>
      <c r="X637" s="84"/>
      <c r="Y637" s="47"/>
      <c r="Z637" s="331"/>
      <c r="AA637" s="174"/>
      <c r="AB637" s="60"/>
      <c r="AC637" s="47"/>
      <c r="AD637" s="47"/>
      <c r="AE637" s="47"/>
      <c r="AF637" s="179"/>
      <c r="AG637" s="47"/>
      <c r="AH637" s="47"/>
      <c r="AI637" s="47"/>
    </row>
    <row r="638" spans="1:35" ht="12.75" customHeight="1">
      <c r="A638" s="839"/>
      <c r="B638" s="839"/>
      <c r="C638" s="839"/>
      <c r="D638" s="839"/>
      <c r="E638" s="839"/>
      <c r="F638" s="204"/>
      <c r="G638" s="842"/>
      <c r="H638" s="842"/>
      <c r="I638" s="665"/>
      <c r="J638" s="683"/>
      <c r="K638" s="350" t="s">
        <v>264</v>
      </c>
      <c r="L638" s="357" t="s">
        <v>237</v>
      </c>
      <c r="M638" s="100">
        <v>0</v>
      </c>
      <c r="N638" s="711">
        <f t="shared" si="78"/>
        <v>2766.3300940000127</v>
      </c>
      <c r="O638" s="88"/>
      <c r="P638" s="215">
        <v>-250.31</v>
      </c>
      <c r="Q638" s="140">
        <f t="shared" si="77"/>
        <v>-12782.927278481007</v>
      </c>
      <c r="R638" s="100">
        <f t="shared" si="76"/>
        <v>2767.0727215189927</v>
      </c>
      <c r="S638" s="524" t="s">
        <v>336</v>
      </c>
      <c r="T638" s="540" t="s">
        <v>537</v>
      </c>
      <c r="U638" s="134"/>
      <c r="V638" s="47"/>
      <c r="W638" s="47"/>
      <c r="X638" s="47"/>
      <c r="Y638" s="191"/>
      <c r="Z638" s="331"/>
      <c r="AA638" s="174"/>
      <c r="AB638" s="60"/>
      <c r="AC638" s="47"/>
      <c r="AD638" s="47"/>
      <c r="AE638" s="47"/>
      <c r="AF638" s="47"/>
      <c r="AG638" s="47"/>
      <c r="AH638" s="47"/>
      <c r="AI638" s="47"/>
    </row>
    <row r="639" spans="1:35" ht="12.75" customHeight="1">
      <c r="A639" s="552"/>
      <c r="B639" s="552"/>
      <c r="C639" s="553"/>
      <c r="D639" s="554"/>
      <c r="E639" s="555"/>
      <c r="F639" s="556"/>
      <c r="G639" s="557"/>
      <c r="H639" s="656"/>
      <c r="I639" s="666"/>
      <c r="K639" s="165" t="s">
        <v>264</v>
      </c>
      <c r="L639" s="357" t="s">
        <v>222</v>
      </c>
      <c r="M639" s="287">
        <v>-69</v>
      </c>
      <c r="N639" s="711">
        <f t="shared" si="78"/>
        <v>2697.3300940000127</v>
      </c>
      <c r="O639" s="97"/>
      <c r="P639" s="215">
        <v>-500.81</v>
      </c>
      <c r="Q639" s="140">
        <f t="shared" si="77"/>
        <v>-13283.737278481007</v>
      </c>
      <c r="R639" s="100">
        <f t="shared" si="76"/>
        <v>2266.2627215189932</v>
      </c>
      <c r="S639" s="524" t="s">
        <v>533</v>
      </c>
      <c r="T639" s="540" t="s">
        <v>319</v>
      </c>
      <c r="U639" s="134"/>
      <c r="V639" s="47"/>
      <c r="W639" s="47"/>
      <c r="X639" s="171"/>
      <c r="Y639" s="191"/>
      <c r="Z639" s="331"/>
      <c r="AA639" s="174"/>
      <c r="AB639" s="175"/>
      <c r="AC639" s="47"/>
      <c r="AD639" s="47"/>
      <c r="AE639" s="47"/>
      <c r="AF639" s="47"/>
      <c r="AG639" s="47"/>
      <c r="AH639" s="47"/>
      <c r="AI639" s="47"/>
    </row>
    <row r="640" spans="1:35" ht="12.75" customHeight="1">
      <c r="A640" s="887"/>
      <c r="B640" s="887"/>
      <c r="C640" s="887"/>
      <c r="D640" s="887"/>
      <c r="E640" s="887"/>
      <c r="F640" s="887"/>
      <c r="G640" s="887"/>
      <c r="H640" s="657"/>
      <c r="I640" s="667"/>
      <c r="K640" s="350" t="s">
        <v>264</v>
      </c>
      <c r="L640" s="357" t="s">
        <v>97</v>
      </c>
      <c r="M640" s="287">
        <v>-252.5</v>
      </c>
      <c r="N640" s="711">
        <f t="shared" si="78"/>
        <v>2444.8300940000127</v>
      </c>
      <c r="O640" s="60"/>
      <c r="P640" s="215">
        <v>-475</v>
      </c>
      <c r="Q640" s="140">
        <f t="shared" ref="Q640:Q642" si="79">Q639+P640</f>
        <v>-13758.737278481007</v>
      </c>
      <c r="R640" s="100">
        <f t="shared" ref="R640:R642" si="80">15550+Q640</f>
        <v>1791.2627215189932</v>
      </c>
      <c r="S640" s="524" t="s">
        <v>538</v>
      </c>
      <c r="T640" s="540" t="s">
        <v>539</v>
      </c>
      <c r="U640" s="164"/>
      <c r="V640" s="47"/>
      <c r="W640" s="47"/>
      <c r="X640" s="47"/>
      <c r="Y640" s="191"/>
      <c r="Z640" s="331"/>
      <c r="AA640" s="174"/>
      <c r="AB640" s="60"/>
      <c r="AC640" s="47"/>
      <c r="AD640" s="47"/>
      <c r="AE640" s="47"/>
      <c r="AF640" s="47"/>
      <c r="AG640" s="838"/>
      <c r="AH640" s="47"/>
      <c r="AI640" s="47"/>
    </row>
    <row r="641" spans="1:35" ht="12.75" customHeight="1">
      <c r="A641" s="552"/>
      <c r="B641" s="552"/>
      <c r="C641" s="553"/>
      <c r="D641" s="554"/>
      <c r="E641" s="555"/>
      <c r="F641" s="556"/>
      <c r="G641" s="557"/>
      <c r="H641" s="934">
        <v>11764.47</v>
      </c>
      <c r="I641" s="667"/>
      <c r="J641" s="690"/>
      <c r="K641" s="350" t="s">
        <v>453</v>
      </c>
      <c r="L641" s="357" t="s">
        <v>189</v>
      </c>
      <c r="M641" s="287">
        <v>250</v>
      </c>
      <c r="N641" s="711">
        <f t="shared" si="78"/>
        <v>2694.8300940000127</v>
      </c>
      <c r="O641" s="60"/>
      <c r="P641" s="215">
        <v>-103.15</v>
      </c>
      <c r="Q641" s="140">
        <f t="shared" si="79"/>
        <v>-13861.887278481006</v>
      </c>
      <c r="R641" s="100">
        <f t="shared" si="80"/>
        <v>1688.1127215189936</v>
      </c>
      <c r="S641" s="524" t="s">
        <v>540</v>
      </c>
      <c r="T641" s="540" t="s">
        <v>541</v>
      </c>
      <c r="U641" s="47"/>
      <c r="V641" s="47"/>
      <c r="W641" s="47"/>
      <c r="X641" s="47"/>
      <c r="Y641" s="191"/>
      <c r="Z641" s="331"/>
      <c r="AA641" s="174"/>
      <c r="AB641" s="60"/>
      <c r="AC641" s="47"/>
      <c r="AD641" s="47"/>
      <c r="AE641" s="47"/>
      <c r="AF641" s="47"/>
      <c r="AG641" s="47"/>
      <c r="AH641" s="47"/>
      <c r="AI641" s="47"/>
    </row>
    <row r="642" spans="1:35" ht="12.75" customHeight="1">
      <c r="A642" s="552"/>
      <c r="B642" s="552"/>
      <c r="C642" s="553"/>
      <c r="D642" s="554"/>
      <c r="E642" s="555"/>
      <c r="F642" s="556"/>
      <c r="G642" s="557"/>
      <c r="H642" s="934">
        <f>E632+4000</f>
        <v>12502.7</v>
      </c>
      <c r="I642" s="667"/>
      <c r="J642" s="690"/>
      <c r="K642" s="350"/>
      <c r="L642" s="357" t="s">
        <v>87</v>
      </c>
      <c r="M642" s="287">
        <f>E632-M634</f>
        <v>4502.7000000000007</v>
      </c>
      <c r="N642" s="711">
        <f t="shared" si="78"/>
        <v>7197.5300940000134</v>
      </c>
      <c r="O642" s="60"/>
      <c r="P642" s="215">
        <v>-138.97</v>
      </c>
      <c r="Q642" s="140">
        <f t="shared" si="79"/>
        <v>-14000.857278481006</v>
      </c>
      <c r="R642" s="100">
        <f t="shared" si="80"/>
        <v>1549.1427215189942</v>
      </c>
      <c r="S642" s="524" t="s">
        <v>545</v>
      </c>
      <c r="T642" s="540" t="s">
        <v>546</v>
      </c>
      <c r="U642" s="47"/>
      <c r="V642" s="47"/>
      <c r="W642" s="47"/>
      <c r="X642" s="47"/>
      <c r="Y642" s="191"/>
      <c r="Z642" s="331"/>
      <c r="AA642" s="174"/>
      <c r="AB642" s="60"/>
      <c r="AC642" s="47"/>
      <c r="AD642" s="47"/>
      <c r="AE642" s="47"/>
      <c r="AF642" s="47"/>
      <c r="AG642" s="47"/>
      <c r="AH642" s="47"/>
      <c r="AI642" s="47"/>
    </row>
    <row r="643" spans="1:35" ht="12.75" customHeight="1">
      <c r="A643" s="485"/>
      <c r="B643" s="485"/>
      <c r="C643" s="552"/>
      <c r="D643" s="558"/>
      <c r="E643" s="215"/>
      <c r="F643" s="111"/>
      <c r="G643" s="521"/>
      <c r="H643" s="842"/>
      <c r="I643" s="665"/>
      <c r="K643" s="165" t="s">
        <v>231</v>
      </c>
      <c r="L643" s="358" t="s">
        <v>39</v>
      </c>
      <c r="M643" s="262">
        <v>-493.99</v>
      </c>
      <c r="N643" s="711">
        <f t="shared" si="78"/>
        <v>6703.5400940000136</v>
      </c>
      <c r="O643" s="60"/>
      <c r="P643" s="215">
        <v>-79.989999999999995</v>
      </c>
      <c r="Q643" s="140">
        <f t="shared" ref="Q643:Q646" si="81">Q642+P643</f>
        <v>-14080.847278481006</v>
      </c>
      <c r="R643" s="100">
        <f t="shared" ref="R643:R646" si="82">15550+Q643</f>
        <v>1469.1527215189944</v>
      </c>
      <c r="S643" s="524" t="s">
        <v>542</v>
      </c>
      <c r="T643" s="540" t="s">
        <v>543</v>
      </c>
      <c r="U643" s="47"/>
      <c r="V643" s="60"/>
      <c r="W643" s="60"/>
      <c r="X643" s="171"/>
      <c r="Y643" s="47"/>
      <c r="Z643" s="331"/>
      <c r="AA643" s="174"/>
      <c r="AB643" s="60"/>
      <c r="AC643" s="47"/>
      <c r="AD643" s="47"/>
      <c r="AE643" s="47"/>
      <c r="AF643" s="47"/>
      <c r="AG643" s="47"/>
      <c r="AH643" s="47"/>
      <c r="AI643" s="47"/>
    </row>
    <row r="644" spans="1:35" ht="12.75" customHeight="1">
      <c r="A644" s="485"/>
      <c r="B644" s="485"/>
      <c r="C644" s="485"/>
      <c r="D644" s="558"/>
      <c r="E644" s="215"/>
      <c r="F644" s="111"/>
      <c r="G644" s="521"/>
      <c r="H644" s="842"/>
      <c r="I644" s="681"/>
      <c r="K644" s="350" t="s">
        <v>231</v>
      </c>
      <c r="L644" s="359" t="s">
        <v>92</v>
      </c>
      <c r="M644" s="262">
        <v>-900</v>
      </c>
      <c r="N644" s="711">
        <f t="shared" si="78"/>
        <v>5803.5400940000136</v>
      </c>
      <c r="O644" s="60"/>
      <c r="P644" s="215">
        <v>-118.15</v>
      </c>
      <c r="Q644" s="140">
        <f t="shared" si="81"/>
        <v>-14198.997278481005</v>
      </c>
      <c r="R644" s="100">
        <f t="shared" si="82"/>
        <v>1351.0027215189948</v>
      </c>
      <c r="S644" s="524" t="s">
        <v>547</v>
      </c>
      <c r="T644" s="540" t="s">
        <v>548</v>
      </c>
      <c r="U644" s="47"/>
      <c r="V644" s="60"/>
      <c r="W644" s="60"/>
      <c r="X644" s="171"/>
      <c r="Y644" s="47"/>
      <c r="Z644" s="331"/>
      <c r="AA644" s="174"/>
      <c r="AB644" s="60"/>
      <c r="AC644" s="47"/>
      <c r="AD644" s="47"/>
      <c r="AE644" s="47"/>
      <c r="AF644" s="47"/>
      <c r="AG644" s="47"/>
      <c r="AH644" s="47"/>
      <c r="AI644" s="47"/>
    </row>
    <row r="645" spans="1:35" ht="12.75" customHeight="1">
      <c r="A645" s="485"/>
      <c r="B645" s="485"/>
      <c r="C645" s="485"/>
      <c r="D645" s="558"/>
      <c r="E645" s="215"/>
      <c r="F645" s="111"/>
      <c r="G645" s="521"/>
      <c r="H645" s="844"/>
      <c r="I645" s="681"/>
      <c r="K645" s="350"/>
      <c r="L645" s="359" t="s">
        <v>549</v>
      </c>
      <c r="M645" s="262">
        <v>-750</v>
      </c>
      <c r="N645" s="711">
        <f t="shared" si="78"/>
        <v>5053.5400940000136</v>
      </c>
      <c r="O645" s="60"/>
      <c r="P645" s="215">
        <v>-796.96</v>
      </c>
      <c r="Q645" s="140">
        <f t="shared" si="81"/>
        <v>-14995.957278481004</v>
      </c>
      <c r="R645" s="100">
        <f t="shared" si="82"/>
        <v>554.04272151899568</v>
      </c>
      <c r="S645" s="524" t="s">
        <v>551</v>
      </c>
      <c r="T645" s="540" t="s">
        <v>552</v>
      </c>
      <c r="U645" s="47"/>
      <c r="V645" s="60"/>
      <c r="W645" s="60"/>
      <c r="X645" s="171"/>
      <c r="Y645" s="47"/>
      <c r="Z645" s="331"/>
      <c r="AA645" s="174"/>
      <c r="AB645" s="60"/>
      <c r="AC645" s="47"/>
      <c r="AD645" s="47"/>
      <c r="AE645" s="47"/>
      <c r="AF645" s="47"/>
      <c r="AG645" s="47"/>
      <c r="AH645" s="47"/>
      <c r="AI645" s="47"/>
    </row>
    <row r="646" spans="1:35" ht="12.75" customHeight="1">
      <c r="A646" s="485"/>
      <c r="B646" s="485"/>
      <c r="C646" s="485"/>
      <c r="D646" s="558"/>
      <c r="E646" s="215"/>
      <c r="F646" s="111"/>
      <c r="G646" s="521"/>
      <c r="H646" s="844"/>
      <c r="I646" s="681"/>
      <c r="K646" s="350"/>
      <c r="L646" s="359" t="s">
        <v>550</v>
      </c>
      <c r="M646" s="262">
        <v>-461.98</v>
      </c>
      <c r="N646" s="711">
        <f t="shared" si="78"/>
        <v>4591.5600940000131</v>
      </c>
      <c r="O646" s="60"/>
      <c r="P646" s="106">
        <f>E633</f>
        <v>2055.16</v>
      </c>
      <c r="Q646" s="141">
        <f t="shared" si="81"/>
        <v>-12940.797278481004</v>
      </c>
      <c r="R646" s="115">
        <f t="shared" si="82"/>
        <v>2609.2027215189955</v>
      </c>
      <c r="S646" s="524" t="s">
        <v>334</v>
      </c>
      <c r="T646" s="523"/>
      <c r="U646" s="47"/>
      <c r="V646" s="60"/>
      <c r="W646" s="60"/>
      <c r="X646" s="171"/>
      <c r="Y646" s="47"/>
      <c r="Z646" s="331"/>
      <c r="AA646" s="174"/>
      <c r="AB646" s="60"/>
      <c r="AC646" s="47"/>
      <c r="AD646" s="47"/>
      <c r="AE646" s="47"/>
      <c r="AF646" s="47"/>
      <c r="AG646" s="47"/>
      <c r="AH646" s="47"/>
      <c r="AI646" s="47"/>
    </row>
    <row r="647" spans="1:35" ht="12.75" customHeight="1">
      <c r="A647" s="485"/>
      <c r="B647" s="485"/>
      <c r="C647" s="485"/>
      <c r="D647" s="105"/>
      <c r="E647" s="215"/>
      <c r="F647" s="111"/>
      <c r="G647" s="559"/>
      <c r="H647" s="842"/>
      <c r="K647" s="350" t="s">
        <v>232</v>
      </c>
      <c r="L647" s="359" t="s">
        <v>457</v>
      </c>
      <c r="M647" s="262">
        <v>-63.85</v>
      </c>
      <c r="N647" s="711">
        <f t="shared" si="78"/>
        <v>4527.7100940000128</v>
      </c>
      <c r="O647" s="363"/>
      <c r="P647" s="133">
        <f>SUM(P627:P646)</f>
        <v>-12940.797278481004</v>
      </c>
      <c r="Q647" s="377" t="s">
        <v>285</v>
      </c>
      <c r="R647" s="453"/>
      <c r="S647" s="802"/>
      <c r="T647" s="523"/>
      <c r="U647" s="47"/>
      <c r="V647" s="60"/>
      <c r="W647" s="60"/>
      <c r="X647" s="171"/>
      <c r="Y647" s="47"/>
      <c r="Z647" s="331"/>
      <c r="AA647" s="174"/>
      <c r="AB647" s="60"/>
      <c r="AC647" s="47"/>
      <c r="AD647" s="47"/>
      <c r="AE647" s="47"/>
      <c r="AF647" s="47"/>
      <c r="AG647" s="47"/>
      <c r="AH647" s="47"/>
      <c r="AI647" s="47"/>
    </row>
    <row r="648" spans="1:35" ht="12.75" customHeight="1">
      <c r="A648" s="485"/>
      <c r="B648" s="485"/>
      <c r="C648" s="560"/>
      <c r="D648" s="554"/>
      <c r="E648" s="555"/>
      <c r="F648" s="111"/>
      <c r="G648" s="559"/>
      <c r="H648" s="842"/>
      <c r="K648" s="350" t="s">
        <v>265</v>
      </c>
      <c r="L648" s="196" t="s">
        <v>266</v>
      </c>
      <c r="M648" s="100">
        <v>-561.33000000000004</v>
      </c>
      <c r="N648" s="711">
        <f t="shared" si="78"/>
        <v>3966.3800940000128</v>
      </c>
      <c r="O648" s="345"/>
      <c r="P648" s="136"/>
      <c r="Q648" s="775"/>
      <c r="R648" s="213"/>
      <c r="S648" s="524"/>
      <c r="T648" s="523"/>
      <c r="U648" s="47"/>
      <c r="V648" s="60"/>
      <c r="W648" s="60"/>
      <c r="X648" s="171"/>
      <c r="Y648" s="47"/>
      <c r="Z648" s="331"/>
      <c r="AA648" s="174"/>
      <c r="AB648" s="60"/>
      <c r="AC648" s="47"/>
      <c r="AD648" s="47"/>
      <c r="AE648" s="47"/>
      <c r="AF648" s="47"/>
      <c r="AG648" s="47"/>
      <c r="AH648" s="47"/>
      <c r="AI648" s="47"/>
    </row>
    <row r="649" spans="1:35" ht="12.75" customHeight="1">
      <c r="A649" s="485"/>
      <c r="B649" s="485"/>
      <c r="C649" s="485"/>
      <c r="D649" s="561"/>
      <c r="E649" s="215"/>
      <c r="F649" s="111"/>
      <c r="G649" s="559"/>
      <c r="H649" s="842"/>
      <c r="I649" s="690"/>
      <c r="K649" s="469" t="s">
        <v>232</v>
      </c>
      <c r="L649" s="360" t="s">
        <v>46</v>
      </c>
      <c r="M649" s="516">
        <v>-268.36</v>
      </c>
      <c r="N649" s="751">
        <f t="shared" si="78"/>
        <v>3698.0200940000127</v>
      </c>
      <c r="O649" s="345"/>
      <c r="P649" s="136"/>
      <c r="Q649" s="775"/>
      <c r="R649" s="213"/>
      <c r="S649" s="524"/>
      <c r="T649" s="523"/>
      <c r="U649" s="47"/>
      <c r="V649" s="60"/>
      <c r="W649" s="60"/>
      <c r="X649" s="171"/>
      <c r="Y649" s="47"/>
      <c r="Z649" s="331"/>
      <c r="AA649" s="174"/>
      <c r="AB649" s="60"/>
      <c r="AC649" s="47"/>
      <c r="AD649" s="47"/>
      <c r="AE649" s="47"/>
      <c r="AF649" s="47"/>
      <c r="AG649" s="47"/>
      <c r="AH649" s="47"/>
      <c r="AI649" s="47"/>
    </row>
    <row r="650" spans="1:35" ht="12.75" customHeight="1">
      <c r="A650" s="485"/>
      <c r="B650" s="485"/>
      <c r="C650" s="485"/>
      <c r="D650" s="558"/>
      <c r="E650" s="215"/>
      <c r="F650" s="111"/>
      <c r="G650" s="559"/>
      <c r="H650" s="842"/>
      <c r="I650" s="551"/>
      <c r="J650" s="694"/>
      <c r="L650" s="58"/>
      <c r="M650" s="255">
        <f>SUM(M627:M649)</f>
        <v>3698.0200940000127</v>
      </c>
      <c r="N650" s="399"/>
      <c r="O650" s="345"/>
      <c r="P650" s="136"/>
      <c r="Q650" s="775"/>
      <c r="R650" s="213"/>
      <c r="S650" s="524"/>
      <c r="T650" s="523"/>
      <c r="U650" s="47"/>
      <c r="V650" s="60"/>
      <c r="W650" s="60"/>
      <c r="X650" s="171"/>
      <c r="Y650" s="47"/>
      <c r="Z650" s="331"/>
      <c r="AA650" s="174"/>
      <c r="AB650" s="60"/>
      <c r="AC650" s="47"/>
      <c r="AD650" s="47"/>
      <c r="AE650" s="47"/>
      <c r="AF650" s="47"/>
      <c r="AG650" s="47"/>
      <c r="AH650" s="47"/>
      <c r="AI650" s="47"/>
    </row>
    <row r="651" spans="1:35" s="150" customFormat="1">
      <c r="E651" s="41"/>
      <c r="G651" s="211"/>
      <c r="K651" s="349"/>
      <c r="M651" s="41"/>
      <c r="P651" s="41"/>
      <c r="Q651" s="41"/>
      <c r="R651" s="41"/>
      <c r="S651" s="535"/>
      <c r="Z651" s="41"/>
      <c r="AA651" s="212"/>
      <c r="AB651" s="41"/>
    </row>
    <row r="653" spans="1:35" ht="12.75" customHeight="1">
      <c r="B653" s="966" t="s">
        <v>521</v>
      </c>
      <c r="C653" s="966"/>
      <c r="D653" s="966"/>
      <c r="E653" s="966"/>
      <c r="G653" s="352"/>
      <c r="H653" s="352"/>
      <c r="I653" s="60"/>
      <c r="K653" s="350"/>
      <c r="L653" s="180"/>
      <c r="M653" s="970" t="s">
        <v>90</v>
      </c>
      <c r="N653" s="852"/>
      <c r="O653" s="855"/>
      <c r="P653" s="972" t="s">
        <v>84</v>
      </c>
      <c r="Q653" s="974" t="s">
        <v>284</v>
      </c>
      <c r="R653" s="974"/>
      <c r="S653" s="528"/>
      <c r="X653" s="84"/>
      <c r="Y653" s="84"/>
      <c r="Z653" s="60"/>
      <c r="AA653" s="856"/>
      <c r="AB653" s="60"/>
      <c r="AC653" s="47"/>
      <c r="AD653" s="47"/>
      <c r="AE653" s="47"/>
      <c r="AF653" s="47"/>
      <c r="AG653" s="47"/>
      <c r="AH653" s="47"/>
      <c r="AI653" s="47"/>
    </row>
    <row r="654" spans="1:35" ht="12.75" customHeight="1">
      <c r="C654" s="43" t="s">
        <v>435</v>
      </c>
      <c r="D654" s="39"/>
      <c r="E654" s="99">
        <v>8425.39</v>
      </c>
      <c r="G654" s="976"/>
      <c r="H654" s="976"/>
      <c r="I654" s="60"/>
      <c r="K654" s="351" t="s">
        <v>263</v>
      </c>
      <c r="L654" s="242"/>
      <c r="M654" s="971"/>
      <c r="N654" s="852" t="s">
        <v>79</v>
      </c>
      <c r="O654" s="855"/>
      <c r="P654" s="973"/>
      <c r="Q654" s="853" t="s">
        <v>79</v>
      </c>
      <c r="R654" s="854" t="s">
        <v>89</v>
      </c>
      <c r="S654" s="528"/>
      <c r="X654" s="198"/>
      <c r="Y654" s="191"/>
      <c r="Z654" s="197"/>
      <c r="AA654" s="169"/>
      <c r="AB654" s="170"/>
      <c r="AC654" s="47"/>
      <c r="AD654" s="91"/>
      <c r="AE654" s="47"/>
      <c r="AF654" s="47"/>
      <c r="AG654" s="47"/>
      <c r="AH654" s="47"/>
      <c r="AI654" s="47"/>
    </row>
    <row r="655" spans="1:35" ht="12.75" customHeight="1">
      <c r="C655" s="43"/>
      <c r="D655" s="39" t="s">
        <v>47</v>
      </c>
      <c r="E655" s="99">
        <f>'[1]JAN ''13'!$C$36</f>
        <v>4054.54</v>
      </c>
      <c r="G655" s="74"/>
      <c r="H655" s="830">
        <f>SUM(E655:E656)</f>
        <v>4054.54</v>
      </c>
      <c r="I655" s="60"/>
      <c r="K655" s="362"/>
      <c r="L655" s="327" t="s">
        <v>268</v>
      </c>
      <c r="M655" s="100">
        <f>$M$650</f>
        <v>3698.0200940000127</v>
      </c>
      <c r="N655" s="139">
        <f>M655</f>
        <v>3698.0200940000127</v>
      </c>
      <c r="O655" s="60"/>
      <c r="P655" s="100">
        <f>$Q$646</f>
        <v>-12940.797278481004</v>
      </c>
      <c r="Q655" s="139">
        <f>P655</f>
        <v>-12940.797278481004</v>
      </c>
      <c r="R655" s="100">
        <f t="shared" ref="R655:R674" si="83">15550+Q655</f>
        <v>2609.2027215189955</v>
      </c>
      <c r="S655" s="529" t="s">
        <v>357</v>
      </c>
      <c r="T655" s="518" t="s">
        <v>358</v>
      </c>
      <c r="W655" s="542"/>
      <c r="X655" s="191"/>
      <c r="Y655" s="191"/>
      <c r="Z655" s="100"/>
      <c r="AA655" s="661"/>
      <c r="AB655" s="60"/>
      <c r="AC655" s="47"/>
      <c r="AD655" s="172"/>
      <c r="AE655" s="173"/>
      <c r="AF655" s="47"/>
      <c r="AG655" s="47"/>
      <c r="AH655" s="47"/>
      <c r="AI655" s="47"/>
    </row>
    <row r="656" spans="1:35" ht="12.75" customHeight="1">
      <c r="C656" s="43"/>
      <c r="D656" s="229" t="s">
        <v>267</v>
      </c>
      <c r="E656" s="41"/>
      <c r="G656"/>
      <c r="H656" s="830"/>
      <c r="I656" s="60"/>
      <c r="K656" s="362"/>
      <c r="L656" s="196" t="s">
        <v>140</v>
      </c>
      <c r="M656" s="100">
        <v>-3000</v>
      </c>
      <c r="N656" s="711">
        <f>N655+M656</f>
        <v>698.0200940000127</v>
      </c>
      <c r="O656" s="134"/>
      <c r="P656" s="215">
        <f>-M656</f>
        <v>3000</v>
      </c>
      <c r="Q656" s="140">
        <f t="shared" ref="Q656:Q674" si="84">Q655+P656</f>
        <v>-9940.7972784810045</v>
      </c>
      <c r="R656" s="100">
        <f t="shared" si="83"/>
        <v>5609.2027215189955</v>
      </c>
      <c r="S656" s="524" t="s">
        <v>289</v>
      </c>
      <c r="T656" s="541"/>
      <c r="W656" s="191"/>
      <c r="X656" s="191"/>
      <c r="Y656" s="192"/>
      <c r="Z656" s="119"/>
      <c r="AA656" s="662"/>
      <c r="AB656" s="175"/>
      <c r="AC656" s="47"/>
      <c r="AD656" s="91"/>
      <c r="AE656" s="173"/>
      <c r="AF656" s="47"/>
      <c r="AG656" s="47"/>
      <c r="AH656" s="47"/>
      <c r="AI656" s="47"/>
    </row>
    <row r="657" spans="1:35" ht="12.75" customHeight="1">
      <c r="C657" s="45" t="s">
        <v>17</v>
      </c>
      <c r="D657" s="39"/>
      <c r="E657" s="39">
        <f>SUM(E654:E656)</f>
        <v>12479.93</v>
      </c>
      <c r="G657" s="334"/>
      <c r="H657" s="664"/>
      <c r="I657" s="334"/>
      <c r="J657" s="448"/>
      <c r="K657" s="400" t="s">
        <v>265</v>
      </c>
      <c r="L657" s="274" t="s">
        <v>269</v>
      </c>
      <c r="M657" s="100">
        <v>-357</v>
      </c>
      <c r="N657" s="711">
        <f t="shared" ref="N657:N673" si="85">N656+M657</f>
        <v>341.0200940000127</v>
      </c>
      <c r="O657" s="106"/>
      <c r="P657" s="215">
        <v>-154.43</v>
      </c>
      <c r="Q657" s="140">
        <f t="shared" si="84"/>
        <v>-10095.227278481005</v>
      </c>
      <c r="R657" s="100">
        <f t="shared" si="83"/>
        <v>5454.7727215189952</v>
      </c>
      <c r="S657" s="524" t="s">
        <v>299</v>
      </c>
      <c r="T657" s="541"/>
      <c r="U657" s="191"/>
      <c r="V657" s="47"/>
      <c r="W657" s="191"/>
      <c r="X657" s="191"/>
      <c r="Y657" s="192"/>
      <c r="Z657" s="119"/>
      <c r="AA657" s="662"/>
      <c r="AB657" s="60"/>
      <c r="AC657" s="47"/>
      <c r="AD657" s="172"/>
      <c r="AE657" s="173"/>
      <c r="AF657" s="47"/>
      <c r="AG657" s="47"/>
      <c r="AH657" s="47"/>
      <c r="AI657" s="47"/>
    </row>
    <row r="658" spans="1:35" ht="12.75" customHeight="1">
      <c r="G658" s="47"/>
      <c r="H658" s="663"/>
      <c r="I658" s="100"/>
      <c r="J658" s="650"/>
      <c r="K658" s="350"/>
      <c r="L658" s="196" t="s">
        <v>554</v>
      </c>
      <c r="M658" s="100">
        <v>1000</v>
      </c>
      <c r="N658" s="711">
        <f t="shared" si="85"/>
        <v>1341.0200940000127</v>
      </c>
      <c r="O658" s="106"/>
      <c r="P658" s="215">
        <v>-164.99</v>
      </c>
      <c r="Q658" s="140">
        <f t="shared" si="84"/>
        <v>-10260.217278481005</v>
      </c>
      <c r="R658" s="100">
        <f t="shared" si="83"/>
        <v>5289.7827215189955</v>
      </c>
      <c r="S658" s="524" t="s">
        <v>334</v>
      </c>
      <c r="T658" s="541" t="s">
        <v>553</v>
      </c>
      <c r="U658" s="47"/>
      <c r="V658" s="100"/>
      <c r="W658" s="192"/>
      <c r="X658" s="192"/>
      <c r="Y658" s="192"/>
      <c r="Z658" s="119"/>
      <c r="AA658" s="662"/>
      <c r="AB658" s="60"/>
      <c r="AC658" s="47"/>
      <c r="AD658" s="172"/>
      <c r="AE658" s="173"/>
      <c r="AF658" s="47"/>
      <c r="AG658" s="47"/>
      <c r="AH658" s="47"/>
      <c r="AI658" s="47"/>
    </row>
    <row r="659" spans="1:35" ht="12.75" customHeight="1">
      <c r="A659" s="467"/>
      <c r="C659" s="153" t="s">
        <v>40</v>
      </c>
      <c r="E659" s="97"/>
      <c r="G659"/>
      <c r="H659" s="857"/>
      <c r="I659" s="448"/>
      <c r="J659" s="448"/>
      <c r="K659" s="350"/>
      <c r="L659" s="196" t="s">
        <v>140</v>
      </c>
      <c r="M659" s="100">
        <v>-1000</v>
      </c>
      <c r="N659" s="711">
        <f t="shared" si="85"/>
        <v>341.0200940000127</v>
      </c>
      <c r="O659" s="88"/>
      <c r="P659" s="215">
        <v>-192.18</v>
      </c>
      <c r="Q659" s="140">
        <f t="shared" si="84"/>
        <v>-10452.397278481005</v>
      </c>
      <c r="R659" s="100">
        <f t="shared" si="83"/>
        <v>5097.6027215189952</v>
      </c>
      <c r="S659" s="524" t="s">
        <v>334</v>
      </c>
      <c r="T659" s="541" t="s">
        <v>336</v>
      </c>
      <c r="U659" s="47"/>
      <c r="V659" s="100"/>
      <c r="W659" s="183"/>
      <c r="X659" s="191"/>
      <c r="Y659" s="192"/>
      <c r="Z659" s="119"/>
      <c r="AA659" s="662"/>
      <c r="AB659" s="175"/>
      <c r="AC659" s="47"/>
      <c r="AD659" s="176"/>
      <c r="AE659" s="173"/>
      <c r="AF659" s="47"/>
      <c r="AG659" s="47"/>
      <c r="AH659" s="47"/>
      <c r="AI659" s="47"/>
    </row>
    <row r="660" spans="1:35" ht="12.75" customHeight="1">
      <c r="A660" s="467"/>
      <c r="D660" s="47" t="s">
        <v>37</v>
      </c>
      <c r="E660" s="97">
        <f>E654</f>
        <v>8425.39</v>
      </c>
      <c r="F660" s="47"/>
      <c r="G660" s="47"/>
      <c r="H660" s="663">
        <f>G661+E661+G662+G663</f>
        <v>4054.54</v>
      </c>
      <c r="I660" s="448"/>
      <c r="J660" s="448"/>
      <c r="K660" s="350"/>
      <c r="L660" s="196" t="s">
        <v>560</v>
      </c>
      <c r="M660" s="100">
        <v>-191</v>
      </c>
      <c r="N660" s="711">
        <f t="shared" si="85"/>
        <v>150.0200940000127</v>
      </c>
      <c r="O660" s="88"/>
      <c r="P660" s="215">
        <v>-86.9</v>
      </c>
      <c r="Q660" s="140">
        <f t="shared" si="84"/>
        <v>-10539.297278481004</v>
      </c>
      <c r="R660" s="100">
        <f t="shared" si="83"/>
        <v>5010.7027215189955</v>
      </c>
      <c r="S660" s="524" t="s">
        <v>556</v>
      </c>
      <c r="T660" s="540" t="s">
        <v>557</v>
      </c>
      <c r="U660" s="47"/>
      <c r="V660" s="100"/>
      <c r="W660" s="191"/>
      <c r="X660" s="191"/>
      <c r="Y660" s="192"/>
      <c r="Z660" s="119"/>
      <c r="AA660" s="662"/>
      <c r="AB660" s="60"/>
      <c r="AC660" s="47"/>
      <c r="AD660" s="91"/>
      <c r="AE660" s="173"/>
      <c r="AF660" s="47"/>
      <c r="AG660" s="47"/>
      <c r="AH660" s="47"/>
      <c r="AI660" s="47"/>
    </row>
    <row r="661" spans="1:35" ht="12.75" customHeight="1">
      <c r="A661" s="467"/>
      <c r="D661" s="150" t="s">
        <v>36</v>
      </c>
      <c r="E661" s="651">
        <f>E655-G661-G662-G663</f>
        <v>4054.54</v>
      </c>
      <c r="F661" s="650" t="s">
        <v>442</v>
      </c>
      <c r="G661" s="963"/>
      <c r="H661" s="963"/>
      <c r="I661" s="448">
        <f>M661-E654</f>
        <v>77.31000000000131</v>
      </c>
      <c r="K661" s="350" t="s">
        <v>264</v>
      </c>
      <c r="L661" s="357" t="s">
        <v>87</v>
      </c>
      <c r="M661" s="232">
        <v>8502.7000000000007</v>
      </c>
      <c r="N661" s="711">
        <f t="shared" si="85"/>
        <v>8652.720094000013</v>
      </c>
      <c r="O661" s="88"/>
      <c r="P661" s="215">
        <v>-77.900000000000006</v>
      </c>
      <c r="Q661" s="140">
        <f t="shared" si="84"/>
        <v>-10617.197278481004</v>
      </c>
      <c r="R661" s="100">
        <f t="shared" si="83"/>
        <v>4932.8027215189959</v>
      </c>
      <c r="S661" s="524" t="s">
        <v>334</v>
      </c>
      <c r="T661" s="540" t="s">
        <v>558</v>
      </c>
      <c r="U661" s="47"/>
      <c r="V661" s="215"/>
      <c r="W661" s="47"/>
      <c r="X661" s="47"/>
      <c r="Y661" s="192"/>
      <c r="Z661" s="331"/>
      <c r="AA661" s="174"/>
      <c r="AB661" s="60"/>
      <c r="AC661" s="47"/>
      <c r="AD661" s="172"/>
      <c r="AE661" s="173"/>
      <c r="AF661" s="47"/>
      <c r="AG661" s="47"/>
      <c r="AH661" s="47"/>
      <c r="AI661" s="47"/>
    </row>
    <row r="662" spans="1:35" ht="12.75" customHeight="1">
      <c r="A662" s="467"/>
      <c r="D662" s="47"/>
      <c r="E662" s="60"/>
      <c r="F662" s="650" t="s">
        <v>442</v>
      </c>
      <c r="G662" s="963"/>
      <c r="H662" s="963"/>
      <c r="I662" s="448"/>
      <c r="J662" s="48"/>
      <c r="K662" s="350" t="s">
        <v>264</v>
      </c>
      <c r="L662" s="357" t="s">
        <v>451</v>
      </c>
      <c r="M662" s="100">
        <v>250</v>
      </c>
      <c r="N662" s="711">
        <f t="shared" si="85"/>
        <v>8902.720094000013</v>
      </c>
      <c r="O662" s="88"/>
      <c r="P662" s="215">
        <v>-125.29</v>
      </c>
      <c r="Q662" s="140">
        <f t="shared" si="84"/>
        <v>-10742.487278481005</v>
      </c>
      <c r="R662" s="100">
        <f t="shared" si="83"/>
        <v>4807.512721518995</v>
      </c>
      <c r="S662" s="524" t="s">
        <v>559</v>
      </c>
      <c r="T662" s="540" t="s">
        <v>397</v>
      </c>
      <c r="U662" s="47"/>
      <c r="V662" s="100"/>
      <c r="W662" s="60"/>
      <c r="X662" s="47"/>
      <c r="Y662" s="192"/>
      <c r="Z662" s="331"/>
      <c r="AA662" s="174"/>
      <c r="AB662" s="175"/>
      <c r="AC662" s="47"/>
      <c r="AD662" s="172"/>
      <c r="AE662" s="173"/>
      <c r="AF662" s="47"/>
      <c r="AG662" s="47"/>
      <c r="AH662" s="47"/>
      <c r="AI662" s="47"/>
    </row>
    <row r="663" spans="1:35" ht="12.75" customHeight="1" thickBot="1">
      <c r="A663" s="467"/>
      <c r="D663" s="47"/>
      <c r="E663" s="60"/>
      <c r="F663" s="650" t="s">
        <v>442</v>
      </c>
      <c r="G663" s="963"/>
      <c r="H663" s="963"/>
      <c r="I663" s="448"/>
      <c r="J663" s="48"/>
      <c r="K663" s="350" t="s">
        <v>264</v>
      </c>
      <c r="L663" s="357" t="s">
        <v>544</v>
      </c>
      <c r="M663" s="232">
        <v>-2700</v>
      </c>
      <c r="N663" s="711">
        <f t="shared" si="85"/>
        <v>6202.720094000013</v>
      </c>
      <c r="O663" s="88"/>
      <c r="P663" s="215">
        <f>-M659</f>
        <v>1000</v>
      </c>
      <c r="Q663" s="140">
        <f t="shared" si="84"/>
        <v>-9742.487278481005</v>
      </c>
      <c r="R663" s="100">
        <f t="shared" si="83"/>
        <v>5807.512721518995</v>
      </c>
      <c r="S663" s="524" t="s">
        <v>289</v>
      </c>
      <c r="T663" s="540"/>
      <c r="U663" s="47"/>
      <c r="V663" s="100"/>
      <c r="W663" s="60"/>
      <c r="X663" s="47"/>
      <c r="Y663" s="192"/>
      <c r="Z663" s="331"/>
      <c r="AA663" s="174"/>
      <c r="AB663" s="60"/>
      <c r="AC663" s="47"/>
      <c r="AD663" s="172"/>
      <c r="AE663" s="177"/>
      <c r="AF663" s="47"/>
      <c r="AG663" s="47"/>
      <c r="AH663" s="47"/>
      <c r="AI663" s="47"/>
    </row>
    <row r="664" spans="1:35" ht="12.75" customHeight="1" thickTop="1">
      <c r="A664" s="467"/>
      <c r="D664" s="47"/>
      <c r="E664" s="60"/>
      <c r="F664" s="204"/>
      <c r="G664" s="965">
        <f>E660+E661+G662+G661+G663</f>
        <v>12479.93</v>
      </c>
      <c r="H664" s="965"/>
      <c r="I664" s="448"/>
      <c r="K664" s="350" t="s">
        <v>264</v>
      </c>
      <c r="L664" s="357" t="s">
        <v>394</v>
      </c>
      <c r="M664" s="100">
        <v>-225</v>
      </c>
      <c r="N664" s="711">
        <f t="shared" si="85"/>
        <v>5977.720094000013</v>
      </c>
      <c r="O664" s="88"/>
      <c r="P664" s="215">
        <v>-564.92999999999995</v>
      </c>
      <c r="Q664" s="140">
        <f t="shared" si="84"/>
        <v>-10307.417278481005</v>
      </c>
      <c r="R664" s="100">
        <f t="shared" si="83"/>
        <v>5242.5827215189947</v>
      </c>
      <c r="S664" s="524" t="s">
        <v>334</v>
      </c>
      <c r="T664" s="540" t="s">
        <v>319</v>
      </c>
      <c r="U664" s="142"/>
      <c r="V664" s="60"/>
      <c r="W664" s="60"/>
      <c r="X664" s="171"/>
      <c r="Y664" s="47"/>
      <c r="Z664" s="331"/>
      <c r="AA664" s="174"/>
      <c r="AB664" s="175"/>
      <c r="AC664" s="47"/>
      <c r="AD664" s="178"/>
      <c r="AE664" s="173"/>
      <c r="AF664" s="856"/>
      <c r="AG664" s="47"/>
      <c r="AH664" s="47"/>
      <c r="AI664" s="47"/>
    </row>
    <row r="665" spans="1:35" ht="12.75" customHeight="1">
      <c r="A665" s="467"/>
      <c r="D665" s="47"/>
      <c r="E665" s="60"/>
      <c r="F665" s="204"/>
      <c r="G665" s="858"/>
      <c r="H665" s="858"/>
      <c r="I665" s="448"/>
      <c r="J665" s="683"/>
      <c r="K665" s="350" t="s">
        <v>264</v>
      </c>
      <c r="L665" s="357" t="s">
        <v>237</v>
      </c>
      <c r="M665" s="100">
        <v>-1738</v>
      </c>
      <c r="N665" s="711">
        <f t="shared" si="85"/>
        <v>4239.720094000013</v>
      </c>
      <c r="O665" s="88"/>
      <c r="P665" s="215">
        <v>-568.23</v>
      </c>
      <c r="Q665" s="140">
        <f t="shared" si="84"/>
        <v>-10875.647278481005</v>
      </c>
      <c r="R665" s="100">
        <f t="shared" si="83"/>
        <v>4674.3527215189952</v>
      </c>
      <c r="S665" s="524" t="s">
        <v>334</v>
      </c>
      <c r="T665" s="540" t="s">
        <v>319</v>
      </c>
      <c r="U665" s="134"/>
      <c r="V665" s="60"/>
      <c r="W665" s="60"/>
      <c r="X665" s="84"/>
      <c r="Y665" s="47"/>
      <c r="Z665" s="331"/>
      <c r="AA665" s="174"/>
      <c r="AB665" s="60"/>
      <c r="AC665" s="47"/>
      <c r="AD665" s="47"/>
      <c r="AE665" s="47"/>
      <c r="AF665" s="179"/>
      <c r="AG665" s="47"/>
      <c r="AH665" s="47"/>
      <c r="AI665" s="47"/>
    </row>
    <row r="666" spans="1:35" ht="12.75" customHeight="1">
      <c r="A666" s="851"/>
      <c r="B666" s="851"/>
      <c r="C666" s="851"/>
      <c r="D666" s="851"/>
      <c r="E666" s="851"/>
      <c r="F666" s="204"/>
      <c r="G666" s="858"/>
      <c r="H666" s="858"/>
      <c r="I666" s="665"/>
      <c r="J666" s="683"/>
      <c r="K666" s="165" t="s">
        <v>264</v>
      </c>
      <c r="L666" s="357" t="s">
        <v>222</v>
      </c>
      <c r="M666" s="100">
        <v>-59</v>
      </c>
      <c r="N666" s="711">
        <f t="shared" si="85"/>
        <v>4180.720094000013</v>
      </c>
      <c r="O666" s="88"/>
      <c r="P666" s="215">
        <v>-256.01</v>
      </c>
      <c r="Q666" s="140">
        <f t="shared" si="84"/>
        <v>-11131.657278481005</v>
      </c>
      <c r="R666" s="100">
        <f t="shared" si="83"/>
        <v>4418.3427215189949</v>
      </c>
      <c r="S666" s="524" t="s">
        <v>336</v>
      </c>
      <c r="T666" s="540"/>
      <c r="U666" s="134"/>
      <c r="V666" s="47"/>
      <c r="W666" s="47"/>
      <c r="X666" s="47"/>
      <c r="Y666" s="191"/>
      <c r="Z666" s="331"/>
      <c r="AA666" s="174"/>
      <c r="AB666" s="60"/>
      <c r="AC666" s="47"/>
      <c r="AD666" s="47"/>
      <c r="AE666" s="47"/>
      <c r="AF666" s="47"/>
      <c r="AG666" s="47"/>
      <c r="AH666" s="47"/>
      <c r="AI666" s="47"/>
    </row>
    <row r="667" spans="1:35" ht="12.75" customHeight="1">
      <c r="A667" s="552"/>
      <c r="B667" s="552"/>
      <c r="C667" s="553"/>
      <c r="D667" s="554"/>
      <c r="E667" s="555"/>
      <c r="F667" s="556"/>
      <c r="G667" s="557"/>
      <c r="H667" s="656"/>
      <c r="I667" s="666"/>
      <c r="K667" s="350" t="s">
        <v>264</v>
      </c>
      <c r="L667" s="357" t="s">
        <v>97</v>
      </c>
      <c r="M667" s="100">
        <v>-252.5</v>
      </c>
      <c r="N667" s="711">
        <f t="shared" si="85"/>
        <v>3928.220094000013</v>
      </c>
      <c r="O667" s="97"/>
      <c r="P667" s="215">
        <v>-612</v>
      </c>
      <c r="Q667" s="140">
        <f t="shared" si="84"/>
        <v>-11743.657278481005</v>
      </c>
      <c r="R667" s="100">
        <f t="shared" si="83"/>
        <v>3806.3427215189949</v>
      </c>
      <c r="S667" s="524" t="s">
        <v>534</v>
      </c>
      <c r="T667" s="540"/>
      <c r="U667" s="134"/>
      <c r="V667" s="47"/>
      <c r="W667" s="47"/>
      <c r="X667" s="171"/>
      <c r="Y667" s="191"/>
      <c r="Z667" s="331"/>
      <c r="AA667" s="174"/>
      <c r="AB667" s="175"/>
      <c r="AC667" s="47"/>
      <c r="AD667" s="47"/>
      <c r="AE667" s="47"/>
      <c r="AF667" s="47"/>
      <c r="AG667" s="47"/>
      <c r="AH667" s="47"/>
      <c r="AI667" s="47"/>
    </row>
    <row r="668" spans="1:35" ht="12.75" customHeight="1">
      <c r="A668" s="887" t="s">
        <v>509</v>
      </c>
      <c r="B668" s="887"/>
      <c r="C668" s="887"/>
      <c r="D668" s="887"/>
      <c r="E668" s="887"/>
      <c r="F668" s="887"/>
      <c r="G668" s="887"/>
      <c r="H668" s="657"/>
      <c r="I668" s="667"/>
      <c r="K668" s="350" t="s">
        <v>453</v>
      </c>
      <c r="L668" s="357" t="s">
        <v>189</v>
      </c>
      <c r="M668" s="100">
        <v>250</v>
      </c>
      <c r="N668" s="711">
        <f t="shared" si="85"/>
        <v>4178.220094000013</v>
      </c>
      <c r="O668" s="60"/>
      <c r="P668" s="215">
        <v>-332.62</v>
      </c>
      <c r="Q668" s="140">
        <f t="shared" si="84"/>
        <v>-12076.277278481006</v>
      </c>
      <c r="R668" s="100">
        <f t="shared" si="83"/>
        <v>3473.7227215189941</v>
      </c>
      <c r="S668" s="524" t="s">
        <v>319</v>
      </c>
      <c r="T668" s="540" t="s">
        <v>397</v>
      </c>
      <c r="U668" s="164"/>
      <c r="V668" s="47"/>
      <c r="W668" s="47"/>
      <c r="X668" s="47"/>
      <c r="Y668" s="191"/>
      <c r="Z668" s="331"/>
      <c r="AA668" s="174"/>
      <c r="AB668" s="60"/>
      <c r="AC668" s="47"/>
      <c r="AD668" s="47"/>
      <c r="AE668" s="47"/>
      <c r="AF668" s="47"/>
      <c r="AG668" s="856"/>
      <c r="AH668" s="47"/>
      <c r="AI668" s="47"/>
    </row>
    <row r="669" spans="1:35" ht="12.75" customHeight="1">
      <c r="A669" s="552"/>
      <c r="B669" s="552"/>
      <c r="C669" s="553"/>
      <c r="D669" s="554"/>
      <c r="E669" s="555"/>
      <c r="F669" s="556"/>
      <c r="G669" s="557"/>
      <c r="H669" s="657"/>
      <c r="I669" s="667"/>
      <c r="J669" s="690"/>
      <c r="K669" s="165" t="s">
        <v>231</v>
      </c>
      <c r="L669" s="358" t="s">
        <v>39</v>
      </c>
      <c r="M669" s="262">
        <v>-623.99</v>
      </c>
      <c r="N669" s="711">
        <f t="shared" si="85"/>
        <v>3554.2300940000132</v>
      </c>
      <c r="O669" s="60"/>
      <c r="P669" s="215">
        <v>-237.59</v>
      </c>
      <c r="Q669" s="140">
        <f t="shared" si="84"/>
        <v>-12313.867278481006</v>
      </c>
      <c r="R669" s="100">
        <f t="shared" si="83"/>
        <v>3236.132721518994</v>
      </c>
      <c r="S669" s="524" t="s">
        <v>334</v>
      </c>
      <c r="T669" s="540" t="s">
        <v>319</v>
      </c>
      <c r="U669" s="47"/>
      <c r="V669" s="47"/>
      <c r="W669" s="47"/>
      <c r="X669" s="47"/>
      <c r="Y669" s="191"/>
      <c r="Z669" s="331"/>
      <c r="AA669" s="174"/>
      <c r="AB669" s="60"/>
      <c r="AC669" s="47"/>
      <c r="AD669" s="47"/>
      <c r="AE669" s="47"/>
      <c r="AF669" s="47"/>
      <c r="AG669" s="47"/>
      <c r="AH669" s="47"/>
      <c r="AI669" s="47"/>
    </row>
    <row r="670" spans="1:35" ht="12.75" customHeight="1">
      <c r="A670" s="485"/>
      <c r="B670" s="485"/>
      <c r="C670" s="552"/>
      <c r="D670" s="558"/>
      <c r="E670" s="215"/>
      <c r="F670" s="111"/>
      <c r="G670" s="521"/>
      <c r="H670" s="858"/>
      <c r="I670" s="665"/>
      <c r="K670" s="350" t="s">
        <v>231</v>
      </c>
      <c r="L670" s="359" t="s">
        <v>92</v>
      </c>
      <c r="M670" s="262">
        <v>-900</v>
      </c>
      <c r="N670" s="711">
        <f t="shared" si="85"/>
        <v>2654.2300940000132</v>
      </c>
      <c r="O670" s="60"/>
      <c r="P670" s="215">
        <v>-69.95</v>
      </c>
      <c r="Q670" s="140">
        <f t="shared" si="84"/>
        <v>-12383.817278481007</v>
      </c>
      <c r="R670" s="100">
        <f t="shared" si="83"/>
        <v>3166.1827215189933</v>
      </c>
      <c r="S670" s="524" t="s">
        <v>556</v>
      </c>
      <c r="T670" s="540"/>
      <c r="U670" s="47"/>
      <c r="V670" s="60"/>
      <c r="W670" s="60"/>
      <c r="X670" s="171"/>
      <c r="Y670" s="47"/>
      <c r="Z670" s="331"/>
      <c r="AA670" s="174"/>
      <c r="AB670" s="60"/>
      <c r="AC670" s="47"/>
      <c r="AD670" s="47"/>
      <c r="AE670" s="47"/>
      <c r="AF670" s="47"/>
      <c r="AG670" s="47"/>
      <c r="AH670" s="47"/>
      <c r="AI670" s="47"/>
    </row>
    <row r="671" spans="1:35" ht="12.75" customHeight="1">
      <c r="A671" s="485"/>
      <c r="B671" s="485"/>
      <c r="C671" s="485"/>
      <c r="D671" s="558"/>
      <c r="E671" s="215"/>
      <c r="F671" s="111"/>
      <c r="G671" s="521"/>
      <c r="H671" s="858"/>
      <c r="I671" s="681"/>
      <c r="K671" s="350" t="s">
        <v>232</v>
      </c>
      <c r="L671" s="359" t="s">
        <v>457</v>
      </c>
      <c r="M671" s="262">
        <v>-63.85</v>
      </c>
      <c r="N671" s="711">
        <f t="shared" si="85"/>
        <v>2590.3800940000133</v>
      </c>
      <c r="O671" s="60"/>
      <c r="P671" s="215">
        <v>-627.54999999999995</v>
      </c>
      <c r="Q671" s="140">
        <f t="shared" ref="Q671:Q673" si="86">Q670+P671</f>
        <v>-13011.367278481006</v>
      </c>
      <c r="R671" s="100">
        <f t="shared" ref="R671:R673" si="87">15550+Q671</f>
        <v>2538.632721518994</v>
      </c>
      <c r="S671" s="524" t="s">
        <v>334</v>
      </c>
      <c r="T671" s="540" t="s">
        <v>319</v>
      </c>
      <c r="U671" s="47"/>
      <c r="V671" s="60"/>
      <c r="W671" s="60"/>
      <c r="X671" s="171"/>
      <c r="Y671" s="47"/>
      <c r="Z671" s="331"/>
      <c r="AA671" s="174"/>
      <c r="AB671" s="60"/>
      <c r="AC671" s="47"/>
      <c r="AD671" s="47"/>
      <c r="AE671" s="47"/>
      <c r="AF671" s="47"/>
      <c r="AG671" s="47"/>
      <c r="AH671" s="47"/>
      <c r="AI671" s="47"/>
    </row>
    <row r="672" spans="1:35" ht="12.75" customHeight="1">
      <c r="A672" s="485"/>
      <c r="B672" s="485"/>
      <c r="C672" s="485"/>
      <c r="D672" s="105"/>
      <c r="E672" s="215"/>
      <c r="F672" s="111"/>
      <c r="G672" s="559"/>
      <c r="H672" s="858"/>
      <c r="K672" s="350" t="s">
        <v>265</v>
      </c>
      <c r="L672" s="196" t="s">
        <v>266</v>
      </c>
      <c r="M672" s="100">
        <v>-561.33000000000004</v>
      </c>
      <c r="N672" s="711">
        <f t="shared" si="85"/>
        <v>2029.0500940000134</v>
      </c>
      <c r="O672" s="363"/>
      <c r="P672" s="215">
        <v>-304.95</v>
      </c>
      <c r="Q672" s="140">
        <f t="shared" si="86"/>
        <v>-13316.317278481007</v>
      </c>
      <c r="R672" s="100">
        <f t="shared" si="87"/>
        <v>2233.6827215189933</v>
      </c>
      <c r="S672" s="524" t="s">
        <v>334</v>
      </c>
      <c r="T672" s="540" t="s">
        <v>566</v>
      </c>
      <c r="U672" s="47"/>
      <c r="V672" s="60"/>
      <c r="W672" s="60"/>
      <c r="X672" s="171"/>
      <c r="Y672" s="47"/>
      <c r="Z672" s="331"/>
      <c r="AA672" s="174"/>
      <c r="AB672" s="60"/>
      <c r="AC672" s="47"/>
      <c r="AD672" s="47"/>
      <c r="AE672" s="47"/>
      <c r="AF672" s="47"/>
      <c r="AG672" s="47"/>
      <c r="AH672" s="47"/>
      <c r="AI672" s="47"/>
    </row>
    <row r="673" spans="1:35" ht="12.75" customHeight="1">
      <c r="A673" s="485"/>
      <c r="B673" s="485"/>
      <c r="C673" s="560"/>
      <c r="D673" s="554"/>
      <c r="E673" s="555"/>
      <c r="F673" s="111"/>
      <c r="G673" s="559"/>
      <c r="H673" s="858"/>
      <c r="K673" s="469" t="s">
        <v>232</v>
      </c>
      <c r="L673" s="360" t="s">
        <v>46</v>
      </c>
      <c r="M673" s="516">
        <v>-264.99</v>
      </c>
      <c r="N673" s="751">
        <f t="shared" si="85"/>
        <v>1764.0600940000134</v>
      </c>
      <c r="O673" s="345"/>
      <c r="P673" s="215">
        <v>-512</v>
      </c>
      <c r="Q673" s="140">
        <f t="shared" si="86"/>
        <v>-13828.317278481007</v>
      </c>
      <c r="R673" s="100">
        <f t="shared" si="87"/>
        <v>1721.6827215189933</v>
      </c>
      <c r="S673" s="524" t="s">
        <v>534</v>
      </c>
      <c r="T673" s="540"/>
      <c r="U673" s="47"/>
      <c r="V673" s="60"/>
      <c r="W673" s="60"/>
      <c r="X673" s="171"/>
      <c r="Y673" s="47"/>
      <c r="Z673" s="331"/>
      <c r="AA673" s="174"/>
      <c r="AB673" s="60"/>
      <c r="AC673" s="47"/>
      <c r="AD673" s="47"/>
      <c r="AE673" s="47"/>
      <c r="AF673" s="47"/>
      <c r="AG673" s="47"/>
      <c r="AH673" s="47"/>
      <c r="AI673" s="47"/>
    </row>
    <row r="674" spans="1:35" ht="12.75" customHeight="1">
      <c r="A674" s="485"/>
      <c r="B674" s="485"/>
      <c r="C674" s="485"/>
      <c r="D674" s="561"/>
      <c r="E674" s="215"/>
      <c r="F674" s="111"/>
      <c r="G674" s="559"/>
      <c r="H674" s="858"/>
      <c r="I674" s="690"/>
      <c r="L674" s="58"/>
      <c r="M674" s="255">
        <f>SUM(M655:M673)</f>
        <v>1764.0600940000134</v>
      </c>
      <c r="N674" s="873"/>
      <c r="O674" s="345"/>
      <c r="P674" s="106">
        <f>E661</f>
        <v>4054.54</v>
      </c>
      <c r="Q674" s="141">
        <f t="shared" si="84"/>
        <v>-9773.7772784810077</v>
      </c>
      <c r="R674" s="115">
        <f t="shared" si="83"/>
        <v>5776.2227215189923</v>
      </c>
      <c r="S674" s="524" t="s">
        <v>334</v>
      </c>
      <c r="T674" s="523"/>
      <c r="U674" s="47"/>
      <c r="V674" s="60"/>
      <c r="W674" s="60"/>
      <c r="X674" s="171"/>
      <c r="Y674" s="47"/>
      <c r="Z674" s="331"/>
      <c r="AA674" s="174"/>
      <c r="AB674" s="60"/>
      <c r="AC674" s="47"/>
      <c r="AD674" s="47"/>
      <c r="AE674" s="47"/>
      <c r="AF674" s="47"/>
      <c r="AG674" s="47"/>
      <c r="AH674" s="47"/>
      <c r="AI674" s="47"/>
    </row>
    <row r="675" spans="1:35" s="47" customFormat="1" ht="12.75" customHeight="1">
      <c r="A675" s="485"/>
      <c r="B675" s="485"/>
      <c r="C675" s="485"/>
      <c r="D675" s="558"/>
      <c r="E675" s="215"/>
      <c r="F675" s="111"/>
      <c r="G675" s="559"/>
      <c r="H675" s="860"/>
      <c r="I675" s="328"/>
      <c r="J675" s="866"/>
      <c r="K675" s="812"/>
      <c r="L675" s="101"/>
      <c r="M675" s="60"/>
      <c r="N675" s="867"/>
      <c r="O675" s="345"/>
      <c r="P675" s="133">
        <f>SUM(P655:P674)</f>
        <v>-9773.7772784810077</v>
      </c>
      <c r="Q675" s="377" t="s">
        <v>285</v>
      </c>
      <c r="R675" s="453"/>
      <c r="S675" s="802"/>
      <c r="T675" s="523"/>
      <c r="V675" s="60"/>
      <c r="W675" s="60"/>
      <c r="X675" s="171"/>
      <c r="Z675" s="331"/>
      <c r="AA675" s="174"/>
      <c r="AB675" s="60"/>
    </row>
    <row r="676" spans="1:35" s="150" customFormat="1" ht="12.75" customHeight="1">
      <c r="A676" s="574"/>
      <c r="B676" s="574"/>
      <c r="C676" s="574"/>
      <c r="D676" s="861"/>
      <c r="E676" s="868"/>
      <c r="F676" s="576"/>
      <c r="G676" s="577"/>
      <c r="H676" s="689"/>
      <c r="K676" s="869"/>
      <c r="L676" s="870"/>
      <c r="M676" s="871"/>
      <c r="N676" s="872"/>
      <c r="O676" s="862"/>
      <c r="P676" s="241"/>
      <c r="Q676" s="863"/>
      <c r="R676" s="864"/>
      <c r="S676" s="538"/>
      <c r="T676" s="865"/>
      <c r="V676" s="41"/>
      <c r="W676" s="41"/>
      <c r="X676" s="244"/>
      <c r="Z676" s="245"/>
      <c r="AA676" s="246"/>
      <c r="AB676" s="41"/>
    </row>
    <row r="677" spans="1:35" ht="12.75" customHeight="1">
      <c r="A677" s="485"/>
      <c r="B677" s="485"/>
      <c r="C677" s="560"/>
      <c r="D677" s="740"/>
      <c r="E677" s="555"/>
      <c r="F677" s="111"/>
      <c r="G677" s="559"/>
      <c r="H677" s="858"/>
      <c r="I677" s="705"/>
      <c r="J677" s="706"/>
      <c r="K677" s="723"/>
      <c r="L677" s="328"/>
      <c r="M677" s="325"/>
      <c r="N677" s="724"/>
      <c r="O677" s="345"/>
      <c r="P677" s="136"/>
      <c r="Q677" s="132"/>
      <c r="R677" s="132"/>
      <c r="S677" s="524"/>
      <c r="T677" s="859"/>
      <c r="U677" s="47"/>
      <c r="V677" s="60"/>
      <c r="W677" s="60"/>
      <c r="X677" s="171"/>
      <c r="Y677" s="47"/>
      <c r="Z677" s="331"/>
      <c r="AA677" s="174"/>
      <c r="AB677" s="60"/>
      <c r="AC677" s="47"/>
      <c r="AD677" s="47"/>
      <c r="AE677" s="47"/>
      <c r="AF677" s="47"/>
      <c r="AG677" s="47"/>
      <c r="AH677" s="47"/>
      <c r="AI677" s="47"/>
    </row>
    <row r="678" spans="1:35" ht="12.75" customHeight="1">
      <c r="B678" s="966" t="s">
        <v>565</v>
      </c>
      <c r="C678" s="966"/>
      <c r="D678" s="966"/>
      <c r="E678" s="966"/>
      <c r="G678" s="352"/>
      <c r="H678" s="874" t="s">
        <v>568</v>
      </c>
      <c r="I678" s="60"/>
      <c r="K678" s="350"/>
      <c r="L678" s="180"/>
      <c r="M678" s="970" t="s">
        <v>90</v>
      </c>
      <c r="N678" s="888"/>
      <c r="O678" s="891"/>
      <c r="P678" s="972" t="s">
        <v>84</v>
      </c>
      <c r="Q678" s="974" t="s">
        <v>284</v>
      </c>
      <c r="R678" s="974"/>
      <c r="S678" s="528"/>
      <c r="X678" s="84"/>
      <c r="Y678" s="84"/>
      <c r="Z678" s="60"/>
      <c r="AA678" s="892"/>
      <c r="AB678" s="60"/>
      <c r="AC678" s="47"/>
      <c r="AD678" s="47"/>
      <c r="AE678" s="47"/>
      <c r="AF678" s="47"/>
      <c r="AG678" s="47"/>
      <c r="AH678" s="47"/>
      <c r="AI678" s="47"/>
    </row>
    <row r="679" spans="1:35" ht="12.75" customHeight="1">
      <c r="C679" s="43" t="s">
        <v>435</v>
      </c>
      <c r="D679" s="39"/>
      <c r="E679" s="99">
        <f>8425.39-77.31</f>
        <v>8348.08</v>
      </c>
      <c r="G679" s="975">
        <v>77.31</v>
      </c>
      <c r="H679" s="975"/>
      <c r="I679" s="60"/>
      <c r="K679" s="351" t="s">
        <v>263</v>
      </c>
      <c r="L679" s="242"/>
      <c r="M679" s="971"/>
      <c r="N679" s="888" t="s">
        <v>79</v>
      </c>
      <c r="O679" s="891"/>
      <c r="P679" s="973"/>
      <c r="Q679" s="889" t="s">
        <v>79</v>
      </c>
      <c r="R679" s="890" t="s">
        <v>89</v>
      </c>
      <c r="S679" s="528"/>
      <c r="X679" s="198"/>
      <c r="Y679" s="191"/>
      <c r="Z679" s="197"/>
      <c r="AA679" s="169"/>
      <c r="AB679" s="170"/>
      <c r="AC679" s="47"/>
      <c r="AD679" s="91"/>
      <c r="AE679" s="47"/>
      <c r="AF679" s="47"/>
      <c r="AG679" s="47"/>
      <c r="AH679" s="47"/>
      <c r="AI679" s="47"/>
    </row>
    <row r="680" spans="1:35" ht="12.75" customHeight="1">
      <c r="C680" s="43"/>
      <c r="D680" s="39" t="s">
        <v>47</v>
      </c>
      <c r="E680" s="99">
        <f>'[1]FEB ''13'!$C$30</f>
        <v>1374.56</v>
      </c>
      <c r="G680" s="74"/>
      <c r="H680" s="830"/>
      <c r="I680" s="60"/>
      <c r="K680" s="362"/>
      <c r="L680" s="327" t="s">
        <v>268</v>
      </c>
      <c r="M680" s="100">
        <f>$M$674</f>
        <v>1764.0600940000134</v>
      </c>
      <c r="N680" s="880">
        <f>M680</f>
        <v>1764.0600940000134</v>
      </c>
      <c r="O680" s="60"/>
      <c r="P680" s="100">
        <f>$Q$674</f>
        <v>-9773.7772784810077</v>
      </c>
      <c r="Q680" s="139">
        <f>P680</f>
        <v>-9773.7772784810077</v>
      </c>
      <c r="R680" s="100">
        <f t="shared" ref="R680:R688" si="88">15550+Q680</f>
        <v>5776.2227215189923</v>
      </c>
      <c r="S680" s="529" t="s">
        <v>357</v>
      </c>
      <c r="T680" s="518" t="s">
        <v>358</v>
      </c>
      <c r="W680" s="542"/>
      <c r="X680" s="191"/>
      <c r="Y680" s="191"/>
      <c r="Z680" s="100"/>
      <c r="AA680" s="661"/>
      <c r="AB680" s="60"/>
      <c r="AC680" s="47"/>
      <c r="AD680" s="172"/>
      <c r="AE680" s="173"/>
      <c r="AF680" s="47"/>
      <c r="AG680" s="47"/>
      <c r="AH680" s="47"/>
      <c r="AI680" s="47"/>
    </row>
    <row r="681" spans="1:35" ht="12.75" customHeight="1">
      <c r="C681" s="43"/>
      <c r="D681" s="229" t="s">
        <v>267</v>
      </c>
      <c r="E681" s="41"/>
      <c r="G681"/>
      <c r="H681" s="830"/>
      <c r="I681" s="60"/>
      <c r="K681" s="400" t="s">
        <v>265</v>
      </c>
      <c r="L681" s="274" t="s">
        <v>269</v>
      </c>
      <c r="M681" s="881">
        <v>-357</v>
      </c>
      <c r="N681" s="711">
        <f>N680+M681</f>
        <v>1407.0600940000134</v>
      </c>
      <c r="O681" s="134"/>
      <c r="P681" s="884">
        <v>-126.8</v>
      </c>
      <c r="Q681" s="140">
        <f t="shared" ref="Q681:Q688" si="89">Q680+P681</f>
        <v>-9900.5772784810069</v>
      </c>
      <c r="R681" s="100">
        <f t="shared" si="88"/>
        <v>5649.4227215189931</v>
      </c>
      <c r="S681" s="524" t="s">
        <v>460</v>
      </c>
      <c r="T681" s="541"/>
      <c r="W681" s="191"/>
      <c r="X681" s="191"/>
      <c r="Y681" s="192"/>
      <c r="Z681" s="119"/>
      <c r="AA681" s="662"/>
      <c r="AB681" s="175"/>
      <c r="AC681" s="47"/>
      <c r="AD681" s="91"/>
      <c r="AE681" s="173"/>
      <c r="AF681" s="47"/>
      <c r="AG681" s="47"/>
      <c r="AH681" s="47"/>
      <c r="AI681" s="47"/>
    </row>
    <row r="682" spans="1:35" ht="12.75" customHeight="1">
      <c r="C682" s="45" t="s">
        <v>17</v>
      </c>
      <c r="D682" s="39"/>
      <c r="E682" s="39">
        <f>SUM(E679:E681)</f>
        <v>9722.64</v>
      </c>
      <c r="G682" s="334"/>
      <c r="H682" s="664"/>
      <c r="I682" s="334"/>
      <c r="J682" s="448"/>
      <c r="K682" s="400"/>
      <c r="L682" s="274"/>
      <c r="M682" s="100">
        <v>5</v>
      </c>
      <c r="N682" s="711">
        <f t="shared" ref="N682:N702" si="90">N681+M682</f>
        <v>1412.0600940000134</v>
      </c>
      <c r="O682" s="106"/>
      <c r="P682" s="884">
        <v>-490</v>
      </c>
      <c r="Q682" s="140">
        <f t="shared" si="89"/>
        <v>-10390.577278481007</v>
      </c>
      <c r="R682" s="100">
        <f t="shared" si="88"/>
        <v>5159.4227215189931</v>
      </c>
      <c r="S682" s="524" t="s">
        <v>569</v>
      </c>
      <c r="T682" s="541"/>
      <c r="U682" s="191"/>
      <c r="V682" s="47"/>
      <c r="W682" s="191"/>
      <c r="X682" s="191"/>
      <c r="Y682" s="192"/>
      <c r="Z682" s="119"/>
      <c r="AA682" s="662"/>
      <c r="AB682" s="60"/>
      <c r="AC682" s="47"/>
      <c r="AD682" s="172"/>
      <c r="AE682" s="173"/>
      <c r="AF682" s="47"/>
      <c r="AG682" s="47"/>
      <c r="AH682" s="47"/>
      <c r="AI682" s="47"/>
    </row>
    <row r="683" spans="1:35" ht="12.75" customHeight="1">
      <c r="G683" s="47"/>
      <c r="H683" s="663"/>
      <c r="I683" s="100"/>
      <c r="J683" s="650"/>
      <c r="K683" s="350"/>
      <c r="L683" s="196" t="s">
        <v>140</v>
      </c>
      <c r="M683" s="100">
        <v>-1000</v>
      </c>
      <c r="N683" s="711">
        <f t="shared" si="90"/>
        <v>412.06009400001335</v>
      </c>
      <c r="O683" s="106"/>
      <c r="P683" s="884">
        <v>-515.79999999999995</v>
      </c>
      <c r="Q683" s="140">
        <f t="shared" si="89"/>
        <v>-10906.377278481006</v>
      </c>
      <c r="R683" s="100">
        <f t="shared" si="88"/>
        <v>4643.6227215189938</v>
      </c>
      <c r="S683" s="524" t="s">
        <v>570</v>
      </c>
      <c r="T683" s="541"/>
      <c r="U683" s="47"/>
      <c r="V683" s="100"/>
      <c r="W683" s="192"/>
      <c r="X683" s="192"/>
      <c r="Y683" s="192"/>
      <c r="Z683" s="119"/>
      <c r="AA683" s="662"/>
      <c r="AB683" s="60"/>
      <c r="AC683" s="47"/>
      <c r="AD683" s="172"/>
      <c r="AE683" s="173"/>
      <c r="AF683" s="47"/>
      <c r="AG683" s="47"/>
      <c r="AH683" s="47"/>
      <c r="AI683" s="47"/>
    </row>
    <row r="684" spans="1:35" ht="12.75" customHeight="1">
      <c r="A684" s="467"/>
      <c r="C684" s="153" t="s">
        <v>40</v>
      </c>
      <c r="E684" s="97"/>
      <c r="G684"/>
      <c r="H684" s="893"/>
      <c r="I684" s="448"/>
      <c r="J684" s="448"/>
      <c r="K684" s="350"/>
      <c r="L684" s="196" t="s">
        <v>186</v>
      </c>
      <c r="M684" s="100">
        <v>-400</v>
      </c>
      <c r="N684" s="711">
        <f t="shared" si="90"/>
        <v>12.060094000013351</v>
      </c>
      <c r="O684" s="88"/>
      <c r="P684" s="884">
        <v>-244.1</v>
      </c>
      <c r="Q684" s="140">
        <f t="shared" si="89"/>
        <v>-11150.477278481007</v>
      </c>
      <c r="R684" s="100">
        <f t="shared" si="88"/>
        <v>4399.5227215189934</v>
      </c>
      <c r="S684" s="524" t="s">
        <v>571</v>
      </c>
      <c r="T684" s="541" t="s">
        <v>572</v>
      </c>
      <c r="U684" s="47"/>
      <c r="V684" s="100"/>
      <c r="W684" s="183"/>
      <c r="X684" s="191"/>
      <c r="Y684" s="192"/>
      <c r="Z684" s="119"/>
      <c r="AA684" s="662"/>
      <c r="AB684" s="175"/>
      <c r="AC684" s="47"/>
      <c r="AD684" s="176"/>
      <c r="AE684" s="173"/>
      <c r="AF684" s="47"/>
      <c r="AG684" s="47"/>
      <c r="AH684" s="47"/>
      <c r="AI684" s="47"/>
    </row>
    <row r="685" spans="1:35" ht="12.75" customHeight="1">
      <c r="A685" s="467"/>
      <c r="D685" s="47" t="s">
        <v>37</v>
      </c>
      <c r="E685" s="97">
        <f>E679</f>
        <v>8348.08</v>
      </c>
      <c r="F685" s="47"/>
      <c r="G685" s="47"/>
      <c r="H685" s="663"/>
      <c r="I685" s="448"/>
      <c r="J685" s="448"/>
      <c r="K685" s="350"/>
      <c r="L685" s="196" t="s">
        <v>47</v>
      </c>
      <c r="M685" s="100">
        <v>1000</v>
      </c>
      <c r="N685" s="711">
        <f t="shared" si="90"/>
        <v>1012.0600940000134</v>
      </c>
      <c r="O685" s="88"/>
      <c r="P685" s="884">
        <v>-340.61</v>
      </c>
      <c r="Q685" s="140">
        <f t="shared" si="89"/>
        <v>-11491.087278481007</v>
      </c>
      <c r="R685" s="100">
        <f t="shared" si="88"/>
        <v>4058.9127215189928</v>
      </c>
      <c r="S685" s="524" t="s">
        <v>319</v>
      </c>
      <c r="T685" s="540" t="s">
        <v>397</v>
      </c>
      <c r="U685" s="47"/>
      <c r="V685" s="100"/>
      <c r="W685" s="191"/>
      <c r="X685" s="191"/>
      <c r="Y685" s="192"/>
      <c r="Z685" s="119"/>
      <c r="AA685" s="662"/>
      <c r="AB685" s="60"/>
      <c r="AC685" s="47"/>
      <c r="AD685" s="91"/>
      <c r="AE685" s="173"/>
      <c r="AF685" s="47"/>
      <c r="AG685" s="47"/>
      <c r="AH685" s="47"/>
      <c r="AI685" s="47"/>
    </row>
    <row r="686" spans="1:35" ht="12.75" customHeight="1">
      <c r="A686" s="467"/>
      <c r="D686" s="150" t="s">
        <v>36</v>
      </c>
      <c r="E686" s="651">
        <f>E680-G686-G687-G688</f>
        <v>1374.56</v>
      </c>
      <c r="F686" s="650"/>
      <c r="G686" s="963"/>
      <c r="H686" s="963"/>
      <c r="I686" s="448"/>
      <c r="K686" s="350"/>
      <c r="L686" s="196" t="s">
        <v>469</v>
      </c>
      <c r="M686" s="100">
        <v>-500</v>
      </c>
      <c r="N686" s="711">
        <f t="shared" si="90"/>
        <v>512.06009400001335</v>
      </c>
      <c r="O686" s="88"/>
      <c r="P686" s="884">
        <f>-M683</f>
        <v>1000</v>
      </c>
      <c r="Q686" s="140">
        <f t="shared" si="89"/>
        <v>-10491.087278481007</v>
      </c>
      <c r="R686" s="881">
        <f t="shared" si="88"/>
        <v>5058.9127215189928</v>
      </c>
      <c r="S686" s="524" t="s">
        <v>289</v>
      </c>
      <c r="T686" s="540"/>
      <c r="U686" s="47"/>
      <c r="V686" s="215"/>
      <c r="W686" s="47"/>
      <c r="X686" s="47"/>
      <c r="Y686" s="192"/>
      <c r="Z686" s="331"/>
      <c r="AA686" s="174"/>
      <c r="AB686" s="60"/>
      <c r="AC686" s="47"/>
      <c r="AD686" s="172"/>
      <c r="AE686" s="173"/>
      <c r="AF686" s="47"/>
      <c r="AG686" s="47"/>
      <c r="AH686" s="47"/>
      <c r="AI686" s="47"/>
    </row>
    <row r="687" spans="1:35" ht="12.75" customHeight="1">
      <c r="A687" s="467"/>
      <c r="D687" s="47"/>
      <c r="E687" s="60"/>
      <c r="F687" s="650"/>
      <c r="G687" s="963"/>
      <c r="H687" s="963"/>
      <c r="I687" s="448"/>
      <c r="J687" s="48"/>
      <c r="K687" s="350"/>
      <c r="L687" s="196" t="s">
        <v>183</v>
      </c>
      <c r="M687" s="100">
        <v>-105.89</v>
      </c>
      <c r="N687" s="711">
        <f t="shared" si="90"/>
        <v>406.17009400001336</v>
      </c>
      <c r="O687" s="88"/>
      <c r="P687" s="884">
        <v>-37.799999999999997</v>
      </c>
      <c r="Q687" s="140">
        <f t="shared" si="89"/>
        <v>-10528.887278481006</v>
      </c>
      <c r="R687" s="100">
        <f t="shared" si="88"/>
        <v>5021.1127215189936</v>
      </c>
      <c r="S687" s="524" t="s">
        <v>523</v>
      </c>
      <c r="T687" s="540"/>
      <c r="U687" s="47"/>
      <c r="V687" s="100"/>
      <c r="W687" s="60"/>
      <c r="X687" s="47"/>
      <c r="Y687" s="192"/>
      <c r="Z687" s="331"/>
      <c r="AA687" s="174"/>
      <c r="AB687" s="175"/>
      <c r="AC687" s="47"/>
      <c r="AD687" s="172"/>
      <c r="AE687" s="173"/>
      <c r="AF687" s="47"/>
      <c r="AG687" s="47"/>
      <c r="AH687" s="47"/>
      <c r="AI687" s="47"/>
    </row>
    <row r="688" spans="1:35" ht="12.75" customHeight="1">
      <c r="A688" s="467"/>
      <c r="D688" s="47"/>
      <c r="E688" s="60"/>
      <c r="F688" s="650"/>
      <c r="G688" s="963"/>
      <c r="H688" s="963"/>
      <c r="I688" s="448"/>
      <c r="J688" s="48"/>
      <c r="K688" s="350"/>
      <c r="L688" s="196" t="s">
        <v>576</v>
      </c>
      <c r="M688" s="100">
        <v>-97.37</v>
      </c>
      <c r="N688" s="711">
        <f t="shared" si="90"/>
        <v>308.80009400001336</v>
      </c>
      <c r="O688" s="88"/>
      <c r="P688" s="884">
        <v>-426.63</v>
      </c>
      <c r="Q688" s="140">
        <f t="shared" si="89"/>
        <v>-10955.517278481006</v>
      </c>
      <c r="R688" s="100">
        <f t="shared" si="88"/>
        <v>4594.4827215189944</v>
      </c>
      <c r="S688" s="524" t="s">
        <v>334</v>
      </c>
      <c r="T688" s="540" t="s">
        <v>574</v>
      </c>
      <c r="U688" s="47"/>
      <c r="V688" s="100"/>
      <c r="W688" s="60"/>
      <c r="X688" s="47"/>
      <c r="Y688" s="192"/>
      <c r="Z688" s="331"/>
      <c r="AA688" s="174"/>
      <c r="AB688" s="60"/>
      <c r="AC688" s="47"/>
      <c r="AD688" s="172"/>
      <c r="AE688" s="177"/>
      <c r="AF688" s="47"/>
      <c r="AG688" s="47"/>
      <c r="AH688" s="47"/>
      <c r="AI688" s="47"/>
    </row>
    <row r="689" spans="1:35" ht="12.75" customHeight="1">
      <c r="A689" s="467"/>
      <c r="D689" s="47"/>
      <c r="E689" s="60"/>
      <c r="F689" s="204"/>
      <c r="G689" s="964"/>
      <c r="H689" s="964"/>
      <c r="I689" s="448"/>
      <c r="K689" s="350"/>
      <c r="L689" s="196" t="s">
        <v>593</v>
      </c>
      <c r="M689" s="100">
        <v>-200</v>
      </c>
      <c r="N689" s="711">
        <f t="shared" si="90"/>
        <v>108.80009400001336</v>
      </c>
      <c r="O689" s="88"/>
      <c r="P689" s="215">
        <v>-4499</v>
      </c>
      <c r="Q689" s="140">
        <f t="shared" ref="Q689:Q690" si="91">Q688+P689</f>
        <v>-15454.517278481006</v>
      </c>
      <c r="R689" s="100">
        <f t="shared" ref="R689:R690" si="92">15550+Q689</f>
        <v>95.482721518994367</v>
      </c>
      <c r="S689" s="524" t="s">
        <v>573</v>
      </c>
      <c r="T689" s="540"/>
      <c r="U689" s="142"/>
      <c r="V689" s="60"/>
      <c r="W689" s="60"/>
      <c r="X689" s="171"/>
      <c r="Y689" s="47"/>
      <c r="Z689" s="331"/>
      <c r="AA689" s="174"/>
      <c r="AB689" s="175"/>
      <c r="AC689" s="47"/>
      <c r="AD689" s="178"/>
      <c r="AE689" s="173"/>
      <c r="AF689" s="892"/>
      <c r="AG689" s="47"/>
      <c r="AH689" s="47"/>
      <c r="AI689" s="47"/>
    </row>
    <row r="690" spans="1:35" ht="12.75" customHeight="1">
      <c r="A690" s="467"/>
      <c r="D690" s="47"/>
      <c r="E690" s="60"/>
      <c r="F690" s="204"/>
      <c r="G690" s="894"/>
      <c r="H690" s="894"/>
      <c r="I690" s="448"/>
      <c r="J690" s="683"/>
      <c r="K690" s="350" t="s">
        <v>264</v>
      </c>
      <c r="L690" s="357" t="s">
        <v>87</v>
      </c>
      <c r="M690" s="232">
        <f>E685</f>
        <v>8348.08</v>
      </c>
      <c r="N690" s="711">
        <f t="shared" si="90"/>
        <v>8456.8800940000128</v>
      </c>
      <c r="O690" s="88"/>
      <c r="P690" s="106">
        <f>E686</f>
        <v>1374.56</v>
      </c>
      <c r="Q690" s="141">
        <f t="shared" si="91"/>
        <v>-14079.957278481006</v>
      </c>
      <c r="R690" s="115">
        <f t="shared" si="92"/>
        <v>1470.0427215189939</v>
      </c>
      <c r="S690" s="524" t="s">
        <v>334</v>
      </c>
      <c r="T690" s="523"/>
      <c r="U690" s="134"/>
      <c r="V690" s="60"/>
      <c r="W690" s="60"/>
      <c r="X690" s="84"/>
      <c r="Y690" s="47"/>
      <c r="Z690" s="331"/>
      <c r="AA690" s="174"/>
      <c r="AB690" s="60"/>
      <c r="AC690" s="47"/>
      <c r="AD690" s="47"/>
      <c r="AE690" s="47"/>
      <c r="AF690" s="179"/>
      <c r="AG690" s="47"/>
      <c r="AH690" s="47"/>
      <c r="AI690" s="47"/>
    </row>
    <row r="691" spans="1:35" ht="12.75" customHeight="1">
      <c r="A691" s="887"/>
      <c r="B691" s="887"/>
      <c r="C691" s="887"/>
      <c r="D691" s="887"/>
      <c r="E691" s="887"/>
      <c r="F691" s="204"/>
      <c r="G691" s="894"/>
      <c r="H691" s="894"/>
      <c r="I691" s="665"/>
      <c r="J691" s="683"/>
      <c r="K691" s="350" t="s">
        <v>264</v>
      </c>
      <c r="L691" s="357" t="s">
        <v>451</v>
      </c>
      <c r="M691" s="100">
        <v>250</v>
      </c>
      <c r="N691" s="711">
        <f t="shared" si="90"/>
        <v>8706.8800940000128</v>
      </c>
      <c r="O691" s="88"/>
      <c r="P691" s="133">
        <f>SUM(P680:P690)</f>
        <v>-14079.957278481006</v>
      </c>
      <c r="Q691" s="377" t="s">
        <v>285</v>
      </c>
      <c r="R691" s="453"/>
      <c r="S691" s="802"/>
      <c r="T691" s="523"/>
      <c r="U691" s="134"/>
      <c r="V691" s="47"/>
      <c r="W691" s="47"/>
      <c r="X691" s="47"/>
      <c r="Y691" s="191"/>
      <c r="Z691" s="331"/>
      <c r="AA691" s="174"/>
      <c r="AB691" s="60"/>
      <c r="AC691" s="47"/>
      <c r="AD691" s="47"/>
      <c r="AE691" s="47"/>
      <c r="AF691" s="47"/>
      <c r="AG691" s="47"/>
      <c r="AH691" s="47"/>
      <c r="AI691" s="47"/>
    </row>
    <row r="692" spans="1:35" ht="12.75" customHeight="1">
      <c r="A692" s="552"/>
      <c r="B692" s="552"/>
      <c r="C692" s="553"/>
      <c r="D692" s="554"/>
      <c r="E692" s="555"/>
      <c r="F692" s="556"/>
      <c r="G692" s="557"/>
      <c r="H692" s="656"/>
      <c r="I692" s="666"/>
      <c r="K692" s="350" t="s">
        <v>264</v>
      </c>
      <c r="L692" s="357" t="s">
        <v>577</v>
      </c>
      <c r="M692" s="232">
        <v>-2700</v>
      </c>
      <c r="N692" s="711">
        <f t="shared" si="90"/>
        <v>6006.8800940000128</v>
      </c>
      <c r="O692" s="97"/>
      <c r="P692" s="136"/>
      <c r="Q692" s="775"/>
      <c r="R692" s="213"/>
      <c r="S692" s="524"/>
      <c r="T692" s="523"/>
      <c r="U692" s="164"/>
      <c r="V692" s="47"/>
      <c r="W692" s="47"/>
      <c r="X692" s="171"/>
      <c r="Y692" s="191"/>
      <c r="Z692" s="331"/>
      <c r="AA692" s="174"/>
      <c r="AB692" s="175"/>
      <c r="AC692" s="47"/>
      <c r="AD692" s="47"/>
      <c r="AE692" s="47"/>
      <c r="AF692" s="47"/>
      <c r="AG692" s="47"/>
      <c r="AH692" s="47"/>
      <c r="AI692" s="47"/>
    </row>
    <row r="693" spans="1:35" ht="12.75" customHeight="1">
      <c r="A693" s="887" t="s">
        <v>509</v>
      </c>
      <c r="B693" s="887"/>
      <c r="C693" s="887"/>
      <c r="D693" s="887"/>
      <c r="E693" s="887"/>
      <c r="F693" s="887"/>
      <c r="G693" s="887"/>
      <c r="H693" s="657"/>
      <c r="I693" s="667"/>
      <c r="K693" s="350" t="s">
        <v>264</v>
      </c>
      <c r="L693" s="357" t="s">
        <v>394</v>
      </c>
      <c r="M693" s="100">
        <v>-250</v>
      </c>
      <c r="N693" s="711">
        <f t="shared" si="90"/>
        <v>5756.8800940000128</v>
      </c>
      <c r="O693" s="60"/>
      <c r="P693" s="136"/>
      <c r="Q693" s="132"/>
      <c r="R693" s="132"/>
      <c r="S693" s="524"/>
      <c r="T693" s="886"/>
      <c r="U693" s="47"/>
      <c r="V693" s="47"/>
      <c r="W693" s="47"/>
      <c r="X693" s="47"/>
      <c r="Y693" s="191"/>
      <c r="Z693" s="331"/>
      <c r="AA693" s="174"/>
      <c r="AB693" s="60"/>
      <c r="AC693" s="47"/>
      <c r="AD693" s="47"/>
      <c r="AE693" s="47"/>
      <c r="AF693" s="47"/>
      <c r="AG693" s="892"/>
      <c r="AH693" s="47"/>
      <c r="AI693" s="47"/>
    </row>
    <row r="694" spans="1:35" ht="12.75" customHeight="1">
      <c r="A694" s="552"/>
      <c r="B694" s="552"/>
      <c r="C694" s="553"/>
      <c r="D694" s="554"/>
      <c r="E694" s="555"/>
      <c r="F694" s="556"/>
      <c r="G694" s="557"/>
      <c r="H694" s="657"/>
      <c r="I694" s="667"/>
      <c r="J694" s="690"/>
      <c r="K694" s="350" t="s">
        <v>264</v>
      </c>
      <c r="L694" s="357" t="s">
        <v>237</v>
      </c>
      <c r="M694" s="100">
        <v>-1738</v>
      </c>
      <c r="N694" s="711">
        <f t="shared" si="90"/>
        <v>4018.8800940000128</v>
      </c>
      <c r="O694" s="60"/>
      <c r="P694" s="568"/>
      <c r="Q694" s="361"/>
      <c r="R694" s="132"/>
      <c r="S694" s="524"/>
      <c r="T694" s="783"/>
      <c r="U694" s="47"/>
      <c r="V694" s="47"/>
      <c r="W694" s="47"/>
      <c r="X694" s="47"/>
      <c r="Y694" s="191"/>
      <c r="Z694" s="331"/>
      <c r="AA694" s="174"/>
      <c r="AB694" s="60"/>
      <c r="AC694" s="47"/>
      <c r="AD694" s="47"/>
      <c r="AE694" s="47"/>
      <c r="AF694" s="47"/>
      <c r="AG694" s="47"/>
      <c r="AH694" s="47"/>
      <c r="AI694" s="47"/>
    </row>
    <row r="695" spans="1:35" ht="12.75" customHeight="1">
      <c r="A695" s="485"/>
      <c r="B695" s="485"/>
      <c r="C695" s="552"/>
      <c r="D695" s="558"/>
      <c r="E695" s="215"/>
      <c r="F695" s="111"/>
      <c r="G695" s="521"/>
      <c r="H695" s="894"/>
      <c r="I695" s="665"/>
      <c r="K695" s="165" t="s">
        <v>264</v>
      </c>
      <c r="L695" s="357" t="s">
        <v>222</v>
      </c>
      <c r="M695" s="100">
        <v>-59</v>
      </c>
      <c r="N695" s="711">
        <f t="shared" si="90"/>
        <v>3959.8800940000128</v>
      </c>
      <c r="O695" s="60"/>
      <c r="P695" s="882"/>
      <c r="Q695" s="883"/>
      <c r="R695" s="345"/>
      <c r="S695" s="524"/>
      <c r="T695" s="886"/>
      <c r="U695" s="47"/>
      <c r="V695" s="60"/>
      <c r="W695" s="60"/>
      <c r="X695" s="171"/>
      <c r="Y695" s="47"/>
      <c r="Z695" s="331"/>
      <c r="AA695" s="174"/>
      <c r="AB695" s="60"/>
      <c r="AC695" s="47"/>
      <c r="AD695" s="47"/>
      <c r="AE695" s="47"/>
      <c r="AF695" s="47"/>
      <c r="AG695" s="47"/>
      <c r="AH695" s="47"/>
      <c r="AI695" s="47"/>
    </row>
    <row r="696" spans="1:35" ht="12.75" customHeight="1">
      <c r="A696" s="485"/>
      <c r="B696" s="485"/>
      <c r="C696" s="485"/>
      <c r="D696" s="558"/>
      <c r="E696" s="215"/>
      <c r="F696" s="111"/>
      <c r="G696" s="521"/>
      <c r="H696" s="894"/>
      <c r="I696" s="681"/>
      <c r="K696" s="350" t="s">
        <v>264</v>
      </c>
      <c r="L696" s="357" t="s">
        <v>97</v>
      </c>
      <c r="M696" s="100">
        <v>-252.5</v>
      </c>
      <c r="N696" s="711">
        <f t="shared" si="90"/>
        <v>3707.3800940000128</v>
      </c>
      <c r="O696" s="60"/>
      <c r="P696" s="780"/>
      <c r="Q696" s="781"/>
      <c r="R696" s="132"/>
      <c r="S696" s="524"/>
      <c r="T696" s="886"/>
      <c r="U696" s="47"/>
      <c r="V696" s="60"/>
      <c r="W696" s="60"/>
      <c r="X696" s="171"/>
      <c r="Y696" s="47"/>
      <c r="Z696" s="331"/>
      <c r="AA696" s="174"/>
      <c r="AB696" s="60"/>
      <c r="AC696" s="47"/>
      <c r="AD696" s="47"/>
      <c r="AE696" s="47"/>
      <c r="AF696" s="47"/>
      <c r="AG696" s="47"/>
      <c r="AH696" s="47"/>
      <c r="AI696" s="47"/>
    </row>
    <row r="697" spans="1:35" ht="12.75" customHeight="1">
      <c r="A697" s="485"/>
      <c r="B697" s="485"/>
      <c r="C697" s="485"/>
      <c r="D697" s="105"/>
      <c r="E697" s="215"/>
      <c r="F697" s="111"/>
      <c r="G697" s="559"/>
      <c r="H697" s="894"/>
      <c r="K697" s="350" t="s">
        <v>453</v>
      </c>
      <c r="L697" s="357" t="s">
        <v>189</v>
      </c>
      <c r="M697" s="100">
        <v>250</v>
      </c>
      <c r="N697" s="711">
        <f t="shared" si="90"/>
        <v>3957.3800940000128</v>
      </c>
      <c r="O697" s="363"/>
      <c r="P697" s="780"/>
      <c r="Q697" s="781"/>
      <c r="R697" s="782"/>
      <c r="S697" s="674"/>
      <c r="T697" s="886"/>
      <c r="U697" s="47"/>
      <c r="V697" s="60"/>
      <c r="W697" s="60"/>
      <c r="X697" s="171"/>
      <c r="Y697" s="47"/>
      <c r="Z697" s="331"/>
      <c r="AA697" s="174"/>
      <c r="AB697" s="60"/>
      <c r="AC697" s="47"/>
      <c r="AD697" s="47"/>
      <c r="AE697" s="47"/>
      <c r="AF697" s="47"/>
      <c r="AG697" s="47"/>
      <c r="AH697" s="47"/>
      <c r="AI697" s="47"/>
    </row>
    <row r="698" spans="1:35" ht="12.75" customHeight="1">
      <c r="A698" s="485"/>
      <c r="B698" s="485"/>
      <c r="C698" s="560"/>
      <c r="D698" s="554"/>
      <c r="E698" s="555"/>
      <c r="F698" s="111"/>
      <c r="G698" s="559"/>
      <c r="H698" s="894"/>
      <c r="K698" s="165" t="s">
        <v>231</v>
      </c>
      <c r="L698" s="358" t="s">
        <v>39</v>
      </c>
      <c r="M698" s="262">
        <v>-623.99</v>
      </c>
      <c r="N698" s="711">
        <f t="shared" si="90"/>
        <v>3333.3900940000131</v>
      </c>
      <c r="O698" s="345"/>
      <c r="P698" s="780"/>
      <c r="Q698" s="781"/>
      <c r="R698" s="782"/>
      <c r="S698" s="674"/>
      <c r="T698" s="930"/>
      <c r="U698" s="47"/>
      <c r="V698" s="60"/>
      <c r="W698" s="60"/>
      <c r="X698" s="171"/>
      <c r="Y698" s="47"/>
      <c r="Z698" s="331"/>
      <c r="AA698" s="174"/>
      <c r="AB698" s="60"/>
      <c r="AC698" s="47"/>
      <c r="AD698" s="47"/>
      <c r="AE698" s="47"/>
      <c r="AF698" s="47"/>
      <c r="AG698" s="47"/>
      <c r="AH698" s="47"/>
      <c r="AI698" s="47"/>
    </row>
    <row r="699" spans="1:35" ht="12.75" customHeight="1">
      <c r="A699" s="485"/>
      <c r="B699" s="485"/>
      <c r="C699" s="485"/>
      <c r="D699" s="561"/>
      <c r="E699" s="215"/>
      <c r="F699" s="111"/>
      <c r="G699" s="559"/>
      <c r="H699" s="894"/>
      <c r="I699" s="690"/>
      <c r="K699" s="350" t="s">
        <v>231</v>
      </c>
      <c r="L699" s="359" t="s">
        <v>92</v>
      </c>
      <c r="M699" s="262">
        <v>-900</v>
      </c>
      <c r="N699" s="711">
        <f t="shared" si="90"/>
        <v>2433.3900940000131</v>
      </c>
      <c r="O699" s="345"/>
      <c r="P699" s="780"/>
      <c r="Q699" s="781"/>
      <c r="R699" s="782"/>
      <c r="S699" s="674"/>
      <c r="T699" s="886"/>
      <c r="U699" s="47"/>
      <c r="V699" s="60"/>
      <c r="W699" s="60"/>
      <c r="X699" s="171"/>
      <c r="Y699" s="47"/>
      <c r="Z699" s="331"/>
      <c r="AA699" s="174"/>
      <c r="AB699" s="60"/>
      <c r="AC699" s="47"/>
      <c r="AD699" s="47"/>
      <c r="AE699" s="47"/>
      <c r="AF699" s="47"/>
      <c r="AG699" s="47"/>
      <c r="AH699" s="47"/>
      <c r="AI699" s="47"/>
    </row>
    <row r="700" spans="1:35" ht="12.75" customHeight="1">
      <c r="A700" s="485"/>
      <c r="B700" s="485"/>
      <c r="C700" s="485"/>
      <c r="D700" s="558"/>
      <c r="E700" s="215"/>
      <c r="F700" s="111"/>
      <c r="G700" s="559"/>
      <c r="H700" s="894"/>
      <c r="I700" s="551"/>
      <c r="J700" s="694"/>
      <c r="K700" s="350" t="s">
        <v>232</v>
      </c>
      <c r="L700" s="359" t="s">
        <v>457</v>
      </c>
      <c r="M700" s="262">
        <v>-63.85</v>
      </c>
      <c r="N700" s="711">
        <f t="shared" si="90"/>
        <v>2369.5400940000131</v>
      </c>
      <c r="O700" s="345"/>
      <c r="P700" s="780"/>
      <c r="Q700" s="781"/>
      <c r="R700" s="782"/>
      <c r="S700" s="674"/>
      <c r="T700" s="886"/>
      <c r="U700" s="47"/>
      <c r="V700" s="60"/>
      <c r="W700" s="60"/>
      <c r="X700" s="171"/>
      <c r="Y700" s="47"/>
      <c r="Z700" s="331"/>
      <c r="AA700" s="174"/>
      <c r="AB700" s="60"/>
      <c r="AC700" s="47"/>
      <c r="AD700" s="47"/>
      <c r="AE700" s="47"/>
      <c r="AF700" s="47"/>
      <c r="AG700" s="47"/>
      <c r="AH700" s="47"/>
      <c r="AI700" s="47"/>
    </row>
    <row r="701" spans="1:35" ht="12.75" customHeight="1">
      <c r="A701" s="485"/>
      <c r="B701" s="485"/>
      <c r="C701" s="485"/>
      <c r="D701" s="558"/>
      <c r="E701" s="562"/>
      <c r="F701" s="111"/>
      <c r="G701" s="559"/>
      <c r="H701" s="894"/>
      <c r="K701" s="350" t="s">
        <v>265</v>
      </c>
      <c r="L701" s="196" t="s">
        <v>266</v>
      </c>
      <c r="M701" s="100">
        <v>-561.33000000000004</v>
      </c>
      <c r="N701" s="711">
        <f t="shared" si="90"/>
        <v>1808.2100940000132</v>
      </c>
      <c r="O701" s="345"/>
      <c r="P701" s="780"/>
      <c r="Q701" s="781"/>
      <c r="R701" s="782"/>
      <c r="S701" s="674"/>
      <c r="T701" s="886"/>
      <c r="U701" s="47"/>
      <c r="V701" s="60"/>
      <c r="W701" s="60"/>
      <c r="X701" s="171"/>
      <c r="Y701" s="47"/>
      <c r="Z701" s="331"/>
      <c r="AA701" s="174"/>
      <c r="AB701" s="60"/>
      <c r="AC701" s="47"/>
      <c r="AD701" s="47"/>
      <c r="AE701" s="47"/>
      <c r="AF701" s="47"/>
      <c r="AG701" s="47"/>
      <c r="AH701" s="47"/>
      <c r="AI701" s="47"/>
    </row>
    <row r="702" spans="1:35" ht="12.75" customHeight="1">
      <c r="A702" s="485"/>
      <c r="B702" s="485"/>
      <c r="C702" s="560"/>
      <c r="D702" s="740"/>
      <c r="E702" s="555"/>
      <c r="F702" s="111"/>
      <c r="G702" s="559"/>
      <c r="H702" s="894"/>
      <c r="I702" s="705"/>
      <c r="J702" s="706"/>
      <c r="K702" s="469" t="s">
        <v>232</v>
      </c>
      <c r="L702" s="360" t="s">
        <v>46</v>
      </c>
      <c r="M702" s="516">
        <v>-249.65</v>
      </c>
      <c r="N702" s="751">
        <f t="shared" si="90"/>
        <v>1558.5600940000131</v>
      </c>
      <c r="O702" s="345"/>
      <c r="P702" s="780"/>
      <c r="Q702" s="781"/>
      <c r="R702" s="782"/>
      <c r="S702" s="674"/>
      <c r="T702" s="886"/>
      <c r="U702" s="47"/>
      <c r="V702" s="60"/>
      <c r="W702" s="60"/>
      <c r="X702" s="171"/>
      <c r="Y702" s="47"/>
      <c r="Z702" s="331"/>
      <c r="AA702" s="174"/>
      <c r="AB702" s="60"/>
      <c r="AC702" s="47"/>
      <c r="AD702" s="47"/>
      <c r="AE702" s="47"/>
      <c r="AF702" s="47"/>
      <c r="AG702" s="47"/>
      <c r="AH702" s="47"/>
      <c r="AI702" s="47"/>
    </row>
    <row r="703" spans="1:35" ht="12.75" customHeight="1">
      <c r="A703" s="485"/>
      <c r="B703" s="485"/>
      <c r="C703" s="485"/>
      <c r="D703" s="558"/>
      <c r="E703" s="215"/>
      <c r="F703" s="111"/>
      <c r="G703" s="559"/>
      <c r="H703" s="894"/>
      <c r="I703" s="47"/>
      <c r="J703" s="707"/>
      <c r="L703" s="58"/>
      <c r="M703" s="255">
        <f>SUM(M680:M702)</f>
        <v>1558.5600940000131</v>
      </c>
      <c r="N703" s="399"/>
      <c r="O703" s="345"/>
      <c r="P703" s="780"/>
      <c r="Q703" s="781"/>
      <c r="R703" s="782"/>
      <c r="S703" s="674"/>
      <c r="T703" s="886"/>
      <c r="U703" s="47"/>
      <c r="V703" s="60"/>
      <c r="W703" s="60"/>
      <c r="X703" s="171"/>
      <c r="Y703" s="47"/>
      <c r="Z703" s="331"/>
      <c r="AA703" s="174"/>
      <c r="AB703" s="60"/>
      <c r="AC703" s="47"/>
      <c r="AD703" s="47"/>
      <c r="AE703" s="47"/>
      <c r="AF703" s="47"/>
      <c r="AG703" s="47"/>
      <c r="AH703" s="47"/>
      <c r="AI703" s="47"/>
    </row>
    <row r="704" spans="1:35" s="150" customFormat="1" ht="12.75" customHeight="1">
      <c r="A704" s="574"/>
      <c r="B704" s="574"/>
      <c r="C704" s="574"/>
      <c r="D704" s="861"/>
      <c r="E704" s="575"/>
      <c r="F704" s="576"/>
      <c r="G704" s="577"/>
      <c r="H704" s="689"/>
      <c r="J704" s="773"/>
      <c r="K704" s="637"/>
      <c r="L704" s="211"/>
      <c r="M704" s="41"/>
      <c r="N704" s="774"/>
      <c r="O704" s="41"/>
      <c r="P704" s="896"/>
      <c r="Q704" s="897"/>
      <c r="R704" s="898"/>
      <c r="S704" s="899"/>
      <c r="T704" s="900"/>
      <c r="V704" s="41"/>
      <c r="W704" s="41"/>
      <c r="X704" s="244"/>
      <c r="Z704" s="245"/>
      <c r="AA704" s="246"/>
      <c r="AB704" s="41"/>
    </row>
    <row r="705" spans="1:35" ht="12.75" customHeight="1">
      <c r="A705" s="485"/>
      <c r="B705" s="485"/>
      <c r="C705" s="485"/>
      <c r="D705" s="558"/>
      <c r="E705" s="215"/>
      <c r="F705" s="111"/>
      <c r="G705" s="559"/>
      <c r="H705" s="894"/>
      <c r="I705" s="47"/>
      <c r="J705" s="676"/>
      <c r="K705" s="772"/>
      <c r="L705" s="581"/>
      <c r="M705" s="318"/>
      <c r="N705" s="895"/>
      <c r="O705" s="331"/>
      <c r="P705" s="780"/>
      <c r="Q705" s="784"/>
      <c r="R705" s="782"/>
      <c r="S705" s="674"/>
      <c r="T705" s="675"/>
      <c r="U705" s="47"/>
      <c r="V705" s="60"/>
      <c r="W705" s="60"/>
      <c r="X705" s="171"/>
      <c r="Y705" s="47"/>
      <c r="Z705" s="331"/>
      <c r="AA705" s="174"/>
      <c r="AB705" s="60"/>
      <c r="AC705" s="47"/>
      <c r="AD705" s="47"/>
      <c r="AE705" s="47"/>
      <c r="AF705" s="47"/>
      <c r="AG705" s="47"/>
      <c r="AH705" s="47"/>
      <c r="AI705" s="47"/>
    </row>
    <row r="706" spans="1:35" ht="12.75" customHeight="1">
      <c r="A706" s="485"/>
      <c r="B706" s="485"/>
      <c r="C706" s="485"/>
      <c r="D706" s="558"/>
      <c r="E706" s="215"/>
      <c r="F706" s="111"/>
      <c r="G706" s="559"/>
      <c r="H706" s="931" t="s">
        <v>594</v>
      </c>
      <c r="I706" s="681"/>
      <c r="J706" s="676"/>
      <c r="K706" s="772"/>
      <c r="L706" s="581"/>
      <c r="M706" s="318"/>
      <c r="N706" s="895"/>
      <c r="O706" s="331"/>
      <c r="P706" s="780"/>
      <c r="Q706" s="784"/>
      <c r="R706" s="782"/>
      <c r="S706" s="674"/>
      <c r="T706" s="675"/>
      <c r="U706" s="47"/>
      <c r="V706" s="60"/>
      <c r="W706" s="60"/>
      <c r="X706" s="171"/>
      <c r="Y706" s="47"/>
      <c r="Z706" s="331"/>
      <c r="AA706" s="174"/>
      <c r="AB706" s="60"/>
      <c r="AC706" s="47"/>
      <c r="AD706" s="47"/>
      <c r="AE706" s="47"/>
      <c r="AF706" s="47"/>
      <c r="AG706" s="47"/>
      <c r="AH706" s="47"/>
      <c r="AI706" s="47"/>
    </row>
    <row r="707" spans="1:35" ht="12.75" customHeight="1">
      <c r="A707" s="485"/>
      <c r="B707" s="485"/>
      <c r="C707" s="485"/>
      <c r="D707" s="215"/>
      <c r="E707" s="215">
        <f>E359+E385+E411+E447+E474+E506+E550+E582+E607+E632+E660+E685</f>
        <v>98427.349999999991</v>
      </c>
      <c r="F707" s="111"/>
      <c r="G707" s="559"/>
      <c r="H707" s="658" t="s">
        <v>429</v>
      </c>
      <c r="I707" s="681"/>
      <c r="J707" s="676"/>
      <c r="K707" s="723"/>
      <c r="L707" s="328"/>
      <c r="M707" s="325"/>
      <c r="N707" s="895"/>
      <c r="O707" s="332"/>
      <c r="P707" s="780"/>
      <c r="Q707" s="784"/>
      <c r="R707" s="782"/>
      <c r="S707" s="674"/>
      <c r="T707" s="675"/>
      <c r="U707" s="47"/>
      <c r="V707" s="60"/>
      <c r="W707" s="60"/>
      <c r="X707" s="171"/>
      <c r="Y707" s="47"/>
      <c r="Z707" s="331"/>
      <c r="AA707" s="174"/>
      <c r="AB707" s="60"/>
      <c r="AC707" s="47"/>
      <c r="AD707" s="47"/>
      <c r="AE707" s="47"/>
      <c r="AF707" s="47"/>
      <c r="AG707" s="47"/>
      <c r="AH707" s="47"/>
      <c r="AI707" s="47"/>
    </row>
    <row r="708" spans="1:35">
      <c r="H708" s="932" t="s">
        <v>430</v>
      </c>
      <c r="P708" s="568"/>
      <c r="Q708" s="361"/>
      <c r="R708" s="132"/>
      <c r="S708" s="524"/>
      <c r="T708" s="783"/>
      <c r="U708" s="47"/>
    </row>
    <row r="709" spans="1:35">
      <c r="H709" s="933" t="s">
        <v>431</v>
      </c>
    </row>
    <row r="710" spans="1:35">
      <c r="H710" s="933" t="s">
        <v>596</v>
      </c>
    </row>
    <row r="711" spans="1:35">
      <c r="H711" s="933" t="s">
        <v>595</v>
      </c>
    </row>
    <row r="712" spans="1:35">
      <c r="H712" s="933" t="s">
        <v>597</v>
      </c>
    </row>
    <row r="713" spans="1:35">
      <c r="H713" s="933" t="s">
        <v>598</v>
      </c>
    </row>
    <row r="714" spans="1:35">
      <c r="H714" s="933" t="s">
        <v>599</v>
      </c>
    </row>
    <row r="715" spans="1:35">
      <c r="H715" s="933" t="s">
        <v>600</v>
      </c>
    </row>
    <row r="716" spans="1:35">
      <c r="H716" s="933" t="s">
        <v>601</v>
      </c>
    </row>
    <row r="717" spans="1:35">
      <c r="H717" s="933" t="s">
        <v>602</v>
      </c>
    </row>
    <row r="718" spans="1:35">
      <c r="H718" s="933" t="s">
        <v>603</v>
      </c>
    </row>
  </sheetData>
  <mergeCells count="141">
    <mergeCell ref="G611:H611"/>
    <mergeCell ref="B600:E600"/>
    <mergeCell ref="M600:M601"/>
    <mergeCell ref="P600:P601"/>
    <mergeCell ref="Q600:R600"/>
    <mergeCell ref="G601:H601"/>
    <mergeCell ref="H602:H603"/>
    <mergeCell ref="G608:H608"/>
    <mergeCell ref="G609:H609"/>
    <mergeCell ref="G610:H610"/>
    <mergeCell ref="G586:H586"/>
    <mergeCell ref="B575:E575"/>
    <mergeCell ref="M575:M576"/>
    <mergeCell ref="P575:P576"/>
    <mergeCell ref="Q575:R575"/>
    <mergeCell ref="G576:H576"/>
    <mergeCell ref="H577:H578"/>
    <mergeCell ref="G583:H583"/>
    <mergeCell ref="G584:H584"/>
    <mergeCell ref="G585:H585"/>
    <mergeCell ref="M543:M544"/>
    <mergeCell ref="P543:P544"/>
    <mergeCell ref="G450:H450"/>
    <mergeCell ref="G449:H449"/>
    <mergeCell ref="G448:H448"/>
    <mergeCell ref="B433:E433"/>
    <mergeCell ref="M433:M434"/>
    <mergeCell ref="P433:P434"/>
    <mergeCell ref="C286:D286"/>
    <mergeCell ref="C288:D288"/>
    <mergeCell ref="B344:E344"/>
    <mergeCell ref="M344:M345"/>
    <mergeCell ref="P344:P345"/>
    <mergeCell ref="B294:E294"/>
    <mergeCell ref="M294:M295"/>
    <mergeCell ref="P294:P295"/>
    <mergeCell ref="P324:P325"/>
    <mergeCell ref="C289:D289"/>
    <mergeCell ref="G508:H508"/>
    <mergeCell ref="G509:H509"/>
    <mergeCell ref="G510:H510"/>
    <mergeCell ref="P499:P500"/>
    <mergeCell ref="H545:H546"/>
    <mergeCell ref="G551:H551"/>
    <mergeCell ref="G552:H552"/>
    <mergeCell ref="G553:H553"/>
    <mergeCell ref="G554:H554"/>
    <mergeCell ref="B543:E543"/>
    <mergeCell ref="Q344:R344"/>
    <mergeCell ref="C321:D321"/>
    <mergeCell ref="M324:M325"/>
    <mergeCell ref="Q324:R324"/>
    <mergeCell ref="B324:E324"/>
    <mergeCell ref="Q543:R543"/>
    <mergeCell ref="G544:H544"/>
    <mergeCell ref="H469:H470"/>
    <mergeCell ref="G475:H475"/>
    <mergeCell ref="G476:H476"/>
    <mergeCell ref="G477:H477"/>
    <mergeCell ref="B467:E467"/>
    <mergeCell ref="M467:M468"/>
    <mergeCell ref="P467:P468"/>
    <mergeCell ref="Q467:R467"/>
    <mergeCell ref="G468:H468"/>
    <mergeCell ref="B499:E499"/>
    <mergeCell ref="M499:M500"/>
    <mergeCell ref="Q499:R499"/>
    <mergeCell ref="G500:H500"/>
    <mergeCell ref="G511:H511"/>
    <mergeCell ref="H501:H502"/>
    <mergeCell ref="G507:H507"/>
    <mergeCell ref="P43:P44"/>
    <mergeCell ref="G1:H1"/>
    <mergeCell ref="B5:E5"/>
    <mergeCell ref="M5:M6"/>
    <mergeCell ref="P5:P6"/>
    <mergeCell ref="M43:M44"/>
    <mergeCell ref="B43:E43"/>
    <mergeCell ref="B213:E213"/>
    <mergeCell ref="M213:M214"/>
    <mergeCell ref="P213:P214"/>
    <mergeCell ref="B191:E191"/>
    <mergeCell ref="M191:M192"/>
    <mergeCell ref="P191:P192"/>
    <mergeCell ref="P170:P171"/>
    <mergeCell ref="P66:P67"/>
    <mergeCell ref="P148:P149"/>
    <mergeCell ref="P92:P93"/>
    <mergeCell ref="M92:M93"/>
    <mergeCell ref="B66:E66"/>
    <mergeCell ref="B92:E92"/>
    <mergeCell ref="M66:M67"/>
    <mergeCell ref="B170:E170"/>
    <mergeCell ref="M170:M171"/>
    <mergeCell ref="B120:E120"/>
    <mergeCell ref="M120:M121"/>
    <mergeCell ref="P120:P121"/>
    <mergeCell ref="B148:E148"/>
    <mergeCell ref="M148:M149"/>
    <mergeCell ref="Q433:R433"/>
    <mergeCell ref="B370:E370"/>
    <mergeCell ref="M370:M371"/>
    <mergeCell ref="P370:P371"/>
    <mergeCell ref="Q370:R370"/>
    <mergeCell ref="B397:E397"/>
    <mergeCell ref="M397:M398"/>
    <mergeCell ref="P397:P398"/>
    <mergeCell ref="Q397:R397"/>
    <mergeCell ref="B234:E234"/>
    <mergeCell ref="M234:M235"/>
    <mergeCell ref="P234:P235"/>
    <mergeCell ref="B256:E256"/>
    <mergeCell ref="M256:M257"/>
    <mergeCell ref="P256:P257"/>
    <mergeCell ref="M678:M679"/>
    <mergeCell ref="P678:P679"/>
    <mergeCell ref="Q678:R678"/>
    <mergeCell ref="G679:H679"/>
    <mergeCell ref="G633:H633"/>
    <mergeCell ref="G634:H634"/>
    <mergeCell ref="G635:H635"/>
    <mergeCell ref="G636:H636"/>
    <mergeCell ref="B653:E653"/>
    <mergeCell ref="M653:M654"/>
    <mergeCell ref="P653:P654"/>
    <mergeCell ref="Q653:R653"/>
    <mergeCell ref="G654:H654"/>
    <mergeCell ref="B625:E625"/>
    <mergeCell ref="M625:M626"/>
    <mergeCell ref="P625:P626"/>
    <mergeCell ref="Q625:R625"/>
    <mergeCell ref="G626:H626"/>
    <mergeCell ref="G686:H686"/>
    <mergeCell ref="G687:H687"/>
    <mergeCell ref="G688:H688"/>
    <mergeCell ref="G689:H689"/>
    <mergeCell ref="G661:H661"/>
    <mergeCell ref="G662:H662"/>
    <mergeCell ref="G663:H663"/>
    <mergeCell ref="G664:H664"/>
    <mergeCell ref="B678:E678"/>
  </mergeCells>
  <phoneticPr fontId="0" type="noConversion"/>
  <pageMargins left="0.74803149606299213" right="0.74803149606299213" top="0.78740157480314965" bottom="0.78740157480314965" header="0.51181102362204722" footer="0.51181102362204722"/>
  <pageSetup paperSize="1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workbookViewId="0">
      <selection activeCell="D76" sqref="D76"/>
    </sheetView>
  </sheetViews>
  <sheetFormatPr defaultColWidth="8.85546875" defaultRowHeight="12.75"/>
  <cols>
    <col min="1" max="1" width="7.85546875" style="24" customWidth="1"/>
    <col min="2" max="3" width="8.7109375" style="5" customWidth="1"/>
    <col min="4" max="4" width="6.85546875" style="5" customWidth="1"/>
    <col min="5" max="5" width="8.42578125" style="5" customWidth="1"/>
    <col min="6" max="6" width="8.7109375" style="5" customWidth="1"/>
    <col min="7" max="7" width="7.42578125" style="5" customWidth="1"/>
    <col min="8" max="8" width="7" style="5" customWidth="1"/>
    <col min="9" max="9" width="7.140625" style="5" customWidth="1"/>
    <col min="10" max="10" width="8.140625" style="5" customWidth="1"/>
    <col min="11" max="11" width="8.85546875" style="17" customWidth="1"/>
    <col min="12" max="12" width="10.42578125" style="5" customWidth="1"/>
    <col min="13" max="16384" width="8.85546875" style="5"/>
  </cols>
  <sheetData>
    <row r="1" spans="1:13" s="1" customFormat="1" ht="18">
      <c r="A1" s="935" t="s">
        <v>342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</row>
    <row r="2" spans="1:13" ht="30" customHeight="1" thickBot="1">
      <c r="A2" s="2"/>
      <c r="B2" s="147">
        <v>18</v>
      </c>
      <c r="C2" s="936" t="s">
        <v>347</v>
      </c>
      <c r="D2" s="937"/>
      <c r="E2" s="3"/>
      <c r="F2" s="4"/>
      <c r="G2" s="4"/>
      <c r="H2" s="4"/>
      <c r="I2" s="4"/>
      <c r="J2" s="4"/>
      <c r="K2" s="34"/>
      <c r="L2" s="4"/>
    </row>
    <row r="3" spans="1:13" s="6" customFormat="1" ht="13.5" thickBot="1">
      <c r="A3" s="49"/>
      <c r="B3" s="146" t="s">
        <v>1</v>
      </c>
      <c r="C3" s="50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38" t="s">
        <v>9</v>
      </c>
      <c r="K3" s="20" t="s">
        <v>10</v>
      </c>
      <c r="M3" s="465"/>
    </row>
    <row r="4" spans="1:13">
      <c r="A4" s="207" t="s">
        <v>11</v>
      </c>
      <c r="B4" s="285" t="s">
        <v>12</v>
      </c>
      <c r="C4" s="65">
        <v>960</v>
      </c>
      <c r="D4" s="66">
        <v>0</v>
      </c>
      <c r="E4" s="66">
        <v>63.36</v>
      </c>
      <c r="F4" s="66">
        <v>896.64</v>
      </c>
      <c r="G4" s="66">
        <v>9.6</v>
      </c>
      <c r="H4" s="66">
        <v>0</v>
      </c>
      <c r="I4" s="66">
        <v>-50</v>
      </c>
      <c r="J4" s="66">
        <v>0</v>
      </c>
      <c r="K4" s="67">
        <v>937.04</v>
      </c>
      <c r="M4" s="466"/>
    </row>
    <row r="5" spans="1:13">
      <c r="A5" s="103" t="s">
        <v>13</v>
      </c>
      <c r="B5" s="145" t="s">
        <v>14</v>
      </c>
      <c r="C5" s="68">
        <v>891.6</v>
      </c>
      <c r="D5" s="69">
        <v>0</v>
      </c>
      <c r="E5" s="69">
        <v>58.85</v>
      </c>
      <c r="F5" s="69">
        <v>832.75</v>
      </c>
      <c r="G5" s="69">
        <v>8.92</v>
      </c>
      <c r="H5" s="69">
        <v>0</v>
      </c>
      <c r="I5" s="69">
        <v>50</v>
      </c>
      <c r="J5" s="69">
        <v>0</v>
      </c>
      <c r="K5" s="70">
        <v>773.84</v>
      </c>
      <c r="M5" s="466"/>
    </row>
    <row r="6" spans="1:13">
      <c r="A6" s="103" t="s">
        <v>104</v>
      </c>
      <c r="B6" s="145" t="s">
        <v>15</v>
      </c>
      <c r="C6" s="68">
        <v>646.4</v>
      </c>
      <c r="D6" s="69">
        <v>0</v>
      </c>
      <c r="E6" s="69">
        <v>42.66</v>
      </c>
      <c r="F6" s="69">
        <v>603.74</v>
      </c>
      <c r="G6" s="69">
        <v>6.46</v>
      </c>
      <c r="H6" s="69">
        <v>0</v>
      </c>
      <c r="I6" s="69">
        <v>-50</v>
      </c>
      <c r="J6" s="69">
        <v>0</v>
      </c>
      <c r="K6" s="70">
        <v>647.27</v>
      </c>
      <c r="M6" s="466"/>
    </row>
    <row r="7" spans="1:13">
      <c r="A7" s="103" t="s">
        <v>26</v>
      </c>
      <c r="B7" s="145" t="s">
        <v>16</v>
      </c>
      <c r="C7" s="68">
        <v>2428</v>
      </c>
      <c r="D7" s="69">
        <v>0</v>
      </c>
      <c r="E7" s="69">
        <v>160.25</v>
      </c>
      <c r="F7" s="69">
        <v>2267.75</v>
      </c>
      <c r="G7" s="69">
        <v>24.28</v>
      </c>
      <c r="H7" s="69">
        <v>188</v>
      </c>
      <c r="I7" s="69">
        <v>600</v>
      </c>
      <c r="J7" s="69">
        <v>378.25</v>
      </c>
      <c r="K7" s="70">
        <v>1077.22</v>
      </c>
      <c r="L7" s="221"/>
      <c r="M7" s="466"/>
    </row>
    <row r="8" spans="1:13">
      <c r="A8" s="103" t="s">
        <v>53</v>
      </c>
      <c r="B8" s="513" t="s">
        <v>52</v>
      </c>
      <c r="C8" s="68">
        <v>1290.4000000000001</v>
      </c>
      <c r="D8" s="69">
        <v>0</v>
      </c>
      <c r="E8" s="69">
        <v>0</v>
      </c>
      <c r="F8" s="69">
        <v>1290.4000000000001</v>
      </c>
      <c r="G8" s="69">
        <v>12.9</v>
      </c>
      <c r="H8" s="69">
        <v>12</v>
      </c>
      <c r="I8" s="69">
        <v>100</v>
      </c>
      <c r="J8" s="69">
        <v>0</v>
      </c>
      <c r="K8" s="70">
        <v>1165.5</v>
      </c>
      <c r="M8" s="466"/>
    </row>
    <row r="9" spans="1:13">
      <c r="A9" s="103" t="s">
        <v>208</v>
      </c>
      <c r="B9" s="513" t="s">
        <v>207</v>
      </c>
      <c r="C9" s="68">
        <v>800</v>
      </c>
      <c r="D9" s="69">
        <v>0</v>
      </c>
      <c r="E9" s="69">
        <v>0</v>
      </c>
      <c r="F9" s="69">
        <v>800</v>
      </c>
      <c r="G9" s="69">
        <v>8</v>
      </c>
      <c r="H9" s="69">
        <v>0</v>
      </c>
      <c r="I9" s="69">
        <v>0</v>
      </c>
      <c r="J9" s="69">
        <v>0</v>
      </c>
      <c r="K9" s="70">
        <v>792</v>
      </c>
      <c r="M9" s="466"/>
    </row>
    <row r="10" spans="1:13">
      <c r="A10" s="103" t="s">
        <v>104</v>
      </c>
      <c r="B10" s="145" t="s">
        <v>54</v>
      </c>
      <c r="C10" s="68">
        <v>500</v>
      </c>
      <c r="D10" s="69">
        <v>0</v>
      </c>
      <c r="E10" s="69">
        <v>0</v>
      </c>
      <c r="F10" s="69">
        <v>500</v>
      </c>
      <c r="G10" s="69">
        <v>0</v>
      </c>
      <c r="H10" s="69">
        <v>0</v>
      </c>
      <c r="I10" s="69">
        <v>0</v>
      </c>
      <c r="J10" s="69">
        <v>0</v>
      </c>
      <c r="K10" s="70">
        <v>500</v>
      </c>
      <c r="M10" s="466"/>
    </row>
    <row r="11" spans="1:13">
      <c r="A11" s="199" t="s">
        <v>34</v>
      </c>
      <c r="B11" s="148" t="s">
        <v>48</v>
      </c>
      <c r="C11" s="157"/>
      <c r="D11" s="158"/>
      <c r="E11" s="158"/>
      <c r="F11" s="158"/>
      <c r="G11" s="158"/>
      <c r="H11" s="158"/>
      <c r="I11" s="158"/>
      <c r="J11" s="159"/>
      <c r="K11" s="143">
        <v>950</v>
      </c>
      <c r="M11" s="466"/>
    </row>
    <row r="12" spans="1:13" ht="13.5" thickBot="1">
      <c r="A12" s="208" t="s">
        <v>94</v>
      </c>
      <c r="B12" s="144" t="s">
        <v>95</v>
      </c>
      <c r="C12" s="160"/>
      <c r="D12" s="161"/>
      <c r="E12" s="161"/>
      <c r="F12" s="161"/>
      <c r="G12" s="161"/>
      <c r="H12" s="161"/>
      <c r="I12" s="161"/>
      <c r="J12" s="162"/>
      <c r="K12" s="79">
        <v>825</v>
      </c>
      <c r="M12" s="466"/>
    </row>
    <row r="13" spans="1:13" ht="13.5" thickBot="1">
      <c r="A13" s="21"/>
      <c r="B13" s="61" t="s">
        <v>0</v>
      </c>
      <c r="C13" s="109">
        <f t="shared" ref="C13:J13" si="0">SUM(C4:C10)</f>
        <v>7516.4</v>
      </c>
      <c r="D13" s="62">
        <f t="shared" si="0"/>
        <v>0</v>
      </c>
      <c r="E13" s="62">
        <f t="shared" si="0"/>
        <v>325.12</v>
      </c>
      <c r="F13" s="62">
        <f t="shared" si="0"/>
        <v>7191.2800000000007</v>
      </c>
      <c r="G13" s="62">
        <f t="shared" si="0"/>
        <v>70.16</v>
      </c>
      <c r="H13" s="62">
        <f t="shared" si="0"/>
        <v>200</v>
      </c>
      <c r="I13" s="62">
        <f t="shared" si="0"/>
        <v>650</v>
      </c>
      <c r="J13" s="62">
        <f t="shared" si="0"/>
        <v>378.25</v>
      </c>
      <c r="K13" s="110">
        <f>SUM(K4:K12)</f>
        <v>7667.87</v>
      </c>
      <c r="M13" s="4"/>
    </row>
    <row r="14" spans="1:13" ht="12.75" customHeight="1">
      <c r="A14" s="21"/>
      <c r="B14" s="64"/>
      <c r="C14" s="28"/>
      <c r="D14" s="28"/>
      <c r="E14" s="28"/>
      <c r="F14" s="28"/>
      <c r="G14" s="28"/>
      <c r="H14" s="28"/>
      <c r="I14" s="28"/>
      <c r="J14" s="28"/>
      <c r="K14" s="76"/>
      <c r="M14" s="4"/>
    </row>
    <row r="15" spans="1:13" ht="30" customHeight="1" thickBot="1">
      <c r="A15" s="2"/>
      <c r="B15" s="147">
        <v>19</v>
      </c>
      <c r="C15" s="936" t="s">
        <v>348</v>
      </c>
      <c r="D15" s="937"/>
      <c r="E15" s="3"/>
      <c r="F15" s="4"/>
      <c r="G15" s="4"/>
      <c r="H15" s="4"/>
      <c r="I15" s="4"/>
      <c r="J15" s="4"/>
      <c r="K15" s="34"/>
      <c r="L15" s="4"/>
    </row>
    <row r="16" spans="1:13" s="6" customFormat="1" ht="13.5" thickBot="1">
      <c r="A16" s="49"/>
      <c r="B16" s="146" t="s">
        <v>1</v>
      </c>
      <c r="C16" s="50" t="s">
        <v>2</v>
      </c>
      <c r="D16" s="38" t="s">
        <v>3</v>
      </c>
      <c r="E16" s="38" t="s">
        <v>4</v>
      </c>
      <c r="F16" s="38" t="s">
        <v>5</v>
      </c>
      <c r="G16" s="38" t="s">
        <v>6</v>
      </c>
      <c r="H16" s="38" t="s">
        <v>7</v>
      </c>
      <c r="I16" s="38" t="s">
        <v>8</v>
      </c>
      <c r="J16" s="38" t="s">
        <v>9</v>
      </c>
      <c r="K16" s="20" t="s">
        <v>10</v>
      </c>
    </row>
    <row r="17" spans="1:12">
      <c r="A17" s="207" t="s">
        <v>11</v>
      </c>
      <c r="B17" s="285" t="s">
        <v>12</v>
      </c>
      <c r="C17" s="65">
        <v>960</v>
      </c>
      <c r="D17" s="66">
        <v>0</v>
      </c>
      <c r="E17" s="66">
        <v>63.36</v>
      </c>
      <c r="F17" s="66">
        <v>896.64</v>
      </c>
      <c r="G17" s="66">
        <v>9.6</v>
      </c>
      <c r="H17" s="66">
        <v>0</v>
      </c>
      <c r="I17" s="66">
        <v>-50</v>
      </c>
      <c r="J17" s="66">
        <v>0</v>
      </c>
      <c r="K17" s="67">
        <v>937.04</v>
      </c>
    </row>
    <row r="18" spans="1:12">
      <c r="A18" s="103" t="s">
        <v>13</v>
      </c>
      <c r="B18" s="145" t="s">
        <v>14</v>
      </c>
      <c r="C18" s="68">
        <v>891.6</v>
      </c>
      <c r="D18" s="69">
        <v>0</v>
      </c>
      <c r="E18" s="69">
        <v>58.85</v>
      </c>
      <c r="F18" s="69">
        <v>832.75</v>
      </c>
      <c r="G18" s="69">
        <v>8.92</v>
      </c>
      <c r="H18" s="69">
        <v>0</v>
      </c>
      <c r="I18" s="69">
        <v>-50</v>
      </c>
      <c r="J18" s="69">
        <v>0</v>
      </c>
      <c r="K18" s="70">
        <v>873.84</v>
      </c>
    </row>
    <row r="19" spans="1:12">
      <c r="A19" s="103" t="s">
        <v>104</v>
      </c>
      <c r="B19" s="145" t="s">
        <v>15</v>
      </c>
      <c r="C19" s="68">
        <v>646.4</v>
      </c>
      <c r="D19" s="69">
        <v>0</v>
      </c>
      <c r="E19" s="69">
        <v>42.66</v>
      </c>
      <c r="F19" s="69">
        <v>603.74</v>
      </c>
      <c r="G19" s="69">
        <v>6.46</v>
      </c>
      <c r="H19" s="69">
        <v>0</v>
      </c>
      <c r="I19" s="69">
        <v>-50</v>
      </c>
      <c r="J19" s="69">
        <v>0</v>
      </c>
      <c r="K19" s="70">
        <v>647.27</v>
      </c>
    </row>
    <row r="20" spans="1:12">
      <c r="A20" s="103" t="s">
        <v>26</v>
      </c>
      <c r="B20" s="145" t="s">
        <v>16</v>
      </c>
      <c r="C20" s="68">
        <v>2760</v>
      </c>
      <c r="D20" s="69">
        <v>724.5</v>
      </c>
      <c r="E20" s="69">
        <v>229.98</v>
      </c>
      <c r="F20" s="69">
        <v>3254.52</v>
      </c>
      <c r="G20" s="69">
        <v>34.85</v>
      </c>
      <c r="H20" s="69">
        <v>379</v>
      </c>
      <c r="I20" s="69">
        <v>600</v>
      </c>
      <c r="J20" s="69">
        <v>378.25</v>
      </c>
      <c r="K20" s="70">
        <v>1862.43</v>
      </c>
    </row>
    <row r="21" spans="1:12">
      <c r="A21" s="103" t="s">
        <v>53</v>
      </c>
      <c r="B21" s="513" t="s">
        <v>52</v>
      </c>
      <c r="C21" s="68">
        <v>1290.4000000000001</v>
      </c>
      <c r="D21" s="69">
        <v>0</v>
      </c>
      <c r="E21" s="69">
        <v>0</v>
      </c>
      <c r="F21" s="69">
        <v>1290.4000000000001</v>
      </c>
      <c r="G21" s="69">
        <v>12.9</v>
      </c>
      <c r="H21" s="69">
        <v>12</v>
      </c>
      <c r="I21" s="69">
        <v>100</v>
      </c>
      <c r="J21" s="69">
        <v>0</v>
      </c>
      <c r="K21" s="70">
        <v>1165.5</v>
      </c>
      <c r="L21" s="120"/>
    </row>
    <row r="22" spans="1:12">
      <c r="A22" s="103" t="s">
        <v>208</v>
      </c>
      <c r="B22" s="513" t="s">
        <v>207</v>
      </c>
      <c r="C22" s="68">
        <v>800</v>
      </c>
      <c r="D22" s="69">
        <v>0</v>
      </c>
      <c r="E22" s="69">
        <v>0</v>
      </c>
      <c r="F22" s="69">
        <v>800</v>
      </c>
      <c r="G22" s="69">
        <v>8</v>
      </c>
      <c r="H22" s="69">
        <v>0</v>
      </c>
      <c r="I22" s="69">
        <v>0</v>
      </c>
      <c r="J22" s="69">
        <v>0</v>
      </c>
      <c r="K22" s="70">
        <v>792</v>
      </c>
      <c r="L22" s="120"/>
    </row>
    <row r="23" spans="1:12">
      <c r="A23" s="103" t="s">
        <v>104</v>
      </c>
      <c r="B23" s="145" t="s">
        <v>54</v>
      </c>
      <c r="C23" s="68">
        <v>500</v>
      </c>
      <c r="D23" s="69">
        <v>0</v>
      </c>
      <c r="E23" s="69">
        <v>0</v>
      </c>
      <c r="F23" s="69">
        <v>500</v>
      </c>
      <c r="G23" s="69">
        <v>0</v>
      </c>
      <c r="H23" s="69">
        <v>0</v>
      </c>
      <c r="I23" s="69">
        <v>0</v>
      </c>
      <c r="J23" s="69">
        <v>0</v>
      </c>
      <c r="K23" s="70">
        <v>500</v>
      </c>
    </row>
    <row r="24" spans="1:12">
      <c r="A24" s="199" t="s">
        <v>34</v>
      </c>
      <c r="B24" s="148" t="s">
        <v>48</v>
      </c>
      <c r="C24" s="157"/>
      <c r="D24" s="158"/>
      <c r="E24" s="158"/>
      <c r="F24" s="158"/>
      <c r="G24" s="158"/>
      <c r="H24" s="158"/>
      <c r="I24" s="158"/>
      <c r="J24" s="159"/>
      <c r="K24" s="143">
        <v>950</v>
      </c>
    </row>
    <row r="25" spans="1:12" ht="13.5" thickBot="1">
      <c r="A25" s="208" t="s">
        <v>94</v>
      </c>
      <c r="B25" s="144" t="s">
        <v>95</v>
      </c>
      <c r="C25" s="160"/>
      <c r="D25" s="161"/>
      <c r="E25" s="161"/>
      <c r="F25" s="161"/>
      <c r="G25" s="161"/>
      <c r="H25" s="161"/>
      <c r="I25" s="161"/>
      <c r="J25" s="162"/>
      <c r="K25" s="79">
        <v>825</v>
      </c>
    </row>
    <row r="26" spans="1:12" ht="13.5" thickBot="1">
      <c r="A26" s="21"/>
      <c r="B26" s="61" t="s">
        <v>0</v>
      </c>
      <c r="C26" s="109">
        <f t="shared" ref="C26:J26" si="1">SUM(C17:C24)</f>
        <v>7848.4</v>
      </c>
      <c r="D26" s="62">
        <f t="shared" si="1"/>
        <v>724.5</v>
      </c>
      <c r="E26" s="62">
        <f t="shared" si="1"/>
        <v>394.85</v>
      </c>
      <c r="F26" s="62">
        <f t="shared" si="1"/>
        <v>8178.0499999999993</v>
      </c>
      <c r="G26" s="62">
        <f t="shared" si="1"/>
        <v>80.73</v>
      </c>
      <c r="H26" s="62">
        <f t="shared" si="1"/>
        <v>391</v>
      </c>
      <c r="I26" s="62">
        <f t="shared" si="1"/>
        <v>550</v>
      </c>
      <c r="J26" s="62">
        <f t="shared" si="1"/>
        <v>378.25</v>
      </c>
      <c r="K26" s="110">
        <f>SUM(K17:K25)</f>
        <v>8553.08</v>
      </c>
    </row>
    <row r="27" spans="1:12" ht="12.75" customHeight="1">
      <c r="A27" s="21"/>
      <c r="B27" s="64"/>
      <c r="C27" s="76"/>
      <c r="D27" s="76"/>
      <c r="E27" s="76"/>
      <c r="F27" s="76"/>
      <c r="G27" s="76"/>
      <c r="H27" s="76"/>
      <c r="I27" s="76"/>
      <c r="J27" s="76"/>
      <c r="K27" s="76"/>
    </row>
    <row r="28" spans="1:12" ht="30" customHeight="1" thickBot="1">
      <c r="A28" s="2"/>
      <c r="B28" s="147">
        <v>20</v>
      </c>
      <c r="C28" s="936" t="s">
        <v>349</v>
      </c>
      <c r="D28" s="937"/>
      <c r="E28" s="3"/>
      <c r="F28" s="4"/>
      <c r="G28" s="4"/>
      <c r="H28" s="4"/>
      <c r="I28" s="4"/>
      <c r="J28" s="4"/>
      <c r="K28" s="34"/>
      <c r="L28" s="4"/>
    </row>
    <row r="29" spans="1:12" s="6" customFormat="1" ht="13.5" thickBot="1">
      <c r="A29" s="49"/>
      <c r="B29" s="146" t="s">
        <v>1</v>
      </c>
      <c r="C29" s="50" t="s">
        <v>2</v>
      </c>
      <c r="D29" s="38" t="s">
        <v>3</v>
      </c>
      <c r="E29" s="38" t="s">
        <v>4</v>
      </c>
      <c r="F29" s="38" t="s">
        <v>5</v>
      </c>
      <c r="G29" s="38" t="s">
        <v>6</v>
      </c>
      <c r="H29" s="38" t="s">
        <v>7</v>
      </c>
      <c r="I29" s="38" t="s">
        <v>8</v>
      </c>
      <c r="J29" s="38" t="s">
        <v>9</v>
      </c>
      <c r="K29" s="20" t="s">
        <v>10</v>
      </c>
    </row>
    <row r="30" spans="1:12">
      <c r="A30" s="207" t="s">
        <v>11</v>
      </c>
      <c r="B30" s="285" t="s">
        <v>12</v>
      </c>
      <c r="C30" s="65">
        <v>960</v>
      </c>
      <c r="D30" s="66">
        <v>0</v>
      </c>
      <c r="E30" s="66">
        <v>63.36</v>
      </c>
      <c r="F30" s="66">
        <v>896.64</v>
      </c>
      <c r="G30" s="66">
        <v>9.6</v>
      </c>
      <c r="H30" s="66">
        <v>0</v>
      </c>
      <c r="I30" s="66">
        <v>-50</v>
      </c>
      <c r="J30" s="66">
        <v>0</v>
      </c>
      <c r="K30" s="67">
        <v>937.04</v>
      </c>
    </row>
    <row r="31" spans="1:12">
      <c r="A31" s="103" t="s">
        <v>13</v>
      </c>
      <c r="B31" s="145" t="s">
        <v>14</v>
      </c>
      <c r="C31" s="68">
        <v>891.6</v>
      </c>
      <c r="D31" s="69">
        <v>0</v>
      </c>
      <c r="E31" s="69">
        <v>58.85</v>
      </c>
      <c r="F31" s="69">
        <v>832.75</v>
      </c>
      <c r="G31" s="69">
        <v>8.92</v>
      </c>
      <c r="H31" s="69">
        <v>0</v>
      </c>
      <c r="I31" s="69">
        <v>-50</v>
      </c>
      <c r="J31" s="69">
        <v>0</v>
      </c>
      <c r="K31" s="70">
        <v>873.84</v>
      </c>
    </row>
    <row r="32" spans="1:12">
      <c r="A32" s="103" t="s">
        <v>104</v>
      </c>
      <c r="B32" s="145" t="s">
        <v>15</v>
      </c>
      <c r="C32" s="68">
        <v>646.4</v>
      </c>
      <c r="D32" s="69">
        <v>0</v>
      </c>
      <c r="E32" s="69">
        <v>42.66</v>
      </c>
      <c r="F32" s="69">
        <v>603.74</v>
      </c>
      <c r="G32" s="69">
        <v>6.46</v>
      </c>
      <c r="H32" s="69">
        <v>0</v>
      </c>
      <c r="I32" s="69">
        <v>-50</v>
      </c>
      <c r="J32" s="69">
        <v>0</v>
      </c>
      <c r="K32" s="70">
        <v>647.27</v>
      </c>
    </row>
    <row r="33" spans="1:12">
      <c r="A33" s="103" t="s">
        <v>26</v>
      </c>
      <c r="B33" s="145" t="s">
        <v>16</v>
      </c>
      <c r="C33" s="68">
        <v>2760</v>
      </c>
      <c r="D33" s="69">
        <v>0</v>
      </c>
      <c r="E33" s="69">
        <v>182.16</v>
      </c>
      <c r="F33" s="69">
        <v>2577.84</v>
      </c>
      <c r="G33" s="69">
        <v>27.6</v>
      </c>
      <c r="H33" s="69">
        <v>244</v>
      </c>
      <c r="I33" s="69">
        <v>600</v>
      </c>
      <c r="J33" s="69">
        <v>378.25</v>
      </c>
      <c r="K33" s="70">
        <v>1327.99</v>
      </c>
      <c r="L33" s="415"/>
    </row>
    <row r="34" spans="1:12">
      <c r="A34" s="103" t="s">
        <v>53</v>
      </c>
      <c r="B34" s="513" t="s">
        <v>52</v>
      </c>
      <c r="C34" s="68">
        <v>1290.4000000000001</v>
      </c>
      <c r="D34" s="69">
        <v>96.78</v>
      </c>
      <c r="E34" s="69">
        <v>0</v>
      </c>
      <c r="F34" s="69">
        <v>1387.18</v>
      </c>
      <c r="G34" s="69">
        <v>13.87</v>
      </c>
      <c r="H34" s="69">
        <v>29</v>
      </c>
      <c r="I34" s="69">
        <v>100</v>
      </c>
      <c r="J34" s="69">
        <v>0</v>
      </c>
      <c r="K34" s="70">
        <v>1244.31</v>
      </c>
      <c r="L34" s="415"/>
    </row>
    <row r="35" spans="1:12">
      <c r="A35" s="103" t="s">
        <v>208</v>
      </c>
      <c r="B35" s="513" t="s">
        <v>207</v>
      </c>
      <c r="C35" s="68">
        <v>800</v>
      </c>
      <c r="D35" s="69">
        <v>0</v>
      </c>
      <c r="E35" s="69">
        <v>0</v>
      </c>
      <c r="F35" s="69">
        <v>800</v>
      </c>
      <c r="G35" s="69">
        <v>8</v>
      </c>
      <c r="H35" s="69">
        <v>0</v>
      </c>
      <c r="I35" s="69">
        <v>0</v>
      </c>
      <c r="J35" s="69">
        <v>0</v>
      </c>
      <c r="K35" s="70">
        <v>792</v>
      </c>
      <c r="L35" s="415"/>
    </row>
    <row r="36" spans="1:12">
      <c r="A36" s="103" t="s">
        <v>104</v>
      </c>
      <c r="B36" s="145" t="s">
        <v>54</v>
      </c>
      <c r="C36" s="68">
        <v>300</v>
      </c>
      <c r="D36" s="69">
        <v>0</v>
      </c>
      <c r="E36" s="69">
        <v>0</v>
      </c>
      <c r="F36" s="69">
        <v>300</v>
      </c>
      <c r="G36" s="69">
        <v>0</v>
      </c>
      <c r="H36" s="69">
        <v>0</v>
      </c>
      <c r="I36" s="69">
        <v>0</v>
      </c>
      <c r="J36" s="69">
        <v>0</v>
      </c>
      <c r="K36" s="70">
        <v>300</v>
      </c>
    </row>
    <row r="37" spans="1:12">
      <c r="A37" s="199" t="s">
        <v>34</v>
      </c>
      <c r="B37" s="148" t="s">
        <v>48</v>
      </c>
      <c r="C37" s="157"/>
      <c r="D37" s="158"/>
      <c r="E37" s="158"/>
      <c r="F37" s="158"/>
      <c r="G37" s="158"/>
      <c r="H37" s="158"/>
      <c r="I37" s="158"/>
      <c r="J37" s="159"/>
      <c r="K37" s="143">
        <v>950</v>
      </c>
    </row>
    <row r="38" spans="1:12" ht="13.5" thickBot="1">
      <c r="A38" s="208" t="s">
        <v>94</v>
      </c>
      <c r="B38" s="144" t="s">
        <v>95</v>
      </c>
      <c r="C38" s="160"/>
      <c r="D38" s="161"/>
      <c r="E38" s="161"/>
      <c r="F38" s="161"/>
      <c r="G38" s="161"/>
      <c r="H38" s="161"/>
      <c r="I38" s="161"/>
      <c r="J38" s="162"/>
      <c r="K38" s="79">
        <v>825</v>
      </c>
    </row>
    <row r="39" spans="1:12" ht="13.5" thickBot="1">
      <c r="A39" s="21"/>
      <c r="B39" s="61" t="s">
        <v>0</v>
      </c>
      <c r="C39" s="109">
        <f t="shared" ref="C39:J39" si="2">SUM(C30:C36)</f>
        <v>7648.4</v>
      </c>
      <c r="D39" s="62">
        <f t="shared" si="2"/>
        <v>96.78</v>
      </c>
      <c r="E39" s="62">
        <f t="shared" si="2"/>
        <v>347.03</v>
      </c>
      <c r="F39" s="62">
        <f t="shared" si="2"/>
        <v>7398.1500000000005</v>
      </c>
      <c r="G39" s="62">
        <f t="shared" si="2"/>
        <v>74.45</v>
      </c>
      <c r="H39" s="62">
        <f t="shared" si="2"/>
        <v>273</v>
      </c>
      <c r="I39" s="62">
        <f t="shared" si="2"/>
        <v>550</v>
      </c>
      <c r="J39" s="62">
        <f t="shared" si="2"/>
        <v>378.25</v>
      </c>
      <c r="K39" s="110">
        <f>SUM(K30:K38)</f>
        <v>7897.4500000000007</v>
      </c>
    </row>
    <row r="40" spans="1:12" ht="12.75" customHeight="1">
      <c r="A40" s="21"/>
      <c r="B40" s="64"/>
      <c r="C40" s="76"/>
      <c r="D40" s="76"/>
      <c r="E40" s="76"/>
      <c r="F40" s="76"/>
      <c r="G40" s="76"/>
      <c r="H40" s="76"/>
      <c r="I40" s="76"/>
      <c r="J40" s="76"/>
      <c r="K40" s="76"/>
    </row>
    <row r="41" spans="1:12" ht="30" customHeight="1" thickBot="1">
      <c r="A41" s="2"/>
      <c r="B41" s="147">
        <v>21</v>
      </c>
      <c r="C41" s="936" t="s">
        <v>350</v>
      </c>
      <c r="D41" s="937"/>
      <c r="E41" s="3"/>
      <c r="F41" s="4"/>
      <c r="G41" s="4"/>
      <c r="H41" s="4"/>
      <c r="I41" s="4"/>
      <c r="J41" s="4"/>
      <c r="K41" s="34"/>
      <c r="L41" s="4"/>
    </row>
    <row r="42" spans="1:12" s="6" customFormat="1" ht="13.5" thickBot="1">
      <c r="A42" s="49"/>
      <c r="B42" s="146" t="s">
        <v>1</v>
      </c>
      <c r="C42" s="50" t="s">
        <v>2</v>
      </c>
      <c r="D42" s="38" t="s">
        <v>3</v>
      </c>
      <c r="E42" s="38" t="s">
        <v>4</v>
      </c>
      <c r="F42" s="38" t="s">
        <v>5</v>
      </c>
      <c r="G42" s="38" t="s">
        <v>6</v>
      </c>
      <c r="H42" s="38" t="s">
        <v>7</v>
      </c>
      <c r="I42" s="38" t="s">
        <v>8</v>
      </c>
      <c r="J42" s="38" t="s">
        <v>9</v>
      </c>
      <c r="K42" s="20" t="s">
        <v>10</v>
      </c>
    </row>
    <row r="43" spans="1:12">
      <c r="A43" s="207" t="s">
        <v>11</v>
      </c>
      <c r="B43" s="285" t="s">
        <v>12</v>
      </c>
      <c r="C43" s="65">
        <v>960</v>
      </c>
      <c r="D43" s="66">
        <v>0</v>
      </c>
      <c r="E43" s="66">
        <v>63.36</v>
      </c>
      <c r="F43" s="66">
        <v>896.64</v>
      </c>
      <c r="G43" s="66">
        <v>9.6</v>
      </c>
      <c r="H43" s="66">
        <v>0</v>
      </c>
      <c r="I43" s="66">
        <v>-50</v>
      </c>
      <c r="J43" s="66">
        <v>0</v>
      </c>
      <c r="K43" s="67">
        <v>937.04</v>
      </c>
    </row>
    <row r="44" spans="1:12">
      <c r="A44" s="103" t="s">
        <v>13</v>
      </c>
      <c r="B44" s="145" t="s">
        <v>14</v>
      </c>
      <c r="C44" s="68">
        <v>891.6</v>
      </c>
      <c r="D44" s="69">
        <v>0</v>
      </c>
      <c r="E44" s="69">
        <v>58.85</v>
      </c>
      <c r="F44" s="69">
        <v>832.75</v>
      </c>
      <c r="G44" s="69">
        <v>8.92</v>
      </c>
      <c r="H44" s="69">
        <v>0</v>
      </c>
      <c r="I44" s="69">
        <v>-50</v>
      </c>
      <c r="J44" s="69">
        <v>0</v>
      </c>
      <c r="K44" s="70">
        <v>873.84</v>
      </c>
    </row>
    <row r="45" spans="1:12">
      <c r="A45" s="103" t="s">
        <v>104</v>
      </c>
      <c r="B45" s="145" t="s">
        <v>15</v>
      </c>
      <c r="C45" s="68">
        <v>646.4</v>
      </c>
      <c r="D45" s="69">
        <v>0</v>
      </c>
      <c r="E45" s="69">
        <v>42.66</v>
      </c>
      <c r="F45" s="69">
        <v>603.74</v>
      </c>
      <c r="G45" s="69">
        <v>6.46</v>
      </c>
      <c r="H45" s="69">
        <v>0</v>
      </c>
      <c r="I45" s="69">
        <v>-50</v>
      </c>
      <c r="J45" s="69">
        <v>0</v>
      </c>
      <c r="K45" s="70">
        <v>647.27</v>
      </c>
    </row>
    <row r="46" spans="1:12">
      <c r="A46" s="103" t="s">
        <v>26</v>
      </c>
      <c r="B46" s="145" t="s">
        <v>16</v>
      </c>
      <c r="C46" s="68">
        <v>2760</v>
      </c>
      <c r="D46" s="69">
        <v>0</v>
      </c>
      <c r="E46" s="69">
        <v>182.16</v>
      </c>
      <c r="F46" s="69">
        <v>2577.84</v>
      </c>
      <c r="G46" s="69">
        <v>27.6</v>
      </c>
      <c r="H46" s="69">
        <v>244</v>
      </c>
      <c r="I46" s="69">
        <v>-378.25</v>
      </c>
      <c r="J46" s="69">
        <v>378.25</v>
      </c>
      <c r="K46" s="70">
        <v>2306.2399999999998</v>
      </c>
      <c r="L46" s="415" t="s">
        <v>382</v>
      </c>
    </row>
    <row r="47" spans="1:12">
      <c r="A47" s="103" t="s">
        <v>53</v>
      </c>
      <c r="B47" s="513" t="s">
        <v>52</v>
      </c>
      <c r="C47" s="68">
        <v>1290.4000000000001</v>
      </c>
      <c r="D47" s="69">
        <v>0</v>
      </c>
      <c r="E47" s="69">
        <v>0</v>
      </c>
      <c r="F47" s="69">
        <v>1290.4000000000001</v>
      </c>
      <c r="G47" s="69">
        <v>12.9</v>
      </c>
      <c r="H47" s="69">
        <v>12</v>
      </c>
      <c r="I47" s="69">
        <v>100</v>
      </c>
      <c r="J47" s="69">
        <v>0</v>
      </c>
      <c r="K47" s="70">
        <v>1165.5</v>
      </c>
      <c r="L47" s="415"/>
    </row>
    <row r="48" spans="1:12">
      <c r="A48" s="103" t="s">
        <v>208</v>
      </c>
      <c r="B48" s="513" t="s">
        <v>207</v>
      </c>
      <c r="C48" s="68">
        <v>800</v>
      </c>
      <c r="D48" s="69">
        <v>0</v>
      </c>
      <c r="E48" s="69">
        <v>0</v>
      </c>
      <c r="F48" s="69">
        <v>800</v>
      </c>
      <c r="G48" s="69">
        <v>8</v>
      </c>
      <c r="H48" s="69">
        <v>0</v>
      </c>
      <c r="I48" s="69">
        <v>0</v>
      </c>
      <c r="J48" s="69">
        <v>0</v>
      </c>
      <c r="K48" s="70">
        <v>792</v>
      </c>
      <c r="L48" s="415"/>
    </row>
    <row r="49" spans="1:12">
      <c r="A49" s="103" t="s">
        <v>104</v>
      </c>
      <c r="B49" s="145" t="s">
        <v>54</v>
      </c>
      <c r="C49" s="68">
        <v>200</v>
      </c>
      <c r="D49" s="69">
        <v>0</v>
      </c>
      <c r="E49" s="69">
        <v>0</v>
      </c>
      <c r="F49" s="69">
        <v>200</v>
      </c>
      <c r="G49" s="69">
        <v>0</v>
      </c>
      <c r="H49" s="69">
        <v>0</v>
      </c>
      <c r="I49" s="69">
        <v>0</v>
      </c>
      <c r="J49" s="69">
        <v>0</v>
      </c>
      <c r="K49" s="70">
        <v>200</v>
      </c>
    </row>
    <row r="50" spans="1:12">
      <c r="A50" s="199" t="s">
        <v>34</v>
      </c>
      <c r="B50" s="148" t="s">
        <v>48</v>
      </c>
      <c r="C50" s="157"/>
      <c r="D50" s="158"/>
      <c r="E50" s="158"/>
      <c r="F50" s="158"/>
      <c r="G50" s="158"/>
      <c r="H50" s="158"/>
      <c r="I50" s="158"/>
      <c r="J50" s="159"/>
      <c r="K50" s="143">
        <v>950</v>
      </c>
    </row>
    <row r="51" spans="1:12" ht="13.5" thickBot="1">
      <c r="A51" s="208" t="s">
        <v>94</v>
      </c>
      <c r="B51" s="144" t="s">
        <v>95</v>
      </c>
      <c r="C51" s="160"/>
      <c r="D51" s="161"/>
      <c r="E51" s="161"/>
      <c r="F51" s="161"/>
      <c r="G51" s="161"/>
      <c r="H51" s="161"/>
      <c r="I51" s="161"/>
      <c r="J51" s="162"/>
      <c r="K51" s="79">
        <v>825</v>
      </c>
    </row>
    <row r="52" spans="1:12" ht="13.5" thickBot="1">
      <c r="A52" s="21"/>
      <c r="B52" s="61" t="s">
        <v>0</v>
      </c>
      <c r="C52" s="109">
        <f t="shared" ref="C52:J52" si="3">SUM(C43:C49)</f>
        <v>7548.4</v>
      </c>
      <c r="D52" s="62">
        <f t="shared" si="3"/>
        <v>0</v>
      </c>
      <c r="E52" s="62">
        <f t="shared" si="3"/>
        <v>347.03</v>
      </c>
      <c r="F52" s="62">
        <f t="shared" si="3"/>
        <v>7201.3700000000008</v>
      </c>
      <c r="G52" s="62">
        <f t="shared" si="3"/>
        <v>73.48</v>
      </c>
      <c r="H52" s="62">
        <f t="shared" si="3"/>
        <v>256</v>
      </c>
      <c r="I52" s="62">
        <f t="shared" si="3"/>
        <v>-428.25</v>
      </c>
      <c r="J52" s="62">
        <f t="shared" si="3"/>
        <v>378.25</v>
      </c>
      <c r="K52" s="110">
        <f>SUM(K43:K51)</f>
        <v>8696.89</v>
      </c>
    </row>
    <row r="53" spans="1:12" ht="18" customHeight="1">
      <c r="A53" s="21"/>
      <c r="B53" s="64"/>
      <c r="C53" s="76"/>
      <c r="D53" s="76"/>
      <c r="E53" s="76"/>
      <c r="F53" s="76"/>
      <c r="G53" s="76"/>
      <c r="H53" s="76"/>
      <c r="I53" s="76"/>
      <c r="J53" s="76"/>
      <c r="K53" s="76"/>
    </row>
    <row r="54" spans="1:12" ht="30" customHeight="1" thickBot="1">
      <c r="A54" s="2"/>
      <c r="B54" s="147">
        <v>22</v>
      </c>
      <c r="C54" s="936" t="s">
        <v>351</v>
      </c>
      <c r="D54" s="937"/>
      <c r="E54" s="3"/>
      <c r="F54" s="4"/>
      <c r="G54" s="4"/>
      <c r="H54" s="4"/>
      <c r="I54" s="4"/>
      <c r="J54" s="4"/>
      <c r="K54" s="34"/>
      <c r="L54" s="4"/>
    </row>
    <row r="55" spans="1:12" s="6" customFormat="1" ht="13.5" thickBot="1">
      <c r="A55" s="49"/>
      <c r="B55" s="146" t="s">
        <v>1</v>
      </c>
      <c r="C55" s="50" t="s">
        <v>2</v>
      </c>
      <c r="D55" s="38" t="s">
        <v>3</v>
      </c>
      <c r="E55" s="38" t="s">
        <v>4</v>
      </c>
      <c r="F55" s="38" t="s">
        <v>5</v>
      </c>
      <c r="G55" s="38" t="s">
        <v>6</v>
      </c>
      <c r="H55" s="38" t="s">
        <v>7</v>
      </c>
      <c r="I55" s="38" t="s">
        <v>8</v>
      </c>
      <c r="J55" s="38" t="s">
        <v>9</v>
      </c>
      <c r="K55" s="20" t="s">
        <v>10</v>
      </c>
    </row>
    <row r="56" spans="1:12">
      <c r="A56" s="207" t="s">
        <v>11</v>
      </c>
      <c r="B56" s="285" t="s">
        <v>12</v>
      </c>
      <c r="C56" s="65">
        <v>960</v>
      </c>
      <c r="D56" s="66">
        <v>0</v>
      </c>
      <c r="E56" s="66">
        <v>63.36</v>
      </c>
      <c r="F56" s="66">
        <v>896.64</v>
      </c>
      <c r="G56" s="66">
        <v>9.6</v>
      </c>
      <c r="H56" s="66">
        <v>0</v>
      </c>
      <c r="I56" s="66">
        <v>-50</v>
      </c>
      <c r="J56" s="66">
        <v>0</v>
      </c>
      <c r="K56" s="67">
        <v>937.04</v>
      </c>
    </row>
    <row r="57" spans="1:12">
      <c r="A57" s="103" t="s">
        <v>13</v>
      </c>
      <c r="B57" s="145" t="s">
        <v>14</v>
      </c>
      <c r="C57" s="68">
        <v>891.6</v>
      </c>
      <c r="D57" s="69">
        <v>0</v>
      </c>
      <c r="E57" s="69">
        <v>58.85</v>
      </c>
      <c r="F57" s="69">
        <v>832.75</v>
      </c>
      <c r="G57" s="69">
        <v>8.92</v>
      </c>
      <c r="H57" s="69">
        <v>0</v>
      </c>
      <c r="I57" s="69">
        <v>-50</v>
      </c>
      <c r="J57" s="69">
        <v>0</v>
      </c>
      <c r="K57" s="70">
        <v>873.84</v>
      </c>
    </row>
    <row r="58" spans="1:12">
      <c r="A58" s="103" t="s">
        <v>104</v>
      </c>
      <c r="B58" s="145" t="s">
        <v>15</v>
      </c>
      <c r="C58" s="68">
        <v>646.4</v>
      </c>
      <c r="D58" s="69">
        <v>0</v>
      </c>
      <c r="E58" s="69">
        <v>42.66</v>
      </c>
      <c r="F58" s="69">
        <v>603.74</v>
      </c>
      <c r="G58" s="69">
        <v>6.46</v>
      </c>
      <c r="H58" s="69">
        <v>0</v>
      </c>
      <c r="I58" s="69">
        <v>-50</v>
      </c>
      <c r="J58" s="69">
        <v>0</v>
      </c>
      <c r="K58" s="70">
        <v>647.27</v>
      </c>
    </row>
    <row r="59" spans="1:12">
      <c r="A59" s="103" t="s">
        <v>26</v>
      </c>
      <c r="B59" s="145" t="s">
        <v>16</v>
      </c>
      <c r="C59" s="68">
        <v>2760</v>
      </c>
      <c r="D59" s="69">
        <v>0</v>
      </c>
      <c r="E59" s="69">
        <v>182.16</v>
      </c>
      <c r="F59" s="69">
        <v>2577.84</v>
      </c>
      <c r="G59" s="69">
        <v>27.6</v>
      </c>
      <c r="H59" s="69">
        <v>244</v>
      </c>
      <c r="I59" s="69">
        <v>600</v>
      </c>
      <c r="J59" s="69">
        <v>378.25</v>
      </c>
      <c r="K59" s="70">
        <v>1327.99</v>
      </c>
      <c r="L59" s="120"/>
    </row>
    <row r="60" spans="1:12">
      <c r="A60" s="103" t="s">
        <v>53</v>
      </c>
      <c r="B60" s="513" t="s">
        <v>52</v>
      </c>
      <c r="C60" s="68">
        <v>1290.4000000000001</v>
      </c>
      <c r="D60" s="69">
        <v>0</v>
      </c>
      <c r="E60" s="69">
        <v>0</v>
      </c>
      <c r="F60" s="69">
        <v>1290.4000000000001</v>
      </c>
      <c r="G60" s="69">
        <v>12.9</v>
      </c>
      <c r="H60" s="69">
        <v>12</v>
      </c>
      <c r="I60" s="69">
        <v>0</v>
      </c>
      <c r="J60" s="69">
        <v>0</v>
      </c>
      <c r="K60" s="70">
        <f>1277.5-12</f>
        <v>1265.5</v>
      </c>
      <c r="L60" s="120" t="s">
        <v>383</v>
      </c>
    </row>
    <row r="61" spans="1:12">
      <c r="A61" s="103" t="s">
        <v>208</v>
      </c>
      <c r="B61" s="513" t="s">
        <v>207</v>
      </c>
      <c r="C61" s="68">
        <v>800</v>
      </c>
      <c r="D61" s="69">
        <v>0</v>
      </c>
      <c r="E61" s="69">
        <v>0</v>
      </c>
      <c r="F61" s="69">
        <v>800</v>
      </c>
      <c r="G61" s="69">
        <v>8</v>
      </c>
      <c r="H61" s="69">
        <v>0</v>
      </c>
      <c r="I61" s="69">
        <v>0</v>
      </c>
      <c r="J61" s="69">
        <v>0</v>
      </c>
      <c r="K61" s="70">
        <v>792</v>
      </c>
      <c r="L61" s="120"/>
    </row>
    <row r="62" spans="1:12">
      <c r="A62" s="103" t="s">
        <v>104</v>
      </c>
      <c r="B62" s="145" t="s">
        <v>54</v>
      </c>
      <c r="C62" s="68">
        <v>500</v>
      </c>
      <c r="D62" s="69">
        <v>0</v>
      </c>
      <c r="E62" s="69">
        <v>0</v>
      </c>
      <c r="F62" s="69">
        <v>500</v>
      </c>
      <c r="G62" s="69">
        <v>0</v>
      </c>
      <c r="H62" s="69">
        <v>0</v>
      </c>
      <c r="I62" s="69">
        <v>0</v>
      </c>
      <c r="J62" s="69">
        <v>0</v>
      </c>
      <c r="K62" s="70">
        <v>500</v>
      </c>
    </row>
    <row r="63" spans="1:12">
      <c r="A63" s="222" t="s">
        <v>142</v>
      </c>
      <c r="B63" s="220" t="s">
        <v>143</v>
      </c>
      <c r="C63" s="438"/>
      <c r="D63" s="439"/>
      <c r="E63" s="439"/>
      <c r="F63" s="439"/>
      <c r="G63" s="439"/>
      <c r="H63" s="439"/>
      <c r="I63" s="439"/>
      <c r="J63" s="443"/>
      <c r="K63" s="432">
        <v>150</v>
      </c>
    </row>
    <row r="64" spans="1:12" ht="13.5" thickBot="1">
      <c r="A64" s="208" t="s">
        <v>156</v>
      </c>
      <c r="B64" s="144" t="s">
        <v>143</v>
      </c>
      <c r="C64" s="436"/>
      <c r="D64" s="437"/>
      <c r="E64" s="437"/>
      <c r="F64" s="437"/>
      <c r="G64" s="437"/>
      <c r="H64" s="437"/>
      <c r="I64" s="437"/>
      <c r="J64" s="445"/>
      <c r="K64" s="433">
        <v>100</v>
      </c>
    </row>
    <row r="65" spans="1:11" ht="13.5" thickBot="1">
      <c r="A65" s="21"/>
      <c r="B65" s="61" t="s">
        <v>0</v>
      </c>
      <c r="C65" s="109">
        <f t="shared" ref="C65:J65" si="4">SUM(C56:C62)</f>
        <v>7848.4</v>
      </c>
      <c r="D65" s="62">
        <f t="shared" si="4"/>
        <v>0</v>
      </c>
      <c r="E65" s="62">
        <f t="shared" si="4"/>
        <v>347.03</v>
      </c>
      <c r="F65" s="62">
        <f t="shared" si="4"/>
        <v>7501.3700000000008</v>
      </c>
      <c r="G65" s="62">
        <f t="shared" si="4"/>
        <v>73.48</v>
      </c>
      <c r="H65" s="62">
        <f t="shared" si="4"/>
        <v>256</v>
      </c>
      <c r="I65" s="62">
        <f t="shared" si="4"/>
        <v>450</v>
      </c>
      <c r="J65" s="62">
        <f t="shared" si="4"/>
        <v>378.25</v>
      </c>
      <c r="K65" s="110">
        <f>SUM(K56:K64)</f>
        <v>6593.64</v>
      </c>
    </row>
    <row r="66" spans="1:11">
      <c r="A66" s="21"/>
      <c r="B66" s="64"/>
      <c r="C66" s="28"/>
      <c r="D66" s="28"/>
      <c r="E66" s="28"/>
      <c r="F66" s="28"/>
      <c r="G66" s="28"/>
      <c r="H66" s="28"/>
      <c r="I66" s="28"/>
      <c r="J66" s="28"/>
      <c r="K66" s="76"/>
    </row>
    <row r="67" spans="1:11" s="8" customFormat="1" ht="1.9" customHeight="1">
      <c r="A67" s="22"/>
      <c r="K67" s="35"/>
    </row>
    <row r="68" spans="1:11" s="9" customFormat="1" ht="16.149999999999999" customHeight="1">
      <c r="A68" s="23" t="s">
        <v>18</v>
      </c>
      <c r="K68" s="36"/>
    </row>
    <row r="69" spans="1:11" s="8" customFormat="1" ht="1.9" customHeight="1">
      <c r="A69" s="22"/>
      <c r="K69" s="35"/>
    </row>
    <row r="70" spans="1:11" ht="13.5" thickBot="1"/>
    <row r="71" spans="1:11" s="17" customFormat="1" thickBot="1">
      <c r="A71" s="455" t="s">
        <v>1</v>
      </c>
      <c r="B71" s="10" t="s">
        <v>2</v>
      </c>
      <c r="C71" s="11" t="s">
        <v>3</v>
      </c>
      <c r="D71" s="11" t="s">
        <v>4</v>
      </c>
      <c r="E71" s="11" t="s">
        <v>5</v>
      </c>
      <c r="F71" s="11" t="s">
        <v>6</v>
      </c>
      <c r="G71" s="11" t="s">
        <v>7</v>
      </c>
      <c r="H71" s="11" t="s">
        <v>8</v>
      </c>
      <c r="I71" s="11" t="s">
        <v>9</v>
      </c>
      <c r="J71" s="13" t="s">
        <v>10</v>
      </c>
      <c r="K71" s="459" t="s">
        <v>19</v>
      </c>
    </row>
    <row r="72" spans="1:11" s="15" customFormat="1" ht="12">
      <c r="A72" s="456" t="s">
        <v>12</v>
      </c>
      <c r="B72" s="500">
        <v>960</v>
      </c>
      <c r="C72" s="501">
        <v>0</v>
      </c>
      <c r="D72" s="501">
        <v>63.36</v>
      </c>
      <c r="E72" s="501">
        <v>896.64</v>
      </c>
      <c r="F72" s="501">
        <v>9.6</v>
      </c>
      <c r="G72" s="501">
        <v>0</v>
      </c>
      <c r="H72" s="501">
        <v>-50</v>
      </c>
      <c r="I72" s="501">
        <v>0</v>
      </c>
      <c r="J72" s="502">
        <v>937.04</v>
      </c>
      <c r="K72" s="460">
        <v>41030</v>
      </c>
    </row>
    <row r="73" spans="1:11" s="15" customFormat="1" ht="12">
      <c r="A73" s="456" t="s">
        <v>12</v>
      </c>
      <c r="B73" s="68">
        <v>960</v>
      </c>
      <c r="C73" s="69">
        <v>0</v>
      </c>
      <c r="D73" s="69">
        <v>63.36</v>
      </c>
      <c r="E73" s="69">
        <v>896.64</v>
      </c>
      <c r="F73" s="69">
        <v>9.6</v>
      </c>
      <c r="G73" s="69">
        <v>0</v>
      </c>
      <c r="H73" s="69">
        <v>-50</v>
      </c>
      <c r="I73" s="69">
        <v>0</v>
      </c>
      <c r="J73" s="70">
        <v>937.04</v>
      </c>
      <c r="K73" s="461">
        <v>41037</v>
      </c>
    </row>
    <row r="74" spans="1:11" s="15" customFormat="1" ht="12">
      <c r="A74" s="456" t="s">
        <v>12</v>
      </c>
      <c r="B74" s="416">
        <v>960</v>
      </c>
      <c r="C74" s="417">
        <v>0</v>
      </c>
      <c r="D74" s="417">
        <v>63.36</v>
      </c>
      <c r="E74" s="417">
        <v>896.64</v>
      </c>
      <c r="F74" s="417">
        <v>9.6</v>
      </c>
      <c r="G74" s="417">
        <v>0</v>
      </c>
      <c r="H74" s="417">
        <v>-50</v>
      </c>
      <c r="I74" s="417">
        <v>0</v>
      </c>
      <c r="J74" s="418">
        <v>937.04</v>
      </c>
      <c r="K74" s="461">
        <v>41044</v>
      </c>
    </row>
    <row r="75" spans="1:11" s="15" customFormat="1" ht="12">
      <c r="A75" s="457" t="s">
        <v>12</v>
      </c>
      <c r="B75" s="68">
        <v>960</v>
      </c>
      <c r="C75" s="69">
        <v>0</v>
      </c>
      <c r="D75" s="69">
        <v>63.36</v>
      </c>
      <c r="E75" s="69">
        <v>896.64</v>
      </c>
      <c r="F75" s="69">
        <v>9.6</v>
      </c>
      <c r="G75" s="69">
        <v>0</v>
      </c>
      <c r="H75" s="69">
        <v>-50</v>
      </c>
      <c r="I75" s="69">
        <v>0</v>
      </c>
      <c r="J75" s="70">
        <v>937.04</v>
      </c>
      <c r="K75" s="461">
        <v>41051</v>
      </c>
    </row>
    <row r="76" spans="1:11" s="15" customFormat="1" thickBot="1">
      <c r="A76" s="458" t="s">
        <v>12</v>
      </c>
      <c r="B76" s="267">
        <v>960</v>
      </c>
      <c r="C76" s="268">
        <v>0</v>
      </c>
      <c r="D76" s="268">
        <v>63.36</v>
      </c>
      <c r="E76" s="268">
        <v>896.64</v>
      </c>
      <c r="F76" s="268">
        <v>9.6</v>
      </c>
      <c r="G76" s="268">
        <v>0</v>
      </c>
      <c r="H76" s="268">
        <v>-50</v>
      </c>
      <c r="I76" s="268">
        <v>0</v>
      </c>
      <c r="J76" s="269">
        <v>937.04</v>
      </c>
      <c r="K76" s="461">
        <v>41058</v>
      </c>
    </row>
    <row r="77" spans="1:11" s="15" customFormat="1" thickBot="1">
      <c r="A77" s="455" t="s">
        <v>0</v>
      </c>
      <c r="B77" s="463">
        <f t="shared" ref="B77:J77" si="5">SUM(B72:B76)</f>
        <v>4800</v>
      </c>
      <c r="C77" s="454">
        <f t="shared" si="5"/>
        <v>0</v>
      </c>
      <c r="D77" s="454">
        <f t="shared" si="5"/>
        <v>316.8</v>
      </c>
      <c r="E77" s="454">
        <f t="shared" si="5"/>
        <v>4483.2</v>
      </c>
      <c r="F77" s="454">
        <f t="shared" si="5"/>
        <v>48</v>
      </c>
      <c r="G77" s="454">
        <f t="shared" si="5"/>
        <v>0</v>
      </c>
      <c r="H77" s="454">
        <f t="shared" si="5"/>
        <v>-250</v>
      </c>
      <c r="I77" s="454">
        <f t="shared" si="5"/>
        <v>0</v>
      </c>
      <c r="J77" s="464">
        <f t="shared" si="5"/>
        <v>4685.2</v>
      </c>
      <c r="K77" s="462"/>
    </row>
    <row r="78" spans="1:11" s="15" customFormat="1" ht="8.1" customHeight="1" thickBot="1">
      <c r="A78" s="17"/>
      <c r="K78" s="17"/>
    </row>
    <row r="79" spans="1:11" s="17" customFormat="1" thickBot="1">
      <c r="A79" s="10" t="s">
        <v>1</v>
      </c>
      <c r="B79" s="11" t="s">
        <v>2</v>
      </c>
      <c r="C79" s="11" t="s">
        <v>3</v>
      </c>
      <c r="D79" s="11" t="s">
        <v>4</v>
      </c>
      <c r="E79" s="11" t="s">
        <v>5</v>
      </c>
      <c r="F79" s="11" t="s">
        <v>6</v>
      </c>
      <c r="G79" s="11" t="s">
        <v>7</v>
      </c>
      <c r="H79" s="11" t="s">
        <v>8</v>
      </c>
      <c r="I79" s="11" t="s">
        <v>9</v>
      </c>
      <c r="J79" s="12" t="s">
        <v>10</v>
      </c>
      <c r="K79" s="13" t="s">
        <v>19</v>
      </c>
    </row>
    <row r="80" spans="1:11" s="15" customFormat="1" ht="12">
      <c r="A80" s="25" t="s">
        <v>14</v>
      </c>
      <c r="B80" s="68">
        <v>891.6</v>
      </c>
      <c r="C80" s="69">
        <v>0</v>
      </c>
      <c r="D80" s="69">
        <v>58.85</v>
      </c>
      <c r="E80" s="69">
        <v>832.75</v>
      </c>
      <c r="F80" s="69">
        <v>8.92</v>
      </c>
      <c r="G80" s="69">
        <v>0</v>
      </c>
      <c r="H80" s="69">
        <v>50</v>
      </c>
      <c r="I80" s="69">
        <v>0</v>
      </c>
      <c r="J80" s="70">
        <v>773.84</v>
      </c>
      <c r="K80" s="460">
        <v>41030</v>
      </c>
    </row>
    <row r="81" spans="1:11" s="15" customFormat="1" ht="12">
      <c r="A81" s="26" t="s">
        <v>14</v>
      </c>
      <c r="B81" s="68">
        <v>891.6</v>
      </c>
      <c r="C81" s="69">
        <v>0</v>
      </c>
      <c r="D81" s="69">
        <v>58.85</v>
      </c>
      <c r="E81" s="69">
        <v>832.75</v>
      </c>
      <c r="F81" s="69">
        <v>8.92</v>
      </c>
      <c r="G81" s="69">
        <v>0</v>
      </c>
      <c r="H81" s="69">
        <v>-50</v>
      </c>
      <c r="I81" s="69">
        <v>0</v>
      </c>
      <c r="J81" s="70">
        <v>873.84</v>
      </c>
      <c r="K81" s="461">
        <v>41037</v>
      </c>
    </row>
    <row r="82" spans="1:11" s="15" customFormat="1" ht="12">
      <c r="A82" s="26" t="s">
        <v>14</v>
      </c>
      <c r="B82" s="68">
        <v>891.6</v>
      </c>
      <c r="C82" s="69">
        <v>0</v>
      </c>
      <c r="D82" s="69">
        <v>58.85</v>
      </c>
      <c r="E82" s="69">
        <v>832.75</v>
      </c>
      <c r="F82" s="69">
        <v>8.92</v>
      </c>
      <c r="G82" s="69">
        <v>0</v>
      </c>
      <c r="H82" s="69">
        <v>-50</v>
      </c>
      <c r="I82" s="69">
        <v>0</v>
      </c>
      <c r="J82" s="70">
        <v>873.84</v>
      </c>
      <c r="K82" s="461">
        <v>41044</v>
      </c>
    </row>
    <row r="83" spans="1:11" s="15" customFormat="1" ht="12">
      <c r="A83" s="26" t="s">
        <v>14</v>
      </c>
      <c r="B83" s="68">
        <v>891.6</v>
      </c>
      <c r="C83" s="69">
        <v>0</v>
      </c>
      <c r="D83" s="69">
        <v>58.85</v>
      </c>
      <c r="E83" s="69">
        <v>832.75</v>
      </c>
      <c r="F83" s="69">
        <v>8.92</v>
      </c>
      <c r="G83" s="69">
        <v>0</v>
      </c>
      <c r="H83" s="69">
        <v>-50</v>
      </c>
      <c r="I83" s="69">
        <v>0</v>
      </c>
      <c r="J83" s="70">
        <v>873.84</v>
      </c>
      <c r="K83" s="461">
        <v>41051</v>
      </c>
    </row>
    <row r="84" spans="1:11" s="15" customFormat="1" thickBot="1">
      <c r="A84" s="26" t="s">
        <v>14</v>
      </c>
      <c r="B84" s="68">
        <v>891.6</v>
      </c>
      <c r="C84" s="69">
        <v>0</v>
      </c>
      <c r="D84" s="69">
        <v>58.85</v>
      </c>
      <c r="E84" s="69">
        <v>832.75</v>
      </c>
      <c r="F84" s="69">
        <v>8.92</v>
      </c>
      <c r="G84" s="69">
        <v>0</v>
      </c>
      <c r="H84" s="69">
        <v>-50</v>
      </c>
      <c r="I84" s="69">
        <v>0</v>
      </c>
      <c r="J84" s="70">
        <v>873.84</v>
      </c>
      <c r="K84" s="461">
        <v>41058</v>
      </c>
    </row>
    <row r="85" spans="1:11" s="15" customFormat="1" thickBot="1">
      <c r="A85" s="10" t="s">
        <v>0</v>
      </c>
      <c r="B85" s="16">
        <f t="shared" ref="B85:J85" si="6">SUM(B80:B84)</f>
        <v>4458</v>
      </c>
      <c r="C85" s="16">
        <f t="shared" si="6"/>
        <v>0</v>
      </c>
      <c r="D85" s="16">
        <f t="shared" si="6"/>
        <v>294.25</v>
      </c>
      <c r="E85" s="16">
        <f t="shared" si="6"/>
        <v>4163.75</v>
      </c>
      <c r="F85" s="16">
        <f t="shared" si="6"/>
        <v>44.6</v>
      </c>
      <c r="G85" s="16">
        <f t="shared" si="6"/>
        <v>0</v>
      </c>
      <c r="H85" s="16">
        <f t="shared" si="6"/>
        <v>-150</v>
      </c>
      <c r="I85" s="16">
        <f t="shared" si="6"/>
        <v>0</v>
      </c>
      <c r="J85" s="27">
        <f t="shared" si="6"/>
        <v>4269.2</v>
      </c>
      <c r="K85" s="30"/>
    </row>
    <row r="86" spans="1:11" s="15" customFormat="1" ht="8.1" customHeight="1" thickBot="1">
      <c r="A86" s="17"/>
      <c r="K86" s="17"/>
    </row>
    <row r="87" spans="1:11" s="17" customFormat="1" thickBot="1">
      <c r="A87" s="10" t="s">
        <v>1</v>
      </c>
      <c r="B87" s="11" t="s">
        <v>2</v>
      </c>
      <c r="C87" s="11" t="s">
        <v>3</v>
      </c>
      <c r="D87" s="11" t="s">
        <v>4</v>
      </c>
      <c r="E87" s="11" t="s">
        <v>5</v>
      </c>
      <c r="F87" s="11" t="s">
        <v>6</v>
      </c>
      <c r="G87" s="11" t="s">
        <v>7</v>
      </c>
      <c r="H87" s="11" t="s">
        <v>8</v>
      </c>
      <c r="I87" s="11" t="s">
        <v>9</v>
      </c>
      <c r="J87" s="12" t="s">
        <v>10</v>
      </c>
      <c r="K87" s="13" t="s">
        <v>19</v>
      </c>
    </row>
    <row r="88" spans="1:11" s="15" customFormat="1" ht="12">
      <c r="A88" s="26" t="s">
        <v>15</v>
      </c>
      <c r="B88" s="68">
        <v>646.4</v>
      </c>
      <c r="C88" s="69">
        <v>0</v>
      </c>
      <c r="D88" s="69">
        <v>42.66</v>
      </c>
      <c r="E88" s="69">
        <v>603.74</v>
      </c>
      <c r="F88" s="69">
        <v>6.46</v>
      </c>
      <c r="G88" s="69">
        <v>0</v>
      </c>
      <c r="H88" s="69">
        <v>-50</v>
      </c>
      <c r="I88" s="69">
        <v>0</v>
      </c>
      <c r="J88" s="70">
        <v>647.27</v>
      </c>
      <c r="K88" s="460">
        <v>41030</v>
      </c>
    </row>
    <row r="89" spans="1:11" s="15" customFormat="1" ht="12">
      <c r="A89" s="26" t="s">
        <v>15</v>
      </c>
      <c r="B89" s="68">
        <v>646.4</v>
      </c>
      <c r="C89" s="69">
        <v>0</v>
      </c>
      <c r="D89" s="69">
        <v>42.66</v>
      </c>
      <c r="E89" s="69">
        <v>603.74</v>
      </c>
      <c r="F89" s="69">
        <v>6.46</v>
      </c>
      <c r="G89" s="69">
        <v>0</v>
      </c>
      <c r="H89" s="69">
        <v>-50</v>
      </c>
      <c r="I89" s="69">
        <v>0</v>
      </c>
      <c r="J89" s="70">
        <v>647.27</v>
      </c>
      <c r="K89" s="461">
        <v>41037</v>
      </c>
    </row>
    <row r="90" spans="1:11" s="15" customFormat="1" ht="12">
      <c r="A90" s="26" t="s">
        <v>15</v>
      </c>
      <c r="B90" s="68">
        <v>646.4</v>
      </c>
      <c r="C90" s="69">
        <v>0</v>
      </c>
      <c r="D90" s="69">
        <v>42.66</v>
      </c>
      <c r="E90" s="69">
        <v>603.74</v>
      </c>
      <c r="F90" s="69">
        <v>6.46</v>
      </c>
      <c r="G90" s="69">
        <v>0</v>
      </c>
      <c r="H90" s="69">
        <v>-50</v>
      </c>
      <c r="I90" s="69">
        <v>0</v>
      </c>
      <c r="J90" s="70">
        <v>647.27</v>
      </c>
      <c r="K90" s="461">
        <v>41044</v>
      </c>
    </row>
    <row r="91" spans="1:11" s="15" customFormat="1" ht="12">
      <c r="A91" s="26" t="s">
        <v>15</v>
      </c>
      <c r="B91" s="68">
        <v>646.4</v>
      </c>
      <c r="C91" s="69">
        <v>0</v>
      </c>
      <c r="D91" s="69">
        <v>42.66</v>
      </c>
      <c r="E91" s="69">
        <v>603.74</v>
      </c>
      <c r="F91" s="69">
        <v>6.46</v>
      </c>
      <c r="G91" s="69">
        <v>0</v>
      </c>
      <c r="H91" s="69">
        <v>-50</v>
      </c>
      <c r="I91" s="69">
        <v>0</v>
      </c>
      <c r="J91" s="70">
        <v>647.27</v>
      </c>
      <c r="K91" s="461">
        <v>41051</v>
      </c>
    </row>
    <row r="92" spans="1:11" s="15" customFormat="1" thickBot="1">
      <c r="A92" s="26" t="s">
        <v>15</v>
      </c>
      <c r="B92" s="68">
        <v>646.4</v>
      </c>
      <c r="C92" s="69">
        <v>0</v>
      </c>
      <c r="D92" s="69">
        <v>42.66</v>
      </c>
      <c r="E92" s="69">
        <v>603.74</v>
      </c>
      <c r="F92" s="69">
        <v>6.46</v>
      </c>
      <c r="G92" s="69">
        <v>0</v>
      </c>
      <c r="H92" s="69">
        <v>-50</v>
      </c>
      <c r="I92" s="69">
        <v>0</v>
      </c>
      <c r="J92" s="70">
        <v>647.27</v>
      </c>
      <c r="K92" s="461">
        <v>41058</v>
      </c>
    </row>
    <row r="93" spans="1:11" s="15" customFormat="1" thickBot="1">
      <c r="A93" s="10" t="s">
        <v>0</v>
      </c>
      <c r="B93" s="16">
        <f t="shared" ref="B93:J93" si="7">SUM(B88:B92)</f>
        <v>3232</v>
      </c>
      <c r="C93" s="16">
        <f t="shared" si="7"/>
        <v>0</v>
      </c>
      <c r="D93" s="16">
        <f t="shared" si="7"/>
        <v>213.29999999999998</v>
      </c>
      <c r="E93" s="16">
        <f t="shared" si="7"/>
        <v>3018.7</v>
      </c>
      <c r="F93" s="16">
        <f t="shared" si="7"/>
        <v>32.299999999999997</v>
      </c>
      <c r="G93" s="16">
        <f t="shared" si="7"/>
        <v>0</v>
      </c>
      <c r="H93" s="16">
        <f t="shared" si="7"/>
        <v>-250</v>
      </c>
      <c r="I93" s="16">
        <f t="shared" si="7"/>
        <v>0</v>
      </c>
      <c r="J93" s="27">
        <f t="shared" si="7"/>
        <v>3236.35</v>
      </c>
      <c r="K93" s="30"/>
    </row>
    <row r="94" spans="1:11" s="15" customFormat="1" ht="8.1" customHeight="1" thickBot="1">
      <c r="A94" s="17"/>
      <c r="K94" s="17"/>
    </row>
    <row r="95" spans="1:11" s="17" customFormat="1" thickBot="1">
      <c r="A95" s="10" t="s">
        <v>1</v>
      </c>
      <c r="B95" s="11" t="s">
        <v>2</v>
      </c>
      <c r="C95" s="11" t="s">
        <v>3</v>
      </c>
      <c r="D95" s="11" t="s">
        <v>4</v>
      </c>
      <c r="E95" s="11" t="s">
        <v>5</v>
      </c>
      <c r="F95" s="11" t="s">
        <v>6</v>
      </c>
      <c r="G95" s="11" t="s">
        <v>7</v>
      </c>
      <c r="H95" s="11" t="s">
        <v>8</v>
      </c>
      <c r="I95" s="11" t="s">
        <v>9</v>
      </c>
      <c r="J95" s="12" t="s">
        <v>10</v>
      </c>
      <c r="K95" s="13" t="s">
        <v>19</v>
      </c>
    </row>
    <row r="96" spans="1:11" s="15" customFormat="1" ht="12">
      <c r="A96" s="26" t="s">
        <v>16</v>
      </c>
      <c r="B96" s="68">
        <v>2428</v>
      </c>
      <c r="C96" s="69">
        <v>0</v>
      </c>
      <c r="D96" s="69">
        <v>160.25</v>
      </c>
      <c r="E96" s="69">
        <v>2267.75</v>
      </c>
      <c r="F96" s="69">
        <v>24.28</v>
      </c>
      <c r="G96" s="69">
        <v>188</v>
      </c>
      <c r="H96" s="69">
        <v>600</v>
      </c>
      <c r="I96" s="69">
        <v>378.25</v>
      </c>
      <c r="J96" s="70">
        <v>1077.22</v>
      </c>
      <c r="K96" s="460">
        <v>41030</v>
      </c>
    </row>
    <row r="97" spans="1:11" s="15" customFormat="1" ht="12">
      <c r="A97" s="26" t="s">
        <v>16</v>
      </c>
      <c r="B97" s="68">
        <v>2760</v>
      </c>
      <c r="C97" s="69">
        <v>724.5</v>
      </c>
      <c r="D97" s="69">
        <v>229.98</v>
      </c>
      <c r="E97" s="69">
        <v>3254.52</v>
      </c>
      <c r="F97" s="69">
        <v>34.85</v>
      </c>
      <c r="G97" s="69">
        <v>379</v>
      </c>
      <c r="H97" s="69">
        <v>600</v>
      </c>
      <c r="I97" s="69">
        <v>378.25</v>
      </c>
      <c r="J97" s="70">
        <v>1862.43</v>
      </c>
      <c r="K97" s="461">
        <v>41037</v>
      </c>
    </row>
    <row r="98" spans="1:11" s="15" customFormat="1" ht="12">
      <c r="A98" s="26" t="s">
        <v>16</v>
      </c>
      <c r="B98" s="68">
        <v>2760</v>
      </c>
      <c r="C98" s="69">
        <v>0</v>
      </c>
      <c r="D98" s="69">
        <v>182.16</v>
      </c>
      <c r="E98" s="69">
        <v>2577.84</v>
      </c>
      <c r="F98" s="69">
        <v>27.6</v>
      </c>
      <c r="G98" s="69">
        <v>244</v>
      </c>
      <c r="H98" s="69">
        <v>600</v>
      </c>
      <c r="I98" s="69">
        <v>378.25</v>
      </c>
      <c r="J98" s="70">
        <v>1327.99</v>
      </c>
      <c r="K98" s="461">
        <v>41044</v>
      </c>
    </row>
    <row r="99" spans="1:11" s="15" customFormat="1" ht="12">
      <c r="A99" s="26" t="s">
        <v>16</v>
      </c>
      <c r="B99" s="68">
        <v>2760</v>
      </c>
      <c r="C99" s="69">
        <v>0</v>
      </c>
      <c r="D99" s="69">
        <v>182.16</v>
      </c>
      <c r="E99" s="69">
        <v>2577.84</v>
      </c>
      <c r="F99" s="69">
        <v>27.6</v>
      </c>
      <c r="G99" s="69">
        <v>244</v>
      </c>
      <c r="H99" s="69">
        <v>-378.25</v>
      </c>
      <c r="I99" s="69">
        <v>378.25</v>
      </c>
      <c r="J99" s="70">
        <v>2306.2399999999998</v>
      </c>
      <c r="K99" s="461">
        <v>41051</v>
      </c>
    </row>
    <row r="100" spans="1:11" s="15" customFormat="1" thickBot="1">
      <c r="A100" s="26" t="s">
        <v>16</v>
      </c>
      <c r="B100" s="68">
        <v>2760</v>
      </c>
      <c r="C100" s="69">
        <v>0</v>
      </c>
      <c r="D100" s="69">
        <v>182.16</v>
      </c>
      <c r="E100" s="69">
        <v>2577.84</v>
      </c>
      <c r="F100" s="69">
        <v>27.6</v>
      </c>
      <c r="G100" s="69">
        <v>244</v>
      </c>
      <c r="H100" s="69">
        <v>600</v>
      </c>
      <c r="I100" s="69">
        <v>378.25</v>
      </c>
      <c r="J100" s="70">
        <v>1327.99</v>
      </c>
      <c r="K100" s="461">
        <v>41058</v>
      </c>
    </row>
    <row r="101" spans="1:11" s="15" customFormat="1" thickBot="1">
      <c r="A101" s="10" t="s">
        <v>0</v>
      </c>
      <c r="B101" s="16">
        <f t="shared" ref="B101:J101" si="8">SUM(B96:B100)</f>
        <v>13468</v>
      </c>
      <c r="C101" s="16">
        <f t="shared" si="8"/>
        <v>724.5</v>
      </c>
      <c r="D101" s="16">
        <f t="shared" si="8"/>
        <v>936.70999999999992</v>
      </c>
      <c r="E101" s="16">
        <f t="shared" si="8"/>
        <v>13255.79</v>
      </c>
      <c r="F101" s="16">
        <f t="shared" si="8"/>
        <v>141.93</v>
      </c>
      <c r="G101" s="16">
        <f t="shared" si="8"/>
        <v>1299</v>
      </c>
      <c r="H101" s="16">
        <f t="shared" si="8"/>
        <v>2021.75</v>
      </c>
      <c r="I101" s="16">
        <f t="shared" si="8"/>
        <v>1891.25</v>
      </c>
      <c r="J101" s="27">
        <f t="shared" si="8"/>
        <v>7901.87</v>
      </c>
      <c r="K101" s="30"/>
    </row>
    <row r="102" spans="1:11" s="15" customFormat="1" thickBot="1">
      <c r="A102" s="17"/>
      <c r="K102" s="17"/>
    </row>
    <row r="103" spans="1:11" s="17" customFormat="1" thickBot="1">
      <c r="A103" s="10" t="s">
        <v>1</v>
      </c>
      <c r="B103" s="11" t="s">
        <v>2</v>
      </c>
      <c r="C103" s="11" t="s">
        <v>3</v>
      </c>
      <c r="D103" s="11" t="s">
        <v>4</v>
      </c>
      <c r="E103" s="11" t="s">
        <v>5</v>
      </c>
      <c r="F103" s="11" t="s">
        <v>6</v>
      </c>
      <c r="G103" s="11" t="s">
        <v>7</v>
      </c>
      <c r="H103" s="11" t="s">
        <v>8</v>
      </c>
      <c r="I103" s="11" t="s">
        <v>9</v>
      </c>
      <c r="J103" s="12" t="s">
        <v>10</v>
      </c>
      <c r="K103" s="13" t="s">
        <v>19</v>
      </c>
    </row>
    <row r="104" spans="1:11" s="15" customFormat="1" ht="12">
      <c r="A104" s="26" t="s">
        <v>52</v>
      </c>
      <c r="B104" s="68">
        <v>1290.4000000000001</v>
      </c>
      <c r="C104" s="69">
        <v>0</v>
      </c>
      <c r="D104" s="69">
        <v>0</v>
      </c>
      <c r="E104" s="69">
        <v>1290.4000000000001</v>
      </c>
      <c r="F104" s="69">
        <v>12.9</v>
      </c>
      <c r="G104" s="69">
        <v>12</v>
      </c>
      <c r="H104" s="69">
        <v>100</v>
      </c>
      <c r="I104" s="69">
        <v>0</v>
      </c>
      <c r="J104" s="70">
        <v>1165.5</v>
      </c>
      <c r="K104" s="460">
        <v>41030</v>
      </c>
    </row>
    <row r="105" spans="1:11" s="15" customFormat="1" ht="12">
      <c r="A105" s="26" t="s">
        <v>52</v>
      </c>
      <c r="B105" s="68">
        <v>1290.4000000000001</v>
      </c>
      <c r="C105" s="69">
        <v>0</v>
      </c>
      <c r="D105" s="69">
        <v>0</v>
      </c>
      <c r="E105" s="69">
        <v>1290.4000000000001</v>
      </c>
      <c r="F105" s="69">
        <v>12.9</v>
      </c>
      <c r="G105" s="69">
        <v>12</v>
      </c>
      <c r="H105" s="69">
        <v>100</v>
      </c>
      <c r="I105" s="69">
        <v>0</v>
      </c>
      <c r="J105" s="70">
        <v>1165.5</v>
      </c>
      <c r="K105" s="461">
        <v>41037</v>
      </c>
    </row>
    <row r="106" spans="1:11" s="15" customFormat="1" ht="12">
      <c r="A106" s="26" t="s">
        <v>52</v>
      </c>
      <c r="B106" s="68">
        <v>1290.4000000000001</v>
      </c>
      <c r="C106" s="69">
        <v>96.78</v>
      </c>
      <c r="D106" s="69">
        <v>0</v>
      </c>
      <c r="E106" s="69">
        <v>1387.18</v>
      </c>
      <c r="F106" s="69">
        <v>13.87</v>
      </c>
      <c r="G106" s="69">
        <v>29</v>
      </c>
      <c r="H106" s="69">
        <v>100</v>
      </c>
      <c r="I106" s="69">
        <v>0</v>
      </c>
      <c r="J106" s="70">
        <v>1244.31</v>
      </c>
      <c r="K106" s="461">
        <v>41044</v>
      </c>
    </row>
    <row r="107" spans="1:11" s="15" customFormat="1" ht="12">
      <c r="A107" s="26" t="s">
        <v>52</v>
      </c>
      <c r="B107" s="68">
        <v>1290.4000000000001</v>
      </c>
      <c r="C107" s="69">
        <v>0</v>
      </c>
      <c r="D107" s="69">
        <v>0</v>
      </c>
      <c r="E107" s="69">
        <v>1290.4000000000001</v>
      </c>
      <c r="F107" s="69">
        <v>12.9</v>
      </c>
      <c r="G107" s="69">
        <v>12</v>
      </c>
      <c r="H107" s="69">
        <v>100</v>
      </c>
      <c r="I107" s="69">
        <v>0</v>
      </c>
      <c r="J107" s="70">
        <v>1165.5</v>
      </c>
      <c r="K107" s="461">
        <v>41051</v>
      </c>
    </row>
    <row r="108" spans="1:11" s="15" customFormat="1" thickBot="1">
      <c r="A108" s="26" t="s">
        <v>52</v>
      </c>
      <c r="B108" s="68">
        <v>1290.4000000000001</v>
      </c>
      <c r="C108" s="69">
        <v>0</v>
      </c>
      <c r="D108" s="69">
        <v>0</v>
      </c>
      <c r="E108" s="69">
        <v>1290.4000000000001</v>
      </c>
      <c r="F108" s="69">
        <v>12.9</v>
      </c>
      <c r="G108" s="69">
        <v>12</v>
      </c>
      <c r="H108" s="69">
        <v>0</v>
      </c>
      <c r="I108" s="69">
        <v>0</v>
      </c>
      <c r="J108" s="70">
        <f>1277.5-12</f>
        <v>1265.5</v>
      </c>
      <c r="K108" s="461">
        <v>41058</v>
      </c>
    </row>
    <row r="109" spans="1:11" s="15" customFormat="1" thickBot="1">
      <c r="A109" s="10" t="s">
        <v>0</v>
      </c>
      <c r="B109" s="16">
        <f t="shared" ref="B109:J109" si="9">SUM(B104:B108)</f>
        <v>6452</v>
      </c>
      <c r="C109" s="16">
        <f t="shared" si="9"/>
        <v>96.78</v>
      </c>
      <c r="D109" s="16">
        <f t="shared" si="9"/>
        <v>0</v>
      </c>
      <c r="E109" s="16">
        <f t="shared" si="9"/>
        <v>6548.7800000000007</v>
      </c>
      <c r="F109" s="16">
        <f t="shared" si="9"/>
        <v>65.47</v>
      </c>
      <c r="G109" s="16">
        <f t="shared" si="9"/>
        <v>77</v>
      </c>
      <c r="H109" s="16">
        <f t="shared" si="9"/>
        <v>400</v>
      </c>
      <c r="I109" s="16">
        <f t="shared" si="9"/>
        <v>0</v>
      </c>
      <c r="J109" s="27">
        <f t="shared" si="9"/>
        <v>6006.3099999999995</v>
      </c>
      <c r="K109" s="30"/>
    </row>
    <row r="110" spans="1:11" s="15" customFormat="1" thickBot="1">
      <c r="A110" s="17"/>
      <c r="K110" s="17"/>
    </row>
    <row r="111" spans="1:11" s="17" customFormat="1" thickBot="1">
      <c r="A111" s="10" t="s">
        <v>1</v>
      </c>
      <c r="B111" s="11" t="s">
        <v>2</v>
      </c>
      <c r="C111" s="11" t="s">
        <v>3</v>
      </c>
      <c r="D111" s="11" t="s">
        <v>4</v>
      </c>
      <c r="E111" s="11" t="s">
        <v>5</v>
      </c>
      <c r="F111" s="11" t="s">
        <v>6</v>
      </c>
      <c r="G111" s="11" t="s">
        <v>7</v>
      </c>
      <c r="H111" s="11" t="s">
        <v>8</v>
      </c>
      <c r="I111" s="11" t="s">
        <v>9</v>
      </c>
      <c r="J111" s="12" t="s">
        <v>10</v>
      </c>
      <c r="K111" s="13" t="s">
        <v>19</v>
      </c>
    </row>
    <row r="112" spans="1:11" s="15" customFormat="1" ht="12">
      <c r="A112" s="26" t="s">
        <v>207</v>
      </c>
      <c r="B112" s="68">
        <v>800</v>
      </c>
      <c r="C112" s="69">
        <v>0</v>
      </c>
      <c r="D112" s="69">
        <v>0</v>
      </c>
      <c r="E112" s="69">
        <v>800</v>
      </c>
      <c r="F112" s="69">
        <v>8</v>
      </c>
      <c r="G112" s="69">
        <v>0</v>
      </c>
      <c r="H112" s="69">
        <v>0</v>
      </c>
      <c r="I112" s="69">
        <v>0</v>
      </c>
      <c r="J112" s="70">
        <v>792</v>
      </c>
      <c r="K112" s="460">
        <v>41030</v>
      </c>
    </row>
    <row r="113" spans="1:11" s="15" customFormat="1" ht="12">
      <c r="A113" s="26" t="s">
        <v>207</v>
      </c>
      <c r="B113" s="68">
        <v>800</v>
      </c>
      <c r="C113" s="69">
        <v>0</v>
      </c>
      <c r="D113" s="69">
        <v>0</v>
      </c>
      <c r="E113" s="69">
        <v>800</v>
      </c>
      <c r="F113" s="69">
        <v>8</v>
      </c>
      <c r="G113" s="69">
        <v>0</v>
      </c>
      <c r="H113" s="69">
        <v>0</v>
      </c>
      <c r="I113" s="69">
        <v>0</v>
      </c>
      <c r="J113" s="70">
        <v>792</v>
      </c>
      <c r="K113" s="461">
        <v>41037</v>
      </c>
    </row>
    <row r="114" spans="1:11" s="15" customFormat="1" ht="12">
      <c r="A114" s="26" t="s">
        <v>207</v>
      </c>
      <c r="B114" s="68">
        <v>800</v>
      </c>
      <c r="C114" s="69">
        <v>0</v>
      </c>
      <c r="D114" s="69">
        <v>0</v>
      </c>
      <c r="E114" s="69">
        <v>800</v>
      </c>
      <c r="F114" s="69">
        <v>8</v>
      </c>
      <c r="G114" s="69">
        <v>0</v>
      </c>
      <c r="H114" s="69">
        <v>0</v>
      </c>
      <c r="I114" s="69">
        <v>0</v>
      </c>
      <c r="J114" s="70">
        <v>792</v>
      </c>
      <c r="K114" s="461">
        <v>41044</v>
      </c>
    </row>
    <row r="115" spans="1:11" s="15" customFormat="1" ht="12">
      <c r="A115" s="26" t="s">
        <v>207</v>
      </c>
      <c r="B115" s="68">
        <v>800</v>
      </c>
      <c r="C115" s="69">
        <v>0</v>
      </c>
      <c r="D115" s="69">
        <v>0</v>
      </c>
      <c r="E115" s="69">
        <v>800</v>
      </c>
      <c r="F115" s="69">
        <v>8</v>
      </c>
      <c r="G115" s="69">
        <v>0</v>
      </c>
      <c r="H115" s="69">
        <v>0</v>
      </c>
      <c r="I115" s="69">
        <v>0</v>
      </c>
      <c r="J115" s="70">
        <v>792</v>
      </c>
      <c r="K115" s="461">
        <v>41051</v>
      </c>
    </row>
    <row r="116" spans="1:11" s="15" customFormat="1" thickBot="1">
      <c r="A116" s="26" t="s">
        <v>207</v>
      </c>
      <c r="B116" s="68">
        <v>800</v>
      </c>
      <c r="C116" s="69">
        <v>0</v>
      </c>
      <c r="D116" s="69">
        <v>0</v>
      </c>
      <c r="E116" s="69">
        <v>800</v>
      </c>
      <c r="F116" s="69">
        <v>8</v>
      </c>
      <c r="G116" s="69">
        <v>0</v>
      </c>
      <c r="H116" s="69">
        <v>0</v>
      </c>
      <c r="I116" s="69">
        <v>0</v>
      </c>
      <c r="J116" s="70">
        <v>792</v>
      </c>
      <c r="K116" s="461">
        <v>41058</v>
      </c>
    </row>
    <row r="117" spans="1:11" s="15" customFormat="1" thickBot="1">
      <c r="A117" s="10" t="s">
        <v>0</v>
      </c>
      <c r="B117" s="16">
        <f t="shared" ref="B117:J117" si="10">SUM(B112:B116)</f>
        <v>4000</v>
      </c>
      <c r="C117" s="16">
        <f t="shared" si="10"/>
        <v>0</v>
      </c>
      <c r="D117" s="16">
        <f t="shared" si="10"/>
        <v>0</v>
      </c>
      <c r="E117" s="16">
        <f t="shared" si="10"/>
        <v>4000</v>
      </c>
      <c r="F117" s="16">
        <f t="shared" si="10"/>
        <v>40</v>
      </c>
      <c r="G117" s="16">
        <f t="shared" si="10"/>
        <v>0</v>
      </c>
      <c r="H117" s="16">
        <f t="shared" si="10"/>
        <v>0</v>
      </c>
      <c r="I117" s="16">
        <f t="shared" si="10"/>
        <v>0</v>
      </c>
      <c r="J117" s="27">
        <f t="shared" si="10"/>
        <v>3960</v>
      </c>
      <c r="K117" s="30"/>
    </row>
    <row r="118" spans="1:11" s="15" customFormat="1" thickBot="1">
      <c r="A118" s="17"/>
      <c r="K118" s="17"/>
    </row>
    <row r="119" spans="1:11" s="17" customFormat="1" thickBot="1">
      <c r="A119" s="394" t="s">
        <v>1</v>
      </c>
      <c r="B119" s="393" t="s">
        <v>2</v>
      </c>
      <c r="C119" s="19" t="s">
        <v>3</v>
      </c>
      <c r="D119" s="19" t="s">
        <v>4</v>
      </c>
      <c r="E119" s="19" t="s">
        <v>5</v>
      </c>
      <c r="F119" s="19" t="s">
        <v>6</v>
      </c>
      <c r="G119" s="19" t="s">
        <v>7</v>
      </c>
      <c r="H119" s="19" t="s">
        <v>8</v>
      </c>
      <c r="I119" s="19" t="s">
        <v>9</v>
      </c>
      <c r="J119" s="96" t="s">
        <v>10</v>
      </c>
      <c r="K119" s="29" t="s">
        <v>19</v>
      </c>
    </row>
    <row r="120" spans="1:11">
      <c r="A120" s="395" t="s">
        <v>12</v>
      </c>
      <c r="B120" s="65">
        <v>960</v>
      </c>
      <c r="C120" s="66">
        <v>0</v>
      </c>
      <c r="D120" s="66">
        <v>63.36</v>
      </c>
      <c r="E120" s="66">
        <v>896.64</v>
      </c>
      <c r="F120" s="66">
        <v>9.6</v>
      </c>
      <c r="G120" s="66">
        <v>0</v>
      </c>
      <c r="H120" s="66">
        <v>-50</v>
      </c>
      <c r="I120" s="66">
        <v>0</v>
      </c>
      <c r="J120" s="67">
        <v>937.04</v>
      </c>
      <c r="K120" s="473">
        <v>41030</v>
      </c>
    </row>
    <row r="121" spans="1:11">
      <c r="A121" s="396" t="s">
        <v>14</v>
      </c>
      <c r="B121" s="68">
        <v>891.6</v>
      </c>
      <c r="C121" s="69">
        <v>0</v>
      </c>
      <c r="D121" s="69">
        <v>58.85</v>
      </c>
      <c r="E121" s="69">
        <v>832.75</v>
      </c>
      <c r="F121" s="69">
        <v>8.92</v>
      </c>
      <c r="G121" s="69">
        <v>0</v>
      </c>
      <c r="H121" s="69">
        <v>50</v>
      </c>
      <c r="I121" s="69">
        <v>0</v>
      </c>
      <c r="J121" s="70">
        <v>773.84</v>
      </c>
      <c r="K121" s="32">
        <v>41030</v>
      </c>
    </row>
    <row r="122" spans="1:11">
      <c r="A122" s="396" t="s">
        <v>15</v>
      </c>
      <c r="B122" s="68">
        <v>646.4</v>
      </c>
      <c r="C122" s="69">
        <v>0</v>
      </c>
      <c r="D122" s="69">
        <v>42.66</v>
      </c>
      <c r="E122" s="69">
        <v>603.74</v>
      </c>
      <c r="F122" s="69">
        <v>6.46</v>
      </c>
      <c r="G122" s="69">
        <v>0</v>
      </c>
      <c r="H122" s="69">
        <v>-50</v>
      </c>
      <c r="I122" s="69">
        <v>0</v>
      </c>
      <c r="J122" s="70">
        <v>647.27</v>
      </c>
      <c r="K122" s="32">
        <v>41030</v>
      </c>
    </row>
    <row r="123" spans="1:11">
      <c r="A123" s="396" t="s">
        <v>16</v>
      </c>
      <c r="B123" s="68">
        <v>2428</v>
      </c>
      <c r="C123" s="69">
        <v>0</v>
      </c>
      <c r="D123" s="69">
        <v>160.25</v>
      </c>
      <c r="E123" s="69">
        <v>2267.75</v>
      </c>
      <c r="F123" s="69">
        <v>24.28</v>
      </c>
      <c r="G123" s="69">
        <v>188</v>
      </c>
      <c r="H123" s="69">
        <v>600</v>
      </c>
      <c r="I123" s="69">
        <v>378.25</v>
      </c>
      <c r="J123" s="70">
        <v>1077.22</v>
      </c>
      <c r="K123" s="32">
        <v>41030</v>
      </c>
    </row>
    <row r="124" spans="1:11">
      <c r="A124" s="410" t="s">
        <v>52</v>
      </c>
      <c r="B124" s="68">
        <v>1290.4000000000001</v>
      </c>
      <c r="C124" s="69">
        <v>0</v>
      </c>
      <c r="D124" s="69">
        <v>0</v>
      </c>
      <c r="E124" s="69">
        <v>1290.4000000000001</v>
      </c>
      <c r="F124" s="69">
        <v>12.9</v>
      </c>
      <c r="G124" s="69">
        <v>12</v>
      </c>
      <c r="H124" s="69">
        <v>100</v>
      </c>
      <c r="I124" s="69">
        <v>0</v>
      </c>
      <c r="J124" s="70">
        <v>1165.5</v>
      </c>
      <c r="K124" s="32">
        <v>41030</v>
      </c>
    </row>
    <row r="125" spans="1:11" ht="13.5" thickBot="1">
      <c r="A125" s="411" t="s">
        <v>207</v>
      </c>
      <c r="B125" s="68">
        <v>800</v>
      </c>
      <c r="C125" s="69">
        <v>0</v>
      </c>
      <c r="D125" s="69">
        <v>0</v>
      </c>
      <c r="E125" s="69">
        <v>800</v>
      </c>
      <c r="F125" s="69">
        <v>8</v>
      </c>
      <c r="G125" s="69">
        <v>0</v>
      </c>
      <c r="H125" s="69">
        <v>0</v>
      </c>
      <c r="I125" s="69">
        <v>0</v>
      </c>
      <c r="J125" s="70">
        <v>792</v>
      </c>
      <c r="K125" s="51">
        <v>41030</v>
      </c>
    </row>
    <row r="126" spans="1:11">
      <c r="A126" s="397" t="s">
        <v>12</v>
      </c>
      <c r="B126" s="65">
        <v>960</v>
      </c>
      <c r="C126" s="66">
        <v>0</v>
      </c>
      <c r="D126" s="66">
        <v>63.36</v>
      </c>
      <c r="E126" s="66">
        <v>896.64</v>
      </c>
      <c r="F126" s="66">
        <v>9.6</v>
      </c>
      <c r="G126" s="66">
        <v>0</v>
      </c>
      <c r="H126" s="66">
        <v>-50</v>
      </c>
      <c r="I126" s="66">
        <v>0</v>
      </c>
      <c r="J126" s="67">
        <v>937.04</v>
      </c>
      <c r="K126" s="31">
        <v>41037</v>
      </c>
    </row>
    <row r="127" spans="1:11">
      <c r="A127" s="396" t="s">
        <v>14</v>
      </c>
      <c r="B127" s="68">
        <v>891.6</v>
      </c>
      <c r="C127" s="69">
        <v>0</v>
      </c>
      <c r="D127" s="69">
        <v>58.85</v>
      </c>
      <c r="E127" s="69">
        <v>832.75</v>
      </c>
      <c r="F127" s="69">
        <v>8.92</v>
      </c>
      <c r="G127" s="69">
        <v>0</v>
      </c>
      <c r="H127" s="69">
        <v>-50</v>
      </c>
      <c r="I127" s="69">
        <v>0</v>
      </c>
      <c r="J127" s="70">
        <v>873.84</v>
      </c>
      <c r="K127" s="32">
        <v>41037</v>
      </c>
    </row>
    <row r="128" spans="1:11">
      <c r="A128" s="396" t="s">
        <v>15</v>
      </c>
      <c r="B128" s="68">
        <v>646.4</v>
      </c>
      <c r="C128" s="69">
        <v>0</v>
      </c>
      <c r="D128" s="69">
        <v>42.66</v>
      </c>
      <c r="E128" s="69">
        <v>603.74</v>
      </c>
      <c r="F128" s="69">
        <v>6.46</v>
      </c>
      <c r="G128" s="69">
        <v>0</v>
      </c>
      <c r="H128" s="69">
        <v>-50</v>
      </c>
      <c r="I128" s="69">
        <v>0</v>
      </c>
      <c r="J128" s="70">
        <v>647.27</v>
      </c>
      <c r="K128" s="32">
        <v>41037</v>
      </c>
    </row>
    <row r="129" spans="1:11">
      <c r="A129" s="396" t="s">
        <v>16</v>
      </c>
      <c r="B129" s="68">
        <v>2760</v>
      </c>
      <c r="C129" s="69">
        <v>724.5</v>
      </c>
      <c r="D129" s="69">
        <v>229.98</v>
      </c>
      <c r="E129" s="69">
        <v>3254.52</v>
      </c>
      <c r="F129" s="69">
        <v>34.85</v>
      </c>
      <c r="G129" s="69">
        <v>379</v>
      </c>
      <c r="H129" s="69">
        <v>600</v>
      </c>
      <c r="I129" s="69">
        <v>378.25</v>
      </c>
      <c r="J129" s="70">
        <v>1862.43</v>
      </c>
      <c r="K129" s="32">
        <v>41037</v>
      </c>
    </row>
    <row r="130" spans="1:11">
      <c r="A130" s="410" t="s">
        <v>52</v>
      </c>
      <c r="B130" s="68">
        <v>1290.4000000000001</v>
      </c>
      <c r="C130" s="69">
        <v>0</v>
      </c>
      <c r="D130" s="69">
        <v>0</v>
      </c>
      <c r="E130" s="69">
        <v>1290.4000000000001</v>
      </c>
      <c r="F130" s="69">
        <v>12.9</v>
      </c>
      <c r="G130" s="69">
        <v>12</v>
      </c>
      <c r="H130" s="69">
        <v>100</v>
      </c>
      <c r="I130" s="69">
        <v>0</v>
      </c>
      <c r="J130" s="70">
        <v>1165.5</v>
      </c>
      <c r="K130" s="32">
        <v>41037</v>
      </c>
    </row>
    <row r="131" spans="1:11" ht="13.5" thickBot="1">
      <c r="A131" s="411" t="s">
        <v>207</v>
      </c>
      <c r="B131" s="68">
        <v>800</v>
      </c>
      <c r="C131" s="69">
        <v>0</v>
      </c>
      <c r="D131" s="69">
        <v>0</v>
      </c>
      <c r="E131" s="69">
        <v>800</v>
      </c>
      <c r="F131" s="69">
        <v>8</v>
      </c>
      <c r="G131" s="69">
        <v>0</v>
      </c>
      <c r="H131" s="69">
        <v>0</v>
      </c>
      <c r="I131" s="69">
        <v>0</v>
      </c>
      <c r="J131" s="70">
        <v>792</v>
      </c>
      <c r="K131" s="33">
        <v>41037</v>
      </c>
    </row>
    <row r="132" spans="1:11">
      <c r="A132" s="397" t="s">
        <v>12</v>
      </c>
      <c r="B132" s="65">
        <v>960</v>
      </c>
      <c r="C132" s="66">
        <v>0</v>
      </c>
      <c r="D132" s="66">
        <v>63.36</v>
      </c>
      <c r="E132" s="66">
        <v>896.64</v>
      </c>
      <c r="F132" s="66">
        <v>9.6</v>
      </c>
      <c r="G132" s="66">
        <v>0</v>
      </c>
      <c r="H132" s="66">
        <v>-50</v>
      </c>
      <c r="I132" s="66">
        <v>0</v>
      </c>
      <c r="J132" s="67">
        <v>937.04</v>
      </c>
      <c r="K132" s="474">
        <v>41044</v>
      </c>
    </row>
    <row r="133" spans="1:11">
      <c r="A133" s="396" t="s">
        <v>14</v>
      </c>
      <c r="B133" s="68">
        <v>891.6</v>
      </c>
      <c r="C133" s="69">
        <v>0</v>
      </c>
      <c r="D133" s="69">
        <v>58.85</v>
      </c>
      <c r="E133" s="69">
        <v>832.75</v>
      </c>
      <c r="F133" s="69">
        <v>8.92</v>
      </c>
      <c r="G133" s="69">
        <v>0</v>
      </c>
      <c r="H133" s="69">
        <v>-50</v>
      </c>
      <c r="I133" s="69">
        <v>0</v>
      </c>
      <c r="J133" s="70">
        <v>873.84</v>
      </c>
      <c r="K133" s="461">
        <v>41044</v>
      </c>
    </row>
    <row r="134" spans="1:11">
      <c r="A134" s="396" t="s">
        <v>15</v>
      </c>
      <c r="B134" s="68">
        <v>646.4</v>
      </c>
      <c r="C134" s="69">
        <v>0</v>
      </c>
      <c r="D134" s="69">
        <v>42.66</v>
      </c>
      <c r="E134" s="69">
        <v>603.74</v>
      </c>
      <c r="F134" s="69">
        <v>6.46</v>
      </c>
      <c r="G134" s="69">
        <v>0</v>
      </c>
      <c r="H134" s="69">
        <v>-50</v>
      </c>
      <c r="I134" s="69">
        <v>0</v>
      </c>
      <c r="J134" s="70">
        <v>647.27</v>
      </c>
      <c r="K134" s="461">
        <v>41044</v>
      </c>
    </row>
    <row r="135" spans="1:11">
      <c r="A135" s="396" t="s">
        <v>16</v>
      </c>
      <c r="B135" s="68">
        <v>2760</v>
      </c>
      <c r="C135" s="69">
        <v>0</v>
      </c>
      <c r="D135" s="69">
        <v>182.16</v>
      </c>
      <c r="E135" s="69">
        <v>2577.84</v>
      </c>
      <c r="F135" s="69">
        <v>27.6</v>
      </c>
      <c r="G135" s="69">
        <v>244</v>
      </c>
      <c r="H135" s="69">
        <v>600</v>
      </c>
      <c r="I135" s="69">
        <v>378.25</v>
      </c>
      <c r="J135" s="70">
        <v>1327.99</v>
      </c>
      <c r="K135" s="461">
        <v>41044</v>
      </c>
    </row>
    <row r="136" spans="1:11">
      <c r="A136" s="410" t="s">
        <v>52</v>
      </c>
      <c r="B136" s="68">
        <v>1290.4000000000001</v>
      </c>
      <c r="C136" s="69">
        <v>96.78</v>
      </c>
      <c r="D136" s="69">
        <v>0</v>
      </c>
      <c r="E136" s="69">
        <v>1387.18</v>
      </c>
      <c r="F136" s="69">
        <v>13.87</v>
      </c>
      <c r="G136" s="69">
        <v>29</v>
      </c>
      <c r="H136" s="69">
        <v>100</v>
      </c>
      <c r="I136" s="69">
        <v>0</v>
      </c>
      <c r="J136" s="70">
        <v>1244.31</v>
      </c>
      <c r="K136" s="461">
        <v>41044</v>
      </c>
    </row>
    <row r="137" spans="1:11" ht="13.5" thickBot="1">
      <c r="A137" s="412" t="s">
        <v>207</v>
      </c>
      <c r="B137" s="68">
        <v>800</v>
      </c>
      <c r="C137" s="69">
        <v>0</v>
      </c>
      <c r="D137" s="69">
        <v>0</v>
      </c>
      <c r="E137" s="69">
        <v>800</v>
      </c>
      <c r="F137" s="69">
        <v>8</v>
      </c>
      <c r="G137" s="69">
        <v>0</v>
      </c>
      <c r="H137" s="69">
        <v>0</v>
      </c>
      <c r="I137" s="69">
        <v>0</v>
      </c>
      <c r="J137" s="70">
        <v>792</v>
      </c>
      <c r="K137" s="475">
        <v>41044</v>
      </c>
    </row>
    <row r="138" spans="1:11">
      <c r="A138" s="395" t="s">
        <v>12</v>
      </c>
      <c r="B138" s="65">
        <v>960</v>
      </c>
      <c r="C138" s="66">
        <v>0</v>
      </c>
      <c r="D138" s="66">
        <v>63.36</v>
      </c>
      <c r="E138" s="66">
        <v>896.64</v>
      </c>
      <c r="F138" s="66">
        <v>9.6</v>
      </c>
      <c r="G138" s="66">
        <v>0</v>
      </c>
      <c r="H138" s="66">
        <v>-50</v>
      </c>
      <c r="I138" s="66">
        <v>0</v>
      </c>
      <c r="J138" s="67">
        <v>937.04</v>
      </c>
      <c r="K138" s="31">
        <v>41051</v>
      </c>
    </row>
    <row r="139" spans="1:11">
      <c r="A139" s="396" t="s">
        <v>14</v>
      </c>
      <c r="B139" s="68">
        <v>891.6</v>
      </c>
      <c r="C139" s="69">
        <v>0</v>
      </c>
      <c r="D139" s="69">
        <v>58.85</v>
      </c>
      <c r="E139" s="69">
        <v>832.75</v>
      </c>
      <c r="F139" s="69">
        <v>8.92</v>
      </c>
      <c r="G139" s="69">
        <v>0</v>
      </c>
      <c r="H139" s="69">
        <v>-50</v>
      </c>
      <c r="I139" s="69">
        <v>0</v>
      </c>
      <c r="J139" s="70">
        <v>873.84</v>
      </c>
      <c r="K139" s="32">
        <v>41051</v>
      </c>
    </row>
    <row r="140" spans="1:11">
      <c r="A140" s="396" t="s">
        <v>15</v>
      </c>
      <c r="B140" s="68">
        <v>646.4</v>
      </c>
      <c r="C140" s="69">
        <v>0</v>
      </c>
      <c r="D140" s="69">
        <v>42.66</v>
      </c>
      <c r="E140" s="69">
        <v>603.74</v>
      </c>
      <c r="F140" s="69">
        <v>6.46</v>
      </c>
      <c r="G140" s="69">
        <v>0</v>
      </c>
      <c r="H140" s="69">
        <v>-50</v>
      </c>
      <c r="I140" s="69">
        <v>0</v>
      </c>
      <c r="J140" s="70">
        <v>647.27</v>
      </c>
      <c r="K140" s="32">
        <v>41051</v>
      </c>
    </row>
    <row r="141" spans="1:11">
      <c r="A141" s="396" t="s">
        <v>16</v>
      </c>
      <c r="B141" s="68">
        <v>2760</v>
      </c>
      <c r="C141" s="69">
        <v>0</v>
      </c>
      <c r="D141" s="69">
        <v>182.16</v>
      </c>
      <c r="E141" s="69">
        <v>2577.84</v>
      </c>
      <c r="F141" s="69">
        <v>27.6</v>
      </c>
      <c r="G141" s="69">
        <v>244</v>
      </c>
      <c r="H141" s="69">
        <v>-378.25</v>
      </c>
      <c r="I141" s="69">
        <v>378.25</v>
      </c>
      <c r="J141" s="70">
        <v>2306.2399999999998</v>
      </c>
      <c r="K141" s="32">
        <v>41051</v>
      </c>
    </row>
    <row r="142" spans="1:11">
      <c r="A142" s="410" t="s">
        <v>52</v>
      </c>
      <c r="B142" s="68">
        <v>1290.4000000000001</v>
      </c>
      <c r="C142" s="69">
        <v>0</v>
      </c>
      <c r="D142" s="69">
        <v>0</v>
      </c>
      <c r="E142" s="69">
        <v>1290.4000000000001</v>
      </c>
      <c r="F142" s="69">
        <v>12.9</v>
      </c>
      <c r="G142" s="69">
        <v>12</v>
      </c>
      <c r="H142" s="69">
        <v>100</v>
      </c>
      <c r="I142" s="69">
        <v>0</v>
      </c>
      <c r="J142" s="70">
        <v>1165.5</v>
      </c>
      <c r="K142" s="32">
        <v>41051</v>
      </c>
    </row>
    <row r="143" spans="1:11" ht="13.5" thickBot="1">
      <c r="A143" s="411" t="s">
        <v>207</v>
      </c>
      <c r="B143" s="68">
        <v>800</v>
      </c>
      <c r="C143" s="69">
        <v>0</v>
      </c>
      <c r="D143" s="69">
        <v>0</v>
      </c>
      <c r="E143" s="69">
        <v>800</v>
      </c>
      <c r="F143" s="69">
        <v>8</v>
      </c>
      <c r="G143" s="69">
        <v>0</v>
      </c>
      <c r="H143" s="69">
        <v>0</v>
      </c>
      <c r="I143" s="69">
        <v>0</v>
      </c>
      <c r="J143" s="70">
        <v>792</v>
      </c>
      <c r="K143" s="33">
        <v>41051</v>
      </c>
    </row>
    <row r="144" spans="1:11">
      <c r="A144" s="395" t="s">
        <v>12</v>
      </c>
      <c r="B144" s="65">
        <v>960</v>
      </c>
      <c r="C144" s="66">
        <v>0</v>
      </c>
      <c r="D144" s="66">
        <v>63.36</v>
      </c>
      <c r="E144" s="66">
        <v>896.64</v>
      </c>
      <c r="F144" s="66">
        <v>9.6</v>
      </c>
      <c r="G144" s="66">
        <v>0</v>
      </c>
      <c r="H144" s="66">
        <v>-50</v>
      </c>
      <c r="I144" s="66">
        <v>0</v>
      </c>
      <c r="J144" s="67">
        <v>937.04</v>
      </c>
      <c r="K144" s="460">
        <v>41058</v>
      </c>
    </row>
    <row r="145" spans="1:11">
      <c r="A145" s="396" t="s">
        <v>14</v>
      </c>
      <c r="B145" s="68">
        <v>891.6</v>
      </c>
      <c r="C145" s="69">
        <v>0</v>
      </c>
      <c r="D145" s="69">
        <v>58.85</v>
      </c>
      <c r="E145" s="69">
        <v>832.75</v>
      </c>
      <c r="F145" s="69">
        <v>8.92</v>
      </c>
      <c r="G145" s="69">
        <v>0</v>
      </c>
      <c r="H145" s="69">
        <v>-50</v>
      </c>
      <c r="I145" s="69">
        <v>0</v>
      </c>
      <c r="J145" s="70">
        <v>873.84</v>
      </c>
      <c r="K145" s="461">
        <v>41058</v>
      </c>
    </row>
    <row r="146" spans="1:11">
      <c r="A146" s="396" t="s">
        <v>15</v>
      </c>
      <c r="B146" s="68">
        <v>646.4</v>
      </c>
      <c r="C146" s="69">
        <v>0</v>
      </c>
      <c r="D146" s="69">
        <v>42.66</v>
      </c>
      <c r="E146" s="69">
        <v>603.74</v>
      </c>
      <c r="F146" s="69">
        <v>6.46</v>
      </c>
      <c r="G146" s="69">
        <v>0</v>
      </c>
      <c r="H146" s="69">
        <v>-50</v>
      </c>
      <c r="I146" s="69">
        <v>0</v>
      </c>
      <c r="J146" s="70">
        <v>647.27</v>
      </c>
      <c r="K146" s="461">
        <v>41058</v>
      </c>
    </row>
    <row r="147" spans="1:11">
      <c r="A147" s="396" t="s">
        <v>16</v>
      </c>
      <c r="B147" s="68">
        <v>2760</v>
      </c>
      <c r="C147" s="69">
        <v>0</v>
      </c>
      <c r="D147" s="69">
        <v>182.16</v>
      </c>
      <c r="E147" s="69">
        <v>2577.84</v>
      </c>
      <c r="F147" s="69">
        <v>27.6</v>
      </c>
      <c r="G147" s="69">
        <v>244</v>
      </c>
      <c r="H147" s="69">
        <v>600</v>
      </c>
      <c r="I147" s="69">
        <v>378.25</v>
      </c>
      <c r="J147" s="70">
        <v>1327.99</v>
      </c>
      <c r="K147" s="461">
        <v>41058</v>
      </c>
    </row>
    <row r="148" spans="1:11">
      <c r="A148" s="410" t="s">
        <v>52</v>
      </c>
      <c r="B148" s="68">
        <v>1290.4000000000001</v>
      </c>
      <c r="C148" s="69">
        <v>0</v>
      </c>
      <c r="D148" s="69">
        <v>0</v>
      </c>
      <c r="E148" s="69">
        <v>1290.4000000000001</v>
      </c>
      <c r="F148" s="69">
        <v>12.9</v>
      </c>
      <c r="G148" s="69">
        <v>12</v>
      </c>
      <c r="H148" s="69">
        <v>0</v>
      </c>
      <c r="I148" s="69">
        <v>0</v>
      </c>
      <c r="J148" s="70">
        <f>1277.5-12</f>
        <v>1265.5</v>
      </c>
      <c r="K148" s="461">
        <v>41058</v>
      </c>
    </row>
    <row r="149" spans="1:11" ht="13.5" thickBot="1">
      <c r="A149" s="411" t="s">
        <v>207</v>
      </c>
      <c r="B149" s="77">
        <v>800</v>
      </c>
      <c r="C149" s="78">
        <v>0</v>
      </c>
      <c r="D149" s="78">
        <v>0</v>
      </c>
      <c r="E149" s="78">
        <v>800</v>
      </c>
      <c r="F149" s="78">
        <v>8</v>
      </c>
      <c r="G149" s="78">
        <v>0</v>
      </c>
      <c r="H149" s="78">
        <v>0</v>
      </c>
      <c r="I149" s="78">
        <v>0</v>
      </c>
      <c r="J149" s="79">
        <v>792</v>
      </c>
      <c r="K149" s="517">
        <v>41058</v>
      </c>
    </row>
    <row r="150" spans="1:11" ht="13.5" thickBot="1">
      <c r="A150" s="391" t="s">
        <v>0</v>
      </c>
      <c r="B150" s="512">
        <f t="shared" ref="B150:J150" si="11">SUM(B120:B149)</f>
        <v>36410.000000000007</v>
      </c>
      <c r="C150" s="512">
        <f t="shared" si="11"/>
        <v>821.28</v>
      </c>
      <c r="D150" s="512">
        <f t="shared" si="11"/>
        <v>1761.06</v>
      </c>
      <c r="E150" s="512">
        <f t="shared" si="11"/>
        <v>35470.220000000008</v>
      </c>
      <c r="F150" s="512">
        <f t="shared" si="11"/>
        <v>372.29999999999995</v>
      </c>
      <c r="G150" s="512">
        <f t="shared" si="11"/>
        <v>1376</v>
      </c>
      <c r="H150" s="512">
        <f t="shared" si="11"/>
        <v>1771.75</v>
      </c>
      <c r="I150" s="512">
        <f t="shared" si="11"/>
        <v>1891.25</v>
      </c>
      <c r="J150" s="512">
        <f t="shared" si="11"/>
        <v>30058.930000000004</v>
      </c>
      <c r="K150" s="286"/>
    </row>
    <row r="151" spans="1:11">
      <c r="A151" s="17"/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1">
      <c r="A152" s="17"/>
      <c r="B152" s="54" t="s">
        <v>20</v>
      </c>
      <c r="C152" s="53">
        <f>E150-I150</f>
        <v>33578.970000000008</v>
      </c>
      <c r="D152" s="53"/>
      <c r="E152" s="55" t="s">
        <v>21</v>
      </c>
      <c r="F152" s="53">
        <f>G150</f>
        <v>1376</v>
      </c>
      <c r="G152" s="15"/>
      <c r="H152" s="15"/>
      <c r="I152" s="15"/>
      <c r="J152" s="15"/>
    </row>
    <row r="153" spans="1:11" s="17" customFormat="1" ht="12">
      <c r="B153" s="54"/>
      <c r="C153" s="53"/>
      <c r="D153" s="53"/>
      <c r="E153" s="55"/>
      <c r="F153" s="53"/>
      <c r="G153" s="15"/>
      <c r="H153" s="15"/>
      <c r="I153" s="15"/>
      <c r="J153" s="15"/>
    </row>
    <row r="154" spans="1:11" s="15" customFormat="1" ht="12">
      <c r="A154" s="17"/>
      <c r="B154" s="54" t="s">
        <v>22</v>
      </c>
      <c r="C154" s="53">
        <f>C152</f>
        <v>33578.970000000008</v>
      </c>
      <c r="D154" s="53"/>
      <c r="E154" s="55" t="s">
        <v>23</v>
      </c>
      <c r="F154" s="53">
        <f>C154*1%</f>
        <v>335.7897000000001</v>
      </c>
      <c r="K154" s="17"/>
    </row>
    <row r="155" spans="1:11" s="15" customFormat="1" ht="12">
      <c r="A155" s="17"/>
      <c r="B155" s="54"/>
      <c r="C155" s="53"/>
      <c r="D155" s="53"/>
      <c r="E155" s="55"/>
      <c r="F155" s="53"/>
      <c r="K155" s="17"/>
    </row>
    <row r="156" spans="1:11" s="15" customFormat="1" ht="12">
      <c r="A156" s="17"/>
      <c r="B156" s="54" t="s">
        <v>24</v>
      </c>
      <c r="C156" s="53">
        <f>E150</f>
        <v>35470.220000000008</v>
      </c>
      <c r="D156" s="53"/>
      <c r="E156" s="55" t="s">
        <v>25</v>
      </c>
      <c r="F156" s="53">
        <f>C156*2%</f>
        <v>709.40440000000024</v>
      </c>
      <c r="K156" s="17"/>
    </row>
    <row r="157" spans="1:11" s="15" customFormat="1" thickBot="1">
      <c r="A157" s="17"/>
      <c r="B157" s="18"/>
      <c r="C157" s="53"/>
      <c r="D157" s="53"/>
      <c r="E157" s="55"/>
      <c r="F157" s="57"/>
      <c r="K157" s="17"/>
    </row>
    <row r="158" spans="1:11" s="15" customFormat="1" thickTop="1">
      <c r="A158" s="17"/>
      <c r="B158" s="18"/>
      <c r="C158" s="53"/>
      <c r="D158" s="53"/>
      <c r="E158" s="55" t="s">
        <v>0</v>
      </c>
      <c r="F158" s="56">
        <f>SUM(F152:F157)</f>
        <v>2421.1941000000002</v>
      </c>
      <c r="K158" s="17"/>
    </row>
    <row r="159" spans="1:11" s="15" customFormat="1" ht="12">
      <c r="A159" s="17"/>
      <c r="K159" s="17"/>
    </row>
    <row r="160" spans="1:11" s="15" customFormat="1" ht="12">
      <c r="A160" s="17"/>
      <c r="B160" s="14"/>
      <c r="K160" s="17"/>
    </row>
    <row r="161" spans="1:11" s="15" customFormat="1" ht="12">
      <c r="A161" s="17"/>
      <c r="B161" s="14"/>
      <c r="K161" s="17"/>
    </row>
    <row r="162" spans="1:11" s="15" customFormat="1" ht="12">
      <c r="A162" s="17"/>
      <c r="B162" s="14"/>
      <c r="K162" s="17"/>
    </row>
    <row r="163" spans="1:11" s="15" customFormat="1" ht="12">
      <c r="A163" s="17"/>
      <c r="B163" s="14"/>
      <c r="K163" s="17"/>
    </row>
    <row r="164" spans="1:11" s="15" customFormat="1" ht="12">
      <c r="A164" s="17"/>
      <c r="B164" s="14"/>
      <c r="K164" s="17"/>
    </row>
    <row r="165" spans="1:11" s="15" customFormat="1" ht="12">
      <c r="A165" s="17"/>
      <c r="B165" s="14"/>
      <c r="K165" s="17"/>
    </row>
    <row r="166" spans="1:11" s="15" customFormat="1" ht="12">
      <c r="A166" s="17"/>
      <c r="K166" s="17"/>
    </row>
    <row r="167" spans="1:11" s="15" customFormat="1" ht="12">
      <c r="A167" s="17"/>
      <c r="K167" s="17"/>
    </row>
    <row r="168" spans="1:11" s="15" customFormat="1" ht="12">
      <c r="A168" s="17"/>
      <c r="K168" s="17"/>
    </row>
    <row r="169" spans="1:11" s="15" customFormat="1" ht="12">
      <c r="A169" s="17"/>
      <c r="K169" s="17"/>
    </row>
    <row r="170" spans="1:11" s="15" customFormat="1" ht="12">
      <c r="A170" s="17"/>
      <c r="K170" s="17"/>
    </row>
    <row r="171" spans="1:11" s="15" customFormat="1" ht="12">
      <c r="A171" s="17"/>
      <c r="K171" s="17"/>
    </row>
    <row r="172" spans="1:11" s="15" customFormat="1">
      <c r="A172" s="24"/>
      <c r="B172" s="5"/>
      <c r="C172" s="5"/>
      <c r="D172" s="5"/>
      <c r="E172" s="5"/>
      <c r="F172" s="5"/>
      <c r="G172" s="5"/>
      <c r="H172" s="5"/>
      <c r="I172" s="5"/>
      <c r="J172" s="5"/>
      <c r="K172" s="17"/>
    </row>
    <row r="173" spans="1:11" s="15" customFormat="1">
      <c r="A173" s="24"/>
      <c r="B173" s="5"/>
      <c r="C173" s="5"/>
      <c r="D173" s="5"/>
      <c r="E173" s="5"/>
      <c r="F173" s="5"/>
      <c r="G173" s="5"/>
      <c r="H173" s="5"/>
      <c r="I173" s="5"/>
      <c r="J173" s="5"/>
      <c r="K173" s="17"/>
    </row>
    <row r="174" spans="1:11" s="15" customFormat="1">
      <c r="A174" s="24"/>
      <c r="B174" s="5"/>
      <c r="C174" s="5"/>
      <c r="D174" s="5"/>
      <c r="E174" s="5"/>
      <c r="F174" s="5"/>
      <c r="G174" s="5"/>
      <c r="H174" s="5"/>
      <c r="I174" s="5"/>
      <c r="J174" s="5"/>
      <c r="K174" s="17"/>
    </row>
    <row r="175" spans="1:11" s="15" customFormat="1">
      <c r="A175" s="24"/>
      <c r="B175" s="5"/>
      <c r="C175" s="5"/>
      <c r="D175" s="5"/>
      <c r="E175" s="5"/>
      <c r="F175" s="5"/>
      <c r="G175" s="5"/>
      <c r="H175" s="5"/>
      <c r="I175" s="5"/>
      <c r="J175" s="5"/>
      <c r="K175" s="17"/>
    </row>
  </sheetData>
  <mergeCells count="6">
    <mergeCell ref="C54:D54"/>
    <mergeCell ref="C41:D41"/>
    <mergeCell ref="A1:K1"/>
    <mergeCell ref="C2:D2"/>
    <mergeCell ref="C15:D15"/>
    <mergeCell ref="C28:D28"/>
  </mergeCells>
  <printOptions horizontalCentered="1"/>
  <pageMargins left="0.74803149606299213" right="0.74803149606299213" top="0.51181102362204722" bottom="0.51181102362204722" header="0.31496062992125984" footer="0.31496062992125984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88" sqref="B88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0.85546875" style="5" customWidth="1"/>
    <col min="5" max="5" width="10.5703125" style="5" customWidth="1"/>
    <col min="6" max="6" width="7.42578125" style="5" customWidth="1"/>
    <col min="7" max="7" width="23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2:15" s="1" customFormat="1" ht="18">
      <c r="B1" s="935" t="s">
        <v>386</v>
      </c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</row>
    <row r="2" spans="2:15" ht="30" customHeight="1" thickBot="1">
      <c r="B2" s="2"/>
      <c r="C2" s="147">
        <v>23</v>
      </c>
      <c r="D2" s="147"/>
      <c r="E2" s="936" t="s">
        <v>395</v>
      </c>
      <c r="F2" s="937"/>
      <c r="G2" s="3"/>
      <c r="H2" s="4"/>
      <c r="I2" s="4"/>
      <c r="J2" s="4"/>
      <c r="K2" s="4"/>
      <c r="L2" s="4"/>
      <c r="M2" s="34"/>
      <c r="N2" s="4"/>
    </row>
    <row r="3" spans="2:15" s="6" customFormat="1" ht="13.5" thickBot="1">
      <c r="B3" s="49"/>
      <c r="C3" s="146" t="s">
        <v>1</v>
      </c>
      <c r="D3" s="146"/>
      <c r="E3" s="50" t="s">
        <v>2</v>
      </c>
      <c r="F3" s="38" t="s">
        <v>3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  <c r="L3" s="38" t="s">
        <v>9</v>
      </c>
      <c r="M3" s="20" t="s">
        <v>10</v>
      </c>
      <c r="O3" s="465"/>
    </row>
    <row r="4" spans="2:15">
      <c r="B4" s="207" t="s">
        <v>11</v>
      </c>
      <c r="C4" s="285" t="s">
        <v>12</v>
      </c>
      <c r="D4" s="285"/>
      <c r="E4" s="65">
        <v>960</v>
      </c>
      <c r="F4" s="66">
        <v>0</v>
      </c>
      <c r="G4" s="66">
        <v>63.36</v>
      </c>
      <c r="H4" s="66">
        <v>896.64</v>
      </c>
      <c r="I4" s="66">
        <v>9.6</v>
      </c>
      <c r="J4" s="66">
        <v>0</v>
      </c>
      <c r="K4" s="66">
        <v>-50</v>
      </c>
      <c r="L4" s="66">
        <v>0</v>
      </c>
      <c r="M4" s="67">
        <v>937.04</v>
      </c>
      <c r="O4" s="466"/>
    </row>
    <row r="5" spans="2:15">
      <c r="B5" s="103" t="s">
        <v>13</v>
      </c>
      <c r="C5" s="145" t="s">
        <v>14</v>
      </c>
      <c r="D5" s="145"/>
      <c r="E5" s="68">
        <v>891.6</v>
      </c>
      <c r="F5" s="69">
        <v>0</v>
      </c>
      <c r="G5" s="69">
        <v>58.85</v>
      </c>
      <c r="H5" s="69">
        <v>832.75</v>
      </c>
      <c r="I5" s="69">
        <v>8.92</v>
      </c>
      <c r="J5" s="69">
        <v>0</v>
      </c>
      <c r="K5" s="69">
        <v>-50</v>
      </c>
      <c r="L5" s="69">
        <v>0</v>
      </c>
      <c r="M5" s="70">
        <v>873.84</v>
      </c>
      <c r="O5" s="466"/>
    </row>
    <row r="6" spans="2:15">
      <c r="B6" s="103" t="s">
        <v>104</v>
      </c>
      <c r="C6" s="145" t="s">
        <v>15</v>
      </c>
      <c r="D6" s="145"/>
      <c r="E6" s="68">
        <v>646.4</v>
      </c>
      <c r="F6" s="69">
        <v>0</v>
      </c>
      <c r="G6" s="69">
        <v>42.66</v>
      </c>
      <c r="H6" s="69">
        <v>603.74</v>
      </c>
      <c r="I6" s="69">
        <v>6.46</v>
      </c>
      <c r="J6" s="69">
        <v>0</v>
      </c>
      <c r="K6" s="69">
        <v>-50</v>
      </c>
      <c r="L6" s="69">
        <v>0</v>
      </c>
      <c r="M6" s="70">
        <v>647.27</v>
      </c>
      <c r="O6" s="466"/>
    </row>
    <row r="7" spans="2:15">
      <c r="B7" s="103" t="s">
        <v>26</v>
      </c>
      <c r="C7" s="145" t="s">
        <v>16</v>
      </c>
      <c r="D7" s="145"/>
      <c r="E7" s="68">
        <v>2760</v>
      </c>
      <c r="F7" s="69">
        <v>0</v>
      </c>
      <c r="G7" s="69">
        <v>182.16</v>
      </c>
      <c r="H7" s="69">
        <v>2577.84</v>
      </c>
      <c r="I7" s="69">
        <v>27.6</v>
      </c>
      <c r="J7" s="69">
        <v>244</v>
      </c>
      <c r="K7" s="69">
        <v>600</v>
      </c>
      <c r="L7" s="69">
        <v>378.25</v>
      </c>
      <c r="M7" s="70">
        <v>1327.99</v>
      </c>
      <c r="N7" s="221"/>
      <c r="O7" s="466"/>
    </row>
    <row r="8" spans="2:15">
      <c r="B8" s="103" t="s">
        <v>53</v>
      </c>
      <c r="C8" s="580" t="s">
        <v>52</v>
      </c>
      <c r="D8" s="634"/>
      <c r="E8" s="68">
        <v>1290.4000000000001</v>
      </c>
      <c r="F8" s="69">
        <v>0</v>
      </c>
      <c r="G8" s="69">
        <v>0</v>
      </c>
      <c r="H8" s="69">
        <v>1290.4000000000001</v>
      </c>
      <c r="I8" s="69">
        <v>12.9</v>
      </c>
      <c r="J8" s="69">
        <v>12</v>
      </c>
      <c r="K8" s="69">
        <v>100</v>
      </c>
      <c r="L8" s="69">
        <v>0</v>
      </c>
      <c r="M8" s="70">
        <v>1165.5</v>
      </c>
      <c r="O8" s="466"/>
    </row>
    <row r="9" spans="2:15">
      <c r="B9" s="103" t="s">
        <v>208</v>
      </c>
      <c r="C9" s="580" t="s">
        <v>207</v>
      </c>
      <c r="D9" s="634"/>
      <c r="E9" s="68">
        <v>800</v>
      </c>
      <c r="F9" s="69">
        <v>0</v>
      </c>
      <c r="G9" s="69">
        <v>0</v>
      </c>
      <c r="H9" s="69">
        <v>800</v>
      </c>
      <c r="I9" s="69">
        <v>8</v>
      </c>
      <c r="J9" s="69">
        <v>0</v>
      </c>
      <c r="K9" s="69">
        <v>0</v>
      </c>
      <c r="L9" s="69">
        <v>0</v>
      </c>
      <c r="M9" s="70">
        <v>792</v>
      </c>
      <c r="O9" s="466"/>
    </row>
    <row r="10" spans="2:15">
      <c r="B10" s="103" t="s">
        <v>104</v>
      </c>
      <c r="C10" s="145" t="s">
        <v>54</v>
      </c>
      <c r="D10" s="145"/>
      <c r="E10" s="68">
        <v>500</v>
      </c>
      <c r="F10" s="69">
        <v>0</v>
      </c>
      <c r="G10" s="69">
        <v>0</v>
      </c>
      <c r="H10" s="69">
        <v>500</v>
      </c>
      <c r="I10" s="69">
        <v>0</v>
      </c>
      <c r="J10" s="69">
        <v>0</v>
      </c>
      <c r="K10" s="69">
        <v>0</v>
      </c>
      <c r="L10" s="69">
        <v>0</v>
      </c>
      <c r="M10" s="70">
        <v>500</v>
      </c>
      <c r="O10" s="466"/>
    </row>
    <row r="11" spans="2:15">
      <c r="B11" s="199" t="s">
        <v>34</v>
      </c>
      <c r="C11" s="148" t="s">
        <v>48</v>
      </c>
      <c r="D11" s="148"/>
      <c r="E11" s="157"/>
      <c r="F11" s="158"/>
      <c r="G11" s="158"/>
      <c r="H11" s="158"/>
      <c r="I11" s="158"/>
      <c r="J11" s="158"/>
      <c r="K11" s="158"/>
      <c r="L11" s="159"/>
      <c r="M11" s="143">
        <v>950</v>
      </c>
      <c r="O11" s="466"/>
    </row>
    <row r="12" spans="2:15" ht="13.5" thickBot="1">
      <c r="B12" s="208" t="s">
        <v>94</v>
      </c>
      <c r="C12" s="144" t="s">
        <v>95</v>
      </c>
      <c r="D12" s="144"/>
      <c r="E12" s="160"/>
      <c r="F12" s="161"/>
      <c r="G12" s="161"/>
      <c r="H12" s="161"/>
      <c r="I12" s="161"/>
      <c r="J12" s="161"/>
      <c r="K12" s="161"/>
      <c r="L12" s="162"/>
      <c r="M12" s="79">
        <v>825</v>
      </c>
      <c r="O12" s="466"/>
    </row>
    <row r="13" spans="2:15" ht="13.5" thickBot="1">
      <c r="B13" s="21"/>
      <c r="C13" s="61" t="s">
        <v>0</v>
      </c>
      <c r="D13" s="61"/>
      <c r="E13" s="109">
        <f t="shared" ref="E13:L13" si="0">SUM(E4:E10)</f>
        <v>7848.4</v>
      </c>
      <c r="F13" s="62">
        <f t="shared" si="0"/>
        <v>0</v>
      </c>
      <c r="G13" s="62">
        <f t="shared" si="0"/>
        <v>347.03</v>
      </c>
      <c r="H13" s="62">
        <f t="shared" si="0"/>
        <v>7501.3700000000008</v>
      </c>
      <c r="I13" s="62">
        <f t="shared" si="0"/>
        <v>73.48</v>
      </c>
      <c r="J13" s="62">
        <f t="shared" si="0"/>
        <v>256</v>
      </c>
      <c r="K13" s="62">
        <f t="shared" si="0"/>
        <v>550</v>
      </c>
      <c r="L13" s="62">
        <f t="shared" si="0"/>
        <v>378.25</v>
      </c>
      <c r="M13" s="110">
        <f>SUM(M4:M12)</f>
        <v>8018.64</v>
      </c>
      <c r="O13" s="4"/>
    </row>
    <row r="14" spans="2:15" ht="12.75" customHeight="1">
      <c r="B14" s="21"/>
      <c r="C14" s="64"/>
      <c r="D14" s="64"/>
      <c r="E14" s="28"/>
      <c r="F14" s="28"/>
      <c r="G14" s="28"/>
      <c r="H14" s="28"/>
      <c r="I14" s="28"/>
      <c r="J14" s="28"/>
      <c r="K14" s="28"/>
      <c r="L14" s="28"/>
      <c r="M14" s="76"/>
      <c r="O14" s="4"/>
    </row>
    <row r="15" spans="2:15" ht="30" customHeight="1" thickBot="1">
      <c r="B15" s="2"/>
      <c r="C15" s="147">
        <v>24</v>
      </c>
      <c r="D15" s="147"/>
      <c r="E15" s="936" t="s">
        <v>396</v>
      </c>
      <c r="F15" s="937"/>
      <c r="G15" s="3"/>
      <c r="H15" s="4"/>
      <c r="I15" s="4"/>
      <c r="J15" s="4"/>
      <c r="K15" s="4"/>
      <c r="L15" s="4"/>
      <c r="M15" s="34"/>
      <c r="N15" s="4"/>
    </row>
    <row r="16" spans="2:15" s="6" customFormat="1" ht="13.5" thickBot="1">
      <c r="B16" s="49"/>
      <c r="C16" s="146" t="s">
        <v>1</v>
      </c>
      <c r="D16" s="146"/>
      <c r="E16" s="50" t="s">
        <v>2</v>
      </c>
      <c r="F16" s="38" t="s">
        <v>3</v>
      </c>
      <c r="G16" s="38" t="s">
        <v>4</v>
      </c>
      <c r="H16" s="38" t="s">
        <v>5</v>
      </c>
      <c r="I16" s="38" t="s">
        <v>6</v>
      </c>
      <c r="J16" s="38" t="s">
        <v>7</v>
      </c>
      <c r="K16" s="38" t="s">
        <v>8</v>
      </c>
      <c r="L16" s="38" t="s">
        <v>9</v>
      </c>
      <c r="M16" s="20" t="s">
        <v>10</v>
      </c>
    </row>
    <row r="17" spans="1:14">
      <c r="B17" s="207" t="s">
        <v>11</v>
      </c>
      <c r="C17" s="285" t="s">
        <v>12</v>
      </c>
      <c r="D17" s="285"/>
      <c r="E17" s="65">
        <v>960</v>
      </c>
      <c r="F17" s="66">
        <v>0</v>
      </c>
      <c r="G17" s="66">
        <v>63.36</v>
      </c>
      <c r="H17" s="66">
        <v>896.64</v>
      </c>
      <c r="I17" s="66">
        <v>9.6</v>
      </c>
      <c r="J17" s="66">
        <v>0</v>
      </c>
      <c r="K17" s="66">
        <v>-50</v>
      </c>
      <c r="L17" s="66">
        <v>0</v>
      </c>
      <c r="M17" s="67">
        <v>937.04</v>
      </c>
    </row>
    <row r="18" spans="1:14">
      <c r="B18" s="103" t="s">
        <v>13</v>
      </c>
      <c r="C18" s="145" t="s">
        <v>14</v>
      </c>
      <c r="D18" s="145"/>
      <c r="E18" s="68">
        <v>891.6</v>
      </c>
      <c r="F18" s="69">
        <v>0</v>
      </c>
      <c r="G18" s="69">
        <v>58.85</v>
      </c>
      <c r="H18" s="69">
        <v>832.75</v>
      </c>
      <c r="I18" s="69">
        <v>8.92</v>
      </c>
      <c r="J18" s="69">
        <v>0</v>
      </c>
      <c r="K18" s="69">
        <v>-50</v>
      </c>
      <c r="L18" s="69">
        <v>0</v>
      </c>
      <c r="M18" s="70">
        <v>873.84</v>
      </c>
    </row>
    <row r="19" spans="1:14">
      <c r="B19" s="103" t="s">
        <v>104</v>
      </c>
      <c r="C19" s="145" t="s">
        <v>15</v>
      </c>
      <c r="D19" s="145"/>
      <c r="E19" s="68">
        <v>646.4</v>
      </c>
      <c r="F19" s="69">
        <v>0</v>
      </c>
      <c r="G19" s="69">
        <v>42.66</v>
      </c>
      <c r="H19" s="69">
        <v>603.74</v>
      </c>
      <c r="I19" s="69">
        <v>6.46</v>
      </c>
      <c r="J19" s="69">
        <v>0</v>
      </c>
      <c r="K19" s="69">
        <v>-50</v>
      </c>
      <c r="L19" s="69">
        <v>0</v>
      </c>
      <c r="M19" s="70">
        <v>647.27</v>
      </c>
    </row>
    <row r="20" spans="1:14">
      <c r="B20" s="103" t="s">
        <v>26</v>
      </c>
      <c r="C20" s="145" t="s">
        <v>16</v>
      </c>
      <c r="D20" s="145"/>
      <c r="E20" s="68">
        <v>2760</v>
      </c>
      <c r="F20" s="69">
        <v>0</v>
      </c>
      <c r="G20" s="69">
        <v>182.16</v>
      </c>
      <c r="H20" s="69">
        <v>2577.84</v>
      </c>
      <c r="I20" s="69">
        <v>27.6</v>
      </c>
      <c r="J20" s="69">
        <v>244</v>
      </c>
      <c r="K20" s="69">
        <v>600</v>
      </c>
      <c r="L20" s="69">
        <v>378.25</v>
      </c>
      <c r="M20" s="70">
        <v>1327.99</v>
      </c>
    </row>
    <row r="21" spans="1:14">
      <c r="B21" s="103" t="s">
        <v>53</v>
      </c>
      <c r="C21" s="580" t="s">
        <v>52</v>
      </c>
      <c r="D21" s="634"/>
      <c r="E21" s="68">
        <v>1290.4000000000001</v>
      </c>
      <c r="F21" s="69">
        <v>0</v>
      </c>
      <c r="G21" s="69">
        <v>0</v>
      </c>
      <c r="H21" s="69">
        <v>1290.4000000000001</v>
      </c>
      <c r="I21" s="69">
        <v>12.9</v>
      </c>
      <c r="J21" s="69">
        <v>12</v>
      </c>
      <c r="K21" s="69">
        <v>100</v>
      </c>
      <c r="L21" s="69">
        <v>0</v>
      </c>
      <c r="M21" s="70">
        <v>1165.5</v>
      </c>
      <c r="N21" s="120"/>
    </row>
    <row r="22" spans="1:14">
      <c r="B22" s="103" t="s">
        <v>208</v>
      </c>
      <c r="C22" s="580" t="s">
        <v>207</v>
      </c>
      <c r="D22" s="634"/>
      <c r="E22" s="68">
        <v>800</v>
      </c>
      <c r="F22" s="69">
        <v>0</v>
      </c>
      <c r="G22" s="69">
        <v>0</v>
      </c>
      <c r="H22" s="69">
        <v>800</v>
      </c>
      <c r="I22" s="69">
        <v>8</v>
      </c>
      <c r="J22" s="69">
        <v>0</v>
      </c>
      <c r="K22" s="69">
        <v>0</v>
      </c>
      <c r="L22" s="69">
        <v>0</v>
      </c>
      <c r="M22" s="70">
        <v>792</v>
      </c>
      <c r="N22" s="120"/>
    </row>
    <row r="23" spans="1:14">
      <c r="B23" s="103" t="s">
        <v>104</v>
      </c>
      <c r="C23" s="145" t="s">
        <v>54</v>
      </c>
      <c r="D23" s="145"/>
      <c r="E23" s="68">
        <v>500</v>
      </c>
      <c r="F23" s="69">
        <v>0</v>
      </c>
      <c r="G23" s="69">
        <v>0</v>
      </c>
      <c r="H23" s="69">
        <v>500</v>
      </c>
      <c r="I23" s="69">
        <v>0</v>
      </c>
      <c r="J23" s="69">
        <v>0</v>
      </c>
      <c r="K23" s="69">
        <v>0</v>
      </c>
      <c r="L23" s="69">
        <v>0</v>
      </c>
      <c r="M23" s="70">
        <v>500</v>
      </c>
    </row>
    <row r="24" spans="1:14">
      <c r="B24" s="199" t="s">
        <v>34</v>
      </c>
      <c r="C24" s="148" t="s">
        <v>48</v>
      </c>
      <c r="D24" s="148"/>
      <c r="E24" s="157"/>
      <c r="F24" s="158"/>
      <c r="G24" s="158"/>
      <c r="H24" s="158"/>
      <c r="I24" s="158"/>
      <c r="J24" s="158"/>
      <c r="K24" s="158"/>
      <c r="L24" s="159"/>
      <c r="M24" s="143">
        <v>950</v>
      </c>
    </row>
    <row r="25" spans="1:14" ht="13.5" thickBot="1">
      <c r="B25" s="208" t="s">
        <v>94</v>
      </c>
      <c r="C25" s="144" t="s">
        <v>95</v>
      </c>
      <c r="D25" s="144"/>
      <c r="E25" s="160"/>
      <c r="F25" s="161"/>
      <c r="G25" s="161"/>
      <c r="H25" s="161"/>
      <c r="I25" s="161"/>
      <c r="J25" s="161"/>
      <c r="K25" s="161"/>
      <c r="L25" s="162"/>
      <c r="M25" s="79">
        <v>825</v>
      </c>
    </row>
    <row r="26" spans="1:14" ht="13.5" thickBot="1">
      <c r="B26" s="21"/>
      <c r="C26" s="61" t="s">
        <v>0</v>
      </c>
      <c r="D26" s="61"/>
      <c r="E26" s="109">
        <f t="shared" ref="E26:L26" si="1">SUM(E17:E24)</f>
        <v>7848.4</v>
      </c>
      <c r="F26" s="62">
        <f t="shared" si="1"/>
        <v>0</v>
      </c>
      <c r="G26" s="62">
        <f t="shared" si="1"/>
        <v>347.03</v>
      </c>
      <c r="H26" s="62">
        <f t="shared" si="1"/>
        <v>7501.3700000000008</v>
      </c>
      <c r="I26" s="62">
        <f t="shared" si="1"/>
        <v>73.48</v>
      </c>
      <c r="J26" s="62">
        <f t="shared" si="1"/>
        <v>256</v>
      </c>
      <c r="K26" s="62">
        <f t="shared" si="1"/>
        <v>550</v>
      </c>
      <c r="L26" s="62">
        <f t="shared" si="1"/>
        <v>378.25</v>
      </c>
      <c r="M26" s="110">
        <f>SUM(M17:M25)</f>
        <v>8018.64</v>
      </c>
    </row>
    <row r="27" spans="1:14" ht="14.25" customHeight="1">
      <c r="B27" s="21"/>
      <c r="C27" s="64"/>
      <c r="D27" s="64"/>
      <c r="E27" s="76"/>
      <c r="F27" s="76"/>
      <c r="G27" s="76"/>
      <c r="H27" s="76"/>
      <c r="I27" s="76"/>
      <c r="J27" s="76"/>
      <c r="K27" s="76"/>
      <c r="L27" s="76"/>
      <c r="M27" s="76"/>
    </row>
    <row r="28" spans="1:14" s="600" customFormat="1" ht="6.75" customHeight="1">
      <c r="B28" s="601"/>
      <c r="C28" s="602"/>
      <c r="D28" s="602"/>
      <c r="E28" s="603"/>
      <c r="F28" s="603"/>
      <c r="G28" s="603"/>
      <c r="H28" s="603"/>
      <c r="I28" s="603"/>
      <c r="J28" s="603"/>
      <c r="K28" s="603"/>
      <c r="L28" s="603"/>
      <c r="M28" s="603"/>
    </row>
    <row r="29" spans="1:14" ht="19.5" customHeight="1">
      <c r="A29" s="944"/>
      <c r="B29" s="595" t="s">
        <v>419</v>
      </c>
      <c r="C29" s="621">
        <v>25</v>
      </c>
      <c r="D29" s="621"/>
      <c r="E29" s="76"/>
      <c r="F29" s="76"/>
      <c r="G29" s="76"/>
      <c r="H29" s="76"/>
      <c r="I29" s="76"/>
      <c r="J29" s="76"/>
      <c r="K29" s="76"/>
      <c r="L29" s="76"/>
      <c r="M29" s="5"/>
    </row>
    <row r="30" spans="1:14" ht="19.5" customHeight="1">
      <c r="A30" s="944"/>
      <c r="B30" s="595" t="s">
        <v>420</v>
      </c>
      <c r="C30" s="621">
        <v>16</v>
      </c>
      <c r="D30" s="621"/>
      <c r="E30" s="76"/>
      <c r="F30" s="76"/>
      <c r="G30" s="76"/>
      <c r="H30" s="76"/>
      <c r="I30" s="76"/>
      <c r="J30" s="76"/>
      <c r="K30" s="76"/>
      <c r="L30" s="76"/>
      <c r="M30" s="5"/>
    </row>
    <row r="31" spans="1:14" ht="19.5" customHeight="1">
      <c r="B31" s="595" t="s">
        <v>423</v>
      </c>
      <c r="C31" s="622" t="s">
        <v>422</v>
      </c>
      <c r="D31" s="622"/>
      <c r="E31" s="76"/>
      <c r="F31" s="76"/>
      <c r="G31" s="76"/>
      <c r="H31" s="76"/>
      <c r="I31" s="76"/>
      <c r="J31" s="76"/>
      <c r="K31" s="76"/>
      <c r="L31" s="76"/>
      <c r="M31" s="5"/>
    </row>
    <row r="32" spans="1:14" ht="4.5" customHeight="1">
      <c r="B32" s="2"/>
      <c r="C32" s="147"/>
      <c r="D32" s="147"/>
      <c r="E32" s="945"/>
      <c r="F32" s="946"/>
      <c r="G32" s="3"/>
      <c r="H32" s="4"/>
      <c r="I32" s="4"/>
      <c r="J32" s="4"/>
      <c r="K32" s="4"/>
      <c r="L32" s="34"/>
      <c r="M32" s="4"/>
    </row>
    <row r="33" spans="1:13" s="6" customFormat="1" ht="13.5" thickBot="1">
      <c r="B33" s="596" t="s">
        <v>421</v>
      </c>
      <c r="C33" s="598" t="s">
        <v>1</v>
      </c>
      <c r="D33" s="598"/>
      <c r="E33" s="599" t="s">
        <v>10</v>
      </c>
    </row>
    <row r="34" spans="1:13">
      <c r="B34" s="207" t="s">
        <v>11</v>
      </c>
      <c r="C34" s="597" t="s">
        <v>78</v>
      </c>
      <c r="D34" s="638"/>
      <c r="E34" s="609">
        <v>937.04</v>
      </c>
      <c r="M34" s="5"/>
    </row>
    <row r="35" spans="1:13">
      <c r="B35" s="103" t="s">
        <v>13</v>
      </c>
      <c r="C35" s="145" t="s">
        <v>76</v>
      </c>
      <c r="D35" s="639"/>
      <c r="E35" s="610">
        <v>873.83</v>
      </c>
      <c r="M35" s="5"/>
    </row>
    <row r="36" spans="1:13">
      <c r="B36" s="103" t="s">
        <v>104</v>
      </c>
      <c r="C36" s="145" t="s">
        <v>424</v>
      </c>
      <c r="D36" s="639"/>
      <c r="E36" s="610">
        <v>647.28</v>
      </c>
      <c r="M36" s="5"/>
    </row>
    <row r="37" spans="1:13">
      <c r="B37" s="103" t="s">
        <v>26</v>
      </c>
      <c r="C37" s="145" t="s">
        <v>80</v>
      </c>
      <c r="D37" s="639"/>
      <c r="E37" s="610">
        <v>2078.54</v>
      </c>
      <c r="F37" s="415"/>
      <c r="M37" s="5"/>
    </row>
    <row r="38" spans="1:13">
      <c r="B38" s="103" t="s">
        <v>53</v>
      </c>
      <c r="C38" s="583" t="s">
        <v>77</v>
      </c>
      <c r="D38" s="640"/>
      <c r="E38" s="610">
        <v>1165.3499999999999</v>
      </c>
      <c r="F38" s="415"/>
      <c r="M38" s="5"/>
    </row>
    <row r="39" spans="1:13" ht="13.5" thickBot="1">
      <c r="B39" s="606" t="s">
        <v>208</v>
      </c>
      <c r="C39" s="584" t="s">
        <v>215</v>
      </c>
      <c r="D39" s="641"/>
      <c r="E39" s="611">
        <v>1029.5999999999999</v>
      </c>
      <c r="F39" s="415"/>
      <c r="M39" s="5"/>
    </row>
    <row r="40" spans="1:13" s="4" customFormat="1" ht="13.5" thickBot="1">
      <c r="B40" s="419"/>
      <c r="C40" s="604"/>
      <c r="D40" s="604"/>
      <c r="E40" s="612">
        <f>SUM(E34:E39)</f>
        <v>6731.6399999999994</v>
      </c>
      <c r="F40" s="605"/>
    </row>
    <row r="41" spans="1:13">
      <c r="B41" s="207" t="s">
        <v>104</v>
      </c>
      <c r="C41" s="285" t="s">
        <v>339</v>
      </c>
      <c r="D41" s="285"/>
      <c r="E41" s="613">
        <v>500</v>
      </c>
      <c r="M41" s="5"/>
    </row>
    <row r="42" spans="1:13">
      <c r="B42" s="199" t="s">
        <v>34</v>
      </c>
      <c r="C42" s="148" t="s">
        <v>48</v>
      </c>
      <c r="D42" s="148"/>
      <c r="E42" s="614">
        <v>950</v>
      </c>
      <c r="M42" s="5"/>
    </row>
    <row r="43" spans="1:13" ht="13.5" thickBot="1">
      <c r="B43" s="208" t="s">
        <v>94</v>
      </c>
      <c r="C43" s="607" t="s">
        <v>95</v>
      </c>
      <c r="D43" s="607"/>
      <c r="E43" s="615">
        <v>825</v>
      </c>
      <c r="M43" s="5"/>
    </row>
    <row r="44" spans="1:13" ht="13.5" thickBot="1">
      <c r="B44" s="21"/>
      <c r="C44" s="608" t="s">
        <v>0</v>
      </c>
      <c r="D44" s="608"/>
      <c r="E44" s="616">
        <f>SUM(E40:E43)</f>
        <v>9006.64</v>
      </c>
      <c r="M44" s="5"/>
    </row>
    <row r="45" spans="1:13" ht="12.75" customHeight="1">
      <c r="B45" s="21"/>
      <c r="C45" s="64"/>
      <c r="D45" s="64"/>
      <c r="E45" s="76"/>
      <c r="F45" s="76"/>
      <c r="G45" s="76"/>
      <c r="H45" s="76"/>
      <c r="I45" s="76"/>
      <c r="J45" s="76"/>
      <c r="K45" s="76"/>
      <c r="L45" s="76"/>
      <c r="M45" s="76"/>
    </row>
    <row r="46" spans="1:13" s="600" customFormat="1" ht="6.75" customHeight="1">
      <c r="B46" s="601"/>
      <c r="C46" s="602"/>
      <c r="D46" s="602"/>
      <c r="E46" s="603"/>
      <c r="F46" s="603"/>
      <c r="G46" s="603"/>
      <c r="H46" s="603"/>
      <c r="I46" s="603"/>
      <c r="J46" s="603"/>
      <c r="K46" s="603"/>
      <c r="L46" s="603"/>
      <c r="M46" s="603"/>
    </row>
    <row r="47" spans="1:13" ht="19.5" customHeight="1">
      <c r="A47" s="944"/>
      <c r="B47" s="595" t="s">
        <v>419</v>
      </c>
      <c r="C47" s="621">
        <v>26</v>
      </c>
      <c r="D47" s="621"/>
      <c r="E47" s="76"/>
      <c r="F47" s="76"/>
      <c r="G47" s="76"/>
      <c r="H47" s="76"/>
      <c r="I47" s="76"/>
      <c r="J47" s="76"/>
      <c r="K47" s="76"/>
      <c r="L47" s="76"/>
      <c r="M47" s="76"/>
    </row>
    <row r="48" spans="1:13" ht="19.5" customHeight="1">
      <c r="A48" s="944"/>
      <c r="B48" s="595" t="s">
        <v>420</v>
      </c>
      <c r="C48" s="621">
        <v>17</v>
      </c>
      <c r="D48" s="621"/>
      <c r="E48" s="76"/>
      <c r="F48" s="76"/>
      <c r="G48" s="76"/>
      <c r="H48" s="76"/>
      <c r="I48" s="76"/>
      <c r="J48" s="76"/>
      <c r="K48" s="76"/>
      <c r="L48" s="76"/>
      <c r="M48" s="76"/>
    </row>
    <row r="49" spans="2:14" ht="19.5" customHeight="1">
      <c r="B49" s="595" t="s">
        <v>423</v>
      </c>
      <c r="C49" s="622" t="s">
        <v>425</v>
      </c>
      <c r="D49" s="622"/>
      <c r="E49" s="76"/>
      <c r="F49" s="76"/>
      <c r="G49" s="76"/>
      <c r="H49" s="76"/>
      <c r="I49" s="76"/>
      <c r="J49" s="76"/>
      <c r="K49" s="76"/>
      <c r="L49" s="76"/>
      <c r="M49" s="76"/>
    </row>
    <row r="50" spans="2:14" ht="4.5" customHeight="1">
      <c r="B50" s="2"/>
      <c r="C50" s="147"/>
      <c r="D50" s="147"/>
      <c r="E50" s="945"/>
      <c r="F50" s="946"/>
      <c r="G50" s="3"/>
      <c r="H50" s="4"/>
      <c r="I50" s="4"/>
      <c r="J50" s="4"/>
      <c r="K50" s="4"/>
      <c r="L50" s="4"/>
      <c r="M50" s="34"/>
      <c r="N50" s="4"/>
    </row>
    <row r="51" spans="2:14" s="6" customFormat="1" ht="13.5" thickBot="1">
      <c r="B51" s="596" t="s">
        <v>421</v>
      </c>
      <c r="C51" s="598" t="s">
        <v>1</v>
      </c>
      <c r="D51" s="598"/>
      <c r="E51" s="599" t="s">
        <v>10</v>
      </c>
    </row>
    <row r="52" spans="2:14">
      <c r="B52" s="207" t="s">
        <v>11</v>
      </c>
      <c r="C52" s="597" t="s">
        <v>78</v>
      </c>
      <c r="D52" s="638"/>
      <c r="E52" s="609">
        <v>937.04</v>
      </c>
      <c r="M52" s="5"/>
    </row>
    <row r="53" spans="2:14">
      <c r="B53" s="103" t="s">
        <v>13</v>
      </c>
      <c r="C53" s="145" t="s">
        <v>76</v>
      </c>
      <c r="D53" s="639"/>
      <c r="E53" s="610">
        <v>873.83</v>
      </c>
      <c r="M53" s="5"/>
    </row>
    <row r="54" spans="2:14">
      <c r="B54" s="103" t="s">
        <v>104</v>
      </c>
      <c r="C54" s="145" t="s">
        <v>424</v>
      </c>
      <c r="D54" s="639"/>
      <c r="E54" s="610">
        <v>647.28</v>
      </c>
      <c r="M54" s="5"/>
    </row>
    <row r="55" spans="2:14">
      <c r="B55" s="103" t="s">
        <v>26</v>
      </c>
      <c r="C55" s="145" t="s">
        <v>80</v>
      </c>
      <c r="D55" s="639"/>
      <c r="E55" s="610">
        <v>2078.4499999999998</v>
      </c>
      <c r="F55" s="415"/>
      <c r="M55" s="5"/>
    </row>
    <row r="56" spans="2:14">
      <c r="B56" s="103" t="s">
        <v>53</v>
      </c>
      <c r="C56" s="583" t="s">
        <v>77</v>
      </c>
      <c r="D56" s="640"/>
      <c r="E56" s="610">
        <v>1165.3699999999999</v>
      </c>
      <c r="F56" s="415"/>
      <c r="M56" s="5"/>
    </row>
    <row r="57" spans="2:14" ht="13.5" thickBot="1">
      <c r="B57" s="606" t="s">
        <v>208</v>
      </c>
      <c r="C57" s="584" t="s">
        <v>215</v>
      </c>
      <c r="D57" s="641"/>
      <c r="E57" s="611">
        <v>1029.5999999999999</v>
      </c>
      <c r="F57" s="415"/>
      <c r="M57" s="5"/>
    </row>
    <row r="58" spans="2:14" s="4" customFormat="1" ht="13.5" thickBot="1">
      <c r="B58" s="419"/>
      <c r="C58" s="604"/>
      <c r="D58" s="604"/>
      <c r="E58" s="612">
        <f>SUM(E52:E57)</f>
        <v>6731.57</v>
      </c>
      <c r="F58" s="605"/>
    </row>
    <row r="59" spans="2:14">
      <c r="B59" s="207" t="s">
        <v>104</v>
      </c>
      <c r="C59" s="285" t="s">
        <v>339</v>
      </c>
      <c r="D59" s="285"/>
      <c r="E59" s="613">
        <v>500</v>
      </c>
      <c r="M59" s="5"/>
    </row>
    <row r="60" spans="2:14">
      <c r="B60" s="199" t="s">
        <v>34</v>
      </c>
      <c r="C60" s="148" t="s">
        <v>48</v>
      </c>
      <c r="D60" s="148"/>
      <c r="E60" s="614">
        <v>950</v>
      </c>
      <c r="M60" s="5"/>
    </row>
    <row r="61" spans="2:14">
      <c r="B61" s="222" t="s">
        <v>94</v>
      </c>
      <c r="C61" s="617" t="s">
        <v>95</v>
      </c>
      <c r="D61" s="617"/>
      <c r="E61" s="612">
        <v>825</v>
      </c>
      <c r="M61" s="5"/>
    </row>
    <row r="62" spans="2:14">
      <c r="B62" s="155" t="s">
        <v>142</v>
      </c>
      <c r="C62" s="220" t="s">
        <v>426</v>
      </c>
      <c r="D62" s="220"/>
      <c r="E62" s="618">
        <v>150</v>
      </c>
      <c r="M62" s="5"/>
    </row>
    <row r="63" spans="2:14" ht="13.5" thickBot="1">
      <c r="B63" s="208" t="s">
        <v>156</v>
      </c>
      <c r="C63" s="607" t="s">
        <v>427</v>
      </c>
      <c r="D63" s="607"/>
      <c r="E63" s="615">
        <v>100</v>
      </c>
      <c r="M63" s="5"/>
    </row>
    <row r="64" spans="2:14" ht="13.5" thickBot="1">
      <c r="B64" s="21"/>
      <c r="C64" s="608" t="s">
        <v>0</v>
      </c>
      <c r="D64" s="608"/>
      <c r="E64" s="616">
        <f>SUM(E58:E63)</f>
        <v>9256.57</v>
      </c>
      <c r="M64" s="5"/>
    </row>
    <row r="65" spans="1:13" ht="18" customHeight="1">
      <c r="B65" s="21"/>
      <c r="C65" s="64"/>
      <c r="D65" s="64"/>
      <c r="E65" s="76"/>
      <c r="F65" s="76"/>
      <c r="G65" s="76"/>
      <c r="H65" s="76"/>
      <c r="I65" s="76"/>
      <c r="J65" s="76"/>
      <c r="K65" s="76"/>
      <c r="L65" s="76"/>
      <c r="M65" s="76"/>
    </row>
    <row r="66" spans="1:13" s="7" customFormat="1" ht="13.15" customHeight="1">
      <c r="A66" s="122" t="s">
        <v>26</v>
      </c>
      <c r="B66" s="623" t="s">
        <v>432</v>
      </c>
      <c r="C66" s="623"/>
      <c r="D66" s="626">
        <v>1108.05</v>
      </c>
      <c r="E66" s="626"/>
      <c r="F66" s="122"/>
      <c r="G66" s="123" t="s">
        <v>146</v>
      </c>
      <c r="H66" s="619">
        <v>2500</v>
      </c>
      <c r="I66" s="624"/>
      <c r="J66" s="624"/>
      <c r="K66" s="624"/>
      <c r="L66" s="624"/>
      <c r="M66" s="624"/>
    </row>
    <row r="67" spans="1:13" s="7" customFormat="1" ht="13.15" customHeight="1">
      <c r="A67" s="122" t="s">
        <v>56</v>
      </c>
      <c r="B67" s="123" t="s">
        <v>433</v>
      </c>
      <c r="C67" s="123"/>
      <c r="D67" s="626">
        <v>133.08000000000001</v>
      </c>
      <c r="E67" s="626"/>
      <c r="F67" s="122" t="s">
        <v>66</v>
      </c>
      <c r="G67" s="123" t="s">
        <v>67</v>
      </c>
      <c r="H67" s="619">
        <v>8000</v>
      </c>
      <c r="I67" s="624"/>
      <c r="J67" s="624"/>
      <c r="K67" s="624"/>
      <c r="L67" s="624"/>
      <c r="M67" s="624"/>
    </row>
    <row r="68" spans="1:13" s="7" customFormat="1" ht="13.15" customHeight="1">
      <c r="A68" s="122" t="s">
        <v>56</v>
      </c>
      <c r="B68" s="123" t="s">
        <v>57</v>
      </c>
      <c r="C68" s="123"/>
      <c r="D68" s="619">
        <f>Nikki!E447</f>
        <v>7692.69</v>
      </c>
      <c r="E68" s="619"/>
      <c r="F68" s="122" t="s">
        <v>65</v>
      </c>
      <c r="G68" s="123" t="s">
        <v>228</v>
      </c>
      <c r="H68" s="619">
        <v>1000</v>
      </c>
      <c r="I68" s="582"/>
      <c r="J68" s="625"/>
    </row>
    <row r="69" spans="1:13" s="7" customFormat="1" ht="13.15" customHeight="1">
      <c r="A69" s="122" t="s">
        <v>58</v>
      </c>
      <c r="B69" s="123" t="s">
        <v>172</v>
      </c>
      <c r="C69" s="123"/>
      <c r="D69" s="619">
        <f>Nikki!E448</f>
        <v>461.63000000000011</v>
      </c>
      <c r="E69" s="619"/>
      <c r="F69" s="122" t="s">
        <v>68</v>
      </c>
      <c r="G69" s="123" t="s">
        <v>69</v>
      </c>
      <c r="H69" s="619">
        <v>1200</v>
      </c>
      <c r="I69" s="582"/>
      <c r="J69" s="625"/>
    </row>
    <row r="70" spans="1:13" s="7" customFormat="1" ht="13.15" customHeight="1">
      <c r="A70" s="122" t="s">
        <v>59</v>
      </c>
      <c r="B70" s="123" t="s">
        <v>60</v>
      </c>
      <c r="C70" s="123"/>
      <c r="D70" s="619">
        <v>2500</v>
      </c>
      <c r="E70" s="619"/>
      <c r="F70" s="122" t="s">
        <v>68</v>
      </c>
      <c r="G70" s="123" t="s">
        <v>147</v>
      </c>
      <c r="H70" s="619">
        <f>120000*15%/12</f>
        <v>1500</v>
      </c>
      <c r="I70" s="582"/>
      <c r="J70" s="625"/>
    </row>
    <row r="71" spans="1:13" s="7" customFormat="1" ht="13.15" customHeight="1">
      <c r="A71" s="122" t="s">
        <v>59</v>
      </c>
      <c r="B71" s="123" t="s">
        <v>61</v>
      </c>
      <c r="C71" s="123"/>
      <c r="D71" s="619">
        <v>268</v>
      </c>
      <c r="E71" s="619"/>
      <c r="F71" s="122" t="s">
        <v>81</v>
      </c>
      <c r="G71" s="123" t="s">
        <v>69</v>
      </c>
      <c r="H71" s="619">
        <v>1800</v>
      </c>
      <c r="I71" s="214"/>
      <c r="J71" s="625"/>
    </row>
    <row r="72" spans="1:13" s="7" customFormat="1" ht="13.15" customHeight="1">
      <c r="A72" s="122" t="s">
        <v>62</v>
      </c>
      <c r="B72" s="123" t="s">
        <v>63</v>
      </c>
      <c r="C72" s="123"/>
      <c r="D72" s="619">
        <v>601.12</v>
      </c>
      <c r="E72" s="619"/>
      <c r="F72" s="122" t="s">
        <v>58</v>
      </c>
      <c r="G72" s="123" t="s">
        <v>148</v>
      </c>
      <c r="H72" s="619">
        <v>1012</v>
      </c>
      <c r="I72" s="582"/>
      <c r="J72" s="625"/>
    </row>
    <row r="73" spans="1:13" s="7" customFormat="1" ht="13.15" customHeight="1">
      <c r="A73" s="122" t="s">
        <v>62</v>
      </c>
      <c r="B73" s="123" t="s">
        <v>64</v>
      </c>
      <c r="C73" s="123"/>
      <c r="D73" s="619">
        <v>383.94</v>
      </c>
      <c r="E73" s="619"/>
      <c r="F73" s="122" t="s">
        <v>272</v>
      </c>
      <c r="G73" s="123" t="s">
        <v>274</v>
      </c>
      <c r="H73" s="619">
        <v>500</v>
      </c>
      <c r="I73" s="582"/>
      <c r="J73" s="625"/>
    </row>
    <row r="74" spans="1:13" s="7" customFormat="1" ht="13.15" customHeight="1">
      <c r="A74" s="122" t="s">
        <v>62</v>
      </c>
      <c r="B74" s="123" t="s">
        <v>101</v>
      </c>
      <c r="C74" s="123"/>
      <c r="D74" s="619">
        <v>550</v>
      </c>
      <c r="E74" s="619"/>
      <c r="F74" s="122" t="s">
        <v>273</v>
      </c>
      <c r="G74" s="123" t="s">
        <v>275</v>
      </c>
      <c r="H74" s="619">
        <v>500</v>
      </c>
      <c r="I74" s="582"/>
      <c r="J74" s="625"/>
    </row>
    <row r="75" spans="1:13" s="7" customFormat="1" ht="13.15" hidden="1" customHeight="1">
      <c r="B75" s="122"/>
      <c r="C75" s="123"/>
      <c r="D75" s="123"/>
      <c r="E75" s="619"/>
      <c r="F75" s="122" t="s">
        <v>70</v>
      </c>
      <c r="G75" s="123" t="s">
        <v>73</v>
      </c>
      <c r="H75" s="619">
        <v>0</v>
      </c>
      <c r="I75" s="582"/>
      <c r="J75" s="625"/>
    </row>
    <row r="76" spans="1:13" s="7" customFormat="1" ht="13.15" hidden="1" customHeight="1">
      <c r="B76" s="122"/>
      <c r="C76" s="123"/>
      <c r="D76" s="123"/>
      <c r="E76" s="619"/>
      <c r="F76" s="122" t="s">
        <v>71</v>
      </c>
      <c r="G76" s="123" t="s">
        <v>74</v>
      </c>
      <c r="H76" s="619">
        <v>0</v>
      </c>
      <c r="I76" s="582"/>
      <c r="J76" s="625"/>
    </row>
    <row r="77" spans="1:13" s="7" customFormat="1" ht="13.15" hidden="1" customHeight="1">
      <c r="B77" s="122"/>
      <c r="C77" s="123"/>
      <c r="D77" s="123"/>
      <c r="E77" s="619"/>
      <c r="F77" s="122" t="s">
        <v>72</v>
      </c>
      <c r="G77" s="123" t="s">
        <v>75</v>
      </c>
      <c r="H77" s="619">
        <v>0</v>
      </c>
      <c r="I77" s="582"/>
      <c r="J77" s="625"/>
    </row>
    <row r="78" spans="1:13" s="7" customFormat="1" ht="13.15" customHeight="1">
      <c r="B78" s="122"/>
      <c r="C78" s="123"/>
      <c r="D78" s="123"/>
      <c r="E78" s="619"/>
      <c r="F78" s="122" t="s">
        <v>59</v>
      </c>
      <c r="G78" s="123" t="s">
        <v>82</v>
      </c>
      <c r="H78" s="619">
        <v>11000</v>
      </c>
      <c r="I78" s="582"/>
      <c r="J78" s="625"/>
    </row>
    <row r="79" spans="1:13" s="7" customFormat="1" ht="13.15" customHeight="1" thickBot="1">
      <c r="B79" s="122"/>
      <c r="C79" s="123"/>
      <c r="D79" s="123"/>
      <c r="E79" s="619"/>
      <c r="F79" s="223" t="s">
        <v>102</v>
      </c>
      <c r="G79" s="123" t="s">
        <v>83</v>
      </c>
      <c r="H79" s="620">
        <v>11000</v>
      </c>
      <c r="I79" s="582"/>
      <c r="J79" s="625"/>
    </row>
    <row r="80" spans="1:13" s="7" customFormat="1" ht="13.15" customHeight="1" thickTop="1" thickBot="1">
      <c r="B80" s="122"/>
      <c r="C80" s="123"/>
      <c r="D80" s="123"/>
      <c r="E80" s="619"/>
      <c r="F80" s="130"/>
      <c r="G80" s="123"/>
      <c r="H80" s="582">
        <f>SUM(H66:H79)+SUM(D66:D74)</f>
        <v>53710.51</v>
      </c>
      <c r="I80" s="582"/>
      <c r="J80" s="625"/>
    </row>
    <row r="81" spans="2:13" s="7" customFormat="1" ht="13.15" customHeight="1" thickBot="1">
      <c r="B81" s="122"/>
      <c r="C81" s="123"/>
      <c r="D81" s="123"/>
      <c r="E81" s="619"/>
      <c r="F81" s="130"/>
      <c r="G81" s="642" t="s">
        <v>17</v>
      </c>
      <c r="H81" s="643">
        <f>H80+E64</f>
        <v>62967.08</v>
      </c>
      <c r="I81" s="582"/>
      <c r="J81" s="625"/>
    </row>
    <row r="82" spans="2:13" s="7" customFormat="1" ht="13.15" customHeight="1">
      <c r="B82" s="122"/>
      <c r="C82" s="123"/>
      <c r="D82" s="123"/>
      <c r="E82" s="619"/>
      <c r="F82" s="124"/>
      <c r="G82" s="123"/>
      <c r="H82" s="582"/>
      <c r="I82" s="582"/>
      <c r="J82" s="625"/>
    </row>
    <row r="83" spans="2:13" s="15" customFormat="1" ht="12">
      <c r="B83" s="17"/>
      <c r="M83" s="17"/>
    </row>
    <row r="84" spans="2:13" s="15" customFormat="1" ht="12">
      <c r="B84" s="17"/>
      <c r="C84" s="14"/>
      <c r="D84" s="14"/>
      <c r="M84" s="17"/>
    </row>
    <row r="85" spans="2:13" s="15" customFormat="1" ht="12">
      <c r="B85" s="17"/>
      <c r="C85" s="14"/>
      <c r="D85" s="14"/>
      <c r="M85" s="17"/>
    </row>
    <row r="86" spans="2:13" s="15" customFormat="1" ht="12">
      <c r="B86" s="17"/>
      <c r="C86" s="14"/>
      <c r="D86" s="14"/>
      <c r="M86" s="17"/>
    </row>
    <row r="87" spans="2:13" s="15" customFormat="1" ht="12">
      <c r="B87" s="17"/>
      <c r="C87" s="14"/>
      <c r="D87" s="14"/>
      <c r="M87" s="17"/>
    </row>
    <row r="88" spans="2:13" s="15" customFormat="1" ht="12">
      <c r="B88" s="17"/>
      <c r="C88" s="14"/>
      <c r="D88" s="14"/>
      <c r="M88" s="17"/>
    </row>
    <row r="89" spans="2:13" s="15" customFormat="1" ht="12">
      <c r="B89" s="17"/>
      <c r="C89" s="14"/>
      <c r="D89" s="14"/>
      <c r="M89" s="17"/>
    </row>
    <row r="90" spans="2:13" s="15" customFormat="1" ht="12">
      <c r="B90" s="17"/>
      <c r="M90" s="17"/>
    </row>
    <row r="91" spans="2:13" s="15" customFormat="1" ht="12">
      <c r="B91" s="17"/>
      <c r="M91" s="17"/>
    </row>
    <row r="92" spans="2:13" s="15" customFormat="1" ht="12">
      <c r="B92" s="17"/>
      <c r="M92" s="17"/>
    </row>
    <row r="93" spans="2:13" s="15" customFormat="1" ht="12">
      <c r="B93" s="17"/>
      <c r="M93" s="17"/>
    </row>
    <row r="94" spans="2:13" s="15" customFormat="1" ht="12">
      <c r="B94" s="17"/>
      <c r="M94" s="17"/>
    </row>
    <row r="95" spans="2:13" s="15" customFormat="1" ht="12">
      <c r="B95" s="17"/>
      <c r="M95" s="17"/>
    </row>
    <row r="96" spans="2:13" s="15" customFormat="1">
      <c r="B96" s="24"/>
      <c r="C96" s="5"/>
      <c r="D96" s="5"/>
      <c r="E96" s="5"/>
      <c r="F96" s="5"/>
      <c r="G96" s="5"/>
      <c r="H96" s="5"/>
      <c r="I96" s="5"/>
      <c r="J96" s="5"/>
      <c r="K96" s="5"/>
      <c r="L96" s="5"/>
      <c r="M96" s="17"/>
    </row>
    <row r="97" spans="2:13" s="15" customFormat="1">
      <c r="B97" s="24"/>
      <c r="C97" s="5"/>
      <c r="D97" s="5"/>
      <c r="E97" s="5"/>
      <c r="F97" s="5"/>
      <c r="G97" s="5"/>
      <c r="H97" s="5"/>
      <c r="I97" s="5"/>
      <c r="J97" s="5"/>
      <c r="K97" s="5"/>
      <c r="L97" s="5"/>
      <c r="M97" s="17"/>
    </row>
    <row r="98" spans="2:13" s="15" customFormat="1">
      <c r="B98" s="24"/>
      <c r="C98" s="5"/>
      <c r="D98" s="5"/>
      <c r="E98" s="5"/>
      <c r="F98" s="5"/>
      <c r="G98" s="5"/>
      <c r="H98" s="5"/>
      <c r="I98" s="5"/>
      <c r="J98" s="5"/>
      <c r="K98" s="5"/>
      <c r="L98" s="5"/>
      <c r="M98" s="17"/>
    </row>
    <row r="99" spans="2:13" s="15" customFormat="1">
      <c r="B99" s="24"/>
      <c r="C99" s="5"/>
      <c r="D99" s="5"/>
      <c r="E99" s="5"/>
      <c r="F99" s="5"/>
      <c r="G99" s="5"/>
      <c r="H99" s="5"/>
      <c r="I99" s="5"/>
      <c r="J99" s="5"/>
      <c r="K99" s="5"/>
      <c r="L99" s="5"/>
      <c r="M99" s="17"/>
    </row>
  </sheetData>
  <mergeCells count="7">
    <mergeCell ref="A29:A30"/>
    <mergeCell ref="A47:A48"/>
    <mergeCell ref="E50:F50"/>
    <mergeCell ref="B1:M1"/>
    <mergeCell ref="E2:F2"/>
    <mergeCell ref="E15:F15"/>
    <mergeCell ref="E32:F32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A19" workbookViewId="0">
      <selection activeCell="F67" sqref="F67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0.85546875" style="5" customWidth="1"/>
    <col min="5" max="5" width="10.5703125" style="5" customWidth="1"/>
    <col min="6" max="6" width="7.42578125" style="5" customWidth="1"/>
    <col min="7" max="7" width="23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1:13" s="1" customFormat="1" ht="24" customHeight="1">
      <c r="A1" s="947" t="s">
        <v>434</v>
      </c>
      <c r="B1" s="947"/>
      <c r="C1" s="947"/>
      <c r="D1" s="947"/>
      <c r="E1" s="947"/>
      <c r="F1" s="947"/>
      <c r="G1" s="947"/>
      <c r="H1" s="947"/>
      <c r="I1" s="659"/>
      <c r="J1" s="659"/>
      <c r="K1" s="659"/>
      <c r="L1" s="659"/>
      <c r="M1" s="659"/>
    </row>
    <row r="2" spans="1:13" s="1" customFormat="1" ht="6.75" customHeight="1">
      <c r="A2" s="600"/>
      <c r="B2" s="601"/>
      <c r="C2" s="602"/>
      <c r="D2" s="602"/>
      <c r="E2" s="603"/>
      <c r="F2" s="603"/>
      <c r="G2" s="603"/>
      <c r="H2" s="653"/>
      <c r="I2" s="653"/>
      <c r="J2" s="653"/>
      <c r="K2" s="653"/>
      <c r="L2" s="653"/>
      <c r="M2" s="653"/>
    </row>
    <row r="3" spans="1:13" ht="19.5" customHeight="1">
      <c r="A3" s="944"/>
      <c r="B3" s="595" t="s">
        <v>419</v>
      </c>
      <c r="C3" s="621">
        <v>27</v>
      </c>
      <c r="D3" s="621"/>
      <c r="E3" s="76"/>
      <c r="F3" s="76"/>
      <c r="G3" s="76"/>
      <c r="H3" s="76"/>
      <c r="I3" s="76"/>
      <c r="J3" s="76"/>
      <c r="K3" s="76"/>
      <c r="L3" s="76"/>
      <c r="M3" s="5"/>
    </row>
    <row r="4" spans="1:13" ht="19.5" customHeight="1">
      <c r="A4" s="944"/>
      <c r="B4" s="595" t="s">
        <v>420</v>
      </c>
      <c r="C4" s="621">
        <v>18</v>
      </c>
      <c r="D4" s="621"/>
      <c r="E4" s="76"/>
      <c r="F4" s="76"/>
      <c r="G4" s="76"/>
      <c r="H4" s="76"/>
      <c r="I4" s="76"/>
      <c r="J4" s="76"/>
      <c r="K4" s="76"/>
      <c r="L4" s="76"/>
      <c r="M4" s="5"/>
    </row>
    <row r="5" spans="1:13" ht="19.5" customHeight="1">
      <c r="B5" s="595" t="s">
        <v>423</v>
      </c>
      <c r="C5" s="622" t="s">
        <v>443</v>
      </c>
      <c r="D5" s="622"/>
      <c r="E5" s="76"/>
      <c r="F5" s="76"/>
      <c r="G5" s="76"/>
      <c r="H5" s="76"/>
      <c r="I5" s="76"/>
      <c r="J5" s="76"/>
      <c r="K5" s="76"/>
      <c r="L5" s="76"/>
      <c r="M5" s="5"/>
    </row>
    <row r="6" spans="1:13" ht="4.5" customHeight="1">
      <c r="B6" s="2"/>
      <c r="C6" s="147"/>
      <c r="D6" s="147"/>
      <c r="E6" s="945"/>
      <c r="F6" s="946"/>
      <c r="G6" s="3"/>
      <c r="H6" s="4"/>
      <c r="I6" s="4"/>
      <c r="J6" s="4"/>
      <c r="K6" s="4"/>
      <c r="L6" s="34"/>
      <c r="M6" s="4"/>
    </row>
    <row r="7" spans="1:13" s="6" customFormat="1" ht="13.5" thickBot="1">
      <c r="B7" s="596" t="s">
        <v>421</v>
      </c>
      <c r="C7" s="598" t="s">
        <v>1</v>
      </c>
      <c r="D7" s="598"/>
      <c r="E7" s="599" t="s">
        <v>10</v>
      </c>
      <c r="G7" s="660"/>
    </row>
    <row r="8" spans="1:13">
      <c r="B8" s="207" t="s">
        <v>11</v>
      </c>
      <c r="C8" s="597" t="s">
        <v>78</v>
      </c>
      <c r="D8" s="638"/>
      <c r="E8" s="609">
        <v>937.04</v>
      </c>
      <c r="M8" s="5"/>
    </row>
    <row r="9" spans="1:13">
      <c r="B9" s="103" t="s">
        <v>13</v>
      </c>
      <c r="C9" s="145" t="s">
        <v>76</v>
      </c>
      <c r="D9" s="639"/>
      <c r="E9" s="610">
        <v>873.83</v>
      </c>
      <c r="M9" s="5"/>
    </row>
    <row r="10" spans="1:13">
      <c r="B10" s="103" t="s">
        <v>104</v>
      </c>
      <c r="C10" s="145" t="s">
        <v>424</v>
      </c>
      <c r="D10" s="639"/>
      <c r="E10" s="610">
        <v>647.28</v>
      </c>
      <c r="M10" s="5"/>
    </row>
    <row r="11" spans="1:13">
      <c r="B11" s="103" t="s">
        <v>26</v>
      </c>
      <c r="C11" s="145" t="s">
        <v>80</v>
      </c>
      <c r="D11" s="639"/>
      <c r="E11" s="610">
        <v>2078.52</v>
      </c>
      <c r="F11" s="415"/>
      <c r="M11" s="5"/>
    </row>
    <row r="12" spans="1:13">
      <c r="B12" s="103" t="s">
        <v>447</v>
      </c>
      <c r="C12" s="145" t="s">
        <v>448</v>
      </c>
      <c r="D12" s="639"/>
      <c r="E12" s="610">
        <v>712.8</v>
      </c>
      <c r="F12" s="415"/>
      <c r="M12" s="5"/>
    </row>
    <row r="13" spans="1:13">
      <c r="B13" s="103" t="s">
        <v>53</v>
      </c>
      <c r="C13" s="654" t="s">
        <v>77</v>
      </c>
      <c r="D13" s="640"/>
      <c r="E13" s="610">
        <v>1283.05</v>
      </c>
      <c r="F13" s="415"/>
      <c r="M13" s="5"/>
    </row>
    <row r="14" spans="1:13" ht="13.5" thickBot="1">
      <c r="B14" s="606" t="s">
        <v>208</v>
      </c>
      <c r="C14" s="655" t="s">
        <v>215</v>
      </c>
      <c r="D14" s="641"/>
      <c r="E14" s="611">
        <v>792</v>
      </c>
      <c r="F14" s="415"/>
      <c r="M14" s="5"/>
    </row>
    <row r="15" spans="1:13" s="4" customFormat="1" ht="13.5" thickBot="1">
      <c r="B15" s="419"/>
      <c r="C15" s="604"/>
      <c r="D15" s="604"/>
      <c r="E15" s="612">
        <f>SUM(E8:E14)</f>
        <v>7324.52</v>
      </c>
      <c r="F15" s="605"/>
    </row>
    <row r="16" spans="1:13">
      <c r="B16" s="207" t="s">
        <v>104</v>
      </c>
      <c r="C16" s="285" t="s">
        <v>339</v>
      </c>
      <c r="D16" s="285"/>
      <c r="E16" s="613">
        <v>500</v>
      </c>
      <c r="M16" s="5"/>
    </row>
    <row r="17" spans="1:13">
      <c r="B17" s="199" t="s">
        <v>34</v>
      </c>
      <c r="C17" s="148" t="s">
        <v>48</v>
      </c>
      <c r="D17" s="148"/>
      <c r="E17" s="614">
        <v>950</v>
      </c>
      <c r="M17" s="5"/>
    </row>
    <row r="18" spans="1:13" ht="13.5" thickBot="1">
      <c r="B18" s="208" t="s">
        <v>94</v>
      </c>
      <c r="C18" s="607" t="s">
        <v>95</v>
      </c>
      <c r="D18" s="607"/>
      <c r="E18" s="615">
        <v>825</v>
      </c>
      <c r="M18" s="5"/>
    </row>
    <row r="19" spans="1:13" ht="13.5" thickBot="1">
      <c r="B19" s="21"/>
      <c r="C19" s="608" t="s">
        <v>0</v>
      </c>
      <c r="D19" s="608"/>
      <c r="E19" s="616">
        <f>SUM(E15:E18)</f>
        <v>9599.52</v>
      </c>
      <c r="M19" s="5"/>
    </row>
    <row r="20" spans="1:13" ht="12.75" customHeight="1">
      <c r="B20" s="21"/>
      <c r="C20" s="64"/>
      <c r="D20" s="64"/>
      <c r="E20" s="76"/>
      <c r="F20" s="76"/>
      <c r="G20" s="76"/>
      <c r="H20" s="76"/>
      <c r="I20" s="76"/>
      <c r="J20" s="76"/>
      <c r="K20" s="76"/>
      <c r="L20" s="76"/>
      <c r="M20" s="76"/>
    </row>
    <row r="21" spans="1:13" s="600" customFormat="1" ht="6.75" customHeight="1">
      <c r="B21" s="601"/>
      <c r="C21" s="602"/>
      <c r="D21" s="602"/>
      <c r="E21" s="603"/>
      <c r="F21" s="603"/>
      <c r="G21" s="603"/>
      <c r="H21" s="603"/>
      <c r="I21" s="603"/>
      <c r="J21" s="603"/>
      <c r="K21" s="603"/>
      <c r="L21" s="603"/>
      <c r="M21" s="603"/>
    </row>
    <row r="22" spans="1:13" ht="19.5" customHeight="1">
      <c r="A22" s="944"/>
      <c r="B22" s="595" t="s">
        <v>419</v>
      </c>
      <c r="C22" s="621">
        <v>28</v>
      </c>
      <c r="D22" s="621"/>
      <c r="E22" s="76"/>
      <c r="F22" s="76"/>
      <c r="G22" s="76"/>
      <c r="H22" s="76"/>
      <c r="I22" s="76"/>
      <c r="J22" s="76"/>
      <c r="K22" s="76"/>
      <c r="L22" s="76"/>
      <c r="M22" s="5"/>
    </row>
    <row r="23" spans="1:13" ht="19.5" customHeight="1">
      <c r="A23" s="944"/>
      <c r="B23" s="595" t="s">
        <v>420</v>
      </c>
      <c r="C23" s="621">
        <v>19</v>
      </c>
      <c r="D23" s="621"/>
      <c r="E23" s="76"/>
      <c r="F23" s="76"/>
      <c r="G23" s="76"/>
      <c r="H23" s="76"/>
      <c r="I23" s="76"/>
      <c r="J23" s="76"/>
      <c r="K23" s="76"/>
      <c r="L23" s="76"/>
      <c r="M23" s="5"/>
    </row>
    <row r="24" spans="1:13" ht="19.5" customHeight="1">
      <c r="B24" s="595" t="s">
        <v>423</v>
      </c>
      <c r="C24" s="622" t="s">
        <v>444</v>
      </c>
      <c r="D24" s="622"/>
      <c r="E24" s="76"/>
      <c r="F24" s="76"/>
      <c r="G24" s="76"/>
      <c r="H24" s="76"/>
      <c r="I24" s="76"/>
      <c r="J24" s="76"/>
      <c r="K24" s="76"/>
      <c r="L24" s="76"/>
      <c r="M24" s="5"/>
    </row>
    <row r="25" spans="1:13" ht="4.5" customHeight="1">
      <c r="B25" s="2"/>
      <c r="C25" s="147"/>
      <c r="D25" s="147"/>
      <c r="E25" s="945"/>
      <c r="F25" s="946"/>
      <c r="G25" s="3"/>
      <c r="H25" s="4"/>
      <c r="I25" s="4"/>
      <c r="J25" s="4"/>
      <c r="K25" s="4"/>
      <c r="L25" s="34"/>
      <c r="M25" s="4"/>
    </row>
    <row r="26" spans="1:13" s="6" customFormat="1" ht="13.5" thickBot="1">
      <c r="B26" s="596" t="s">
        <v>421</v>
      </c>
      <c r="C26" s="598" t="s">
        <v>1</v>
      </c>
      <c r="D26" s="598"/>
      <c r="E26" s="599" t="s">
        <v>10</v>
      </c>
    </row>
    <row r="27" spans="1:13">
      <c r="B27" s="207" t="s">
        <v>11</v>
      </c>
      <c r="C27" s="597" t="s">
        <v>78</v>
      </c>
      <c r="D27" s="638"/>
      <c r="E27" s="609">
        <v>937.04</v>
      </c>
      <c r="M27" s="5"/>
    </row>
    <row r="28" spans="1:13">
      <c r="B28" s="103" t="s">
        <v>13</v>
      </c>
      <c r="C28" s="145" t="s">
        <v>76</v>
      </c>
      <c r="D28" s="639"/>
      <c r="E28" s="610">
        <v>873.83</v>
      </c>
      <c r="M28" s="5"/>
    </row>
    <row r="29" spans="1:13">
      <c r="B29" s="103" t="s">
        <v>104</v>
      </c>
      <c r="C29" s="145" t="s">
        <v>424</v>
      </c>
      <c r="D29" s="639"/>
      <c r="E29" s="610">
        <v>647.28</v>
      </c>
      <c r="M29" s="5"/>
    </row>
    <row r="30" spans="1:13">
      <c r="B30" s="103" t="s">
        <v>26</v>
      </c>
      <c r="C30" s="145" t="s">
        <v>80</v>
      </c>
      <c r="D30" s="639"/>
      <c r="E30" s="610">
        <v>2078.5</v>
      </c>
      <c r="F30" s="415"/>
      <c r="M30" s="5"/>
    </row>
    <row r="31" spans="1:13">
      <c r="B31" s="103" t="s">
        <v>447</v>
      </c>
      <c r="C31" s="145" t="s">
        <v>448</v>
      </c>
      <c r="D31" s="639"/>
      <c r="E31" s="610">
        <v>1188</v>
      </c>
      <c r="F31" s="415"/>
      <c r="M31" s="5"/>
    </row>
    <row r="32" spans="1:13">
      <c r="B32" s="103" t="s">
        <v>53</v>
      </c>
      <c r="C32" s="654" t="s">
        <v>77</v>
      </c>
      <c r="D32" s="640"/>
      <c r="E32" s="610">
        <v>1165.3599999999999</v>
      </c>
      <c r="F32" s="415"/>
      <c r="M32" s="5"/>
    </row>
    <row r="33" spans="1:13" ht="13.5" thickBot="1">
      <c r="B33" s="606" t="s">
        <v>208</v>
      </c>
      <c r="C33" s="655" t="s">
        <v>215</v>
      </c>
      <c r="D33" s="641"/>
      <c r="E33" s="611">
        <v>792</v>
      </c>
      <c r="F33" s="415"/>
      <c r="M33" s="5"/>
    </row>
    <row r="34" spans="1:13" s="4" customFormat="1" ht="13.5" thickBot="1">
      <c r="B34" s="419"/>
      <c r="C34" s="604"/>
      <c r="D34" s="604"/>
      <c r="E34" s="612">
        <f>SUM(E27:E33)</f>
        <v>7682.0099999999993</v>
      </c>
      <c r="F34" s="605"/>
    </row>
    <row r="35" spans="1:13">
      <c r="B35" s="207" t="s">
        <v>104</v>
      </c>
      <c r="C35" s="285" t="s">
        <v>339</v>
      </c>
      <c r="D35" s="285"/>
      <c r="E35" s="613">
        <f>100*2</f>
        <v>200</v>
      </c>
      <c r="M35" s="5"/>
    </row>
    <row r="36" spans="1:13">
      <c r="B36" s="199" t="s">
        <v>34</v>
      </c>
      <c r="C36" s="148" t="s">
        <v>48</v>
      </c>
      <c r="D36" s="148"/>
      <c r="E36" s="614">
        <v>950</v>
      </c>
      <c r="M36" s="5"/>
    </row>
    <row r="37" spans="1:13" ht="13.5" thickBot="1">
      <c r="B37" s="208" t="s">
        <v>94</v>
      </c>
      <c r="C37" s="607" t="s">
        <v>95</v>
      </c>
      <c r="D37" s="607"/>
      <c r="E37" s="615">
        <v>825</v>
      </c>
      <c r="M37" s="5"/>
    </row>
    <row r="38" spans="1:13" ht="13.5" thickBot="1">
      <c r="B38" s="21"/>
      <c r="C38" s="608" t="s">
        <v>0</v>
      </c>
      <c r="D38" s="608"/>
      <c r="E38" s="616">
        <f>SUM(E34:E37)</f>
        <v>9657.0099999999984</v>
      </c>
      <c r="M38" s="5"/>
    </row>
    <row r="39" spans="1:13" ht="12.75" customHeight="1">
      <c r="B39" s="21"/>
      <c r="C39" s="64"/>
      <c r="D39" s="64"/>
      <c r="E39" s="76"/>
      <c r="F39" s="76"/>
      <c r="G39" s="76"/>
      <c r="H39" s="76"/>
      <c r="I39" s="76"/>
      <c r="J39" s="76"/>
      <c r="K39" s="76"/>
      <c r="L39" s="76"/>
      <c r="M39" s="76"/>
    </row>
    <row r="40" spans="1:13" s="600" customFormat="1" ht="6.75" customHeight="1">
      <c r="B40" s="601"/>
      <c r="C40" s="602"/>
      <c r="D40" s="602"/>
      <c r="E40" s="603"/>
      <c r="F40" s="603"/>
      <c r="G40" s="603"/>
      <c r="H40" s="603"/>
      <c r="I40" s="603"/>
      <c r="J40" s="603"/>
      <c r="K40" s="603"/>
      <c r="L40" s="603"/>
      <c r="M40" s="603"/>
    </row>
    <row r="41" spans="1:13" ht="19.5" customHeight="1">
      <c r="A41" s="944"/>
      <c r="B41" s="595" t="s">
        <v>419</v>
      </c>
      <c r="C41" s="621">
        <v>29</v>
      </c>
      <c r="D41" s="621"/>
      <c r="E41" s="76"/>
      <c r="F41" s="76"/>
      <c r="G41" s="76"/>
      <c r="H41" s="76"/>
      <c r="I41" s="76"/>
      <c r="J41" s="76"/>
      <c r="K41" s="76"/>
      <c r="L41" s="76"/>
      <c r="M41" s="5"/>
    </row>
    <row r="42" spans="1:13" ht="19.5" customHeight="1">
      <c r="A42" s="944"/>
      <c r="B42" s="595" t="s">
        <v>420</v>
      </c>
      <c r="C42" s="621">
        <v>20</v>
      </c>
      <c r="D42" s="621"/>
      <c r="E42" s="76"/>
      <c r="F42" s="76"/>
      <c r="G42" s="76"/>
      <c r="H42" s="76"/>
      <c r="I42" s="76"/>
      <c r="J42" s="76"/>
      <c r="K42" s="76"/>
      <c r="L42" s="76"/>
      <c r="M42" s="5"/>
    </row>
    <row r="43" spans="1:13" ht="19.5" customHeight="1">
      <c r="B43" s="595" t="s">
        <v>423</v>
      </c>
      <c r="C43" s="622" t="s">
        <v>445</v>
      </c>
      <c r="D43" s="622"/>
      <c r="E43" s="76"/>
      <c r="F43" s="76"/>
      <c r="G43" s="76"/>
      <c r="H43" s="76"/>
      <c r="I43" s="76"/>
      <c r="J43" s="76"/>
      <c r="K43" s="76"/>
      <c r="L43" s="76"/>
      <c r="M43" s="5"/>
    </row>
    <row r="44" spans="1:13" ht="4.5" customHeight="1">
      <c r="B44" s="2"/>
      <c r="C44" s="147"/>
      <c r="D44" s="147"/>
      <c r="E44" s="945"/>
      <c r="F44" s="946"/>
      <c r="G44" s="3"/>
      <c r="H44" s="4"/>
      <c r="I44" s="4"/>
      <c r="J44" s="4"/>
      <c r="K44" s="4"/>
      <c r="L44" s="34"/>
      <c r="M44" s="4"/>
    </row>
    <row r="45" spans="1:13" s="6" customFormat="1" ht="13.5" thickBot="1">
      <c r="B45" s="596" t="s">
        <v>421</v>
      </c>
      <c r="C45" s="598" t="s">
        <v>1</v>
      </c>
      <c r="D45" s="598"/>
      <c r="E45" s="599" t="s">
        <v>10</v>
      </c>
    </row>
    <row r="46" spans="1:13">
      <c r="B46" s="207" t="s">
        <v>11</v>
      </c>
      <c r="C46" s="597" t="s">
        <v>78</v>
      </c>
      <c r="D46" s="638"/>
      <c r="E46" s="609">
        <v>937.04</v>
      </c>
      <c r="M46" s="5"/>
    </row>
    <row r="47" spans="1:13">
      <c r="B47" s="103" t="s">
        <v>13</v>
      </c>
      <c r="C47" s="145" t="s">
        <v>76</v>
      </c>
      <c r="D47" s="639"/>
      <c r="E47" s="610">
        <v>873.83</v>
      </c>
      <c r="M47" s="5"/>
    </row>
    <row r="48" spans="1:13">
      <c r="B48" s="103" t="s">
        <v>104</v>
      </c>
      <c r="C48" s="145" t="s">
        <v>424</v>
      </c>
      <c r="D48" s="639"/>
      <c r="E48" s="610">
        <v>647.28</v>
      </c>
      <c r="M48" s="5"/>
    </row>
    <row r="49" spans="1:14">
      <c r="B49" s="103" t="s">
        <v>26</v>
      </c>
      <c r="C49" s="145" t="s">
        <v>80</v>
      </c>
      <c r="D49" s="639"/>
      <c r="E49" s="610">
        <v>1399.54</v>
      </c>
      <c r="F49" s="415"/>
      <c r="M49" s="5"/>
    </row>
    <row r="50" spans="1:14">
      <c r="B50" s="103" t="s">
        <v>447</v>
      </c>
      <c r="C50" s="145" t="s">
        <v>448</v>
      </c>
      <c r="D50" s="639"/>
      <c r="E50" s="610">
        <v>1188</v>
      </c>
      <c r="F50" s="415"/>
      <c r="M50" s="5"/>
    </row>
    <row r="51" spans="1:14">
      <c r="B51" s="103" t="s">
        <v>53</v>
      </c>
      <c r="C51" s="654" t="s">
        <v>77</v>
      </c>
      <c r="D51" s="640"/>
      <c r="E51" s="610">
        <v>1065.33</v>
      </c>
      <c r="F51" s="415"/>
      <c r="M51" s="5"/>
    </row>
    <row r="52" spans="1:14" ht="13.5" thickBot="1">
      <c r="B52" s="606" t="s">
        <v>208</v>
      </c>
      <c r="C52" s="655" t="s">
        <v>215</v>
      </c>
      <c r="D52" s="641"/>
      <c r="E52" s="611">
        <v>792</v>
      </c>
      <c r="F52" s="415"/>
      <c r="M52" s="5"/>
    </row>
    <row r="53" spans="1:14" s="4" customFormat="1" ht="13.5" thickBot="1">
      <c r="B53" s="419"/>
      <c r="C53" s="604"/>
      <c r="D53" s="604"/>
      <c r="E53" s="612">
        <f>SUM(E46:E52)</f>
        <v>6903.0199999999995</v>
      </c>
      <c r="F53" s="605"/>
    </row>
    <row r="54" spans="1:14">
      <c r="B54" s="207" t="s">
        <v>104</v>
      </c>
      <c r="C54" s="285" t="s">
        <v>339</v>
      </c>
      <c r="D54" s="285"/>
      <c r="E54" s="613">
        <v>300</v>
      </c>
      <c r="M54" s="5"/>
    </row>
    <row r="55" spans="1:14">
      <c r="B55" s="199" t="s">
        <v>34</v>
      </c>
      <c r="C55" s="148" t="s">
        <v>48</v>
      </c>
      <c r="D55" s="148"/>
      <c r="E55" s="614">
        <v>950</v>
      </c>
      <c r="M55" s="5"/>
    </row>
    <row r="56" spans="1:14" ht="13.5" thickBot="1">
      <c r="B56" s="208" t="s">
        <v>94</v>
      </c>
      <c r="C56" s="607" t="s">
        <v>95</v>
      </c>
      <c r="D56" s="607"/>
      <c r="E56" s="615">
        <v>825</v>
      </c>
      <c r="M56" s="5"/>
    </row>
    <row r="57" spans="1:14" ht="13.5" thickBot="1">
      <c r="B57" s="21"/>
      <c r="C57" s="608" t="s">
        <v>0</v>
      </c>
      <c r="D57" s="608"/>
      <c r="E57" s="616">
        <f>SUM(E53:E56)</f>
        <v>8978.02</v>
      </c>
      <c r="M57" s="5"/>
    </row>
    <row r="58" spans="1:14" ht="12.75" customHeight="1">
      <c r="B58" s="21"/>
      <c r="C58" s="64"/>
      <c r="D58" s="64"/>
      <c r="E58" s="76"/>
      <c r="F58" s="76"/>
      <c r="G58" s="76"/>
      <c r="H58" s="76"/>
      <c r="I58" s="76"/>
      <c r="J58" s="76"/>
      <c r="K58" s="76"/>
      <c r="L58" s="76"/>
      <c r="M58" s="76"/>
    </row>
    <row r="59" spans="1:14" s="600" customFormat="1" ht="6.75" customHeight="1">
      <c r="B59" s="601"/>
      <c r="C59" s="602"/>
      <c r="D59" s="602"/>
      <c r="E59" s="603"/>
      <c r="F59" s="603"/>
      <c r="G59" s="603"/>
      <c r="H59" s="603"/>
      <c r="I59" s="603"/>
      <c r="J59" s="603"/>
      <c r="K59" s="603"/>
      <c r="L59" s="603"/>
      <c r="M59" s="603"/>
    </row>
    <row r="60" spans="1:14" ht="19.5" customHeight="1">
      <c r="A60" s="944"/>
      <c r="B60" s="595" t="s">
        <v>419</v>
      </c>
      <c r="C60" s="621">
        <v>30</v>
      </c>
      <c r="D60" s="621"/>
      <c r="E60" s="76"/>
      <c r="F60" s="76"/>
      <c r="G60" s="76"/>
      <c r="H60" s="76"/>
      <c r="I60" s="76"/>
      <c r="J60" s="76"/>
      <c r="K60" s="76"/>
      <c r="L60" s="76"/>
      <c r="M60" s="76"/>
    </row>
    <row r="61" spans="1:14" ht="19.5" customHeight="1">
      <c r="A61" s="944"/>
      <c r="B61" s="595" t="s">
        <v>420</v>
      </c>
      <c r="C61" s="621">
        <v>21</v>
      </c>
      <c r="D61" s="621"/>
      <c r="E61" s="76"/>
      <c r="F61" s="76"/>
      <c r="G61" s="76"/>
      <c r="H61" s="76"/>
      <c r="I61" s="76"/>
      <c r="J61" s="76"/>
      <c r="K61" s="76"/>
      <c r="L61" s="76"/>
      <c r="M61" s="76"/>
    </row>
    <row r="62" spans="1:14" ht="19.5" customHeight="1">
      <c r="B62" s="595" t="s">
        <v>423</v>
      </c>
      <c r="C62" s="622" t="s">
        <v>446</v>
      </c>
      <c r="D62" s="622"/>
      <c r="E62" s="76"/>
      <c r="F62" s="76"/>
      <c r="G62" s="76"/>
      <c r="H62" s="76"/>
      <c r="I62" s="76"/>
      <c r="J62" s="76"/>
      <c r="K62" s="76"/>
      <c r="L62" s="76"/>
      <c r="M62" s="76"/>
    </row>
    <row r="63" spans="1:14" ht="4.5" customHeight="1">
      <c r="B63" s="2"/>
      <c r="C63" s="147"/>
      <c r="D63" s="147"/>
      <c r="E63" s="945"/>
      <c r="F63" s="946"/>
      <c r="G63" s="3"/>
      <c r="H63" s="4"/>
      <c r="I63" s="4"/>
      <c r="J63" s="4"/>
      <c r="K63" s="4"/>
      <c r="L63" s="4"/>
      <c r="M63" s="34"/>
      <c r="N63" s="4"/>
    </row>
    <row r="64" spans="1:14" s="6" customFormat="1" ht="13.5" thickBot="1">
      <c r="B64" s="596" t="s">
        <v>421</v>
      </c>
      <c r="C64" s="598" t="s">
        <v>1</v>
      </c>
      <c r="D64" s="598"/>
      <c r="E64" s="599" t="s">
        <v>10</v>
      </c>
    </row>
    <row r="65" spans="1:13">
      <c r="B65" s="207" t="s">
        <v>11</v>
      </c>
      <c r="C65" s="597" t="s">
        <v>78</v>
      </c>
      <c r="D65" s="638"/>
      <c r="E65" s="609">
        <v>937.04</v>
      </c>
      <c r="M65" s="5"/>
    </row>
    <row r="66" spans="1:13">
      <c r="B66" s="103" t="s">
        <v>13</v>
      </c>
      <c r="C66" s="145" t="s">
        <v>76</v>
      </c>
      <c r="D66" s="639"/>
      <c r="E66" s="610">
        <v>873.83</v>
      </c>
      <c r="M66" s="5"/>
    </row>
    <row r="67" spans="1:13">
      <c r="B67" s="103" t="s">
        <v>104</v>
      </c>
      <c r="C67" s="145" t="s">
        <v>424</v>
      </c>
      <c r="D67" s="639"/>
      <c r="E67" s="610">
        <v>547.28</v>
      </c>
      <c r="F67" s="684"/>
      <c r="M67" s="5"/>
    </row>
    <row r="68" spans="1:13">
      <c r="B68" s="103" t="s">
        <v>26</v>
      </c>
      <c r="C68" s="145" t="s">
        <v>80</v>
      </c>
      <c r="D68" s="639"/>
      <c r="E68" s="610">
        <v>2078.52</v>
      </c>
      <c r="F68" s="415"/>
      <c r="M68" s="5"/>
    </row>
    <row r="69" spans="1:13">
      <c r="B69" s="103" t="s">
        <v>447</v>
      </c>
      <c r="C69" s="145" t="s">
        <v>448</v>
      </c>
      <c r="D69" s="639"/>
      <c r="E69" s="610">
        <v>1188</v>
      </c>
      <c r="F69" s="415"/>
      <c r="M69" s="5"/>
    </row>
    <row r="70" spans="1:13">
      <c r="B70" s="103" t="s">
        <v>53</v>
      </c>
      <c r="C70" s="654" t="s">
        <v>77</v>
      </c>
      <c r="D70" s="640"/>
      <c r="E70" s="610">
        <v>1065.3499999999999</v>
      </c>
      <c r="F70" s="415"/>
      <c r="M70" s="5"/>
    </row>
    <row r="71" spans="1:13" ht="13.5" thickBot="1">
      <c r="B71" s="606" t="s">
        <v>208</v>
      </c>
      <c r="C71" s="655" t="s">
        <v>215</v>
      </c>
      <c r="D71" s="641"/>
      <c r="E71" s="611">
        <v>1029.5999999999999</v>
      </c>
      <c r="F71" s="415"/>
      <c r="M71" s="5"/>
    </row>
    <row r="72" spans="1:13" s="4" customFormat="1" ht="13.5" thickBot="1">
      <c r="B72" s="419"/>
      <c r="C72" s="604"/>
      <c r="D72" s="604"/>
      <c r="E72" s="612">
        <f>SUM(E65:E71)</f>
        <v>7719.6200000000008</v>
      </c>
      <c r="F72" s="605"/>
    </row>
    <row r="73" spans="1:13">
      <c r="B73" s="207" t="s">
        <v>104</v>
      </c>
      <c r="C73" s="285" t="s">
        <v>339</v>
      </c>
      <c r="D73" s="285"/>
      <c r="E73" s="613">
        <v>500</v>
      </c>
      <c r="M73" s="5"/>
    </row>
    <row r="74" spans="1:13">
      <c r="B74" s="199" t="s">
        <v>34</v>
      </c>
      <c r="C74" s="148" t="s">
        <v>48</v>
      </c>
      <c r="D74" s="148"/>
      <c r="E74" s="614">
        <v>950</v>
      </c>
      <c r="M74" s="5"/>
    </row>
    <row r="75" spans="1:13">
      <c r="B75" s="222" t="s">
        <v>94</v>
      </c>
      <c r="C75" s="617" t="s">
        <v>95</v>
      </c>
      <c r="D75" s="617"/>
      <c r="E75" s="612">
        <v>825</v>
      </c>
      <c r="M75" s="5"/>
    </row>
    <row r="76" spans="1:13">
      <c r="B76" s="155" t="s">
        <v>142</v>
      </c>
      <c r="C76" s="220" t="s">
        <v>426</v>
      </c>
      <c r="D76" s="220"/>
      <c r="E76" s="618">
        <v>150</v>
      </c>
      <c r="M76" s="5"/>
    </row>
    <row r="77" spans="1:13" ht="13.5" thickBot="1">
      <c r="B77" s="208" t="s">
        <v>156</v>
      </c>
      <c r="C77" s="607" t="s">
        <v>427</v>
      </c>
      <c r="D77" s="607"/>
      <c r="E77" s="615">
        <v>100</v>
      </c>
      <c r="M77" s="5"/>
    </row>
    <row r="78" spans="1:13" ht="13.5" thickBot="1">
      <c r="B78" s="21"/>
      <c r="C78" s="608" t="s">
        <v>0</v>
      </c>
      <c r="D78" s="608"/>
      <c r="E78" s="616">
        <f>SUM(E72:E77)</f>
        <v>10244.620000000001</v>
      </c>
      <c r="M78" s="5"/>
    </row>
    <row r="79" spans="1:13" ht="18" customHeight="1">
      <c r="B79" s="21"/>
      <c r="C79" s="64"/>
      <c r="D79" s="64"/>
      <c r="E79" s="76"/>
      <c r="F79" s="76"/>
      <c r="G79" s="76"/>
      <c r="H79" s="76"/>
      <c r="I79" s="76"/>
      <c r="J79" s="76"/>
      <c r="K79" s="76"/>
      <c r="L79" s="76"/>
      <c r="M79" s="76"/>
    </row>
    <row r="80" spans="1:13" s="7" customFormat="1" ht="13.15" customHeight="1">
      <c r="A80" s="122" t="s">
        <v>56</v>
      </c>
      <c r="B80" s="123" t="s">
        <v>57</v>
      </c>
      <c r="C80" s="123"/>
      <c r="D80" s="619">
        <f>Nikki!E474</f>
        <v>8502.7000000000007</v>
      </c>
      <c r="E80" s="619"/>
      <c r="F80" s="122" t="s">
        <v>68</v>
      </c>
      <c r="G80" s="123" t="s">
        <v>69</v>
      </c>
      <c r="H80" s="619">
        <v>1200</v>
      </c>
      <c r="I80" s="624"/>
      <c r="J80" s="624"/>
      <c r="K80" s="624"/>
      <c r="L80" s="624"/>
      <c r="M80" s="624"/>
    </row>
    <row r="81" spans="1:13" s="7" customFormat="1" ht="13.15" customHeight="1">
      <c r="A81" s="122" t="s">
        <v>58</v>
      </c>
      <c r="B81" s="123" t="s">
        <v>172</v>
      </c>
      <c r="C81" s="123"/>
      <c r="D81" s="619">
        <f>Nikki!E475</f>
        <v>118.23999999999978</v>
      </c>
      <c r="E81" s="619"/>
      <c r="F81" s="122" t="s">
        <v>68</v>
      </c>
      <c r="G81" s="123" t="s">
        <v>147</v>
      </c>
      <c r="H81" s="619">
        <f>120000*15%/12</f>
        <v>1500</v>
      </c>
      <c r="I81" s="624"/>
      <c r="J81" s="624"/>
      <c r="K81" s="624"/>
      <c r="L81" s="624"/>
      <c r="M81" s="624"/>
    </row>
    <row r="82" spans="1:13" s="7" customFormat="1" ht="13.15" customHeight="1">
      <c r="A82" s="122" t="s">
        <v>59</v>
      </c>
      <c r="B82" s="123" t="s">
        <v>60</v>
      </c>
      <c r="C82" s="123"/>
      <c r="D82" s="619">
        <v>2500</v>
      </c>
      <c r="E82" s="619"/>
      <c r="F82" s="122" t="s">
        <v>81</v>
      </c>
      <c r="G82" s="123" t="s">
        <v>69</v>
      </c>
      <c r="H82" s="619">
        <v>1800</v>
      </c>
      <c r="I82" s="652"/>
      <c r="J82" s="625"/>
    </row>
    <row r="83" spans="1:13" s="7" customFormat="1" ht="13.15" customHeight="1">
      <c r="A83" s="122" t="s">
        <v>59</v>
      </c>
      <c r="B83" s="123" t="s">
        <v>61</v>
      </c>
      <c r="C83" s="123"/>
      <c r="D83" s="619">
        <v>268</v>
      </c>
      <c r="E83" s="619"/>
      <c r="F83" s="122" t="s">
        <v>58</v>
      </c>
      <c r="G83" s="123" t="s">
        <v>148</v>
      </c>
      <c r="H83" s="619">
        <v>1012</v>
      </c>
      <c r="I83" s="652"/>
      <c r="J83" s="625"/>
    </row>
    <row r="84" spans="1:13" s="7" customFormat="1" ht="13.15" customHeight="1">
      <c r="A84" s="122" t="s">
        <v>62</v>
      </c>
      <c r="B84" s="123" t="s">
        <v>63</v>
      </c>
      <c r="C84" s="123"/>
      <c r="D84" s="619">
        <v>601.12</v>
      </c>
      <c r="E84" s="619"/>
      <c r="F84" s="122" t="s">
        <v>272</v>
      </c>
      <c r="G84" s="123" t="s">
        <v>274</v>
      </c>
      <c r="H84" s="619">
        <v>500</v>
      </c>
      <c r="I84" s="652"/>
      <c r="J84" s="625"/>
    </row>
    <row r="85" spans="1:13" s="7" customFormat="1" ht="13.15" customHeight="1">
      <c r="A85" s="122" t="s">
        <v>62</v>
      </c>
      <c r="B85" s="123" t="s">
        <v>64</v>
      </c>
      <c r="C85" s="123"/>
      <c r="D85" s="619">
        <v>383.94</v>
      </c>
      <c r="E85" s="619"/>
      <c r="F85" s="122" t="s">
        <v>273</v>
      </c>
      <c r="G85" s="123" t="s">
        <v>275</v>
      </c>
      <c r="H85" s="619">
        <v>500</v>
      </c>
      <c r="I85" s="214"/>
      <c r="J85" s="625"/>
    </row>
    <row r="86" spans="1:13" s="7" customFormat="1" ht="13.15" customHeight="1">
      <c r="A86" s="122" t="s">
        <v>62</v>
      </c>
      <c r="B86" s="123" t="s">
        <v>101</v>
      </c>
      <c r="C86" s="123"/>
      <c r="D86" s="619">
        <v>550</v>
      </c>
      <c r="E86" s="619"/>
      <c r="F86" s="122" t="s">
        <v>59</v>
      </c>
      <c r="G86" s="123" t="s">
        <v>82</v>
      </c>
      <c r="H86" s="619">
        <v>11000</v>
      </c>
      <c r="I86" s="652"/>
      <c r="J86" s="625"/>
    </row>
    <row r="87" spans="1:13" s="7" customFormat="1" ht="13.15" customHeight="1" thickBot="1">
      <c r="A87" s="122"/>
      <c r="B87" s="123" t="s">
        <v>146</v>
      </c>
      <c r="C87" s="619"/>
      <c r="D87" s="619">
        <v>2500</v>
      </c>
      <c r="E87" s="619"/>
      <c r="F87" s="223" t="s">
        <v>102</v>
      </c>
      <c r="G87" s="123" t="s">
        <v>83</v>
      </c>
      <c r="H87" s="620">
        <v>11000</v>
      </c>
      <c r="I87" s="652"/>
      <c r="J87" s="625"/>
    </row>
    <row r="88" spans="1:13" s="7" customFormat="1" ht="13.15" customHeight="1" thickTop="1" thickBot="1">
      <c r="A88" s="122" t="s">
        <v>66</v>
      </c>
      <c r="B88" s="123" t="s">
        <v>67</v>
      </c>
      <c r="C88" s="619"/>
      <c r="D88" s="619">
        <v>8000</v>
      </c>
      <c r="E88" s="619"/>
      <c r="F88" s="130"/>
      <c r="G88" s="123"/>
      <c r="H88" s="685">
        <f>SUM(H80:H87)+SUM(D80:D89)</f>
        <v>52936</v>
      </c>
      <c r="I88" s="652"/>
      <c r="J88" s="625"/>
    </row>
    <row r="89" spans="1:13" s="7" customFormat="1" ht="13.15" customHeight="1" thickBot="1">
      <c r="A89" s="122" t="s">
        <v>65</v>
      </c>
      <c r="B89" s="123" t="s">
        <v>228</v>
      </c>
      <c r="C89" s="619"/>
      <c r="D89" s="619">
        <v>1000</v>
      </c>
      <c r="E89" s="619"/>
      <c r="F89" s="130"/>
      <c r="G89" s="642" t="s">
        <v>17</v>
      </c>
      <c r="H89" s="643">
        <f>H88+E78</f>
        <v>63180.62</v>
      </c>
      <c r="I89" s="652"/>
      <c r="J89" s="625"/>
    </row>
    <row r="90" spans="1:13" s="7" customFormat="1" ht="13.15" customHeight="1">
      <c r="B90" s="122"/>
      <c r="C90" s="123"/>
      <c r="D90" s="123"/>
      <c r="E90" s="619"/>
      <c r="F90" s="124"/>
      <c r="G90" s="123"/>
      <c r="H90" s="685"/>
      <c r="I90" s="652"/>
      <c r="J90" s="625"/>
    </row>
    <row r="91" spans="1:13" s="7" customFormat="1" ht="13.15" customHeight="1">
      <c r="B91" s="122"/>
      <c r="C91" s="123"/>
      <c r="D91" s="123"/>
      <c r="E91" s="619"/>
      <c r="F91" s="130"/>
      <c r="G91" s="123"/>
      <c r="H91" s="685"/>
      <c r="I91" s="652"/>
      <c r="J91" s="625"/>
    </row>
    <row r="92" spans="1:13" s="7" customFormat="1" ht="13.15" customHeight="1">
      <c r="B92" s="122"/>
      <c r="C92" s="123"/>
      <c r="D92" s="123"/>
      <c r="E92" s="619"/>
      <c r="F92" s="130"/>
      <c r="G92" s="642"/>
      <c r="H92" s="686"/>
      <c r="I92" s="652"/>
      <c r="J92" s="625"/>
    </row>
    <row r="93" spans="1:13" s="7" customFormat="1" ht="13.15" customHeight="1">
      <c r="B93" s="122"/>
      <c r="C93" s="123"/>
      <c r="D93" s="123"/>
      <c r="E93" s="619"/>
      <c r="F93" s="124"/>
      <c r="G93" s="123"/>
      <c r="H93" s="652"/>
      <c r="I93" s="652"/>
      <c r="J93" s="625"/>
    </row>
    <row r="94" spans="1:13" s="7" customFormat="1" ht="13.15" customHeight="1">
      <c r="B94" s="122"/>
      <c r="C94" s="123"/>
      <c r="D94" s="123"/>
      <c r="E94" s="619"/>
      <c r="F94" s="15"/>
      <c r="G94" s="15"/>
      <c r="H94" s="15"/>
      <c r="I94" s="652"/>
      <c r="J94" s="625"/>
    </row>
    <row r="95" spans="1:13" s="7" customFormat="1" ht="13.15" customHeight="1">
      <c r="B95" s="122"/>
      <c r="C95" s="123"/>
      <c r="D95" s="15"/>
      <c r="E95" s="15"/>
      <c r="F95" s="15"/>
      <c r="G95" s="15"/>
      <c r="H95" s="15"/>
      <c r="I95" s="652"/>
      <c r="J95" s="625"/>
    </row>
    <row r="96" spans="1:13" s="7" customFormat="1" ht="13.15" customHeight="1">
      <c r="B96" s="122"/>
      <c r="C96" s="123"/>
      <c r="D96" s="14"/>
      <c r="E96" s="15"/>
      <c r="F96" s="15"/>
      <c r="G96" s="15"/>
      <c r="H96" s="15"/>
      <c r="I96" s="652"/>
      <c r="J96" s="625"/>
    </row>
    <row r="97" spans="1:13" s="15" customFormat="1">
      <c r="A97" s="7"/>
      <c r="B97" s="122"/>
      <c r="C97" s="123"/>
      <c r="D97" s="14"/>
      <c r="M97" s="17"/>
    </row>
    <row r="98" spans="1:13" s="15" customFormat="1" ht="12">
      <c r="B98" s="17"/>
      <c r="D98" s="14"/>
      <c r="M98" s="17"/>
    </row>
    <row r="99" spans="1:13" s="15" customFormat="1" ht="12">
      <c r="B99" s="17"/>
      <c r="C99" s="14"/>
      <c r="D99" s="14"/>
      <c r="M99" s="17"/>
    </row>
    <row r="100" spans="1:13" s="15" customFormat="1" ht="12">
      <c r="B100" s="17"/>
      <c r="C100" s="14"/>
      <c r="D100" s="14"/>
      <c r="M100" s="17"/>
    </row>
    <row r="101" spans="1:13" s="15" customFormat="1" ht="12">
      <c r="B101" s="17"/>
      <c r="C101" s="14"/>
      <c r="D101" s="14"/>
      <c r="M101" s="17"/>
    </row>
    <row r="102" spans="1:13" s="15" customFormat="1" ht="12">
      <c r="B102" s="17"/>
      <c r="C102" s="14"/>
      <c r="M102" s="17"/>
    </row>
    <row r="103" spans="1:13" s="15" customFormat="1" ht="12">
      <c r="B103" s="17"/>
      <c r="C103" s="14"/>
      <c r="M103" s="17"/>
    </row>
    <row r="104" spans="1:13" s="15" customFormat="1" ht="12">
      <c r="B104" s="17"/>
      <c r="C104" s="14"/>
      <c r="M104" s="17"/>
    </row>
    <row r="105" spans="1:13" s="15" customFormat="1" ht="12">
      <c r="B105" s="17"/>
      <c r="M105" s="17"/>
    </row>
    <row r="106" spans="1:13" s="15" customFormat="1" ht="12">
      <c r="B106" s="17"/>
      <c r="M106" s="17"/>
    </row>
    <row r="107" spans="1:13" s="15" customFormat="1">
      <c r="B107" s="17"/>
      <c r="F107" s="5"/>
      <c r="G107" s="5"/>
      <c r="H107" s="5"/>
      <c r="M107" s="17"/>
    </row>
    <row r="108" spans="1:13" s="15" customFormat="1">
      <c r="B108" s="17"/>
      <c r="D108" s="5"/>
      <c r="E108" s="5"/>
      <c r="F108" s="5"/>
      <c r="G108" s="5"/>
      <c r="H108" s="5"/>
      <c r="M108" s="17"/>
    </row>
    <row r="109" spans="1:13" s="15" customFormat="1">
      <c r="B109" s="17"/>
      <c r="D109" s="5"/>
      <c r="E109" s="5"/>
      <c r="F109" s="5"/>
      <c r="G109" s="5"/>
      <c r="H109" s="5"/>
      <c r="M109" s="17"/>
    </row>
    <row r="110" spans="1:13" s="15" customFormat="1">
      <c r="B110" s="17"/>
      <c r="D110" s="5"/>
      <c r="E110" s="5"/>
      <c r="F110" s="5"/>
      <c r="G110" s="5"/>
      <c r="H110" s="5"/>
      <c r="I110" s="5"/>
      <c r="J110" s="5"/>
      <c r="K110" s="5"/>
      <c r="L110" s="5"/>
      <c r="M110" s="17"/>
    </row>
    <row r="111" spans="1:13" s="15" customFormat="1">
      <c r="B111" s="2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7"/>
    </row>
    <row r="112" spans="1:13" s="15" customFormat="1">
      <c r="B112" s="2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7"/>
    </row>
    <row r="113" spans="1:13" s="15" customFormat="1">
      <c r="B113" s="2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7"/>
    </row>
    <row r="114" spans="1:13">
      <c r="A114" s="15"/>
    </row>
  </sheetData>
  <mergeCells count="9">
    <mergeCell ref="A1:H1"/>
    <mergeCell ref="A3:A4"/>
    <mergeCell ref="E6:F6"/>
    <mergeCell ref="A60:A61"/>
    <mergeCell ref="E63:F63"/>
    <mergeCell ref="A22:A23"/>
    <mergeCell ref="E25:F25"/>
    <mergeCell ref="A41:A42"/>
    <mergeCell ref="E44:F4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workbookViewId="0">
      <selection activeCell="H86" sqref="H86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0.85546875" style="5" customWidth="1"/>
    <col min="5" max="5" width="10.5703125" style="5" customWidth="1"/>
    <col min="6" max="6" width="7.42578125" style="5" customWidth="1"/>
    <col min="7" max="7" width="23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1:13" s="1" customFormat="1" ht="24" customHeight="1">
      <c r="A1" s="947" t="s">
        <v>455</v>
      </c>
      <c r="B1" s="947"/>
      <c r="C1" s="947"/>
      <c r="D1" s="947"/>
      <c r="E1" s="947"/>
      <c r="F1" s="947"/>
      <c r="G1" s="947"/>
      <c r="H1" s="947"/>
      <c r="I1" s="659"/>
      <c r="J1" s="659"/>
      <c r="K1" s="659"/>
      <c r="L1" s="659"/>
      <c r="M1" s="659"/>
    </row>
    <row r="2" spans="1:13" s="1" customFormat="1" ht="6.75" customHeight="1">
      <c r="A2" s="600"/>
      <c r="B2" s="601"/>
      <c r="C2" s="602"/>
      <c r="D2" s="602"/>
      <c r="E2" s="603"/>
      <c r="F2" s="603"/>
      <c r="G2" s="603"/>
      <c r="H2" s="715"/>
      <c r="I2" s="715"/>
      <c r="J2" s="715"/>
      <c r="K2" s="715"/>
      <c r="L2" s="715"/>
      <c r="M2" s="715"/>
    </row>
    <row r="3" spans="1:13" ht="19.5" customHeight="1">
      <c r="A3" s="944"/>
      <c r="B3" s="595" t="s">
        <v>419</v>
      </c>
      <c r="C3" s="621">
        <v>31</v>
      </c>
      <c r="D3" s="621"/>
      <c r="E3" s="76"/>
      <c r="F3" s="76"/>
      <c r="G3" s="76"/>
      <c r="H3" s="76"/>
      <c r="I3" s="76"/>
      <c r="J3" s="76"/>
      <c r="K3" s="76"/>
      <c r="L3" s="76"/>
      <c r="M3" s="5"/>
    </row>
    <row r="4" spans="1:13" ht="19.5" customHeight="1">
      <c r="A4" s="944"/>
      <c r="B4" s="595" t="s">
        <v>420</v>
      </c>
      <c r="C4" s="621">
        <v>22</v>
      </c>
      <c r="D4" s="621"/>
      <c r="E4" s="76"/>
      <c r="F4" s="76"/>
      <c r="G4" s="76"/>
      <c r="H4" s="76"/>
      <c r="I4" s="76"/>
      <c r="J4" s="76"/>
      <c r="K4" s="76"/>
      <c r="L4" s="76"/>
      <c r="M4" s="5"/>
    </row>
    <row r="5" spans="1:13" ht="19.5" customHeight="1">
      <c r="B5" s="595" t="s">
        <v>423</v>
      </c>
      <c r="C5" s="948">
        <v>41124</v>
      </c>
      <c r="D5" s="948"/>
      <c r="E5" s="76"/>
      <c r="F5" s="76"/>
      <c r="G5" s="76"/>
      <c r="H5" s="76"/>
      <c r="I5" s="76"/>
      <c r="J5" s="76"/>
      <c r="K5" s="76"/>
      <c r="L5" s="76"/>
      <c r="M5" s="5"/>
    </row>
    <row r="6" spans="1:13" ht="4.5" customHeight="1">
      <c r="B6" s="2"/>
      <c r="C6" s="147"/>
      <c r="D6" s="147"/>
      <c r="E6" s="945"/>
      <c r="F6" s="946"/>
      <c r="G6" s="3"/>
      <c r="H6" s="4"/>
      <c r="I6" s="4"/>
      <c r="J6" s="4"/>
      <c r="K6" s="4"/>
      <c r="L6" s="34"/>
      <c r="M6" s="4"/>
    </row>
    <row r="7" spans="1:13" s="6" customFormat="1" ht="13.5" thickBot="1">
      <c r="B7" s="596" t="s">
        <v>421</v>
      </c>
      <c r="C7" s="598" t="s">
        <v>1</v>
      </c>
      <c r="D7" s="598"/>
      <c r="E7" s="599" t="s">
        <v>10</v>
      </c>
      <c r="G7" s="660"/>
    </row>
    <row r="8" spans="1:13">
      <c r="B8" s="207" t="s">
        <v>11</v>
      </c>
      <c r="C8" s="597" t="s">
        <v>78</v>
      </c>
      <c r="D8" s="638"/>
      <c r="E8" s="609">
        <v>937.04</v>
      </c>
      <c r="M8" s="5"/>
    </row>
    <row r="9" spans="1:13">
      <c r="B9" s="103" t="s">
        <v>13</v>
      </c>
      <c r="C9" s="145" t="s">
        <v>76</v>
      </c>
      <c r="D9" s="639"/>
      <c r="E9" s="610">
        <v>873.83</v>
      </c>
      <c r="M9" s="5"/>
    </row>
    <row r="10" spans="1:13">
      <c r="B10" s="103" t="s">
        <v>104</v>
      </c>
      <c r="C10" s="145" t="s">
        <v>424</v>
      </c>
      <c r="D10" s="639"/>
      <c r="E10" s="610">
        <v>652.24</v>
      </c>
      <c r="M10" s="5"/>
    </row>
    <row r="11" spans="1:13">
      <c r="B11" s="103" t="s">
        <v>26</v>
      </c>
      <c r="C11" s="145" t="s">
        <v>80</v>
      </c>
      <c r="D11" s="639"/>
      <c r="E11" s="610">
        <v>2043.36</v>
      </c>
      <c r="F11" s="415"/>
      <c r="M11" s="5"/>
    </row>
    <row r="12" spans="1:13">
      <c r="B12" s="103" t="s">
        <v>447</v>
      </c>
      <c r="C12" s="145" t="s">
        <v>448</v>
      </c>
      <c r="D12" s="639"/>
      <c r="E12" s="610">
        <v>1188</v>
      </c>
      <c r="F12" s="415"/>
      <c r="M12" s="5"/>
    </row>
    <row r="13" spans="1:13">
      <c r="B13" s="103" t="s">
        <v>53</v>
      </c>
      <c r="C13" s="716" t="s">
        <v>77</v>
      </c>
      <c r="D13" s="640"/>
      <c r="E13" s="610">
        <v>1065.32</v>
      </c>
      <c r="F13" s="415"/>
      <c r="M13" s="5"/>
    </row>
    <row r="14" spans="1:13" ht="13.5" thickBot="1">
      <c r="B14" s="606" t="s">
        <v>208</v>
      </c>
      <c r="C14" s="717" t="s">
        <v>215</v>
      </c>
      <c r="D14" s="641"/>
      <c r="E14" s="611">
        <v>1029.5999999999999</v>
      </c>
      <c r="F14" s="415"/>
      <c r="M14" s="5"/>
    </row>
    <row r="15" spans="1:13" s="4" customFormat="1" ht="13.5" thickBot="1">
      <c r="B15" s="419"/>
      <c r="C15" s="604"/>
      <c r="D15" s="604"/>
      <c r="E15" s="612">
        <f>SUM(E8:E14)</f>
        <v>7789.3899999999994</v>
      </c>
      <c r="F15" s="605"/>
    </row>
    <row r="16" spans="1:13">
      <c r="B16" s="207" t="s">
        <v>104</v>
      </c>
      <c r="C16" s="285" t="s">
        <v>339</v>
      </c>
      <c r="D16" s="285"/>
      <c r="E16" s="613">
        <v>500</v>
      </c>
      <c r="M16" s="5"/>
    </row>
    <row r="17" spans="1:13">
      <c r="B17" s="199" t="s">
        <v>34</v>
      </c>
      <c r="C17" s="148" t="s">
        <v>48</v>
      </c>
      <c r="D17" s="148"/>
      <c r="E17" s="614">
        <v>950</v>
      </c>
      <c r="M17" s="5"/>
    </row>
    <row r="18" spans="1:13" ht="13.5" thickBot="1">
      <c r="B18" s="208" t="s">
        <v>94</v>
      </c>
      <c r="C18" s="607" t="s">
        <v>95</v>
      </c>
      <c r="D18" s="607"/>
      <c r="E18" s="615">
        <v>825</v>
      </c>
      <c r="M18" s="5"/>
    </row>
    <row r="19" spans="1:13" ht="13.5" thickBot="1">
      <c r="B19" s="21"/>
      <c r="C19" s="608" t="s">
        <v>0</v>
      </c>
      <c r="D19" s="608"/>
      <c r="E19" s="616">
        <f>SUM(E15:E18)</f>
        <v>10064.39</v>
      </c>
      <c r="M19" s="5"/>
    </row>
    <row r="20" spans="1:13" ht="12.75" customHeight="1">
      <c r="B20" s="21"/>
      <c r="C20" s="64"/>
      <c r="D20" s="64"/>
      <c r="E20" s="76"/>
      <c r="F20" s="76"/>
      <c r="G20" s="76"/>
      <c r="H20" s="76"/>
      <c r="I20" s="76"/>
      <c r="J20" s="76"/>
      <c r="K20" s="76"/>
      <c r="L20" s="76"/>
      <c r="M20" s="76"/>
    </row>
    <row r="21" spans="1:13" s="600" customFormat="1" ht="6.75" customHeight="1">
      <c r="B21" s="601"/>
      <c r="C21" s="602"/>
      <c r="D21" s="602"/>
      <c r="E21" s="603"/>
      <c r="F21" s="603"/>
      <c r="G21" s="603"/>
      <c r="H21" s="603"/>
      <c r="I21" s="603"/>
      <c r="J21" s="603"/>
      <c r="K21" s="603"/>
      <c r="L21" s="603"/>
      <c r="M21" s="603"/>
    </row>
    <row r="22" spans="1:13" ht="19.5" customHeight="1">
      <c r="A22" s="944"/>
      <c r="B22" s="595" t="s">
        <v>419</v>
      </c>
      <c r="C22" s="621">
        <v>32</v>
      </c>
      <c r="D22" s="621"/>
      <c r="E22" s="76"/>
      <c r="F22" s="76"/>
      <c r="G22" s="76"/>
      <c r="H22" s="76"/>
      <c r="I22" s="76"/>
      <c r="J22" s="76"/>
      <c r="K22" s="76"/>
      <c r="L22" s="76"/>
      <c r="M22" s="5"/>
    </row>
    <row r="23" spans="1:13" ht="19.5" customHeight="1">
      <c r="A23" s="944"/>
      <c r="B23" s="595" t="s">
        <v>420</v>
      </c>
      <c r="C23" s="621">
        <v>23</v>
      </c>
      <c r="D23" s="621"/>
      <c r="E23" s="76"/>
      <c r="F23" s="76"/>
      <c r="G23" s="76"/>
      <c r="H23" s="76"/>
      <c r="I23" s="76"/>
      <c r="J23" s="76"/>
      <c r="K23" s="76"/>
      <c r="L23" s="76"/>
      <c r="M23" s="5"/>
    </row>
    <row r="24" spans="1:13" ht="19.5" customHeight="1">
      <c r="B24" s="595" t="s">
        <v>423</v>
      </c>
      <c r="C24" s="948">
        <v>41131</v>
      </c>
      <c r="D24" s="949"/>
      <c r="E24" s="76"/>
      <c r="F24" s="76"/>
      <c r="G24" s="76"/>
      <c r="H24" s="76"/>
      <c r="I24" s="76"/>
      <c r="J24" s="76"/>
      <c r="K24" s="76"/>
      <c r="L24" s="76"/>
      <c r="M24" s="5"/>
    </row>
    <row r="25" spans="1:13" ht="4.5" customHeight="1">
      <c r="B25" s="2"/>
      <c r="C25" s="147"/>
      <c r="D25" s="147"/>
      <c r="E25" s="945"/>
      <c r="F25" s="946"/>
      <c r="G25" s="3"/>
      <c r="H25" s="4"/>
      <c r="I25" s="4"/>
      <c r="J25" s="4"/>
      <c r="K25" s="4"/>
      <c r="L25" s="34"/>
      <c r="M25" s="4"/>
    </row>
    <row r="26" spans="1:13" s="6" customFormat="1" ht="13.5" thickBot="1">
      <c r="B26" s="596" t="s">
        <v>421</v>
      </c>
      <c r="C26" s="598" t="s">
        <v>1</v>
      </c>
      <c r="D26" s="598"/>
      <c r="E26" s="599" t="s">
        <v>10</v>
      </c>
    </row>
    <row r="27" spans="1:13">
      <c r="B27" s="207" t="s">
        <v>11</v>
      </c>
      <c r="C27" s="597" t="s">
        <v>78</v>
      </c>
      <c r="D27" s="638"/>
      <c r="E27" s="609">
        <v>937.04</v>
      </c>
      <c r="M27" s="5"/>
    </row>
    <row r="28" spans="1:13">
      <c r="B28" s="103" t="s">
        <v>13</v>
      </c>
      <c r="C28" s="145" t="s">
        <v>76</v>
      </c>
      <c r="D28" s="639"/>
      <c r="E28" s="610">
        <v>873.83</v>
      </c>
      <c r="M28" s="5"/>
    </row>
    <row r="29" spans="1:13">
      <c r="B29" s="103" t="s">
        <v>104</v>
      </c>
      <c r="C29" s="145" t="s">
        <v>424</v>
      </c>
      <c r="D29" s="639"/>
      <c r="E29" s="610">
        <v>689.74</v>
      </c>
      <c r="M29" s="5"/>
    </row>
    <row r="30" spans="1:13">
      <c r="B30" s="103" t="s">
        <v>26</v>
      </c>
      <c r="C30" s="145" t="s">
        <v>80</v>
      </c>
      <c r="D30" s="639"/>
      <c r="E30" s="610">
        <v>2028.17</v>
      </c>
      <c r="F30" s="415"/>
      <c r="M30" s="5"/>
    </row>
    <row r="31" spans="1:13">
      <c r="B31" s="103" t="s">
        <v>447</v>
      </c>
      <c r="C31" s="145" t="s">
        <v>448</v>
      </c>
      <c r="D31" s="639"/>
      <c r="E31" s="610">
        <v>1502.02</v>
      </c>
      <c r="F31" s="415"/>
      <c r="M31" s="5"/>
    </row>
    <row r="32" spans="1:13">
      <c r="B32" s="103" t="s">
        <v>53</v>
      </c>
      <c r="C32" s="716" t="s">
        <v>77</v>
      </c>
      <c r="D32" s="640"/>
      <c r="E32" s="610">
        <v>1065.3499999999999</v>
      </c>
      <c r="F32" s="415"/>
      <c r="M32" s="5"/>
    </row>
    <row r="33" spans="1:13" ht="13.5" thickBot="1">
      <c r="B33" s="606" t="s">
        <v>208</v>
      </c>
      <c r="C33" s="717" t="s">
        <v>215</v>
      </c>
      <c r="D33" s="641"/>
      <c r="E33" s="611">
        <v>792</v>
      </c>
      <c r="F33" s="415"/>
      <c r="M33" s="5"/>
    </row>
    <row r="34" spans="1:13" s="4" customFormat="1" ht="13.5" thickBot="1">
      <c r="B34" s="419"/>
      <c r="C34" s="604"/>
      <c r="D34" s="604"/>
      <c r="E34" s="612">
        <f>SUM(E27:E33)</f>
        <v>7888.15</v>
      </c>
      <c r="F34" s="605"/>
    </row>
    <row r="35" spans="1:13">
      <c r="B35" s="207" t="s">
        <v>104</v>
      </c>
      <c r="C35" s="285" t="s">
        <v>339</v>
      </c>
      <c r="D35" s="285"/>
      <c r="E35" s="613">
        <v>500</v>
      </c>
      <c r="M35" s="5"/>
    </row>
    <row r="36" spans="1:13">
      <c r="B36" s="199" t="s">
        <v>34</v>
      </c>
      <c r="C36" s="148" t="s">
        <v>48</v>
      </c>
      <c r="D36" s="148"/>
      <c r="E36" s="614">
        <v>950</v>
      </c>
      <c r="M36" s="5"/>
    </row>
    <row r="37" spans="1:13" ht="13.5" thickBot="1">
      <c r="B37" s="208" t="s">
        <v>94</v>
      </c>
      <c r="C37" s="607" t="s">
        <v>95</v>
      </c>
      <c r="D37" s="607"/>
      <c r="E37" s="615">
        <f>3630/4</f>
        <v>907.5</v>
      </c>
      <c r="M37" s="5"/>
    </row>
    <row r="38" spans="1:13" ht="13.5" thickBot="1">
      <c r="B38" s="21"/>
      <c r="C38" s="608" t="s">
        <v>0</v>
      </c>
      <c r="D38" s="608"/>
      <c r="E38" s="616">
        <f>SUM(E34:E37)</f>
        <v>10245.65</v>
      </c>
      <c r="M38" s="5"/>
    </row>
    <row r="39" spans="1:13" ht="12.75" customHeight="1">
      <c r="B39" s="21"/>
      <c r="C39" s="64"/>
      <c r="D39" s="64"/>
      <c r="E39" s="76"/>
      <c r="F39" s="76"/>
      <c r="G39" s="76"/>
      <c r="H39" s="76"/>
      <c r="I39" s="76"/>
      <c r="J39" s="76"/>
      <c r="K39" s="76"/>
      <c r="L39" s="76"/>
      <c r="M39" s="76"/>
    </row>
    <row r="40" spans="1:13" s="600" customFormat="1" ht="6.75" customHeight="1">
      <c r="B40" s="601"/>
      <c r="C40" s="602"/>
      <c r="D40" s="602"/>
      <c r="E40" s="603"/>
      <c r="F40" s="603"/>
      <c r="G40" s="603"/>
      <c r="H40" s="603"/>
      <c r="I40" s="603"/>
      <c r="J40" s="603"/>
      <c r="K40" s="603"/>
      <c r="L40" s="603"/>
      <c r="M40" s="603"/>
    </row>
    <row r="41" spans="1:13" ht="19.5" customHeight="1">
      <c r="A41" s="944"/>
      <c r="B41" s="595" t="s">
        <v>419</v>
      </c>
      <c r="C41" s="621">
        <v>33</v>
      </c>
      <c r="D41" s="621"/>
      <c r="E41" s="76"/>
      <c r="F41" s="76"/>
      <c r="G41" s="76"/>
      <c r="H41" s="76"/>
      <c r="I41" s="76"/>
      <c r="J41" s="76"/>
      <c r="K41" s="76"/>
      <c r="L41" s="76"/>
      <c r="M41" s="5"/>
    </row>
    <row r="42" spans="1:13" ht="19.5" customHeight="1">
      <c r="A42" s="944"/>
      <c r="B42" s="595" t="s">
        <v>420</v>
      </c>
      <c r="C42" s="621">
        <v>24</v>
      </c>
      <c r="D42" s="621"/>
      <c r="E42" s="76"/>
      <c r="F42" s="76"/>
      <c r="G42" s="76"/>
      <c r="H42" s="76"/>
      <c r="I42" s="76"/>
      <c r="J42" s="76"/>
      <c r="K42" s="76"/>
      <c r="L42" s="76"/>
      <c r="M42" s="5"/>
    </row>
    <row r="43" spans="1:13" ht="19.5" customHeight="1">
      <c r="B43" s="595" t="s">
        <v>423</v>
      </c>
      <c r="C43" s="948">
        <v>41138</v>
      </c>
      <c r="D43" s="949"/>
      <c r="E43" s="76"/>
      <c r="F43" s="76"/>
      <c r="G43" s="76"/>
      <c r="H43" s="76"/>
      <c r="I43" s="76"/>
      <c r="J43" s="76"/>
      <c r="K43" s="76"/>
      <c r="L43" s="76"/>
      <c r="M43" s="5"/>
    </row>
    <row r="44" spans="1:13" ht="4.5" customHeight="1">
      <c r="B44" s="2"/>
      <c r="C44" s="147"/>
      <c r="D44" s="147"/>
      <c r="E44" s="945"/>
      <c r="F44" s="946"/>
      <c r="G44" s="3"/>
      <c r="H44" s="4"/>
      <c r="I44" s="4"/>
      <c r="J44" s="4"/>
      <c r="K44" s="4"/>
      <c r="L44" s="34"/>
      <c r="M44" s="4"/>
    </row>
    <row r="45" spans="1:13" s="6" customFormat="1" ht="13.5" thickBot="1">
      <c r="B45" s="596" t="s">
        <v>421</v>
      </c>
      <c r="C45" s="598" t="s">
        <v>1</v>
      </c>
      <c r="D45" s="598"/>
      <c r="E45" s="599" t="s">
        <v>10</v>
      </c>
    </row>
    <row r="46" spans="1:13">
      <c r="B46" s="207" t="s">
        <v>11</v>
      </c>
      <c r="C46" s="597" t="s">
        <v>78</v>
      </c>
      <c r="D46" s="638"/>
      <c r="E46" s="609">
        <v>937.04</v>
      </c>
      <c r="M46" s="5"/>
    </row>
    <row r="47" spans="1:13">
      <c r="B47" s="103" t="s">
        <v>13</v>
      </c>
      <c r="C47" s="145" t="s">
        <v>76</v>
      </c>
      <c r="D47" s="639"/>
      <c r="E47" s="610">
        <v>873.83</v>
      </c>
      <c r="M47" s="5"/>
    </row>
    <row r="48" spans="1:13">
      <c r="B48" s="103" t="s">
        <v>104</v>
      </c>
      <c r="C48" s="145" t="s">
        <v>424</v>
      </c>
      <c r="D48" s="639"/>
      <c r="E48" s="610">
        <v>689.74</v>
      </c>
      <c r="M48" s="5"/>
    </row>
    <row r="49" spans="1:13">
      <c r="B49" s="103" t="s">
        <v>26</v>
      </c>
      <c r="C49" s="145" t="s">
        <v>80</v>
      </c>
      <c r="D49" s="639"/>
      <c r="E49" s="610">
        <v>2028.2</v>
      </c>
      <c r="F49" s="415"/>
      <c r="M49" s="5"/>
    </row>
    <row r="50" spans="1:13">
      <c r="B50" s="103" t="s">
        <v>447</v>
      </c>
      <c r="C50" s="145" t="s">
        <v>448</v>
      </c>
      <c r="D50" s="639"/>
      <c r="E50" s="610">
        <v>1483.6</v>
      </c>
      <c r="F50" s="415"/>
      <c r="M50" s="5"/>
    </row>
    <row r="51" spans="1:13">
      <c r="B51" s="103" t="s">
        <v>53</v>
      </c>
      <c r="C51" s="716" t="s">
        <v>77</v>
      </c>
      <c r="D51" s="640"/>
      <c r="E51" s="610">
        <v>1065.3599999999999</v>
      </c>
      <c r="F51" s="415"/>
      <c r="M51" s="5"/>
    </row>
    <row r="52" spans="1:13" ht="13.5" thickBot="1">
      <c r="B52" s="606" t="s">
        <v>208</v>
      </c>
      <c r="C52" s="717" t="s">
        <v>215</v>
      </c>
      <c r="D52" s="641"/>
      <c r="E52" s="611">
        <v>985.05</v>
      </c>
      <c r="F52" s="415"/>
      <c r="M52" s="5"/>
    </row>
    <row r="53" spans="1:13" s="4" customFormat="1" ht="13.5" thickBot="1">
      <c r="B53" s="419"/>
      <c r="C53" s="604"/>
      <c r="D53" s="604"/>
      <c r="E53" s="612">
        <f>SUM(E46:E52)</f>
        <v>8062.82</v>
      </c>
      <c r="F53" s="605"/>
    </row>
    <row r="54" spans="1:13">
      <c r="B54" s="207" t="s">
        <v>104</v>
      </c>
      <c r="C54" s="285" t="s">
        <v>339</v>
      </c>
      <c r="D54" s="285"/>
      <c r="E54" s="613">
        <v>500</v>
      </c>
      <c r="M54" s="5"/>
    </row>
    <row r="55" spans="1:13">
      <c r="B55" s="199" t="s">
        <v>34</v>
      </c>
      <c r="C55" s="148" t="s">
        <v>48</v>
      </c>
      <c r="D55" s="148"/>
      <c r="E55" s="614">
        <v>950</v>
      </c>
      <c r="M55" s="5"/>
    </row>
    <row r="56" spans="1:13" ht="13.5" thickBot="1">
      <c r="B56" s="208" t="s">
        <v>94</v>
      </c>
      <c r="C56" s="607" t="s">
        <v>95</v>
      </c>
      <c r="D56" s="607"/>
      <c r="E56" s="615">
        <f>3630/4</f>
        <v>907.5</v>
      </c>
      <c r="M56" s="5"/>
    </row>
    <row r="57" spans="1:13" ht="13.5" thickBot="1">
      <c r="B57" s="21"/>
      <c r="C57" s="608" t="s">
        <v>0</v>
      </c>
      <c r="D57" s="608"/>
      <c r="E57" s="616">
        <f>SUM(E53:E56)</f>
        <v>10420.32</v>
      </c>
      <c r="M57" s="5"/>
    </row>
    <row r="58" spans="1:13" ht="12.75" customHeight="1">
      <c r="B58" s="21"/>
      <c r="C58" s="64"/>
      <c r="D58" s="64"/>
      <c r="E58" s="76"/>
      <c r="F58" s="76"/>
      <c r="G58" s="76"/>
      <c r="H58" s="76"/>
      <c r="I58" s="76"/>
      <c r="J58" s="76"/>
      <c r="K58" s="76"/>
      <c r="L58" s="76"/>
      <c r="M58" s="76"/>
    </row>
    <row r="59" spans="1:13" s="600" customFormat="1" ht="6.75" customHeight="1">
      <c r="B59" s="601"/>
      <c r="C59" s="602"/>
      <c r="D59" s="602"/>
      <c r="E59" s="603"/>
      <c r="F59" s="603"/>
      <c r="G59" s="603"/>
      <c r="H59" s="603"/>
      <c r="I59" s="603"/>
      <c r="J59" s="603"/>
      <c r="K59" s="603"/>
      <c r="L59" s="603"/>
      <c r="M59" s="603"/>
    </row>
    <row r="60" spans="1:13" ht="19.5" customHeight="1">
      <c r="A60" s="944"/>
      <c r="B60" s="595" t="s">
        <v>419</v>
      </c>
      <c r="C60" s="621">
        <v>34</v>
      </c>
      <c r="D60" s="621"/>
      <c r="E60" s="76"/>
      <c r="F60" s="76"/>
      <c r="G60" s="76"/>
      <c r="H60" s="76"/>
      <c r="I60" s="76"/>
      <c r="J60" s="76"/>
      <c r="K60" s="76"/>
      <c r="L60" s="76"/>
      <c r="M60" s="5"/>
    </row>
    <row r="61" spans="1:13" ht="19.5" customHeight="1">
      <c r="A61" s="944"/>
      <c r="B61" s="595" t="s">
        <v>420</v>
      </c>
      <c r="C61" s="621">
        <v>25</v>
      </c>
      <c r="D61" s="621"/>
      <c r="E61" s="76"/>
      <c r="F61" s="76"/>
      <c r="G61" s="76"/>
      <c r="H61" s="76"/>
      <c r="I61" s="76"/>
      <c r="J61" s="76"/>
      <c r="K61" s="76"/>
      <c r="L61" s="76"/>
      <c r="M61" s="5"/>
    </row>
    <row r="62" spans="1:13" ht="19.5" customHeight="1">
      <c r="B62" s="595" t="s">
        <v>423</v>
      </c>
      <c r="C62" s="948">
        <v>41145</v>
      </c>
      <c r="D62" s="949"/>
      <c r="E62" s="76"/>
      <c r="F62" s="76"/>
      <c r="G62" s="76"/>
      <c r="H62" s="76"/>
      <c r="I62" s="76"/>
      <c r="J62" s="76"/>
      <c r="K62" s="76"/>
      <c r="L62" s="76"/>
      <c r="M62" s="5"/>
    </row>
    <row r="63" spans="1:13" ht="4.5" customHeight="1">
      <c r="B63" s="2"/>
      <c r="C63" s="147"/>
      <c r="D63" s="147"/>
      <c r="E63" s="945"/>
      <c r="F63" s="946"/>
      <c r="G63" s="3"/>
      <c r="H63" s="4"/>
      <c r="I63" s="4"/>
      <c r="J63" s="4"/>
      <c r="K63" s="4"/>
      <c r="L63" s="34"/>
      <c r="M63" s="4"/>
    </row>
    <row r="64" spans="1:13" s="6" customFormat="1" ht="13.5" thickBot="1">
      <c r="B64" s="596" t="s">
        <v>421</v>
      </c>
      <c r="C64" s="598" t="s">
        <v>1</v>
      </c>
      <c r="D64" s="598"/>
      <c r="E64" s="599" t="s">
        <v>10</v>
      </c>
    </row>
    <row r="65" spans="1:13">
      <c r="B65" s="207" t="s">
        <v>11</v>
      </c>
      <c r="C65" s="597" t="s">
        <v>78</v>
      </c>
      <c r="D65" s="638"/>
      <c r="E65" s="609">
        <v>1222.1600000000001</v>
      </c>
      <c r="M65" s="5"/>
    </row>
    <row r="66" spans="1:13">
      <c r="B66" s="103" t="s">
        <v>13</v>
      </c>
      <c r="C66" s="145" t="s">
        <v>76</v>
      </c>
      <c r="D66" s="639"/>
      <c r="E66" s="610">
        <v>1138.6400000000001</v>
      </c>
      <c r="M66" s="5"/>
    </row>
    <row r="67" spans="1:13">
      <c r="B67" s="103" t="s">
        <v>471</v>
      </c>
      <c r="C67" s="145" t="s">
        <v>472</v>
      </c>
      <c r="D67" s="639"/>
      <c r="E67" s="610">
        <v>406.82</v>
      </c>
      <c r="M67" s="5"/>
    </row>
    <row r="68" spans="1:13">
      <c r="B68" s="103" t="s">
        <v>104</v>
      </c>
      <c r="C68" s="145" t="s">
        <v>424</v>
      </c>
      <c r="D68" s="639"/>
      <c r="E68" s="610">
        <v>689.74</v>
      </c>
      <c r="M68" s="5"/>
    </row>
    <row r="69" spans="1:13">
      <c r="B69" s="103" t="s">
        <v>26</v>
      </c>
      <c r="C69" s="145" t="s">
        <v>80</v>
      </c>
      <c r="D69" s="639"/>
      <c r="E69" s="610">
        <v>2028.1</v>
      </c>
      <c r="F69" s="415"/>
      <c r="M69" s="5"/>
    </row>
    <row r="70" spans="1:13">
      <c r="B70" s="103" t="s">
        <v>447</v>
      </c>
      <c r="C70" s="145" t="s">
        <v>448</v>
      </c>
      <c r="D70" s="639"/>
      <c r="E70" s="610">
        <v>1483.59</v>
      </c>
      <c r="F70" s="415"/>
      <c r="M70" s="5"/>
    </row>
    <row r="71" spans="1:13">
      <c r="B71" s="103" t="s">
        <v>53</v>
      </c>
      <c r="C71" s="716" t="s">
        <v>77</v>
      </c>
      <c r="D71" s="640"/>
      <c r="E71" s="610">
        <v>1165.3399999999999</v>
      </c>
      <c r="F71" s="415"/>
      <c r="M71" s="5"/>
    </row>
    <row r="72" spans="1:13" ht="13.5" thickBot="1">
      <c r="B72" s="606" t="s">
        <v>208</v>
      </c>
      <c r="C72" s="717" t="s">
        <v>215</v>
      </c>
      <c r="D72" s="641"/>
      <c r="E72" s="611">
        <v>1029.5999999999999</v>
      </c>
      <c r="F72" s="415"/>
      <c r="M72" s="5"/>
    </row>
    <row r="73" spans="1:13" s="4" customFormat="1" ht="13.5" thickBot="1">
      <c r="B73" s="419"/>
      <c r="C73" s="604"/>
      <c r="D73" s="604"/>
      <c r="E73" s="612">
        <f>SUM(E65:E72)</f>
        <v>9163.9900000000016</v>
      </c>
      <c r="F73" s="605"/>
    </row>
    <row r="74" spans="1:13">
      <c r="B74" s="207" t="s">
        <v>104</v>
      </c>
      <c r="C74" s="285" t="s">
        <v>339</v>
      </c>
      <c r="D74" s="285"/>
      <c r="E74" s="613">
        <v>500</v>
      </c>
      <c r="M74" s="5"/>
    </row>
    <row r="75" spans="1:13">
      <c r="B75" s="199" t="s">
        <v>34</v>
      </c>
      <c r="C75" s="148" t="s">
        <v>48</v>
      </c>
      <c r="D75" s="148"/>
      <c r="E75" s="614">
        <v>950</v>
      </c>
      <c r="M75" s="5"/>
    </row>
    <row r="76" spans="1:13" ht="13.5" thickBot="1">
      <c r="B76" s="208" t="s">
        <v>94</v>
      </c>
      <c r="C76" s="607" t="s">
        <v>95</v>
      </c>
      <c r="D76" s="607"/>
      <c r="E76" s="615">
        <f>3630/4</f>
        <v>907.5</v>
      </c>
      <c r="M76" s="5"/>
    </row>
    <row r="77" spans="1:13" ht="13.5" thickBot="1">
      <c r="B77" s="21"/>
      <c r="C77" s="608" t="s">
        <v>0</v>
      </c>
      <c r="D77" s="608"/>
      <c r="E77" s="616">
        <f>SUM(E73:E76)</f>
        <v>11521.490000000002</v>
      </c>
      <c r="M77" s="5"/>
    </row>
    <row r="78" spans="1:13" ht="12.75" customHeight="1">
      <c r="B78" s="21"/>
      <c r="C78" s="64"/>
      <c r="D78" s="64"/>
      <c r="E78" s="76"/>
      <c r="F78" s="76"/>
      <c r="G78" s="76"/>
      <c r="H78" s="76"/>
      <c r="I78" s="76"/>
      <c r="J78" s="76"/>
      <c r="K78" s="76"/>
      <c r="L78" s="76"/>
      <c r="M78" s="76"/>
    </row>
    <row r="79" spans="1:13" s="600" customFormat="1" ht="6.75" customHeight="1">
      <c r="B79" s="601"/>
      <c r="C79" s="602"/>
      <c r="D79" s="602"/>
      <c r="E79" s="603"/>
      <c r="F79" s="603"/>
      <c r="G79" s="603"/>
      <c r="H79" s="603"/>
      <c r="I79" s="603"/>
      <c r="J79" s="603"/>
      <c r="K79" s="603"/>
      <c r="L79" s="603"/>
      <c r="M79" s="603"/>
    </row>
    <row r="80" spans="1:13" ht="19.5" customHeight="1">
      <c r="A80" s="944"/>
      <c r="B80" s="595" t="s">
        <v>419</v>
      </c>
      <c r="C80" s="621">
        <v>35</v>
      </c>
      <c r="D80" s="621"/>
      <c r="E80" s="76"/>
      <c r="F80" s="76"/>
      <c r="G80" s="76"/>
      <c r="H80" s="76"/>
      <c r="I80" s="76"/>
      <c r="J80" s="76"/>
      <c r="K80" s="76"/>
      <c r="L80" s="76"/>
      <c r="M80" s="76"/>
    </row>
    <row r="81" spans="1:14" ht="19.5" customHeight="1">
      <c r="A81" s="944"/>
      <c r="B81" s="595" t="s">
        <v>420</v>
      </c>
      <c r="C81" s="621">
        <v>26</v>
      </c>
      <c r="D81" s="621"/>
      <c r="E81" s="76"/>
      <c r="F81" s="76"/>
      <c r="G81" s="76"/>
      <c r="H81" s="76"/>
      <c r="I81" s="76"/>
      <c r="J81" s="76"/>
      <c r="K81" s="76"/>
      <c r="L81" s="76"/>
      <c r="M81" s="76"/>
    </row>
    <row r="82" spans="1:14" ht="19.5" customHeight="1">
      <c r="B82" s="595" t="s">
        <v>423</v>
      </c>
      <c r="C82" s="948">
        <v>41152</v>
      </c>
      <c r="D82" s="949"/>
      <c r="E82" s="76"/>
      <c r="F82" s="76"/>
      <c r="G82" s="76"/>
      <c r="H82" s="76"/>
      <c r="I82" s="76"/>
      <c r="J82" s="76"/>
      <c r="K82" s="76"/>
      <c r="L82" s="76"/>
      <c r="M82" s="76"/>
    </row>
    <row r="83" spans="1:14" ht="4.5" customHeight="1">
      <c r="B83" s="2"/>
      <c r="C83" s="147"/>
      <c r="D83" s="147"/>
      <c r="E83" s="945"/>
      <c r="F83" s="946"/>
      <c r="G83" s="3"/>
      <c r="H83" s="4"/>
      <c r="I83" s="4"/>
      <c r="J83" s="4"/>
      <c r="K83" s="4"/>
      <c r="L83" s="4"/>
      <c r="M83" s="34"/>
      <c r="N83" s="4"/>
    </row>
    <row r="84" spans="1:14" s="6" customFormat="1" ht="13.5" thickBot="1">
      <c r="B84" s="596" t="s">
        <v>421</v>
      </c>
      <c r="C84" s="598" t="s">
        <v>1</v>
      </c>
      <c r="D84" s="598"/>
      <c r="E84" s="599" t="s">
        <v>10</v>
      </c>
    </row>
    <row r="85" spans="1:14">
      <c r="B85" s="743" t="s">
        <v>477</v>
      </c>
      <c r="C85" s="597" t="s">
        <v>80</v>
      </c>
      <c r="D85" s="638"/>
      <c r="E85" s="609">
        <v>2959.35</v>
      </c>
      <c r="M85" s="5"/>
    </row>
    <row r="86" spans="1:14">
      <c r="B86" s="742" t="s">
        <v>11</v>
      </c>
      <c r="C86" s="597" t="s">
        <v>78</v>
      </c>
      <c r="D86" s="638"/>
      <c r="E86" s="609">
        <v>1222.1600000000001</v>
      </c>
      <c r="M86" s="5"/>
    </row>
    <row r="87" spans="1:14">
      <c r="B87" s="103" t="s">
        <v>13</v>
      </c>
      <c r="C87" s="145" t="s">
        <v>76</v>
      </c>
      <c r="D87" s="639"/>
      <c r="E87" s="610">
        <v>1138.6400000000001</v>
      </c>
      <c r="M87" s="5"/>
    </row>
    <row r="88" spans="1:14">
      <c r="B88" s="103" t="s">
        <v>471</v>
      </c>
      <c r="C88" s="145" t="s">
        <v>472</v>
      </c>
      <c r="D88" s="639"/>
      <c r="E88" s="610">
        <v>1056.7</v>
      </c>
      <c r="M88" s="5"/>
    </row>
    <row r="89" spans="1:14">
      <c r="B89" s="103" t="s">
        <v>479</v>
      </c>
      <c r="C89" s="145" t="s">
        <v>478</v>
      </c>
      <c r="D89" s="639"/>
      <c r="E89" s="610">
        <v>475.2</v>
      </c>
      <c r="M89" s="5"/>
    </row>
    <row r="90" spans="1:14">
      <c r="B90" s="103" t="s">
        <v>447</v>
      </c>
      <c r="C90" s="145" t="s">
        <v>448</v>
      </c>
      <c r="D90" s="639"/>
      <c r="E90" s="610">
        <v>1483.62</v>
      </c>
      <c r="M90" s="5"/>
    </row>
    <row r="91" spans="1:14">
      <c r="B91" s="103" t="s">
        <v>53</v>
      </c>
      <c r="C91" s="716" t="s">
        <v>77</v>
      </c>
      <c r="D91" s="639"/>
      <c r="E91" s="610">
        <v>1265.4000000000001</v>
      </c>
      <c r="M91" s="5"/>
    </row>
    <row r="92" spans="1:14">
      <c r="B92" s="103" t="s">
        <v>208</v>
      </c>
      <c r="C92" s="716" t="s">
        <v>215</v>
      </c>
      <c r="D92" s="744"/>
      <c r="E92" s="610">
        <v>792</v>
      </c>
      <c r="M92" s="5"/>
    </row>
    <row r="93" spans="1:14" ht="13.5" thickBot="1">
      <c r="B93" s="606" t="s">
        <v>104</v>
      </c>
      <c r="C93" s="745" t="s">
        <v>424</v>
      </c>
      <c r="D93" s="746"/>
      <c r="E93" s="611">
        <v>689.74</v>
      </c>
      <c r="F93" s="684"/>
      <c r="M93" s="5"/>
    </row>
    <row r="94" spans="1:14" s="4" customFormat="1" ht="13.5" thickBot="1">
      <c r="B94" s="419"/>
      <c r="C94" s="604"/>
      <c r="D94" s="604"/>
      <c r="E94" s="612">
        <f>SUM(E85:E93)</f>
        <v>11082.81</v>
      </c>
      <c r="F94" s="605"/>
    </row>
    <row r="95" spans="1:14">
      <c r="B95" s="207" t="s">
        <v>104</v>
      </c>
      <c r="C95" s="285" t="s">
        <v>339</v>
      </c>
      <c r="D95" s="285"/>
      <c r="E95" s="613">
        <v>500</v>
      </c>
      <c r="M95" s="5"/>
    </row>
    <row r="96" spans="1:14">
      <c r="B96" s="155" t="s">
        <v>142</v>
      </c>
      <c r="C96" s="220" t="s">
        <v>426</v>
      </c>
      <c r="D96" s="220"/>
      <c r="E96" s="618">
        <v>150</v>
      </c>
      <c r="M96" s="5"/>
    </row>
    <row r="97" spans="1:13">
      <c r="B97" s="155" t="s">
        <v>156</v>
      </c>
      <c r="C97" s="722" t="s">
        <v>427</v>
      </c>
      <c r="D97" s="722"/>
      <c r="E97" s="618">
        <v>100</v>
      </c>
      <c r="M97" s="5"/>
    </row>
    <row r="98" spans="1:13" ht="13.5" thickBot="1">
      <c r="B98" s="156" t="s">
        <v>94</v>
      </c>
      <c r="C98" s="720" t="s">
        <v>95</v>
      </c>
      <c r="D98" s="720"/>
      <c r="E98" s="721">
        <f>3630-E18-E37-E56-E76</f>
        <v>82.5</v>
      </c>
      <c r="M98" s="5"/>
    </row>
    <row r="99" spans="1:13" ht="13.5" thickBot="1">
      <c r="B99" s="21"/>
      <c r="C99" s="608" t="s">
        <v>0</v>
      </c>
      <c r="D99" s="608"/>
      <c r="E99" s="616">
        <f>SUM(E94:E98)</f>
        <v>11915.31</v>
      </c>
      <c r="M99" s="5"/>
    </row>
    <row r="100" spans="1:13" ht="18" customHeight="1">
      <c r="B100" s="21"/>
      <c r="C100" s="64"/>
      <c r="D100" s="64"/>
      <c r="E100" s="76"/>
      <c r="F100" s="76"/>
      <c r="G100" s="76"/>
      <c r="H100" s="76"/>
      <c r="I100" s="76"/>
      <c r="J100" s="76"/>
      <c r="K100" s="76"/>
      <c r="L100" s="76"/>
      <c r="M100" s="76"/>
    </row>
    <row r="101" spans="1:13" s="7" customFormat="1" ht="13.15" customHeight="1">
      <c r="A101" s="122" t="s">
        <v>56</v>
      </c>
      <c r="B101" s="123" t="s">
        <v>57</v>
      </c>
      <c r="C101" s="123"/>
      <c r="D101" s="619">
        <f>Nikki!E506</f>
        <v>8502.7000000000007</v>
      </c>
      <c r="E101" s="619"/>
      <c r="F101" s="122"/>
      <c r="G101" s="123" t="s">
        <v>146</v>
      </c>
      <c r="H101" s="619">
        <v>2500</v>
      </c>
      <c r="I101" s="619"/>
      <c r="J101" s="624"/>
      <c r="K101" s="624"/>
      <c r="L101" s="624"/>
      <c r="M101" s="624"/>
    </row>
    <row r="102" spans="1:13" s="7" customFormat="1" ht="13.15" customHeight="1">
      <c r="A102" s="122" t="s">
        <v>58</v>
      </c>
      <c r="B102" s="123" t="s">
        <v>172</v>
      </c>
      <c r="C102" s="123"/>
      <c r="D102" s="619">
        <f>Nikki!E507</f>
        <v>460.10000000000036</v>
      </c>
      <c r="E102" s="619"/>
      <c r="F102" s="122" t="s">
        <v>68</v>
      </c>
      <c r="G102" s="123" t="s">
        <v>69</v>
      </c>
      <c r="H102" s="619">
        <v>1200</v>
      </c>
      <c r="I102" s="624"/>
      <c r="J102" s="624"/>
      <c r="K102" s="624"/>
      <c r="L102" s="624"/>
      <c r="M102" s="624"/>
    </row>
    <row r="103" spans="1:13" s="7" customFormat="1" ht="13.15" customHeight="1">
      <c r="A103" s="122" t="s">
        <v>56</v>
      </c>
      <c r="B103" s="123" t="s">
        <v>462</v>
      </c>
      <c r="C103" s="123"/>
      <c r="D103" s="619">
        <v>250</v>
      </c>
      <c r="E103" s="619"/>
      <c r="F103" s="122" t="s">
        <v>68</v>
      </c>
      <c r="G103" s="123" t="s">
        <v>147</v>
      </c>
      <c r="H103" s="619">
        <f>120000*15%/12</f>
        <v>1500</v>
      </c>
      <c r="I103" s="624"/>
      <c r="J103" s="624"/>
      <c r="K103" s="624"/>
      <c r="L103" s="624"/>
      <c r="M103" s="624"/>
    </row>
    <row r="104" spans="1:13" s="7" customFormat="1" ht="13.15" customHeight="1">
      <c r="A104" s="122" t="s">
        <v>59</v>
      </c>
      <c r="B104" s="123" t="s">
        <v>60</v>
      </c>
      <c r="C104" s="123"/>
      <c r="D104" s="619">
        <v>2500</v>
      </c>
      <c r="E104" s="619"/>
      <c r="F104" s="122" t="s">
        <v>81</v>
      </c>
      <c r="G104" s="123" t="s">
        <v>69</v>
      </c>
      <c r="H104" s="619">
        <v>1800</v>
      </c>
      <c r="I104" s="714"/>
      <c r="J104" s="625"/>
    </row>
    <row r="105" spans="1:13" s="7" customFormat="1" ht="13.15" customHeight="1">
      <c r="A105" s="122" t="s">
        <v>59</v>
      </c>
      <c r="B105" s="123" t="s">
        <v>61</v>
      </c>
      <c r="C105" s="123"/>
      <c r="D105" s="619">
        <v>268</v>
      </c>
      <c r="E105" s="619"/>
      <c r="F105" s="122" t="s">
        <v>58</v>
      </c>
      <c r="G105" s="123" t="s">
        <v>148</v>
      </c>
      <c r="H105" s="619">
        <v>1012</v>
      </c>
      <c r="I105" s="714"/>
      <c r="J105" s="625"/>
    </row>
    <row r="106" spans="1:13" s="7" customFormat="1" ht="13.15" customHeight="1">
      <c r="A106" s="122" t="s">
        <v>62</v>
      </c>
      <c r="B106" s="123" t="s">
        <v>63</v>
      </c>
      <c r="C106" s="123"/>
      <c r="D106" s="619">
        <v>601.12</v>
      </c>
      <c r="E106" s="619"/>
      <c r="F106" s="122" t="s">
        <v>272</v>
      </c>
      <c r="G106" s="123" t="s">
        <v>274</v>
      </c>
      <c r="H106" s="619">
        <v>500</v>
      </c>
      <c r="I106" s="714"/>
      <c r="J106" s="625"/>
    </row>
    <row r="107" spans="1:13" s="7" customFormat="1" ht="13.15" customHeight="1">
      <c r="A107" s="122" t="s">
        <v>62</v>
      </c>
      <c r="B107" s="123" t="s">
        <v>64</v>
      </c>
      <c r="C107" s="123"/>
      <c r="D107" s="619">
        <v>383.94</v>
      </c>
      <c r="E107" s="619"/>
      <c r="F107" s="122" t="s">
        <v>273</v>
      </c>
      <c r="G107" s="123" t="s">
        <v>275</v>
      </c>
      <c r="H107" s="619">
        <v>500</v>
      </c>
      <c r="I107" s="214"/>
      <c r="J107" s="625"/>
    </row>
    <row r="108" spans="1:13" s="7" customFormat="1" ht="13.15" customHeight="1">
      <c r="A108" s="122" t="s">
        <v>62</v>
      </c>
      <c r="B108" s="123" t="s">
        <v>101</v>
      </c>
      <c r="C108" s="123"/>
      <c r="D108" s="619">
        <v>550</v>
      </c>
      <c r="E108" s="619"/>
      <c r="F108" s="122" t="s">
        <v>59</v>
      </c>
      <c r="G108" s="123" t="s">
        <v>82</v>
      </c>
      <c r="H108" s="619">
        <v>11000</v>
      </c>
      <c r="I108" s="714"/>
      <c r="J108" s="625"/>
    </row>
    <row r="109" spans="1:13" s="7" customFormat="1" ht="13.15" customHeight="1" thickBot="1">
      <c r="A109" s="122" t="s">
        <v>66</v>
      </c>
      <c r="B109" s="123" t="s">
        <v>67</v>
      </c>
      <c r="C109" s="619"/>
      <c r="D109" s="619">
        <v>8000</v>
      </c>
      <c r="E109" s="619"/>
      <c r="F109" s="223" t="s">
        <v>102</v>
      </c>
      <c r="G109" s="123" t="s">
        <v>83</v>
      </c>
      <c r="H109" s="620">
        <v>11000</v>
      </c>
      <c r="I109" s="714"/>
      <c r="J109" s="625"/>
    </row>
    <row r="110" spans="1:13" s="7" customFormat="1" ht="13.15" customHeight="1" thickTop="1" thickBot="1">
      <c r="A110" s="122" t="s">
        <v>65</v>
      </c>
      <c r="B110" s="123" t="s">
        <v>228</v>
      </c>
      <c r="C110" s="619"/>
      <c r="D110" s="619">
        <v>1000</v>
      </c>
      <c r="E110" s="619"/>
      <c r="F110" s="130"/>
      <c r="G110" s="123"/>
      <c r="H110" s="714">
        <f>SUM(H101:H109)+SUM(D101:D110)</f>
        <v>53527.86</v>
      </c>
      <c r="I110" s="714"/>
      <c r="J110" s="625"/>
    </row>
    <row r="111" spans="1:13" s="7" customFormat="1" ht="13.15" customHeight="1" thickBot="1">
      <c r="B111" s="122"/>
      <c r="C111" s="123"/>
      <c r="D111" s="123"/>
      <c r="E111" s="619"/>
      <c r="F111" s="130"/>
      <c r="G111" s="642" t="s">
        <v>17</v>
      </c>
      <c r="H111" s="643">
        <f>H110+E99</f>
        <v>65443.17</v>
      </c>
      <c r="I111" s="714"/>
      <c r="J111" s="625"/>
    </row>
    <row r="112" spans="1:13" s="7" customFormat="1" ht="13.15" customHeight="1">
      <c r="B112" s="122"/>
      <c r="C112" s="123"/>
      <c r="D112" s="123"/>
      <c r="E112" s="619"/>
      <c r="F112" s="124"/>
      <c r="G112" s="123"/>
      <c r="H112" s="714"/>
      <c r="I112" s="714"/>
      <c r="J112" s="625"/>
    </row>
    <row r="113" spans="2:13" s="7" customFormat="1" ht="13.15" customHeight="1">
      <c r="B113" s="122"/>
      <c r="C113" s="123"/>
      <c r="D113" s="123"/>
      <c r="E113" s="619"/>
      <c r="F113" s="130"/>
      <c r="G113" s="123"/>
      <c r="H113" s="714"/>
      <c r="I113" s="714"/>
      <c r="J113" s="625"/>
    </row>
    <row r="114" spans="2:13" s="7" customFormat="1" ht="13.15" customHeight="1">
      <c r="B114" s="122"/>
      <c r="C114" s="123"/>
      <c r="D114" s="123"/>
      <c r="E114" s="619"/>
      <c r="F114" s="130"/>
      <c r="G114" s="642"/>
      <c r="H114" s="686"/>
      <c r="I114" s="714"/>
      <c r="J114" s="625"/>
    </row>
    <row r="115" spans="2:13" s="7" customFormat="1" ht="13.15" customHeight="1">
      <c r="B115" s="122"/>
      <c r="C115" s="123"/>
      <c r="D115" s="123"/>
      <c r="E115" s="619"/>
      <c r="F115" s="124"/>
      <c r="G115" s="123"/>
      <c r="H115" s="714"/>
      <c r="I115" s="714"/>
      <c r="J115" s="625"/>
    </row>
    <row r="116" spans="2:13" s="7" customFormat="1" ht="13.15" customHeight="1">
      <c r="B116" s="122"/>
      <c r="C116" s="123"/>
      <c r="D116" s="15"/>
      <c r="E116" s="619"/>
      <c r="F116" s="15"/>
      <c r="G116" s="15"/>
      <c r="H116" s="15"/>
      <c r="I116" s="714"/>
      <c r="J116" s="625"/>
    </row>
    <row r="117" spans="2:13" s="7" customFormat="1" ht="13.15" customHeight="1">
      <c r="B117" s="122"/>
      <c r="C117" s="123"/>
      <c r="D117" s="14"/>
      <c r="E117" s="15"/>
      <c r="F117" s="15"/>
      <c r="G117" s="15"/>
      <c r="H117" s="15"/>
      <c r="I117" s="714"/>
      <c r="J117" s="625"/>
    </row>
    <row r="118" spans="2:13" s="7" customFormat="1" ht="13.15" customHeight="1">
      <c r="B118" s="122"/>
      <c r="C118" s="123"/>
      <c r="D118" s="14"/>
      <c r="E118" s="15"/>
      <c r="F118" s="15"/>
      <c r="G118" s="15"/>
      <c r="H118" s="15"/>
      <c r="I118" s="714"/>
      <c r="J118" s="625"/>
    </row>
    <row r="119" spans="2:13" s="15" customFormat="1" ht="12">
      <c r="B119" s="17"/>
      <c r="D119" s="14"/>
      <c r="M119" s="17"/>
    </row>
    <row r="120" spans="2:13" s="15" customFormat="1" ht="12">
      <c r="B120" s="17"/>
      <c r="C120" s="14"/>
      <c r="D120" s="14"/>
      <c r="M120" s="17"/>
    </row>
    <row r="121" spans="2:13" s="15" customFormat="1" ht="12">
      <c r="B121" s="17"/>
      <c r="C121" s="14"/>
      <c r="D121" s="14"/>
      <c r="M121" s="17"/>
    </row>
    <row r="122" spans="2:13" s="15" customFormat="1" ht="12">
      <c r="B122" s="17"/>
      <c r="C122" s="14"/>
      <c r="D122" s="14"/>
      <c r="M122" s="17"/>
    </row>
    <row r="123" spans="2:13" s="15" customFormat="1" ht="12">
      <c r="B123" s="17"/>
      <c r="C123" s="14"/>
      <c r="M123" s="17"/>
    </row>
    <row r="124" spans="2:13" s="15" customFormat="1" ht="12">
      <c r="B124" s="17"/>
      <c r="C124" s="14"/>
      <c r="M124" s="17"/>
    </row>
    <row r="125" spans="2:13" s="15" customFormat="1" ht="12">
      <c r="B125" s="17"/>
      <c r="C125" s="14"/>
      <c r="M125" s="17"/>
    </row>
    <row r="126" spans="2:13" s="15" customFormat="1" ht="12">
      <c r="B126" s="17"/>
      <c r="M126" s="17"/>
    </row>
    <row r="127" spans="2:13" s="15" customFormat="1" ht="12">
      <c r="B127" s="17"/>
      <c r="M127" s="17"/>
    </row>
    <row r="128" spans="2:13" s="15" customFormat="1" ht="12">
      <c r="B128" s="17"/>
      <c r="M128" s="17"/>
    </row>
    <row r="129" spans="2:13" s="15" customFormat="1">
      <c r="B129" s="17"/>
      <c r="D129" s="5"/>
      <c r="F129" s="5"/>
      <c r="G129" s="5"/>
      <c r="H129" s="5"/>
      <c r="M129" s="17"/>
    </row>
    <row r="130" spans="2:13" s="15" customFormat="1">
      <c r="B130" s="17"/>
      <c r="D130" s="5"/>
      <c r="E130" s="5"/>
      <c r="F130" s="5"/>
      <c r="G130" s="5"/>
      <c r="H130" s="5"/>
      <c r="M130" s="17"/>
    </row>
    <row r="131" spans="2:13" s="15" customFormat="1">
      <c r="B131" s="17"/>
      <c r="D131" s="5"/>
      <c r="E131" s="5"/>
      <c r="F131" s="5"/>
      <c r="G131" s="5"/>
      <c r="H131" s="5"/>
      <c r="M131" s="17"/>
    </row>
    <row r="132" spans="2:13" s="15" customFormat="1">
      <c r="B132" s="2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7"/>
    </row>
    <row r="133" spans="2:13" s="15" customFormat="1">
      <c r="B133" s="2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17"/>
    </row>
    <row r="134" spans="2:13" s="15" customFormat="1">
      <c r="B134" s="2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17"/>
    </row>
    <row r="135" spans="2:13" s="15" customFormat="1">
      <c r="B135" s="2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17"/>
    </row>
  </sheetData>
  <mergeCells count="16">
    <mergeCell ref="E83:F83"/>
    <mergeCell ref="A60:A61"/>
    <mergeCell ref="E63:F63"/>
    <mergeCell ref="C43:D43"/>
    <mergeCell ref="C62:D62"/>
    <mergeCell ref="C82:D82"/>
    <mergeCell ref="E44:F44"/>
    <mergeCell ref="A80:A81"/>
    <mergeCell ref="A41:A42"/>
    <mergeCell ref="A1:H1"/>
    <mergeCell ref="A3:A4"/>
    <mergeCell ref="E6:F6"/>
    <mergeCell ref="A22:A23"/>
    <mergeCell ref="E25:F25"/>
    <mergeCell ref="C5:D5"/>
    <mergeCell ref="C24:D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workbookViewId="0">
      <selection activeCell="G79" sqref="G79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0.85546875" style="5" customWidth="1"/>
    <col min="5" max="5" width="10.5703125" style="5" customWidth="1"/>
    <col min="6" max="6" width="7.42578125" style="5" customWidth="1"/>
    <col min="7" max="7" width="23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1:13" s="1" customFormat="1" ht="24" customHeight="1">
      <c r="A1" s="947" t="s">
        <v>476</v>
      </c>
      <c r="B1" s="947"/>
      <c r="C1" s="947"/>
      <c r="D1" s="947"/>
      <c r="E1" s="947"/>
      <c r="F1" s="947"/>
      <c r="G1" s="947"/>
      <c r="H1" s="947"/>
      <c r="I1" s="659"/>
      <c r="J1" s="659"/>
      <c r="K1" s="659"/>
      <c r="L1" s="659"/>
      <c r="M1" s="659"/>
    </row>
    <row r="2" spans="1:13" s="1" customFormat="1" ht="6.75" customHeight="1">
      <c r="A2" s="600"/>
      <c r="B2" s="601"/>
      <c r="C2" s="602"/>
      <c r="D2" s="602"/>
      <c r="E2" s="603"/>
      <c r="F2" s="603"/>
      <c r="G2" s="603"/>
      <c r="H2" s="749"/>
      <c r="I2" s="749"/>
      <c r="J2" s="749"/>
      <c r="K2" s="749"/>
      <c r="L2" s="749"/>
      <c r="M2" s="749"/>
    </row>
    <row r="3" spans="1:13" ht="19.5" customHeight="1">
      <c r="A3" s="944"/>
      <c r="B3" s="595" t="s">
        <v>419</v>
      </c>
      <c r="C3" s="621">
        <v>36</v>
      </c>
      <c r="D3" s="621"/>
      <c r="E3" s="76"/>
      <c r="F3" s="76"/>
      <c r="G3" s="76"/>
      <c r="H3" s="76"/>
      <c r="I3" s="76"/>
      <c r="J3" s="76"/>
      <c r="K3" s="76"/>
      <c r="L3" s="76"/>
      <c r="M3" s="5"/>
    </row>
    <row r="4" spans="1:13" ht="19.5" customHeight="1">
      <c r="A4" s="944"/>
      <c r="B4" s="595" t="s">
        <v>420</v>
      </c>
      <c r="C4" s="621">
        <v>27</v>
      </c>
      <c r="D4" s="621"/>
      <c r="E4" s="76"/>
      <c r="F4" s="76"/>
      <c r="G4" s="76"/>
      <c r="H4" s="76"/>
      <c r="I4" s="76"/>
      <c r="J4" s="76"/>
      <c r="K4" s="76"/>
      <c r="L4" s="76"/>
      <c r="M4" s="5"/>
    </row>
    <row r="5" spans="1:13" ht="19.5" customHeight="1">
      <c r="B5" s="595" t="s">
        <v>423</v>
      </c>
      <c r="C5" s="948">
        <v>41159</v>
      </c>
      <c r="D5" s="948"/>
      <c r="E5" s="76"/>
      <c r="F5" s="76"/>
      <c r="G5" s="76"/>
      <c r="H5" s="76"/>
      <c r="I5" s="76"/>
      <c r="J5" s="76"/>
      <c r="K5" s="76"/>
      <c r="L5" s="76"/>
      <c r="M5" s="5"/>
    </row>
    <row r="6" spans="1:13" ht="4.5" customHeight="1">
      <c r="B6" s="2"/>
      <c r="C6" s="147"/>
      <c r="D6" s="147"/>
      <c r="E6" s="945"/>
      <c r="F6" s="946"/>
      <c r="G6" s="3"/>
      <c r="H6" s="4"/>
      <c r="I6" s="4"/>
      <c r="J6" s="4"/>
      <c r="K6" s="4"/>
      <c r="L6" s="34"/>
      <c r="M6" s="4"/>
    </row>
    <row r="7" spans="1:13" s="6" customFormat="1" ht="13.5" thickBot="1">
      <c r="B7" s="596" t="s">
        <v>421</v>
      </c>
      <c r="C7" s="598" t="s">
        <v>1</v>
      </c>
      <c r="D7" s="598"/>
      <c r="E7" s="599" t="s">
        <v>10</v>
      </c>
      <c r="G7" s="660"/>
    </row>
    <row r="8" spans="1:13">
      <c r="B8" s="207" t="s">
        <v>477</v>
      </c>
      <c r="C8" s="145" t="s">
        <v>80</v>
      </c>
      <c r="D8" s="638"/>
      <c r="E8" s="609">
        <v>2028.16</v>
      </c>
      <c r="M8" s="5"/>
    </row>
    <row r="9" spans="1:13">
      <c r="B9" s="742" t="s">
        <v>11</v>
      </c>
      <c r="C9" s="597" t="s">
        <v>78</v>
      </c>
      <c r="D9" s="638"/>
      <c r="E9" s="609">
        <v>1222.1600000000001</v>
      </c>
      <c r="M9" s="5"/>
    </row>
    <row r="10" spans="1:13">
      <c r="B10" s="103" t="s">
        <v>13</v>
      </c>
      <c r="C10" s="145" t="s">
        <v>76</v>
      </c>
      <c r="D10" s="639"/>
      <c r="E10" s="610">
        <v>1138.6400000000001</v>
      </c>
      <c r="M10" s="5"/>
    </row>
    <row r="11" spans="1:13">
      <c r="B11" s="103" t="s">
        <v>471</v>
      </c>
      <c r="C11" s="145" t="s">
        <v>472</v>
      </c>
      <c r="D11" s="639"/>
      <c r="E11" s="610">
        <v>1039.2</v>
      </c>
      <c r="M11" s="5"/>
    </row>
    <row r="12" spans="1:13">
      <c r="B12" s="103" t="s">
        <v>479</v>
      </c>
      <c r="C12" s="145" t="s">
        <v>478</v>
      </c>
      <c r="D12" s="639"/>
      <c r="E12" s="610">
        <v>1029.5999999999999</v>
      </c>
      <c r="M12" s="5"/>
    </row>
    <row r="13" spans="1:13">
      <c r="B13" s="103" t="s">
        <v>447</v>
      </c>
      <c r="C13" s="145" t="s">
        <v>448</v>
      </c>
      <c r="D13" s="639"/>
      <c r="E13" s="610">
        <v>1191.97</v>
      </c>
      <c r="F13" s="415"/>
      <c r="M13" s="5"/>
    </row>
    <row r="14" spans="1:13">
      <c r="B14" s="103" t="s">
        <v>53</v>
      </c>
      <c r="C14" s="716" t="s">
        <v>77</v>
      </c>
      <c r="D14" s="640"/>
      <c r="E14" s="610">
        <v>1165.3499999999999</v>
      </c>
      <c r="F14" s="415"/>
      <c r="M14" s="5"/>
    </row>
    <row r="15" spans="1:13">
      <c r="B15" s="753" t="s">
        <v>208</v>
      </c>
      <c r="C15" s="754" t="s">
        <v>215</v>
      </c>
      <c r="D15" s="755"/>
      <c r="E15" s="756">
        <v>1029.5999999999999</v>
      </c>
      <c r="F15" s="415"/>
      <c r="M15" s="5"/>
    </row>
    <row r="16" spans="1:13" ht="13.5" thickBot="1">
      <c r="B16" s="606" t="s">
        <v>104</v>
      </c>
      <c r="C16" s="745" t="s">
        <v>424</v>
      </c>
      <c r="D16" s="757"/>
      <c r="E16" s="611">
        <v>689.74</v>
      </c>
      <c r="M16" s="5"/>
    </row>
    <row r="17" spans="1:13" s="4" customFormat="1" ht="13.5" thickBot="1">
      <c r="B17" s="419"/>
      <c r="C17" s="604"/>
      <c r="D17" s="604"/>
      <c r="E17" s="612">
        <f>SUM(E8:E16)</f>
        <v>10534.42</v>
      </c>
      <c r="F17" s="605"/>
    </row>
    <row r="18" spans="1:13">
      <c r="B18" s="752" t="s">
        <v>104</v>
      </c>
      <c r="C18" s="285" t="s">
        <v>339</v>
      </c>
      <c r="D18" s="285"/>
      <c r="E18" s="613">
        <v>500</v>
      </c>
      <c r="M18" s="5"/>
    </row>
    <row r="19" spans="1:13">
      <c r="B19" s="155" t="s">
        <v>104</v>
      </c>
      <c r="C19" s="597" t="s">
        <v>481</v>
      </c>
      <c r="D19" s="597"/>
      <c r="E19" s="614">
        <v>100</v>
      </c>
      <c r="M19" s="5"/>
    </row>
    <row r="20" spans="1:13">
      <c r="B20" s="155" t="s">
        <v>34</v>
      </c>
      <c r="C20" s="220" t="s">
        <v>48</v>
      </c>
      <c r="D20" s="220"/>
      <c r="E20" s="618">
        <v>950</v>
      </c>
      <c r="M20" s="5"/>
    </row>
    <row r="21" spans="1:13" ht="13.5" thickBot="1">
      <c r="B21" s="208" t="s">
        <v>94</v>
      </c>
      <c r="C21" s="607" t="s">
        <v>95</v>
      </c>
      <c r="D21" s="607"/>
      <c r="E21" s="615">
        <f>3630/4</f>
        <v>907.5</v>
      </c>
      <c r="M21" s="5"/>
    </row>
    <row r="22" spans="1:13" ht="13.5" thickBot="1">
      <c r="B22" s="21"/>
      <c r="C22" s="608" t="s">
        <v>0</v>
      </c>
      <c r="D22" s="608"/>
      <c r="E22" s="616">
        <f>SUM(E17:E21)</f>
        <v>12991.92</v>
      </c>
      <c r="M22" s="5"/>
    </row>
    <row r="23" spans="1:13" ht="12.75" customHeight="1">
      <c r="B23" s="21"/>
      <c r="C23" s="64"/>
      <c r="D23" s="64"/>
      <c r="E23" s="76"/>
      <c r="F23" s="76"/>
      <c r="G23" s="76"/>
      <c r="H23" s="76"/>
      <c r="I23" s="76"/>
      <c r="J23" s="76"/>
      <c r="K23" s="76"/>
      <c r="L23" s="76"/>
      <c r="M23" s="76"/>
    </row>
    <row r="24" spans="1:13" s="600" customFormat="1" ht="6.75" customHeight="1">
      <c r="B24" s="601"/>
      <c r="C24" s="602"/>
      <c r="D24" s="602"/>
      <c r="E24" s="603"/>
      <c r="F24" s="603"/>
      <c r="G24" s="603"/>
      <c r="H24" s="603"/>
      <c r="I24" s="603"/>
      <c r="J24" s="603"/>
      <c r="K24" s="603"/>
      <c r="L24" s="603"/>
      <c r="M24" s="603"/>
    </row>
    <row r="25" spans="1:13" ht="19.5" customHeight="1">
      <c r="A25" s="944"/>
      <c r="B25" s="595" t="s">
        <v>419</v>
      </c>
      <c r="C25" s="621">
        <v>37</v>
      </c>
      <c r="D25" s="621"/>
      <c r="E25" s="76"/>
      <c r="F25" s="76"/>
      <c r="G25" s="76"/>
      <c r="H25" s="76"/>
      <c r="I25" s="76"/>
      <c r="J25" s="76"/>
      <c r="K25" s="76"/>
      <c r="L25" s="76"/>
      <c r="M25" s="5"/>
    </row>
    <row r="26" spans="1:13" ht="19.5" customHeight="1">
      <c r="A26" s="944"/>
      <c r="B26" s="595" t="s">
        <v>420</v>
      </c>
      <c r="C26" s="621">
        <v>28</v>
      </c>
      <c r="D26" s="621"/>
      <c r="E26" s="76"/>
      <c r="F26" s="76"/>
      <c r="G26" s="76"/>
      <c r="H26" s="76"/>
      <c r="I26" s="76"/>
      <c r="J26" s="76"/>
      <c r="K26" s="76"/>
      <c r="L26" s="76"/>
      <c r="M26" s="5"/>
    </row>
    <row r="27" spans="1:13" ht="19.5" customHeight="1">
      <c r="B27" s="595" t="s">
        <v>423</v>
      </c>
      <c r="C27" s="948">
        <v>41166</v>
      </c>
      <c r="D27" s="949"/>
      <c r="E27" s="76"/>
      <c r="F27" s="76"/>
      <c r="G27" s="76"/>
      <c r="H27" s="76"/>
      <c r="I27" s="76"/>
      <c r="J27" s="76"/>
      <c r="K27" s="76"/>
      <c r="L27" s="76"/>
      <c r="M27" s="5"/>
    </row>
    <row r="28" spans="1:13" ht="4.5" customHeight="1">
      <c r="B28" s="2"/>
      <c r="C28" s="147"/>
      <c r="D28" s="147"/>
      <c r="E28" s="945"/>
      <c r="F28" s="946"/>
      <c r="G28" s="3"/>
      <c r="H28" s="4"/>
      <c r="I28" s="4"/>
      <c r="J28" s="4"/>
      <c r="K28" s="4"/>
      <c r="L28" s="34"/>
      <c r="M28" s="4"/>
    </row>
    <row r="29" spans="1:13" s="6" customFormat="1" ht="13.5" thickBot="1">
      <c r="B29" s="596" t="s">
        <v>421</v>
      </c>
      <c r="C29" s="598" t="s">
        <v>1</v>
      </c>
      <c r="D29" s="598"/>
      <c r="E29" s="599" t="s">
        <v>10</v>
      </c>
    </row>
    <row r="30" spans="1:13">
      <c r="B30" s="207" t="s">
        <v>477</v>
      </c>
      <c r="C30" s="145" t="s">
        <v>80</v>
      </c>
      <c r="D30" s="638"/>
      <c r="E30" s="609">
        <v>2028.11</v>
      </c>
      <c r="M30" s="5"/>
    </row>
    <row r="31" spans="1:13">
      <c r="B31" s="742" t="s">
        <v>11</v>
      </c>
      <c r="C31" s="597" t="s">
        <v>78</v>
      </c>
      <c r="D31" s="638"/>
      <c r="E31" s="609">
        <v>1222.1600000000001</v>
      </c>
      <c r="M31" s="5"/>
    </row>
    <row r="32" spans="1:13">
      <c r="B32" s="103" t="s">
        <v>13</v>
      </c>
      <c r="C32" s="145" t="s">
        <v>76</v>
      </c>
      <c r="D32" s="639"/>
      <c r="E32" s="610">
        <v>1138.6400000000001</v>
      </c>
      <c r="M32" s="5"/>
    </row>
    <row r="33" spans="1:13">
      <c r="B33" s="103" t="s">
        <v>471</v>
      </c>
      <c r="C33" s="145" t="s">
        <v>472</v>
      </c>
      <c r="D33" s="639"/>
      <c r="E33" s="610">
        <v>1029.5999999999999</v>
      </c>
      <c r="M33" s="5"/>
    </row>
    <row r="34" spans="1:13">
      <c r="B34" s="103" t="s">
        <v>479</v>
      </c>
      <c r="C34" s="145" t="s">
        <v>478</v>
      </c>
      <c r="D34" s="639"/>
      <c r="E34" s="610">
        <v>866.25</v>
      </c>
      <c r="M34" s="5"/>
    </row>
    <row r="35" spans="1:13">
      <c r="B35" s="103" t="s">
        <v>447</v>
      </c>
      <c r="C35" s="145" t="s">
        <v>448</v>
      </c>
      <c r="D35" s="639"/>
      <c r="E35" s="610">
        <v>1483.61</v>
      </c>
      <c r="F35" s="415"/>
      <c r="M35" s="5"/>
    </row>
    <row r="36" spans="1:13">
      <c r="B36" s="103" t="s">
        <v>53</v>
      </c>
      <c r="C36" s="716" t="s">
        <v>77</v>
      </c>
      <c r="D36" s="640"/>
      <c r="E36" s="610">
        <v>1165.28</v>
      </c>
      <c r="F36" s="415"/>
      <c r="M36" s="5"/>
    </row>
    <row r="37" spans="1:13">
      <c r="B37" s="753" t="s">
        <v>208</v>
      </c>
      <c r="C37" s="754" t="s">
        <v>215</v>
      </c>
      <c r="D37" s="755"/>
      <c r="E37" s="756">
        <v>1029.5999999999999</v>
      </c>
      <c r="F37" s="415"/>
      <c r="M37" s="5"/>
    </row>
    <row r="38" spans="1:13" ht="13.5" thickBot="1">
      <c r="B38" s="606" t="s">
        <v>104</v>
      </c>
      <c r="C38" s="745" t="s">
        <v>424</v>
      </c>
      <c r="D38" s="757"/>
      <c r="E38" s="611">
        <v>689.74</v>
      </c>
      <c r="M38" s="5"/>
    </row>
    <row r="39" spans="1:13" s="4" customFormat="1" ht="13.5" thickBot="1">
      <c r="B39" s="419"/>
      <c r="C39" s="604"/>
      <c r="D39" s="604"/>
      <c r="E39" s="612">
        <f>SUM(E30:E38)</f>
        <v>10652.99</v>
      </c>
      <c r="F39" s="605"/>
    </row>
    <row r="40" spans="1:13">
      <c r="B40" s="752" t="s">
        <v>104</v>
      </c>
      <c r="C40" s="285" t="s">
        <v>339</v>
      </c>
      <c r="D40" s="285"/>
      <c r="E40" s="613">
        <v>500</v>
      </c>
      <c r="M40" s="5"/>
    </row>
    <row r="41" spans="1:13">
      <c r="B41" s="155" t="s">
        <v>104</v>
      </c>
      <c r="C41" s="597" t="s">
        <v>481</v>
      </c>
      <c r="D41" s="597"/>
      <c r="E41" s="614">
        <f>500+100*1.5</f>
        <v>650</v>
      </c>
      <c r="M41" s="5"/>
    </row>
    <row r="42" spans="1:13">
      <c r="B42" s="155" t="s">
        <v>34</v>
      </c>
      <c r="C42" s="220" t="s">
        <v>48</v>
      </c>
      <c r="D42" s="220"/>
      <c r="E42" s="618">
        <v>950</v>
      </c>
      <c r="M42" s="5"/>
    </row>
    <row r="43" spans="1:13" ht="13.5" thickBot="1">
      <c r="B43" s="208" t="s">
        <v>94</v>
      </c>
      <c r="C43" s="607" t="s">
        <v>95</v>
      </c>
      <c r="D43" s="607"/>
      <c r="E43" s="615">
        <f>3630/4</f>
        <v>907.5</v>
      </c>
      <c r="M43" s="5"/>
    </row>
    <row r="44" spans="1:13" ht="13.5" thickBot="1">
      <c r="B44" s="21"/>
      <c r="C44" s="608" t="s">
        <v>0</v>
      </c>
      <c r="D44" s="608"/>
      <c r="E44" s="616">
        <f>SUM(E39:E43)</f>
        <v>13660.49</v>
      </c>
      <c r="M44" s="5"/>
    </row>
    <row r="45" spans="1:13" ht="12.75" customHeight="1">
      <c r="B45" s="21"/>
      <c r="C45" s="64"/>
      <c r="D45" s="64"/>
      <c r="E45" s="76"/>
      <c r="F45" s="76"/>
      <c r="G45" s="76"/>
      <c r="H45" s="76"/>
      <c r="I45" s="76"/>
      <c r="J45" s="76"/>
      <c r="K45" s="76"/>
      <c r="L45" s="76"/>
      <c r="M45" s="76"/>
    </row>
    <row r="46" spans="1:13" s="600" customFormat="1" ht="6.75" customHeight="1">
      <c r="B46" s="601"/>
      <c r="C46" s="602"/>
      <c r="D46" s="602"/>
      <c r="E46" s="603"/>
      <c r="F46" s="603"/>
      <c r="G46" s="603"/>
      <c r="H46" s="603"/>
      <c r="I46" s="603"/>
      <c r="J46" s="603"/>
      <c r="K46" s="603"/>
      <c r="L46" s="603"/>
      <c r="M46" s="603"/>
    </row>
    <row r="47" spans="1:13" ht="19.5" customHeight="1">
      <c r="A47" s="944"/>
      <c r="B47" s="595" t="s">
        <v>419</v>
      </c>
      <c r="C47" s="621">
        <v>38</v>
      </c>
      <c r="D47" s="621"/>
      <c r="E47" s="76"/>
      <c r="F47" s="76"/>
      <c r="G47" s="76"/>
      <c r="H47" s="76"/>
      <c r="I47" s="76"/>
      <c r="J47" s="76"/>
      <c r="K47" s="76"/>
      <c r="L47" s="76"/>
      <c r="M47" s="5"/>
    </row>
    <row r="48" spans="1:13" ht="19.5" customHeight="1">
      <c r="A48" s="944"/>
      <c r="B48" s="595" t="s">
        <v>420</v>
      </c>
      <c r="C48" s="621">
        <v>29</v>
      </c>
      <c r="D48" s="621"/>
      <c r="E48" s="76"/>
      <c r="F48" s="76"/>
      <c r="G48" s="76"/>
      <c r="H48" s="76"/>
      <c r="I48" s="76"/>
      <c r="J48" s="76"/>
      <c r="K48" s="76"/>
      <c r="L48" s="76"/>
      <c r="M48" s="5"/>
    </row>
    <row r="49" spans="2:13" ht="19.5" customHeight="1">
      <c r="B49" s="595" t="s">
        <v>423</v>
      </c>
      <c r="C49" s="948">
        <v>41173</v>
      </c>
      <c r="D49" s="949"/>
      <c r="E49" s="76"/>
      <c r="F49" s="76"/>
      <c r="G49" s="76"/>
      <c r="H49" s="76"/>
      <c r="I49" s="76"/>
      <c r="J49" s="76"/>
      <c r="K49" s="76"/>
      <c r="L49" s="76"/>
      <c r="M49" s="5"/>
    </row>
    <row r="50" spans="2:13" ht="4.5" customHeight="1">
      <c r="B50" s="2"/>
      <c r="C50" s="147"/>
      <c r="D50" s="147"/>
      <c r="E50" s="945"/>
      <c r="F50" s="946"/>
      <c r="G50" s="3"/>
      <c r="H50" s="4"/>
      <c r="I50" s="4"/>
      <c r="J50" s="4"/>
      <c r="K50" s="4"/>
      <c r="L50" s="34"/>
      <c r="M50" s="4"/>
    </row>
    <row r="51" spans="2:13" s="6" customFormat="1" ht="13.5" thickBot="1">
      <c r="B51" s="596" t="s">
        <v>421</v>
      </c>
      <c r="C51" s="598" t="s">
        <v>1</v>
      </c>
      <c r="D51" s="598"/>
      <c r="E51" s="599" t="s">
        <v>10</v>
      </c>
    </row>
    <row r="52" spans="2:13">
      <c r="B52" s="207" t="s">
        <v>477</v>
      </c>
      <c r="C52" s="145" t="s">
        <v>80</v>
      </c>
      <c r="D52" s="638"/>
      <c r="E52" s="609">
        <v>2028.29</v>
      </c>
      <c r="M52" s="5"/>
    </row>
    <row r="53" spans="2:13">
      <c r="B53" s="742" t="s">
        <v>11</v>
      </c>
      <c r="C53" s="597" t="s">
        <v>78</v>
      </c>
      <c r="D53" s="638"/>
      <c r="E53" s="609">
        <v>937.04</v>
      </c>
      <c r="M53" s="5"/>
    </row>
    <row r="54" spans="2:13">
      <c r="B54" s="103" t="s">
        <v>13</v>
      </c>
      <c r="C54" s="145" t="s">
        <v>76</v>
      </c>
      <c r="D54" s="639"/>
      <c r="E54" s="610">
        <v>873.83</v>
      </c>
      <c r="M54" s="5"/>
    </row>
    <row r="55" spans="2:13">
      <c r="B55" s="103" t="s">
        <v>471</v>
      </c>
      <c r="C55" s="145" t="s">
        <v>472</v>
      </c>
      <c r="D55" s="639"/>
      <c r="E55" s="610">
        <v>1029.5999999999999</v>
      </c>
      <c r="M55" s="5"/>
    </row>
    <row r="56" spans="2:13">
      <c r="B56" s="103" t="s">
        <v>479</v>
      </c>
      <c r="C56" s="145" t="s">
        <v>478</v>
      </c>
      <c r="D56" s="639"/>
      <c r="E56" s="610">
        <v>1029.5999999999999</v>
      </c>
      <c r="M56" s="5"/>
    </row>
    <row r="57" spans="2:13">
      <c r="B57" s="103" t="s">
        <v>447</v>
      </c>
      <c r="C57" s="145" t="s">
        <v>448</v>
      </c>
      <c r="D57" s="639"/>
      <c r="E57" s="610">
        <v>1183.6199999999999</v>
      </c>
      <c r="F57" s="415"/>
      <c r="M57" s="5"/>
    </row>
    <row r="58" spans="2:13">
      <c r="B58" s="103" t="s">
        <v>53</v>
      </c>
      <c r="C58" s="716" t="s">
        <v>77</v>
      </c>
      <c r="D58" s="640"/>
      <c r="E58" s="610">
        <v>1165.4000000000001</v>
      </c>
      <c r="F58" s="415"/>
      <c r="M58" s="5"/>
    </row>
    <row r="59" spans="2:13">
      <c r="B59" s="753" t="s">
        <v>208</v>
      </c>
      <c r="C59" s="754" t="s">
        <v>215</v>
      </c>
      <c r="D59" s="755"/>
      <c r="E59" s="756">
        <v>1029.5999999999999</v>
      </c>
      <c r="F59" s="415"/>
      <c r="M59" s="5"/>
    </row>
    <row r="60" spans="2:13" ht="13.5" thickBot="1">
      <c r="B60" s="606" t="s">
        <v>104</v>
      </c>
      <c r="C60" s="745" t="s">
        <v>424</v>
      </c>
      <c r="D60" s="757"/>
      <c r="E60" s="611">
        <v>689.74</v>
      </c>
      <c r="M60" s="5"/>
    </row>
    <row r="61" spans="2:13" s="4" customFormat="1" ht="13.5" thickBot="1">
      <c r="B61" s="419"/>
      <c r="C61" s="604"/>
      <c r="D61" s="604"/>
      <c r="E61" s="612">
        <f>SUM(E52:E60)</f>
        <v>9966.7200000000012</v>
      </c>
      <c r="F61" s="605"/>
    </row>
    <row r="62" spans="2:13">
      <c r="B62" s="752" t="s">
        <v>104</v>
      </c>
      <c r="C62" s="285" t="s">
        <v>339</v>
      </c>
      <c r="D62" s="285"/>
      <c r="E62" s="613">
        <v>500</v>
      </c>
      <c r="M62" s="5"/>
    </row>
    <row r="63" spans="2:13">
      <c r="B63" s="155" t="s">
        <v>104</v>
      </c>
      <c r="C63" s="597" t="s">
        <v>481</v>
      </c>
      <c r="D63" s="597"/>
      <c r="E63" s="614">
        <v>500</v>
      </c>
      <c r="M63" s="5"/>
    </row>
    <row r="64" spans="2:13">
      <c r="B64" s="155" t="s">
        <v>34</v>
      </c>
      <c r="C64" s="220" t="s">
        <v>48</v>
      </c>
      <c r="D64" s="220"/>
      <c r="E64" s="618">
        <v>950</v>
      </c>
      <c r="M64" s="5"/>
    </row>
    <row r="65" spans="1:13" ht="13.5" thickBot="1">
      <c r="B65" s="208" t="s">
        <v>94</v>
      </c>
      <c r="C65" s="607" t="s">
        <v>95</v>
      </c>
      <c r="D65" s="607"/>
      <c r="E65" s="615">
        <f>3630/4</f>
        <v>907.5</v>
      </c>
      <c r="M65" s="5"/>
    </row>
    <row r="66" spans="1:13" ht="13.5" thickBot="1">
      <c r="B66" s="21"/>
      <c r="C66" s="608" t="s">
        <v>0</v>
      </c>
      <c r="D66" s="608"/>
      <c r="E66" s="616">
        <f>SUM(E61:E65)</f>
        <v>12824.220000000001</v>
      </c>
      <c r="M66" s="5"/>
    </row>
    <row r="67" spans="1:13" ht="12.75" customHeight="1">
      <c r="B67" s="21"/>
      <c r="C67" s="64"/>
      <c r="D67" s="64"/>
      <c r="E67" s="76"/>
      <c r="F67" s="76"/>
      <c r="G67" s="76"/>
      <c r="H67" s="76"/>
      <c r="I67" s="76"/>
      <c r="J67" s="76"/>
      <c r="K67" s="76"/>
      <c r="L67" s="76"/>
      <c r="M67" s="76"/>
    </row>
    <row r="68" spans="1:13" s="600" customFormat="1" ht="6.75" customHeight="1">
      <c r="B68" s="601"/>
      <c r="C68" s="602"/>
      <c r="D68" s="602"/>
      <c r="E68" s="603"/>
      <c r="F68" s="603"/>
      <c r="G68" s="603"/>
      <c r="H68" s="603"/>
      <c r="I68" s="603"/>
      <c r="J68" s="603"/>
      <c r="K68" s="603"/>
      <c r="L68" s="603"/>
      <c r="M68" s="603"/>
    </row>
    <row r="69" spans="1:13" ht="19.5" customHeight="1">
      <c r="A69" s="944"/>
      <c r="B69" s="595" t="s">
        <v>419</v>
      </c>
      <c r="C69" s="621">
        <v>39</v>
      </c>
      <c r="D69" s="621"/>
      <c r="E69" s="76"/>
      <c r="F69" s="76"/>
      <c r="G69" s="76"/>
      <c r="H69" s="76"/>
      <c r="I69" s="76"/>
      <c r="J69" s="76"/>
      <c r="K69" s="76"/>
      <c r="L69" s="76"/>
      <c r="M69" s="5"/>
    </row>
    <row r="70" spans="1:13" ht="19.5" customHeight="1">
      <c r="A70" s="944"/>
      <c r="B70" s="595" t="s">
        <v>420</v>
      </c>
      <c r="C70" s="621">
        <v>30</v>
      </c>
      <c r="D70" s="621"/>
      <c r="E70" s="76"/>
      <c r="F70" s="76"/>
      <c r="G70" s="76"/>
      <c r="H70" s="76"/>
      <c r="I70" s="76"/>
      <c r="J70" s="76"/>
      <c r="K70" s="76"/>
      <c r="L70" s="76"/>
      <c r="M70" s="5"/>
    </row>
    <row r="71" spans="1:13" ht="19.5" customHeight="1">
      <c r="B71" s="595" t="s">
        <v>423</v>
      </c>
      <c r="C71" s="948">
        <v>41180</v>
      </c>
      <c r="D71" s="949"/>
      <c r="E71" s="76"/>
      <c r="F71" s="76"/>
      <c r="G71" s="76"/>
      <c r="H71" s="76"/>
      <c r="I71" s="76"/>
      <c r="J71" s="76"/>
      <c r="K71" s="76"/>
      <c r="L71" s="76"/>
      <c r="M71" s="5"/>
    </row>
    <row r="72" spans="1:13" ht="4.5" customHeight="1">
      <c r="B72" s="2"/>
      <c r="C72" s="147"/>
      <c r="D72" s="147"/>
      <c r="E72" s="945"/>
      <c r="F72" s="946"/>
      <c r="G72" s="3"/>
      <c r="H72" s="4"/>
      <c r="I72" s="4"/>
      <c r="J72" s="4"/>
      <c r="K72" s="4"/>
      <c r="L72" s="34"/>
      <c r="M72" s="4"/>
    </row>
    <row r="73" spans="1:13" s="6" customFormat="1" ht="13.5" thickBot="1">
      <c r="B73" s="596" t="s">
        <v>421</v>
      </c>
      <c r="C73" s="598" t="s">
        <v>1</v>
      </c>
      <c r="D73" s="598"/>
      <c r="E73" s="599" t="s">
        <v>10</v>
      </c>
    </row>
    <row r="74" spans="1:13">
      <c r="B74" s="207" t="s">
        <v>477</v>
      </c>
      <c r="C74" s="145" t="s">
        <v>80</v>
      </c>
      <c r="D74" s="638"/>
      <c r="E74" s="609">
        <v>3373.55</v>
      </c>
      <c r="M74" s="5"/>
    </row>
    <row r="75" spans="1:13">
      <c r="B75" s="742" t="s">
        <v>11</v>
      </c>
      <c r="C75" s="597" t="s">
        <v>78</v>
      </c>
      <c r="D75" s="638"/>
      <c r="E75" s="609">
        <v>1222.1600000000001</v>
      </c>
      <c r="M75" s="5"/>
    </row>
    <row r="76" spans="1:13">
      <c r="B76" s="103" t="s">
        <v>13</v>
      </c>
      <c r="C76" s="145" t="s">
        <v>76</v>
      </c>
      <c r="D76" s="639"/>
      <c r="E76" s="610">
        <v>1138.6400000000001</v>
      </c>
      <c r="M76" s="5"/>
    </row>
    <row r="77" spans="1:13">
      <c r="B77" s="103" t="s">
        <v>471</v>
      </c>
      <c r="C77" s="145" t="s">
        <v>472</v>
      </c>
      <c r="D77" s="639"/>
      <c r="E77" s="610">
        <v>1346.4</v>
      </c>
      <c r="M77" s="5"/>
    </row>
    <row r="78" spans="1:13">
      <c r="B78" s="103" t="s">
        <v>479</v>
      </c>
      <c r="C78" s="145" t="s">
        <v>478</v>
      </c>
      <c r="D78" s="639"/>
      <c r="E78" s="610">
        <v>1346.4</v>
      </c>
      <c r="M78" s="5"/>
    </row>
    <row r="79" spans="1:13">
      <c r="B79" s="103" t="s">
        <v>447</v>
      </c>
      <c r="C79" s="145" t="s">
        <v>448</v>
      </c>
      <c r="D79" s="639"/>
      <c r="E79" s="610">
        <v>1183.57</v>
      </c>
      <c r="F79" s="415"/>
      <c r="M79" s="5"/>
    </row>
    <row r="80" spans="1:13">
      <c r="B80" s="103" t="s">
        <v>53</v>
      </c>
      <c r="C80" s="716" t="s">
        <v>77</v>
      </c>
      <c r="D80" s="640"/>
      <c r="E80" s="610">
        <v>1165.3900000000001</v>
      </c>
      <c r="F80" s="415"/>
      <c r="M80" s="5"/>
    </row>
    <row r="81" spans="1:13">
      <c r="B81" s="753" t="s">
        <v>208</v>
      </c>
      <c r="C81" s="754" t="s">
        <v>215</v>
      </c>
      <c r="D81" s="755"/>
      <c r="E81" s="756">
        <v>1346.4</v>
      </c>
      <c r="F81" s="415"/>
      <c r="M81" s="5"/>
    </row>
    <row r="82" spans="1:13" ht="13.5" thickBot="1">
      <c r="B82" s="606" t="s">
        <v>104</v>
      </c>
      <c r="C82" s="745" t="s">
        <v>424</v>
      </c>
      <c r="D82" s="757"/>
      <c r="E82" s="611">
        <v>689.74</v>
      </c>
      <c r="M82" s="5"/>
    </row>
    <row r="83" spans="1:13" s="4" customFormat="1" ht="13.5" thickBot="1">
      <c r="B83" s="419"/>
      <c r="C83" s="604"/>
      <c r="D83" s="604"/>
      <c r="E83" s="612">
        <f>SUM(E74:E82)</f>
        <v>12812.249999999998</v>
      </c>
      <c r="F83" s="605"/>
    </row>
    <row r="84" spans="1:13">
      <c r="B84" s="752" t="s">
        <v>104</v>
      </c>
      <c r="C84" s="285" t="s">
        <v>339</v>
      </c>
      <c r="D84" s="285"/>
      <c r="E84" s="613">
        <v>650</v>
      </c>
      <c r="M84" s="5"/>
    </row>
    <row r="85" spans="1:13">
      <c r="B85" s="155" t="s">
        <v>104</v>
      </c>
      <c r="C85" s="597" t="s">
        <v>481</v>
      </c>
      <c r="D85" s="597"/>
      <c r="E85" s="614">
        <v>650</v>
      </c>
      <c r="M85" s="5"/>
    </row>
    <row r="86" spans="1:13">
      <c r="B86" s="155" t="s">
        <v>34</v>
      </c>
      <c r="C86" s="220" t="s">
        <v>48</v>
      </c>
      <c r="D86" s="220"/>
      <c r="E86" s="618">
        <v>950</v>
      </c>
      <c r="M86" s="5"/>
    </row>
    <row r="87" spans="1:13">
      <c r="B87" s="199" t="s">
        <v>142</v>
      </c>
      <c r="C87" s="148" t="s">
        <v>426</v>
      </c>
      <c r="D87" s="148"/>
      <c r="E87" s="614">
        <v>150</v>
      </c>
      <c r="M87" s="5"/>
    </row>
    <row r="88" spans="1:13">
      <c r="B88" s="222" t="s">
        <v>156</v>
      </c>
      <c r="C88" s="617" t="s">
        <v>427</v>
      </c>
      <c r="D88" s="617"/>
      <c r="E88" s="612">
        <v>100</v>
      </c>
      <c r="M88" s="5"/>
    </row>
    <row r="89" spans="1:13" ht="13.5" thickBot="1">
      <c r="B89" s="208" t="s">
        <v>94</v>
      </c>
      <c r="C89" s="607" t="s">
        <v>95</v>
      </c>
      <c r="D89" s="607"/>
      <c r="E89" s="615">
        <f>3630/4</f>
        <v>907.5</v>
      </c>
      <c r="M89" s="5"/>
    </row>
    <row r="90" spans="1:13" ht="13.5" thickBot="1">
      <c r="B90" s="21"/>
      <c r="C90" s="608" t="s">
        <v>0</v>
      </c>
      <c r="D90" s="608"/>
      <c r="E90" s="616">
        <f>SUM(E83:E89)</f>
        <v>16219.749999999998</v>
      </c>
      <c r="M90" s="5"/>
    </row>
    <row r="91" spans="1:13" ht="12.75" customHeight="1">
      <c r="B91" s="21"/>
      <c r="C91" s="64"/>
      <c r="D91" s="64"/>
      <c r="E91" s="76"/>
      <c r="F91" s="76"/>
      <c r="G91" s="76"/>
      <c r="H91" s="76"/>
      <c r="I91" s="76"/>
      <c r="J91" s="76"/>
      <c r="K91" s="76"/>
      <c r="L91" s="76"/>
      <c r="M91" s="76"/>
    </row>
    <row r="92" spans="1:13" s="7" customFormat="1" ht="13.15" customHeight="1">
      <c r="A92" s="122" t="s">
        <v>56</v>
      </c>
      <c r="B92" s="123" t="s">
        <v>57</v>
      </c>
      <c r="C92" s="123"/>
      <c r="D92" s="619">
        <f>Nikki!E550</f>
        <v>8502.7000000000007</v>
      </c>
      <c r="E92" s="619"/>
      <c r="F92" s="122"/>
      <c r="G92" s="123" t="s">
        <v>146</v>
      </c>
      <c r="H92" s="619">
        <v>2500</v>
      </c>
      <c r="I92" s="619"/>
      <c r="J92" s="624"/>
      <c r="K92" s="624"/>
      <c r="L92" s="624"/>
      <c r="M92" s="624"/>
    </row>
    <row r="93" spans="1:13" s="7" customFormat="1" ht="13.15" customHeight="1">
      <c r="A93" s="122" t="s">
        <v>58</v>
      </c>
      <c r="B93" s="123" t="s">
        <v>172</v>
      </c>
      <c r="C93" s="123"/>
      <c r="D93" s="619">
        <f>Nikki!E551</f>
        <v>717.39999999999964</v>
      </c>
      <c r="E93" s="619"/>
      <c r="F93" s="122" t="s">
        <v>68</v>
      </c>
      <c r="G93" s="123" t="s">
        <v>69</v>
      </c>
      <c r="H93" s="619">
        <v>1200</v>
      </c>
      <c r="I93" s="624"/>
      <c r="J93" s="624"/>
      <c r="K93" s="624"/>
      <c r="L93" s="624"/>
      <c r="M93" s="624"/>
    </row>
    <row r="94" spans="1:13" s="7" customFormat="1" ht="13.15" customHeight="1">
      <c r="A94" s="122" t="s">
        <v>56</v>
      </c>
      <c r="B94" s="123" t="s">
        <v>462</v>
      </c>
      <c r="C94" s="123"/>
      <c r="D94" s="619">
        <v>250</v>
      </c>
      <c r="E94" s="619"/>
      <c r="F94" s="122" t="s">
        <v>68</v>
      </c>
      <c r="G94" s="123" t="s">
        <v>147</v>
      </c>
      <c r="H94" s="619">
        <f>120000*15%/12</f>
        <v>1500</v>
      </c>
      <c r="I94" s="624"/>
      <c r="J94" s="624"/>
      <c r="K94" s="624"/>
      <c r="L94" s="624"/>
      <c r="M94" s="624"/>
    </row>
    <row r="95" spans="1:13" s="7" customFormat="1" ht="13.15" customHeight="1">
      <c r="A95" s="122" t="s">
        <v>59</v>
      </c>
      <c r="B95" s="123" t="s">
        <v>60</v>
      </c>
      <c r="C95" s="123"/>
      <c r="D95" s="619">
        <v>2500</v>
      </c>
      <c r="E95" s="619"/>
      <c r="F95" s="122" t="s">
        <v>81</v>
      </c>
      <c r="G95" s="123" t="s">
        <v>69</v>
      </c>
      <c r="H95" s="619">
        <v>1800</v>
      </c>
      <c r="I95" s="750"/>
      <c r="J95" s="625"/>
    </row>
    <row r="96" spans="1:13" s="7" customFormat="1" ht="13.15" customHeight="1">
      <c r="A96" s="122" t="s">
        <v>59</v>
      </c>
      <c r="B96" s="123" t="s">
        <v>61</v>
      </c>
      <c r="C96" s="123"/>
      <c r="D96" s="619">
        <v>268</v>
      </c>
      <c r="E96" s="619"/>
      <c r="F96" s="122" t="s">
        <v>58</v>
      </c>
      <c r="G96" s="123" t="s">
        <v>148</v>
      </c>
      <c r="H96" s="619">
        <v>1012</v>
      </c>
      <c r="I96" s="750"/>
      <c r="J96" s="625"/>
    </row>
    <row r="97" spans="1:13" s="7" customFormat="1" ht="13.15" customHeight="1">
      <c r="A97" s="122" t="s">
        <v>62</v>
      </c>
      <c r="B97" s="123" t="s">
        <v>63</v>
      </c>
      <c r="C97" s="123"/>
      <c r="D97" s="619">
        <v>601.12</v>
      </c>
      <c r="E97" s="619"/>
      <c r="F97" s="122" t="s">
        <v>272</v>
      </c>
      <c r="G97" s="123" t="s">
        <v>274</v>
      </c>
      <c r="H97" s="619">
        <v>500</v>
      </c>
      <c r="I97" s="750"/>
      <c r="J97" s="625"/>
    </row>
    <row r="98" spans="1:13" s="7" customFormat="1" ht="13.15" customHeight="1">
      <c r="A98" s="122" t="s">
        <v>62</v>
      </c>
      <c r="B98" s="123" t="s">
        <v>64</v>
      </c>
      <c r="C98" s="123"/>
      <c r="D98" s="619">
        <v>383.94</v>
      </c>
      <c r="E98" s="619"/>
      <c r="F98" s="122" t="s">
        <v>273</v>
      </c>
      <c r="G98" s="123" t="s">
        <v>275</v>
      </c>
      <c r="H98" s="619">
        <v>500</v>
      </c>
      <c r="I98" s="214"/>
      <c r="J98" s="625"/>
    </row>
    <row r="99" spans="1:13" s="7" customFormat="1" ht="13.15" customHeight="1">
      <c r="A99" s="122" t="s">
        <v>62</v>
      </c>
      <c r="B99" s="123" t="s">
        <v>101</v>
      </c>
      <c r="C99" s="123"/>
      <c r="D99" s="619">
        <v>550</v>
      </c>
      <c r="E99" s="619"/>
      <c r="F99" s="122" t="s">
        <v>59</v>
      </c>
      <c r="G99" s="123" t="s">
        <v>82</v>
      </c>
      <c r="H99" s="619">
        <v>11000</v>
      </c>
      <c r="I99" s="750"/>
      <c r="J99" s="625"/>
    </row>
    <row r="100" spans="1:13" s="7" customFormat="1" ht="13.15" customHeight="1" thickBot="1">
      <c r="A100" s="122" t="s">
        <v>66</v>
      </c>
      <c r="B100" s="123" t="s">
        <v>67</v>
      </c>
      <c r="C100" s="619"/>
      <c r="D100" s="619">
        <v>8000</v>
      </c>
      <c r="E100" s="619"/>
      <c r="F100" s="223" t="s">
        <v>102</v>
      </c>
      <c r="G100" s="123" t="s">
        <v>83</v>
      </c>
      <c r="H100" s="620">
        <v>11000</v>
      </c>
      <c r="I100" s="750"/>
      <c r="J100" s="625"/>
    </row>
    <row r="101" spans="1:13" s="7" customFormat="1" ht="13.15" customHeight="1" thickTop="1" thickBot="1">
      <c r="A101" s="122" t="s">
        <v>65</v>
      </c>
      <c r="B101" s="123" t="s">
        <v>228</v>
      </c>
      <c r="C101" s="619"/>
      <c r="D101" s="619">
        <v>1000</v>
      </c>
      <c r="E101" s="619"/>
      <c r="F101" s="130"/>
      <c r="G101" s="123"/>
      <c r="H101" s="750">
        <f>SUM(H92:H100)+SUM(D92:D101)</f>
        <v>53785.16</v>
      </c>
      <c r="I101" s="750"/>
      <c r="J101" s="625"/>
    </row>
    <row r="102" spans="1:13" s="7" customFormat="1" ht="13.15" customHeight="1" thickBot="1">
      <c r="B102" s="122"/>
      <c r="C102" s="123"/>
      <c r="D102" s="123"/>
      <c r="E102" s="619"/>
      <c r="F102" s="130"/>
      <c r="G102" s="642" t="s">
        <v>17</v>
      </c>
      <c r="H102" s="643">
        <f>H101+E90</f>
        <v>70004.91</v>
      </c>
      <c r="I102" s="750"/>
      <c r="J102" s="625"/>
    </row>
    <row r="103" spans="1:13" s="7" customFormat="1" ht="13.15" customHeight="1">
      <c r="B103" s="122"/>
      <c r="C103" s="123"/>
      <c r="D103" s="123"/>
      <c r="E103" s="619"/>
      <c r="F103" s="124"/>
      <c r="G103" s="123"/>
      <c r="H103" s="750"/>
      <c r="I103" s="750"/>
      <c r="J103" s="625"/>
    </row>
    <row r="104" spans="1:13" s="7" customFormat="1" ht="13.15" customHeight="1">
      <c r="B104" s="122"/>
      <c r="C104" s="123"/>
      <c r="D104" s="123"/>
      <c r="E104" s="619"/>
      <c r="F104" s="130"/>
      <c r="G104" s="123"/>
      <c r="H104" s="750"/>
      <c r="I104" s="750"/>
      <c r="J104" s="625"/>
    </row>
    <row r="105" spans="1:13" s="7" customFormat="1" ht="13.15" customHeight="1">
      <c r="B105" s="122"/>
      <c r="C105" s="123"/>
      <c r="D105" s="123"/>
      <c r="E105" s="619"/>
      <c r="F105" s="130"/>
      <c r="G105" s="642"/>
      <c r="H105" s="686"/>
      <c r="I105" s="750"/>
      <c r="J105" s="625"/>
    </row>
    <row r="106" spans="1:13" s="7" customFormat="1" ht="13.15" customHeight="1">
      <c r="B106" s="122"/>
      <c r="C106" s="123"/>
      <c r="D106" s="123"/>
      <c r="E106" s="619"/>
      <c r="F106" s="124"/>
      <c r="G106" s="123"/>
      <c r="H106" s="750"/>
      <c r="I106" s="750"/>
      <c r="J106" s="625"/>
    </row>
    <row r="107" spans="1:13" s="7" customFormat="1" ht="13.15" customHeight="1">
      <c r="B107" s="122"/>
      <c r="C107" s="123"/>
      <c r="D107" s="15"/>
      <c r="E107" s="619"/>
      <c r="F107" s="15"/>
      <c r="G107" s="15"/>
      <c r="H107" s="15"/>
      <c r="I107" s="750"/>
      <c r="J107" s="625"/>
    </row>
    <row r="108" spans="1:13" s="7" customFormat="1" ht="13.15" customHeight="1">
      <c r="B108" s="122"/>
      <c r="C108" s="123"/>
      <c r="D108" s="14"/>
      <c r="E108" s="15"/>
      <c r="F108" s="15"/>
      <c r="G108" s="15"/>
      <c r="H108" s="15"/>
      <c r="I108" s="750"/>
      <c r="J108" s="625"/>
    </row>
    <row r="109" spans="1:13" s="7" customFormat="1" ht="13.15" customHeight="1">
      <c r="B109" s="122"/>
      <c r="C109" s="123"/>
      <c r="D109" s="14"/>
      <c r="E109" s="15"/>
      <c r="F109" s="15"/>
      <c r="G109" s="15"/>
      <c r="H109" s="15"/>
      <c r="I109" s="750"/>
      <c r="J109" s="625"/>
    </row>
    <row r="110" spans="1:13" s="15" customFormat="1" ht="12">
      <c r="B110" s="17"/>
      <c r="D110" s="14"/>
      <c r="M110" s="17"/>
    </row>
    <row r="111" spans="1:13" s="15" customFormat="1" ht="12">
      <c r="B111" s="17"/>
      <c r="C111" s="14"/>
      <c r="D111" s="14"/>
      <c r="M111" s="17"/>
    </row>
    <row r="112" spans="1:13" s="15" customFormat="1" ht="12">
      <c r="B112" s="17"/>
      <c r="C112" s="14"/>
      <c r="D112" s="14"/>
      <c r="M112" s="17"/>
    </row>
    <row r="113" spans="2:13" s="15" customFormat="1" ht="12">
      <c r="B113" s="17"/>
      <c r="C113" s="14"/>
      <c r="D113" s="14"/>
      <c r="M113" s="17"/>
    </row>
    <row r="114" spans="2:13" s="15" customFormat="1" ht="12">
      <c r="B114" s="17"/>
      <c r="C114" s="14"/>
      <c r="M114" s="17"/>
    </row>
    <row r="115" spans="2:13" s="15" customFormat="1" ht="12">
      <c r="B115" s="17"/>
      <c r="C115" s="14"/>
      <c r="M115" s="17"/>
    </row>
    <row r="116" spans="2:13" s="15" customFormat="1" ht="12">
      <c r="B116" s="17"/>
      <c r="C116" s="14"/>
      <c r="M116" s="17"/>
    </row>
    <row r="117" spans="2:13" s="15" customFormat="1" ht="12">
      <c r="B117" s="17"/>
      <c r="M117" s="17"/>
    </row>
    <row r="118" spans="2:13" s="15" customFormat="1" ht="12">
      <c r="B118" s="17"/>
      <c r="M118" s="17"/>
    </row>
    <row r="119" spans="2:13" s="15" customFormat="1" ht="12">
      <c r="B119" s="17"/>
      <c r="M119" s="17"/>
    </row>
    <row r="120" spans="2:13" s="15" customFormat="1">
      <c r="B120" s="17"/>
      <c r="D120" s="5"/>
      <c r="F120" s="5"/>
      <c r="G120" s="5"/>
      <c r="H120" s="5"/>
      <c r="M120" s="17"/>
    </row>
    <row r="121" spans="2:13" s="15" customFormat="1">
      <c r="B121" s="17"/>
      <c r="D121" s="5"/>
      <c r="E121" s="5"/>
      <c r="F121" s="5"/>
      <c r="G121" s="5"/>
      <c r="H121" s="5"/>
      <c r="M121" s="17"/>
    </row>
    <row r="122" spans="2:13" s="15" customFormat="1">
      <c r="B122" s="17"/>
      <c r="D122" s="5"/>
      <c r="E122" s="5"/>
      <c r="F122" s="5"/>
      <c r="G122" s="5"/>
      <c r="H122" s="5"/>
      <c r="M122" s="17"/>
    </row>
    <row r="123" spans="2:13" s="15" customFormat="1">
      <c r="B123" s="2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7"/>
    </row>
    <row r="124" spans="2:13" s="15" customFormat="1">
      <c r="B124" s="2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7"/>
    </row>
    <row r="125" spans="2:13" s="15" customFormat="1">
      <c r="B125" s="2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7"/>
    </row>
    <row r="126" spans="2:13" s="15" customFormat="1">
      <c r="B126" s="2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7"/>
    </row>
  </sheetData>
  <mergeCells count="13">
    <mergeCell ref="C27:D27"/>
    <mergeCell ref="A1:H1"/>
    <mergeCell ref="A3:A4"/>
    <mergeCell ref="C5:D5"/>
    <mergeCell ref="E6:F6"/>
    <mergeCell ref="A25:A26"/>
    <mergeCell ref="E72:F72"/>
    <mergeCell ref="E28:F28"/>
    <mergeCell ref="A47:A48"/>
    <mergeCell ref="C49:D49"/>
    <mergeCell ref="E50:F50"/>
    <mergeCell ref="A69:A70"/>
    <mergeCell ref="C71:D71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G123" sqref="G123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0.85546875" style="5" customWidth="1"/>
    <col min="5" max="5" width="10.5703125" style="5" customWidth="1"/>
    <col min="6" max="6" width="7.42578125" style="5" customWidth="1"/>
    <col min="7" max="7" width="23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1:13" s="1" customFormat="1" ht="24" customHeight="1">
      <c r="A1" s="947" t="s">
        <v>484</v>
      </c>
      <c r="B1" s="947"/>
      <c r="C1" s="947"/>
      <c r="D1" s="947"/>
      <c r="E1" s="947"/>
      <c r="F1" s="947"/>
      <c r="G1" s="947"/>
      <c r="H1" s="947"/>
      <c r="I1" s="659"/>
      <c r="J1" s="659"/>
      <c r="K1" s="659"/>
      <c r="L1" s="659"/>
      <c r="M1" s="659"/>
    </row>
    <row r="2" spans="1:13" s="1" customFormat="1" ht="6.75" customHeight="1">
      <c r="A2" s="600"/>
      <c r="B2" s="601"/>
      <c r="C2" s="602"/>
      <c r="D2" s="602"/>
      <c r="E2" s="603"/>
      <c r="F2" s="603"/>
      <c r="G2" s="603"/>
      <c r="H2" s="779"/>
      <c r="I2" s="779"/>
      <c r="J2" s="779"/>
      <c r="K2" s="779"/>
      <c r="L2" s="779"/>
      <c r="M2" s="779"/>
    </row>
    <row r="3" spans="1:13" ht="19.5" customHeight="1">
      <c r="A3" s="944"/>
      <c r="B3" s="595" t="s">
        <v>419</v>
      </c>
      <c r="C3" s="621">
        <v>40</v>
      </c>
      <c r="D3" s="621"/>
      <c r="E3" s="76"/>
      <c r="F3" s="76"/>
      <c r="G3" s="76"/>
      <c r="H3" s="76"/>
      <c r="I3" s="76"/>
      <c r="J3" s="76"/>
      <c r="K3" s="76"/>
      <c r="L3" s="76"/>
      <c r="M3" s="5"/>
    </row>
    <row r="4" spans="1:13" ht="19.5" customHeight="1">
      <c r="A4" s="944"/>
      <c r="B4" s="595" t="s">
        <v>420</v>
      </c>
      <c r="C4" s="621">
        <v>31</v>
      </c>
      <c r="D4" s="621"/>
      <c r="E4" s="76"/>
      <c r="F4" s="76"/>
      <c r="G4" s="76"/>
      <c r="H4" s="76"/>
      <c r="I4" s="76"/>
      <c r="J4" s="76"/>
      <c r="K4" s="76"/>
      <c r="L4" s="76"/>
      <c r="M4" s="5"/>
    </row>
    <row r="5" spans="1:13" ht="19.5" customHeight="1">
      <c r="B5" s="595" t="s">
        <v>423</v>
      </c>
      <c r="C5" s="948">
        <v>41185</v>
      </c>
      <c r="D5" s="948"/>
      <c r="E5" s="76"/>
      <c r="F5" s="76"/>
      <c r="G5" s="76"/>
      <c r="H5" s="76"/>
      <c r="I5" s="76"/>
      <c r="J5" s="76"/>
      <c r="K5" s="76"/>
      <c r="L5" s="76"/>
      <c r="M5" s="5"/>
    </row>
    <row r="6" spans="1:13" ht="4.5" customHeight="1">
      <c r="B6" s="2"/>
      <c r="C6" s="147"/>
      <c r="D6" s="147"/>
      <c r="E6" s="945"/>
      <c r="F6" s="946"/>
      <c r="G6" s="3"/>
      <c r="H6" s="4"/>
      <c r="I6" s="4"/>
      <c r="J6" s="4"/>
      <c r="K6" s="4"/>
      <c r="L6" s="34"/>
      <c r="M6" s="4"/>
    </row>
    <row r="7" spans="1:13" s="6" customFormat="1" ht="13.5" thickBot="1">
      <c r="B7" s="596" t="s">
        <v>421</v>
      </c>
      <c r="C7" s="598" t="s">
        <v>1</v>
      </c>
      <c r="D7" s="598"/>
      <c r="E7" s="599" t="s">
        <v>10</v>
      </c>
      <c r="G7" s="660"/>
    </row>
    <row r="8" spans="1:13">
      <c r="B8" s="207" t="s">
        <v>477</v>
      </c>
      <c r="C8" s="145" t="s">
        <v>80</v>
      </c>
      <c r="D8" s="638"/>
      <c r="E8" s="609">
        <v>2144.69</v>
      </c>
      <c r="M8" s="5"/>
    </row>
    <row r="9" spans="1:13">
      <c r="B9" s="742" t="s">
        <v>11</v>
      </c>
      <c r="C9" s="597" t="s">
        <v>78</v>
      </c>
      <c r="D9" s="638"/>
      <c r="E9" s="609">
        <v>937.04</v>
      </c>
      <c r="M9" s="5"/>
    </row>
    <row r="10" spans="1:13">
      <c r="B10" s="103" t="s">
        <v>13</v>
      </c>
      <c r="C10" s="145" t="s">
        <v>76</v>
      </c>
      <c r="D10" s="639"/>
      <c r="E10" s="610">
        <v>873.83</v>
      </c>
      <c r="M10" s="5"/>
    </row>
    <row r="11" spans="1:13">
      <c r="B11" s="103" t="s">
        <v>471</v>
      </c>
      <c r="C11" s="145" t="s">
        <v>472</v>
      </c>
      <c r="D11" s="639"/>
      <c r="E11" s="610">
        <v>1029.5999999999999</v>
      </c>
      <c r="M11" s="5"/>
    </row>
    <row r="12" spans="1:13">
      <c r="B12" s="103" t="s">
        <v>479</v>
      </c>
      <c r="C12" s="145" t="s">
        <v>478</v>
      </c>
      <c r="D12" s="639"/>
      <c r="E12" s="610">
        <v>1029.5999999999999</v>
      </c>
      <c r="M12" s="5"/>
    </row>
    <row r="13" spans="1:13">
      <c r="B13" s="103" t="s">
        <v>447</v>
      </c>
      <c r="C13" s="145" t="s">
        <v>448</v>
      </c>
      <c r="D13" s="639"/>
      <c r="E13" s="610">
        <v>1402.31</v>
      </c>
      <c r="F13" s="415"/>
      <c r="M13" s="5"/>
    </row>
    <row r="14" spans="1:13">
      <c r="B14" s="103" t="s">
        <v>53</v>
      </c>
      <c r="C14" s="716" t="s">
        <v>77</v>
      </c>
      <c r="D14" s="640"/>
      <c r="E14" s="610">
        <v>1165.29</v>
      </c>
      <c r="F14" s="415"/>
      <c r="M14" s="5"/>
    </row>
    <row r="15" spans="1:13">
      <c r="B15" s="753" t="s">
        <v>208</v>
      </c>
      <c r="C15" s="754" t="s">
        <v>215</v>
      </c>
      <c r="D15" s="755"/>
      <c r="E15" s="756">
        <v>829.6</v>
      </c>
      <c r="F15" s="415"/>
      <c r="M15" s="5"/>
    </row>
    <row r="16" spans="1:13" ht="13.5" thickBot="1">
      <c r="B16" s="606" t="s">
        <v>104</v>
      </c>
      <c r="C16" s="745" t="s">
        <v>424</v>
      </c>
      <c r="D16" s="757"/>
      <c r="E16" s="611">
        <v>689.74</v>
      </c>
      <c r="M16" s="5"/>
    </row>
    <row r="17" spans="1:13" s="4" customFormat="1" ht="13.5" thickBot="1">
      <c r="B17" s="419"/>
      <c r="C17" s="604"/>
      <c r="D17" s="604"/>
      <c r="E17" s="612">
        <f>SUM(E8:E16)</f>
        <v>10101.700000000001</v>
      </c>
      <c r="F17" s="605"/>
    </row>
    <row r="18" spans="1:13">
      <c r="B18" s="752" t="s">
        <v>104</v>
      </c>
      <c r="C18" s="285" t="s">
        <v>339</v>
      </c>
      <c r="D18" s="285"/>
      <c r="E18" s="613">
        <v>500</v>
      </c>
      <c r="M18" s="5"/>
    </row>
    <row r="19" spans="1:13">
      <c r="B19" s="155" t="s">
        <v>104</v>
      </c>
      <c r="C19" s="597" t="s">
        <v>481</v>
      </c>
      <c r="D19" s="597"/>
      <c r="E19" s="614">
        <v>500</v>
      </c>
      <c r="M19" s="5"/>
    </row>
    <row r="20" spans="1:13">
      <c r="B20" s="155" t="s">
        <v>34</v>
      </c>
      <c r="C20" s="220" t="s">
        <v>48</v>
      </c>
      <c r="D20" s="220"/>
      <c r="E20" s="618">
        <v>950</v>
      </c>
      <c r="M20" s="5"/>
    </row>
    <row r="21" spans="1:13" ht="13.5" thickBot="1">
      <c r="B21" s="208" t="s">
        <v>94</v>
      </c>
      <c r="C21" s="607" t="s">
        <v>95</v>
      </c>
      <c r="D21" s="607"/>
      <c r="E21" s="615">
        <f>3630/4</f>
        <v>907.5</v>
      </c>
      <c r="M21" s="5"/>
    </row>
    <row r="22" spans="1:13" ht="13.5" thickBot="1">
      <c r="B22" s="21"/>
      <c r="C22" s="608" t="s">
        <v>0</v>
      </c>
      <c r="D22" s="608"/>
      <c r="E22" s="616">
        <f>SUM(E17:E21)</f>
        <v>12959.2</v>
      </c>
      <c r="M22" s="5"/>
    </row>
    <row r="23" spans="1:13" ht="12.75" customHeight="1">
      <c r="B23" s="21"/>
      <c r="C23" s="64"/>
      <c r="D23" s="64"/>
      <c r="E23" s="76"/>
      <c r="F23" s="76"/>
      <c r="G23" s="76"/>
      <c r="H23" s="76"/>
      <c r="I23" s="76"/>
      <c r="J23" s="76"/>
      <c r="K23" s="76"/>
      <c r="L23" s="76"/>
      <c r="M23" s="76"/>
    </row>
    <row r="24" spans="1:13" s="600" customFormat="1" ht="6.75" customHeight="1">
      <c r="B24" s="601"/>
      <c r="C24" s="602"/>
      <c r="D24" s="602"/>
      <c r="E24" s="603"/>
      <c r="F24" s="603"/>
      <c r="G24" s="603"/>
      <c r="H24" s="603"/>
      <c r="I24" s="603"/>
      <c r="J24" s="603"/>
      <c r="K24" s="603"/>
      <c r="L24" s="603"/>
      <c r="M24" s="603"/>
    </row>
    <row r="25" spans="1:13" ht="19.5" customHeight="1">
      <c r="A25" s="944"/>
      <c r="B25" s="595" t="s">
        <v>419</v>
      </c>
      <c r="C25" s="621">
        <v>41</v>
      </c>
      <c r="D25" s="621"/>
      <c r="E25" s="76"/>
      <c r="F25" s="76"/>
      <c r="G25" s="76"/>
      <c r="H25" s="76"/>
      <c r="I25" s="76"/>
      <c r="J25" s="76"/>
      <c r="K25" s="76"/>
      <c r="L25" s="76"/>
      <c r="M25" s="5"/>
    </row>
    <row r="26" spans="1:13" ht="19.5" customHeight="1">
      <c r="A26" s="944"/>
      <c r="B26" s="595" t="s">
        <v>420</v>
      </c>
      <c r="C26" s="621">
        <v>32</v>
      </c>
      <c r="D26" s="621"/>
      <c r="E26" s="76"/>
      <c r="F26" s="76"/>
      <c r="G26" s="76"/>
      <c r="H26" s="76"/>
      <c r="I26" s="76"/>
      <c r="J26" s="76"/>
      <c r="K26" s="76"/>
      <c r="L26" s="76"/>
      <c r="M26" s="5"/>
    </row>
    <row r="27" spans="1:13" ht="19.5" customHeight="1">
      <c r="B27" s="595" t="s">
        <v>423</v>
      </c>
      <c r="C27" s="948">
        <v>41192</v>
      </c>
      <c r="D27" s="949"/>
      <c r="E27" s="76"/>
      <c r="F27" s="76"/>
      <c r="G27" s="76"/>
      <c r="H27" s="76"/>
      <c r="I27" s="76"/>
      <c r="J27" s="76"/>
      <c r="K27" s="76"/>
      <c r="L27" s="76"/>
      <c r="M27" s="5"/>
    </row>
    <row r="28" spans="1:13" ht="4.5" customHeight="1">
      <c r="B28" s="2"/>
      <c r="C28" s="147"/>
      <c r="D28" s="147"/>
      <c r="E28" s="945"/>
      <c r="F28" s="946"/>
      <c r="G28" s="3"/>
      <c r="H28" s="4"/>
      <c r="I28" s="4"/>
      <c r="J28" s="4"/>
      <c r="K28" s="4"/>
      <c r="L28" s="34"/>
      <c r="M28" s="4"/>
    </row>
    <row r="29" spans="1:13" s="6" customFormat="1" ht="13.5" thickBot="1">
      <c r="B29" s="596" t="s">
        <v>421</v>
      </c>
      <c r="C29" s="598" t="s">
        <v>1</v>
      </c>
      <c r="D29" s="598"/>
      <c r="E29" s="599" t="s">
        <v>10</v>
      </c>
    </row>
    <row r="30" spans="1:13">
      <c r="B30" s="207" t="s">
        <v>477</v>
      </c>
      <c r="C30" s="145" t="s">
        <v>80</v>
      </c>
      <c r="D30" s="638"/>
      <c r="E30" s="609">
        <v>1989.33</v>
      </c>
      <c r="M30" s="5"/>
    </row>
    <row r="31" spans="1:13">
      <c r="B31" s="742" t="s">
        <v>11</v>
      </c>
      <c r="C31" s="597" t="s">
        <v>78</v>
      </c>
      <c r="D31" s="638"/>
      <c r="E31" s="609">
        <v>937.04</v>
      </c>
      <c r="M31" s="5"/>
    </row>
    <row r="32" spans="1:13">
      <c r="B32" s="103" t="s">
        <v>13</v>
      </c>
      <c r="C32" s="145" t="s">
        <v>76</v>
      </c>
      <c r="D32" s="639"/>
      <c r="E32" s="610">
        <v>873.83</v>
      </c>
      <c r="M32" s="5"/>
    </row>
    <row r="33" spans="1:13">
      <c r="B33" s="103" t="s">
        <v>471</v>
      </c>
      <c r="C33" s="145" t="s">
        <v>472</v>
      </c>
      <c r="D33" s="639"/>
      <c r="E33" s="610">
        <v>792</v>
      </c>
      <c r="M33" s="5"/>
    </row>
    <row r="34" spans="1:13">
      <c r="B34" s="103" t="s">
        <v>479</v>
      </c>
      <c r="C34" s="145" t="s">
        <v>478</v>
      </c>
      <c r="D34" s="639"/>
      <c r="E34" s="610">
        <v>792</v>
      </c>
      <c r="M34" s="5"/>
    </row>
    <row r="35" spans="1:13">
      <c r="B35" s="103" t="s">
        <v>447</v>
      </c>
      <c r="C35" s="145" t="s">
        <v>448</v>
      </c>
      <c r="D35" s="639"/>
      <c r="E35" s="610">
        <v>1189.42</v>
      </c>
      <c r="F35" s="415"/>
      <c r="M35" s="5"/>
    </row>
    <row r="36" spans="1:13">
      <c r="B36" s="103" t="s">
        <v>53</v>
      </c>
      <c r="C36" s="716" t="s">
        <v>77</v>
      </c>
      <c r="D36" s="640"/>
      <c r="E36" s="610">
        <v>1165.3800000000001</v>
      </c>
      <c r="F36" s="415"/>
      <c r="M36" s="5"/>
    </row>
    <row r="37" spans="1:13">
      <c r="B37" s="753" t="s">
        <v>208</v>
      </c>
      <c r="C37" s="754" t="s">
        <v>215</v>
      </c>
      <c r="D37" s="755"/>
      <c r="E37" s="756">
        <v>592</v>
      </c>
      <c r="F37" s="415"/>
      <c r="M37" s="5"/>
    </row>
    <row r="38" spans="1:13" ht="13.5" thickBot="1">
      <c r="B38" s="606" t="s">
        <v>104</v>
      </c>
      <c r="C38" s="745" t="s">
        <v>424</v>
      </c>
      <c r="D38" s="757"/>
      <c r="E38" s="611">
        <v>689.74</v>
      </c>
      <c r="G38" s="5" t="s">
        <v>490</v>
      </c>
      <c r="M38" s="5"/>
    </row>
    <row r="39" spans="1:13" s="4" customFormat="1" ht="13.5" thickBot="1">
      <c r="B39" s="419"/>
      <c r="C39" s="604"/>
      <c r="D39" s="604"/>
      <c r="E39" s="612">
        <f>SUM(E30:E38)</f>
        <v>9020.74</v>
      </c>
      <c r="F39" s="605"/>
    </row>
    <row r="40" spans="1:13">
      <c r="B40" s="752" t="s">
        <v>104</v>
      </c>
      <c r="C40" s="285" t="s">
        <v>339</v>
      </c>
      <c r="D40" s="285"/>
      <c r="E40" s="613">
        <v>500</v>
      </c>
      <c r="M40" s="5"/>
    </row>
    <row r="41" spans="1:13">
      <c r="B41" s="155" t="s">
        <v>104</v>
      </c>
      <c r="C41" s="597" t="s">
        <v>481</v>
      </c>
      <c r="D41" s="597"/>
      <c r="E41" s="614">
        <v>500</v>
      </c>
      <c r="M41" s="5"/>
    </row>
    <row r="42" spans="1:13">
      <c r="B42" s="155" t="s">
        <v>34</v>
      </c>
      <c r="C42" s="220" t="s">
        <v>48</v>
      </c>
      <c r="D42" s="220"/>
      <c r="E42" s="618">
        <v>950</v>
      </c>
      <c r="M42" s="5"/>
    </row>
    <row r="43" spans="1:13" ht="13.5" thickBot="1">
      <c r="B43" s="208" t="s">
        <v>94</v>
      </c>
      <c r="C43" s="607" t="s">
        <v>95</v>
      </c>
      <c r="D43" s="607"/>
      <c r="E43" s="615">
        <f>3630/4</f>
        <v>907.5</v>
      </c>
      <c r="M43" s="5"/>
    </row>
    <row r="44" spans="1:13" ht="13.5" thickBot="1">
      <c r="B44" s="21"/>
      <c r="C44" s="608" t="s">
        <v>0</v>
      </c>
      <c r="D44" s="608"/>
      <c r="E44" s="616">
        <f>SUM(E39:E43)</f>
        <v>11878.24</v>
      </c>
      <c r="M44" s="5"/>
    </row>
    <row r="45" spans="1:13" ht="12.75" customHeight="1">
      <c r="B45" s="21"/>
      <c r="C45" s="64"/>
      <c r="D45" s="64"/>
      <c r="E45" s="76"/>
      <c r="F45" s="76"/>
      <c r="G45" s="76"/>
      <c r="H45" s="76"/>
      <c r="I45" s="76"/>
      <c r="J45" s="76"/>
      <c r="K45" s="76"/>
      <c r="L45" s="76"/>
      <c r="M45" s="76"/>
    </row>
    <row r="46" spans="1:13" s="600" customFormat="1" ht="6.75" customHeight="1">
      <c r="B46" s="601"/>
      <c r="C46" s="602"/>
      <c r="D46" s="602"/>
      <c r="E46" s="603"/>
      <c r="F46" s="603"/>
      <c r="G46" s="603"/>
      <c r="H46" s="603"/>
      <c r="I46" s="603"/>
      <c r="J46" s="603"/>
      <c r="K46" s="603"/>
      <c r="L46" s="603"/>
      <c r="M46" s="603"/>
    </row>
    <row r="47" spans="1:13" ht="19.5" customHeight="1">
      <c r="A47" s="944"/>
      <c r="B47" s="595" t="s">
        <v>419</v>
      </c>
      <c r="C47" s="621">
        <v>42</v>
      </c>
      <c r="D47" s="621"/>
      <c r="E47" s="76"/>
      <c r="F47" s="76"/>
      <c r="G47" s="76"/>
      <c r="H47" s="76"/>
      <c r="I47" s="76"/>
      <c r="J47" s="76"/>
      <c r="K47" s="76"/>
      <c r="L47" s="76"/>
      <c r="M47" s="5"/>
    </row>
    <row r="48" spans="1:13" ht="19.5" customHeight="1">
      <c r="A48" s="944"/>
      <c r="B48" s="595" t="s">
        <v>420</v>
      </c>
      <c r="C48" s="621">
        <v>33</v>
      </c>
      <c r="D48" s="621"/>
      <c r="E48" s="76"/>
      <c r="F48" s="76"/>
      <c r="G48" s="76"/>
      <c r="H48" s="76"/>
      <c r="I48" s="76"/>
      <c r="J48" s="76"/>
      <c r="K48" s="76"/>
      <c r="L48" s="76"/>
      <c r="M48" s="5"/>
    </row>
    <row r="49" spans="2:13" ht="19.5" customHeight="1">
      <c r="B49" s="595" t="s">
        <v>423</v>
      </c>
      <c r="C49" s="948">
        <v>41199</v>
      </c>
      <c r="D49" s="949"/>
      <c r="E49" s="76"/>
      <c r="F49" s="76"/>
      <c r="G49" s="76"/>
      <c r="H49" s="76"/>
      <c r="I49" s="76"/>
      <c r="J49" s="76"/>
      <c r="K49" s="76"/>
      <c r="L49" s="76"/>
      <c r="M49" s="5"/>
    </row>
    <row r="50" spans="2:13" ht="4.5" customHeight="1">
      <c r="B50" s="2"/>
      <c r="C50" s="147"/>
      <c r="D50" s="147"/>
      <c r="E50" s="945"/>
      <c r="F50" s="946"/>
      <c r="G50" s="3"/>
      <c r="H50" s="4"/>
      <c r="I50" s="4"/>
      <c r="J50" s="4"/>
      <c r="K50" s="4"/>
      <c r="L50" s="34"/>
      <c r="M50" s="4"/>
    </row>
    <row r="51" spans="2:13" s="6" customFormat="1" ht="13.5" thickBot="1">
      <c r="B51" s="596" t="s">
        <v>421</v>
      </c>
      <c r="C51" s="598" t="s">
        <v>1</v>
      </c>
      <c r="D51" s="598"/>
      <c r="E51" s="599" t="s">
        <v>10</v>
      </c>
    </row>
    <row r="52" spans="2:13">
      <c r="B52" s="207" t="s">
        <v>477</v>
      </c>
      <c r="C52" s="145" t="s">
        <v>80</v>
      </c>
      <c r="D52" s="638"/>
      <c r="E52" s="609">
        <v>2183.48</v>
      </c>
      <c r="M52" s="5"/>
    </row>
    <row r="53" spans="2:13">
      <c r="B53" s="742" t="s">
        <v>11</v>
      </c>
      <c r="C53" s="597" t="s">
        <v>78</v>
      </c>
      <c r="D53" s="638"/>
      <c r="E53" s="609">
        <v>937.04</v>
      </c>
      <c r="M53" s="5"/>
    </row>
    <row r="54" spans="2:13">
      <c r="B54" s="103" t="s">
        <v>13</v>
      </c>
      <c r="C54" s="145" t="s">
        <v>76</v>
      </c>
      <c r="D54" s="639"/>
      <c r="E54" s="610">
        <v>873.83</v>
      </c>
      <c r="M54" s="5"/>
    </row>
    <row r="55" spans="2:13">
      <c r="B55" s="103" t="s">
        <v>471</v>
      </c>
      <c r="C55" s="145" t="s">
        <v>472</v>
      </c>
      <c r="D55" s="639"/>
      <c r="E55" s="610">
        <v>792</v>
      </c>
      <c r="M55" s="5"/>
    </row>
    <row r="56" spans="2:13">
      <c r="B56" s="103" t="s">
        <v>479</v>
      </c>
      <c r="C56" s="145" t="s">
        <v>478</v>
      </c>
      <c r="D56" s="639"/>
      <c r="E56" s="610">
        <v>792</v>
      </c>
      <c r="M56" s="5"/>
    </row>
    <row r="57" spans="2:13">
      <c r="B57" s="103" t="s">
        <v>447</v>
      </c>
      <c r="C57" s="145" t="s">
        <v>448</v>
      </c>
      <c r="D57" s="639"/>
      <c r="E57" s="610">
        <v>1238.27</v>
      </c>
      <c r="F57" s="415"/>
      <c r="M57" s="5"/>
    </row>
    <row r="58" spans="2:13">
      <c r="B58" s="103" t="s">
        <v>53</v>
      </c>
      <c r="C58" s="716" t="s">
        <v>77</v>
      </c>
      <c r="D58" s="640"/>
      <c r="E58" s="610">
        <v>1165.3599999999999</v>
      </c>
      <c r="F58" s="415"/>
      <c r="M58" s="5"/>
    </row>
    <row r="59" spans="2:13">
      <c r="B59" s="753" t="s">
        <v>208</v>
      </c>
      <c r="C59" s="754" t="s">
        <v>215</v>
      </c>
      <c r="D59" s="755"/>
      <c r="E59" s="756">
        <v>592</v>
      </c>
      <c r="F59" s="415"/>
      <c r="M59" s="5"/>
    </row>
    <row r="60" spans="2:13" ht="13.5" thickBot="1">
      <c r="B60" s="606" t="s">
        <v>104</v>
      </c>
      <c r="C60" s="745" t="s">
        <v>424</v>
      </c>
      <c r="D60" s="757"/>
      <c r="E60" s="611">
        <v>689.74</v>
      </c>
      <c r="M60" s="5"/>
    </row>
    <row r="61" spans="2:13" s="4" customFormat="1" ht="13.5" thickBot="1">
      <c r="B61" s="419"/>
      <c r="C61" s="604"/>
      <c r="D61" s="604"/>
      <c r="E61" s="612">
        <f>SUM(E52:E60)</f>
        <v>9263.7199999999993</v>
      </c>
      <c r="F61" s="605"/>
    </row>
    <row r="62" spans="2:13">
      <c r="B62" s="752" t="s">
        <v>104</v>
      </c>
      <c r="C62" s="285" t="s">
        <v>339</v>
      </c>
      <c r="D62" s="285"/>
      <c r="E62" s="613">
        <v>500</v>
      </c>
      <c r="M62" s="5"/>
    </row>
    <row r="63" spans="2:13">
      <c r="B63" s="155" t="s">
        <v>104</v>
      </c>
      <c r="C63" s="597" t="s">
        <v>481</v>
      </c>
      <c r="D63" s="597"/>
      <c r="E63" s="614">
        <v>500</v>
      </c>
      <c r="M63" s="5"/>
    </row>
    <row r="64" spans="2:13">
      <c r="B64" s="155" t="s">
        <v>34</v>
      </c>
      <c r="C64" s="220" t="s">
        <v>48</v>
      </c>
      <c r="D64" s="220"/>
      <c r="E64" s="618">
        <v>950</v>
      </c>
      <c r="M64" s="5"/>
    </row>
    <row r="65" spans="1:13" ht="13.5" thickBot="1">
      <c r="B65" s="208" t="s">
        <v>94</v>
      </c>
      <c r="C65" s="607" t="s">
        <v>95</v>
      </c>
      <c r="D65" s="607"/>
      <c r="E65" s="615">
        <f>3630/4</f>
        <v>907.5</v>
      </c>
      <c r="M65" s="5"/>
    </row>
    <row r="66" spans="1:13" ht="13.5" thickBot="1">
      <c r="B66" s="21"/>
      <c r="C66" s="608" t="s">
        <v>0</v>
      </c>
      <c r="D66" s="608"/>
      <c r="E66" s="616">
        <f>SUM(E61:E65)</f>
        <v>12121.22</v>
      </c>
      <c r="M66" s="5"/>
    </row>
    <row r="67" spans="1:13" ht="12.75" customHeight="1">
      <c r="B67" s="21"/>
      <c r="C67" s="64"/>
      <c r="D67" s="64"/>
      <c r="E67" s="76"/>
      <c r="F67" s="76"/>
      <c r="G67" s="76"/>
      <c r="H67" s="76"/>
      <c r="I67" s="76"/>
      <c r="J67" s="76"/>
      <c r="K67" s="76"/>
      <c r="L67" s="76"/>
      <c r="M67" s="76"/>
    </row>
    <row r="68" spans="1:13" s="600" customFormat="1" ht="6.75" customHeight="1">
      <c r="B68" s="601"/>
      <c r="C68" s="602"/>
      <c r="D68" s="602"/>
      <c r="E68" s="603"/>
      <c r="F68" s="603"/>
      <c r="G68" s="603"/>
      <c r="H68" s="603"/>
      <c r="I68" s="603"/>
      <c r="J68" s="603"/>
      <c r="K68" s="603"/>
      <c r="L68" s="603"/>
      <c r="M68" s="603"/>
    </row>
    <row r="69" spans="1:13" ht="19.5" customHeight="1">
      <c r="A69" s="944"/>
      <c r="B69" s="595" t="s">
        <v>419</v>
      </c>
      <c r="C69" s="621">
        <v>43</v>
      </c>
      <c r="D69" s="621"/>
      <c r="E69" s="76"/>
      <c r="F69" s="76"/>
      <c r="G69" s="76"/>
      <c r="H69" s="76"/>
      <c r="I69" s="76"/>
      <c r="J69" s="76"/>
      <c r="K69" s="76"/>
      <c r="L69" s="76"/>
      <c r="M69" s="5"/>
    </row>
    <row r="70" spans="1:13" ht="19.5" customHeight="1">
      <c r="A70" s="944"/>
      <c r="B70" s="595" t="s">
        <v>420</v>
      </c>
      <c r="C70" s="621">
        <v>34</v>
      </c>
      <c r="D70" s="621"/>
      <c r="E70" s="76"/>
      <c r="F70" s="76"/>
      <c r="G70" s="76"/>
      <c r="H70" s="76"/>
      <c r="I70" s="76"/>
      <c r="J70" s="76"/>
      <c r="K70" s="76"/>
      <c r="L70" s="76"/>
      <c r="M70" s="5"/>
    </row>
    <row r="71" spans="1:13" ht="19.5" customHeight="1">
      <c r="B71" s="595" t="s">
        <v>423</v>
      </c>
      <c r="C71" s="948">
        <v>41206</v>
      </c>
      <c r="D71" s="949"/>
      <c r="E71" s="76"/>
      <c r="F71" s="76"/>
      <c r="G71" s="76"/>
      <c r="H71" s="76"/>
      <c r="I71" s="76"/>
      <c r="J71" s="76"/>
      <c r="K71" s="76"/>
      <c r="L71" s="76"/>
      <c r="M71" s="5"/>
    </row>
    <row r="72" spans="1:13" ht="4.5" customHeight="1">
      <c r="B72" s="2"/>
      <c r="C72" s="147"/>
      <c r="D72" s="147"/>
      <c r="E72" s="945"/>
      <c r="F72" s="946"/>
      <c r="G72" s="3"/>
      <c r="H72" s="4"/>
      <c r="I72" s="4"/>
      <c r="J72" s="4"/>
      <c r="K72" s="4"/>
      <c r="L72" s="34"/>
      <c r="M72" s="4"/>
    </row>
    <row r="73" spans="1:13" s="6" customFormat="1" ht="13.5" thickBot="1">
      <c r="B73" s="596" t="s">
        <v>421</v>
      </c>
      <c r="C73" s="598" t="s">
        <v>1</v>
      </c>
      <c r="D73" s="598"/>
      <c r="E73" s="599" t="s">
        <v>10</v>
      </c>
    </row>
    <row r="74" spans="1:13">
      <c r="B74" s="207" t="s">
        <v>477</v>
      </c>
      <c r="C74" s="145" t="s">
        <v>80</v>
      </c>
      <c r="D74" s="638"/>
      <c r="E74" s="609">
        <v>2299.92</v>
      </c>
      <c r="M74" s="5"/>
    </row>
    <row r="75" spans="1:13">
      <c r="B75" s="742" t="s">
        <v>11</v>
      </c>
      <c r="C75" s="597" t="s">
        <v>78</v>
      </c>
      <c r="D75" s="638"/>
      <c r="E75" s="609">
        <v>937.04</v>
      </c>
      <c r="M75" s="5"/>
    </row>
    <row r="76" spans="1:13">
      <c r="B76" s="103" t="s">
        <v>13</v>
      </c>
      <c r="C76" s="145" t="s">
        <v>76</v>
      </c>
      <c r="D76" s="639"/>
      <c r="E76" s="610">
        <v>873.83</v>
      </c>
      <c r="M76" s="5"/>
    </row>
    <row r="77" spans="1:13">
      <c r="B77" s="103" t="s">
        <v>471</v>
      </c>
      <c r="C77" s="145" t="s">
        <v>472</v>
      </c>
      <c r="D77" s="639"/>
      <c r="E77" s="610">
        <v>792</v>
      </c>
      <c r="M77" s="5"/>
    </row>
    <row r="78" spans="1:13">
      <c r="B78" s="103" t="s">
        <v>479</v>
      </c>
      <c r="C78" s="145" t="s">
        <v>478</v>
      </c>
      <c r="D78" s="639"/>
      <c r="E78" s="610">
        <v>792</v>
      </c>
      <c r="M78" s="5"/>
    </row>
    <row r="79" spans="1:13">
      <c r="B79" s="103" t="s">
        <v>447</v>
      </c>
      <c r="C79" s="145" t="s">
        <v>448</v>
      </c>
      <c r="D79" s="639"/>
      <c r="E79" s="610">
        <v>1183.6400000000001</v>
      </c>
      <c r="F79" s="415"/>
      <c r="M79" s="5"/>
    </row>
    <row r="80" spans="1:13">
      <c r="B80" s="103" t="s">
        <v>53</v>
      </c>
      <c r="C80" s="716" t="s">
        <v>77</v>
      </c>
      <c r="D80" s="640"/>
      <c r="E80" s="610">
        <v>1165.32</v>
      </c>
      <c r="F80" s="415"/>
      <c r="M80" s="5"/>
    </row>
    <row r="81" spans="1:13">
      <c r="B81" s="753" t="s">
        <v>208</v>
      </c>
      <c r="C81" s="754" t="s">
        <v>215</v>
      </c>
      <c r="D81" s="755"/>
      <c r="E81" s="756">
        <v>592</v>
      </c>
      <c r="F81" s="415"/>
      <c r="M81" s="5"/>
    </row>
    <row r="82" spans="1:13" ht="13.5" thickBot="1">
      <c r="B82" s="606" t="s">
        <v>104</v>
      </c>
      <c r="C82" s="745" t="s">
        <v>424</v>
      </c>
      <c r="D82" s="757"/>
      <c r="E82" s="611">
        <v>689.74</v>
      </c>
      <c r="M82" s="5"/>
    </row>
    <row r="83" spans="1:13" s="4" customFormat="1" ht="13.5" thickBot="1">
      <c r="B83" s="419"/>
      <c r="C83" s="604"/>
      <c r="D83" s="604"/>
      <c r="E83" s="612">
        <f>SUM(E74:E82)</f>
        <v>9325.49</v>
      </c>
      <c r="F83" s="605"/>
    </row>
    <row r="84" spans="1:13">
      <c r="B84" s="752" t="s">
        <v>104</v>
      </c>
      <c r="C84" s="285" t="s">
        <v>339</v>
      </c>
      <c r="D84" s="285"/>
      <c r="E84" s="613">
        <v>500</v>
      </c>
      <c r="M84" s="5"/>
    </row>
    <row r="85" spans="1:13">
      <c r="B85" s="155" t="s">
        <v>104</v>
      </c>
      <c r="C85" s="597" t="s">
        <v>481</v>
      </c>
      <c r="D85" s="597"/>
      <c r="E85" s="614">
        <v>500</v>
      </c>
      <c r="M85" s="5"/>
    </row>
    <row r="86" spans="1:13">
      <c r="B86" s="155" t="s">
        <v>34</v>
      </c>
      <c r="C86" s="220" t="s">
        <v>48</v>
      </c>
      <c r="D86" s="220"/>
      <c r="E86" s="618">
        <v>950</v>
      </c>
      <c r="M86" s="5"/>
    </row>
    <row r="87" spans="1:13" ht="13.5" thickBot="1">
      <c r="B87" s="208" t="s">
        <v>94</v>
      </c>
      <c r="C87" s="607" t="s">
        <v>95</v>
      </c>
      <c r="D87" s="607"/>
      <c r="E87" s="615">
        <f>3630/4</f>
        <v>907.5</v>
      </c>
      <c r="M87" s="5"/>
    </row>
    <row r="88" spans="1:13" ht="13.5" thickBot="1">
      <c r="B88" s="21"/>
      <c r="C88" s="608" t="s">
        <v>0</v>
      </c>
      <c r="D88" s="608"/>
      <c r="E88" s="616">
        <f>SUM(E83:E87)</f>
        <v>12182.99</v>
      </c>
      <c r="M88" s="5"/>
    </row>
    <row r="89" spans="1:13" ht="12.75" customHeight="1">
      <c r="B89" s="21"/>
      <c r="C89" s="64"/>
      <c r="D89" s="64"/>
      <c r="E89" s="76"/>
      <c r="F89" s="76"/>
      <c r="G89" s="76"/>
      <c r="H89" s="76"/>
      <c r="I89" s="76"/>
      <c r="J89" s="76"/>
      <c r="K89" s="76"/>
      <c r="L89" s="76"/>
      <c r="M89" s="76"/>
    </row>
    <row r="90" spans="1:13" s="600" customFormat="1" ht="6.75" customHeight="1">
      <c r="B90" s="601"/>
      <c r="C90" s="602"/>
      <c r="D90" s="602"/>
      <c r="E90" s="603"/>
      <c r="F90" s="603"/>
      <c r="G90" s="603"/>
      <c r="H90" s="603"/>
      <c r="I90" s="603"/>
      <c r="J90" s="603"/>
      <c r="K90" s="603"/>
      <c r="L90" s="603"/>
      <c r="M90" s="603"/>
    </row>
    <row r="91" spans="1:13" ht="19.5" customHeight="1">
      <c r="A91" s="944"/>
      <c r="B91" s="595" t="s">
        <v>419</v>
      </c>
      <c r="C91" s="621">
        <v>44</v>
      </c>
      <c r="D91" s="621"/>
      <c r="E91" s="76"/>
      <c r="F91" s="76"/>
      <c r="G91" s="76"/>
      <c r="H91" s="76"/>
      <c r="I91" s="76"/>
      <c r="J91" s="76"/>
      <c r="K91" s="76"/>
      <c r="L91" s="76"/>
      <c r="M91" s="5"/>
    </row>
    <row r="92" spans="1:13" ht="19.5" customHeight="1">
      <c r="A92" s="944"/>
      <c r="B92" s="595" t="s">
        <v>420</v>
      </c>
      <c r="C92" s="621">
        <v>35</v>
      </c>
      <c r="D92" s="621"/>
      <c r="E92" s="76"/>
      <c r="F92" s="76"/>
      <c r="G92" s="76"/>
      <c r="H92" s="76"/>
      <c r="I92" s="76"/>
      <c r="J92" s="76"/>
      <c r="K92" s="76"/>
      <c r="L92" s="76"/>
      <c r="M92" s="5"/>
    </row>
    <row r="93" spans="1:13" ht="19.5" customHeight="1">
      <c r="B93" s="595" t="s">
        <v>423</v>
      </c>
      <c r="C93" s="948">
        <v>41213</v>
      </c>
      <c r="D93" s="949"/>
      <c r="E93" s="76"/>
      <c r="F93" s="76"/>
      <c r="G93" s="76"/>
      <c r="H93" s="76"/>
      <c r="I93" s="76"/>
      <c r="J93" s="76"/>
      <c r="K93" s="76"/>
      <c r="L93" s="76"/>
      <c r="M93" s="5"/>
    </row>
    <row r="94" spans="1:13" ht="4.5" customHeight="1">
      <c r="B94" s="2"/>
      <c r="C94" s="147"/>
      <c r="D94" s="147"/>
      <c r="E94" s="945"/>
      <c r="F94" s="946"/>
      <c r="G94" s="3"/>
      <c r="H94" s="4"/>
      <c r="I94" s="4"/>
      <c r="J94" s="4"/>
      <c r="K94" s="4"/>
      <c r="L94" s="34"/>
      <c r="M94" s="4"/>
    </row>
    <row r="95" spans="1:13" s="6" customFormat="1" ht="13.5" thickBot="1">
      <c r="B95" s="596" t="s">
        <v>421</v>
      </c>
      <c r="C95" s="598" t="s">
        <v>1</v>
      </c>
      <c r="D95" s="598"/>
      <c r="E95" s="599" t="s">
        <v>10</v>
      </c>
    </row>
    <row r="96" spans="1:13">
      <c r="B96" s="207" t="s">
        <v>477</v>
      </c>
      <c r="C96" s="145" t="s">
        <v>80</v>
      </c>
      <c r="D96" s="638"/>
      <c r="E96" s="609">
        <v>2959.14</v>
      </c>
      <c r="F96" s="684"/>
      <c r="M96" s="5"/>
    </row>
    <row r="97" spans="1:13">
      <c r="B97" s="742" t="s">
        <v>11</v>
      </c>
      <c r="C97" s="597" t="s">
        <v>78</v>
      </c>
      <c r="D97" s="638"/>
      <c r="E97" s="609">
        <v>937.04</v>
      </c>
      <c r="M97" s="5"/>
    </row>
    <row r="98" spans="1:13">
      <c r="B98" s="103" t="s">
        <v>13</v>
      </c>
      <c r="C98" s="145" t="s">
        <v>76</v>
      </c>
      <c r="D98" s="639"/>
      <c r="E98" s="610">
        <v>873.83</v>
      </c>
      <c r="M98" s="5"/>
    </row>
    <row r="99" spans="1:13">
      <c r="B99" s="103" t="s">
        <v>471</v>
      </c>
      <c r="C99" s="145" t="s">
        <v>472</v>
      </c>
      <c r="D99" s="639"/>
      <c r="E99" s="610">
        <v>1029.5999999999999</v>
      </c>
      <c r="M99" s="5"/>
    </row>
    <row r="100" spans="1:13">
      <c r="B100" s="103" t="s">
        <v>479</v>
      </c>
      <c r="C100" s="145" t="s">
        <v>478</v>
      </c>
      <c r="D100" s="639"/>
      <c r="E100" s="610">
        <v>792</v>
      </c>
      <c r="M100" s="5"/>
    </row>
    <row r="101" spans="1:13">
      <c r="B101" s="103" t="s">
        <v>447</v>
      </c>
      <c r="C101" s="145" t="s">
        <v>448</v>
      </c>
      <c r="D101" s="639"/>
      <c r="E101" s="610">
        <v>1183.57</v>
      </c>
      <c r="F101" s="415"/>
      <c r="M101" s="5"/>
    </row>
    <row r="102" spans="1:13">
      <c r="B102" s="103" t="s">
        <v>53</v>
      </c>
      <c r="C102" s="716" t="s">
        <v>77</v>
      </c>
      <c r="D102" s="640"/>
      <c r="E102" s="610">
        <v>1265.3900000000001</v>
      </c>
      <c r="F102" s="415"/>
      <c r="M102" s="5"/>
    </row>
    <row r="103" spans="1:13">
      <c r="B103" s="753" t="s">
        <v>208</v>
      </c>
      <c r="C103" s="754" t="s">
        <v>215</v>
      </c>
      <c r="D103" s="755"/>
      <c r="E103" s="756">
        <v>592</v>
      </c>
      <c r="F103" s="415"/>
      <c r="M103" s="5"/>
    </row>
    <row r="104" spans="1:13" ht="13.5" thickBot="1">
      <c r="B104" s="606" t="s">
        <v>104</v>
      </c>
      <c r="C104" s="745" t="s">
        <v>424</v>
      </c>
      <c r="D104" s="757"/>
      <c r="E104" s="611">
        <v>689.74</v>
      </c>
      <c r="M104" s="5"/>
    </row>
    <row r="105" spans="1:13" s="4" customFormat="1" ht="13.5" thickBot="1">
      <c r="B105" s="419"/>
      <c r="C105" s="604"/>
      <c r="D105" s="604"/>
      <c r="E105" s="612">
        <f>SUM(E96:E104)</f>
        <v>10322.31</v>
      </c>
      <c r="F105" s="605"/>
    </row>
    <row r="106" spans="1:13">
      <c r="B106" s="752" t="s">
        <v>104</v>
      </c>
      <c r="C106" s="285" t="s">
        <v>339</v>
      </c>
      <c r="D106" s="285"/>
      <c r="E106" s="613">
        <v>500</v>
      </c>
      <c r="M106" s="5"/>
    </row>
    <row r="107" spans="1:13">
      <c r="B107" s="155" t="s">
        <v>104</v>
      </c>
      <c r="C107" s="597" t="s">
        <v>481</v>
      </c>
      <c r="D107" s="597"/>
      <c r="E107" s="614">
        <v>500</v>
      </c>
      <c r="M107" s="5"/>
    </row>
    <row r="108" spans="1:13">
      <c r="B108" s="199" t="s">
        <v>142</v>
      </c>
      <c r="C108" s="148" t="s">
        <v>426</v>
      </c>
      <c r="D108" s="148"/>
      <c r="E108" s="614">
        <v>150</v>
      </c>
      <c r="M108" s="5"/>
    </row>
    <row r="109" spans="1:13" ht="13.5" thickBot="1">
      <c r="B109" s="208" t="s">
        <v>156</v>
      </c>
      <c r="C109" s="144" t="s">
        <v>427</v>
      </c>
      <c r="D109" s="144"/>
      <c r="E109" s="615">
        <v>100</v>
      </c>
      <c r="M109" s="5"/>
    </row>
    <row r="110" spans="1:13" ht="13.5" thickBot="1">
      <c r="B110" s="21"/>
      <c r="C110" s="608" t="s">
        <v>0</v>
      </c>
      <c r="D110" s="608"/>
      <c r="E110" s="616">
        <f>SUM(E105:E109)</f>
        <v>11572.31</v>
      </c>
      <c r="M110" s="5"/>
    </row>
    <row r="111" spans="1:13" ht="12.75" customHeight="1">
      <c r="B111" s="21"/>
      <c r="C111" s="64"/>
      <c r="D111" s="64"/>
      <c r="E111" s="76"/>
      <c r="F111" s="76"/>
      <c r="G111" s="76"/>
      <c r="H111" s="76"/>
      <c r="I111" s="76"/>
      <c r="J111" s="76"/>
      <c r="K111" s="76"/>
      <c r="L111" s="76"/>
      <c r="M111" s="76"/>
    </row>
    <row r="112" spans="1:13" s="7" customFormat="1" ht="13.15" hidden="1" customHeight="1">
      <c r="A112" s="122" t="s">
        <v>56</v>
      </c>
      <c r="B112" s="123" t="s">
        <v>57</v>
      </c>
      <c r="C112" s="123"/>
      <c r="D112" s="619">
        <f>Nikki!E582</f>
        <v>8502.7000000000007</v>
      </c>
      <c r="E112" s="619"/>
      <c r="F112" s="122"/>
      <c r="G112" s="123" t="s">
        <v>146</v>
      </c>
      <c r="H112" s="619">
        <v>2500</v>
      </c>
      <c r="I112" s="619"/>
      <c r="J112" s="624"/>
      <c r="K112" s="624"/>
      <c r="L112" s="624"/>
      <c r="M112" s="624"/>
    </row>
    <row r="113" spans="1:13" s="7" customFormat="1" ht="13.15" hidden="1" customHeight="1">
      <c r="A113" s="122" t="s">
        <v>58</v>
      </c>
      <c r="B113" s="123" t="s">
        <v>172</v>
      </c>
      <c r="C113" s="123"/>
      <c r="D113" s="619" t="e">
        <f>Nikki!#REF!</f>
        <v>#REF!</v>
      </c>
      <c r="E113" s="619"/>
      <c r="F113" s="122" t="s">
        <v>68</v>
      </c>
      <c r="G113" s="123" t="s">
        <v>69</v>
      </c>
      <c r="H113" s="619">
        <v>1200</v>
      </c>
      <c r="I113" s="624"/>
      <c r="J113" s="624"/>
      <c r="K113" s="624"/>
      <c r="L113" s="624"/>
      <c r="M113" s="624"/>
    </row>
    <row r="114" spans="1:13" s="7" customFormat="1" ht="13.15" hidden="1" customHeight="1">
      <c r="A114" s="122" t="s">
        <v>56</v>
      </c>
      <c r="B114" s="123" t="s">
        <v>462</v>
      </c>
      <c r="C114" s="123"/>
      <c r="D114" s="619">
        <v>250</v>
      </c>
      <c r="E114" s="619"/>
      <c r="F114" s="122" t="s">
        <v>68</v>
      </c>
      <c r="G114" s="123" t="s">
        <v>147</v>
      </c>
      <c r="H114" s="619">
        <f>120000*15%/12</f>
        <v>1500</v>
      </c>
      <c r="I114" s="624"/>
      <c r="J114" s="624"/>
      <c r="K114" s="624"/>
      <c r="L114" s="624"/>
      <c r="M114" s="624"/>
    </row>
    <row r="115" spans="1:13" s="7" customFormat="1" ht="13.15" hidden="1" customHeight="1">
      <c r="A115" s="122" t="s">
        <v>59</v>
      </c>
      <c r="B115" s="123" t="s">
        <v>60</v>
      </c>
      <c r="C115" s="123"/>
      <c r="D115" s="619">
        <v>2500</v>
      </c>
      <c r="E115" s="619"/>
      <c r="F115" s="122" t="s">
        <v>81</v>
      </c>
      <c r="G115" s="123" t="s">
        <v>69</v>
      </c>
      <c r="H115" s="619">
        <v>1800</v>
      </c>
      <c r="I115" s="778"/>
      <c r="J115" s="625"/>
    </row>
    <row r="116" spans="1:13" s="7" customFormat="1" ht="13.15" hidden="1" customHeight="1">
      <c r="A116" s="122" t="s">
        <v>59</v>
      </c>
      <c r="B116" s="123" t="s">
        <v>61</v>
      </c>
      <c r="C116" s="123"/>
      <c r="D116" s="619">
        <v>268</v>
      </c>
      <c r="E116" s="619"/>
      <c r="F116" s="122" t="s">
        <v>58</v>
      </c>
      <c r="G116" s="123" t="s">
        <v>148</v>
      </c>
      <c r="H116" s="619">
        <v>1012</v>
      </c>
      <c r="I116" s="778"/>
      <c r="J116" s="625"/>
    </row>
    <row r="117" spans="1:13" s="7" customFormat="1" ht="13.15" hidden="1" customHeight="1">
      <c r="A117" s="122" t="s">
        <v>62</v>
      </c>
      <c r="B117" s="123" t="s">
        <v>63</v>
      </c>
      <c r="C117" s="123"/>
      <c r="D117" s="619">
        <v>601.12</v>
      </c>
      <c r="E117" s="619"/>
      <c r="F117" s="122" t="s">
        <v>272</v>
      </c>
      <c r="G117" s="123" t="s">
        <v>274</v>
      </c>
      <c r="H117" s="619">
        <v>500</v>
      </c>
      <c r="I117" s="778"/>
      <c r="J117" s="625"/>
    </row>
    <row r="118" spans="1:13" s="7" customFormat="1" ht="13.15" hidden="1" customHeight="1">
      <c r="A118" s="122" t="s">
        <v>62</v>
      </c>
      <c r="B118" s="123" t="s">
        <v>64</v>
      </c>
      <c r="C118" s="123"/>
      <c r="D118" s="619">
        <v>383.94</v>
      </c>
      <c r="E118" s="619"/>
      <c r="F118" s="122" t="s">
        <v>273</v>
      </c>
      <c r="G118" s="123" t="s">
        <v>275</v>
      </c>
      <c r="H118" s="619">
        <v>500</v>
      </c>
      <c r="I118" s="214"/>
      <c r="J118" s="625"/>
    </row>
    <row r="119" spans="1:13" s="7" customFormat="1" ht="13.15" hidden="1" customHeight="1">
      <c r="A119" s="122" t="s">
        <v>62</v>
      </c>
      <c r="B119" s="123" t="s">
        <v>101</v>
      </c>
      <c r="C119" s="123"/>
      <c r="D119" s="619">
        <v>550</v>
      </c>
      <c r="E119" s="619"/>
      <c r="F119" s="122" t="s">
        <v>59</v>
      </c>
      <c r="G119" s="123" t="s">
        <v>82</v>
      </c>
      <c r="H119" s="619">
        <v>11000</v>
      </c>
      <c r="I119" s="778"/>
      <c r="J119" s="625"/>
    </row>
    <row r="120" spans="1:13" s="7" customFormat="1" ht="13.15" hidden="1" customHeight="1" thickBot="1">
      <c r="A120" s="122" t="s">
        <v>66</v>
      </c>
      <c r="B120" s="123" t="s">
        <v>67</v>
      </c>
      <c r="C120" s="619"/>
      <c r="D120" s="619">
        <v>8000</v>
      </c>
      <c r="E120" s="619"/>
      <c r="F120" s="223" t="s">
        <v>102</v>
      </c>
      <c r="G120" s="123" t="s">
        <v>83</v>
      </c>
      <c r="H120" s="620">
        <v>11000</v>
      </c>
      <c r="I120" s="778"/>
      <c r="J120" s="625"/>
    </row>
    <row r="121" spans="1:13" s="7" customFormat="1" ht="13.15" hidden="1" customHeight="1" thickTop="1" thickBot="1">
      <c r="A121" s="122" t="s">
        <v>65</v>
      </c>
      <c r="B121" s="123" t="s">
        <v>228</v>
      </c>
      <c r="C121" s="619"/>
      <c r="D121" s="619">
        <v>1000</v>
      </c>
      <c r="E121" s="619"/>
      <c r="F121" s="130"/>
      <c r="G121" s="123"/>
      <c r="H121" s="778" t="e">
        <f>SUM(H112:H120)+SUM(D112:D121)</f>
        <v>#REF!</v>
      </c>
      <c r="I121" s="778"/>
      <c r="J121" s="625"/>
    </row>
    <row r="122" spans="1:13" s="7" customFormat="1" ht="13.15" hidden="1" customHeight="1" thickBot="1">
      <c r="B122" s="122"/>
      <c r="C122" s="123"/>
      <c r="D122" s="123"/>
      <c r="E122" s="619"/>
      <c r="F122" s="130"/>
      <c r="G122" s="642" t="s">
        <v>17</v>
      </c>
      <c r="H122" s="643" t="e">
        <f>H121+E110</f>
        <v>#REF!</v>
      </c>
      <c r="I122" s="778"/>
      <c r="J122" s="625"/>
    </row>
    <row r="123" spans="1:13" s="7" customFormat="1" ht="13.15" customHeight="1">
      <c r="B123" s="122"/>
      <c r="C123" s="123"/>
      <c r="D123" s="123"/>
      <c r="E123" s="619"/>
      <c r="F123" s="124"/>
      <c r="G123" s="123"/>
      <c r="H123" s="778"/>
      <c r="I123" s="778"/>
      <c r="J123" s="625"/>
    </row>
    <row r="124" spans="1:13" s="7" customFormat="1" ht="13.15" customHeight="1">
      <c r="B124" s="122"/>
      <c r="C124" s="123"/>
      <c r="D124" s="123"/>
      <c r="E124" s="619"/>
      <c r="F124" s="130"/>
      <c r="G124" s="123"/>
      <c r="H124" s="778"/>
      <c r="I124" s="778"/>
      <c r="J124" s="625"/>
    </row>
    <row r="125" spans="1:13" s="7" customFormat="1" ht="13.15" customHeight="1">
      <c r="B125" s="122"/>
      <c r="C125" s="123"/>
      <c r="D125" s="123"/>
      <c r="E125" s="619"/>
      <c r="F125" s="130"/>
      <c r="G125" s="642"/>
      <c r="H125" s="686"/>
      <c r="I125" s="778"/>
      <c r="J125" s="625"/>
    </row>
    <row r="126" spans="1:13" s="7" customFormat="1" ht="13.15" customHeight="1">
      <c r="B126" s="122"/>
      <c r="C126" s="123"/>
      <c r="D126" s="123"/>
      <c r="E126" s="619"/>
      <c r="F126" s="124"/>
      <c r="G126" s="123"/>
      <c r="H126" s="778"/>
      <c r="I126" s="778"/>
      <c r="J126" s="625"/>
    </row>
    <row r="127" spans="1:13" s="7" customFormat="1" ht="13.15" customHeight="1">
      <c r="B127" s="122"/>
      <c r="C127" s="123"/>
      <c r="D127" s="15"/>
      <c r="E127" s="619"/>
      <c r="F127" s="15"/>
      <c r="G127" s="15"/>
      <c r="H127" s="15"/>
      <c r="I127" s="778"/>
      <c r="J127" s="625"/>
    </row>
    <row r="128" spans="1:13" s="7" customFormat="1" ht="13.15" customHeight="1">
      <c r="B128" s="122"/>
      <c r="C128" s="123"/>
      <c r="D128" s="14"/>
      <c r="E128" s="15"/>
      <c r="F128" s="15"/>
      <c r="G128" s="15"/>
      <c r="H128" s="15"/>
      <c r="I128" s="778"/>
      <c r="J128" s="625"/>
    </row>
    <row r="129" spans="2:13" s="7" customFormat="1" ht="13.15" customHeight="1">
      <c r="B129" s="122"/>
      <c r="C129" s="123"/>
      <c r="D129" s="14"/>
      <c r="E129" s="15"/>
      <c r="F129" s="15"/>
      <c r="G129" s="15"/>
      <c r="H129" s="15"/>
      <c r="I129" s="778"/>
      <c r="J129" s="625"/>
    </row>
    <row r="130" spans="2:13" s="15" customFormat="1" ht="12">
      <c r="B130" s="17"/>
      <c r="D130" s="14"/>
      <c r="M130" s="17"/>
    </row>
    <row r="131" spans="2:13" s="15" customFormat="1" ht="12">
      <c r="B131" s="17"/>
      <c r="C131" s="14"/>
      <c r="D131" s="14"/>
      <c r="M131" s="17"/>
    </row>
    <row r="132" spans="2:13" s="15" customFormat="1" ht="12">
      <c r="B132" s="17"/>
      <c r="C132" s="14"/>
      <c r="D132" s="14"/>
      <c r="M132" s="17"/>
    </row>
    <row r="133" spans="2:13" s="15" customFormat="1" ht="12">
      <c r="B133" s="17"/>
      <c r="C133" s="14"/>
      <c r="D133" s="14"/>
      <c r="M133" s="17"/>
    </row>
    <row r="134" spans="2:13" s="15" customFormat="1" ht="12">
      <c r="B134" s="17"/>
      <c r="C134" s="14"/>
      <c r="M134" s="17"/>
    </row>
    <row r="135" spans="2:13" s="15" customFormat="1" ht="12">
      <c r="B135" s="17"/>
      <c r="C135" s="14"/>
      <c r="M135" s="17"/>
    </row>
    <row r="136" spans="2:13" s="15" customFormat="1" ht="12">
      <c r="B136" s="17"/>
      <c r="C136" s="14"/>
      <c r="M136" s="17"/>
    </row>
    <row r="137" spans="2:13" s="15" customFormat="1" ht="12">
      <c r="B137" s="17"/>
      <c r="M137" s="17"/>
    </row>
    <row r="138" spans="2:13" s="15" customFormat="1" ht="12">
      <c r="B138" s="17"/>
      <c r="M138" s="17"/>
    </row>
    <row r="139" spans="2:13" s="15" customFormat="1" ht="12">
      <c r="B139" s="17"/>
      <c r="M139" s="17"/>
    </row>
    <row r="140" spans="2:13" s="15" customFormat="1">
      <c r="B140" s="17"/>
      <c r="D140" s="5"/>
      <c r="F140" s="5"/>
      <c r="G140" s="5"/>
      <c r="H140" s="5"/>
      <c r="M140" s="17"/>
    </row>
    <row r="141" spans="2:13" s="15" customFormat="1">
      <c r="B141" s="17"/>
      <c r="D141" s="5"/>
      <c r="E141" s="5"/>
      <c r="F141" s="5"/>
      <c r="G141" s="5"/>
      <c r="H141" s="5"/>
      <c r="M141" s="17"/>
    </row>
    <row r="142" spans="2:13" s="15" customFormat="1">
      <c r="B142" s="17"/>
      <c r="D142" s="5"/>
      <c r="E142" s="5"/>
      <c r="F142" s="5"/>
      <c r="G142" s="5"/>
      <c r="H142" s="5"/>
      <c r="M142" s="17"/>
    </row>
    <row r="143" spans="2:13" s="15" customFormat="1">
      <c r="B143" s="2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17"/>
    </row>
    <row r="144" spans="2:13" s="15" customFormat="1">
      <c r="B144" s="2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17"/>
    </row>
    <row r="145" spans="2:13" s="15" customFormat="1">
      <c r="B145" s="2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7"/>
    </row>
    <row r="146" spans="2:13" s="15" customFormat="1">
      <c r="B146" s="2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7"/>
    </row>
  </sheetData>
  <mergeCells count="16">
    <mergeCell ref="E94:F94"/>
    <mergeCell ref="A69:A70"/>
    <mergeCell ref="C71:D71"/>
    <mergeCell ref="E72:F72"/>
    <mergeCell ref="E28:F28"/>
    <mergeCell ref="A47:A48"/>
    <mergeCell ref="C49:D49"/>
    <mergeCell ref="E50:F50"/>
    <mergeCell ref="A91:A92"/>
    <mergeCell ref="C93:D93"/>
    <mergeCell ref="C27:D27"/>
    <mergeCell ref="A1:H1"/>
    <mergeCell ref="A3:A4"/>
    <mergeCell ref="C5:D5"/>
    <mergeCell ref="E6:F6"/>
    <mergeCell ref="A25:A26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topLeftCell="A67" workbookViewId="0">
      <selection activeCell="H74" sqref="H74"/>
    </sheetView>
  </sheetViews>
  <sheetFormatPr defaultColWidth="8.85546875" defaultRowHeight="12.75"/>
  <cols>
    <col min="1" max="1" width="8.5703125" style="5" customWidth="1"/>
    <col min="2" max="2" width="12" style="24" customWidth="1"/>
    <col min="3" max="3" width="10.5703125" style="5" customWidth="1"/>
    <col min="4" max="4" width="10.85546875" style="5" customWidth="1"/>
    <col min="5" max="5" width="10.5703125" style="5" customWidth="1"/>
    <col min="6" max="6" width="7.42578125" style="5" customWidth="1"/>
    <col min="7" max="7" width="23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7" customWidth="1"/>
    <col min="14" max="14" width="10.42578125" style="5" customWidth="1"/>
    <col min="15" max="16384" width="8.85546875" style="5"/>
  </cols>
  <sheetData>
    <row r="1" spans="1:13" s="1" customFormat="1" ht="24" customHeight="1">
      <c r="A1" s="947" t="s">
        <v>503</v>
      </c>
      <c r="B1" s="947"/>
      <c r="C1" s="947"/>
      <c r="D1" s="947"/>
      <c r="E1" s="947"/>
      <c r="F1" s="947"/>
      <c r="G1" s="947"/>
      <c r="H1" s="947"/>
      <c r="I1" s="659"/>
      <c r="J1" s="659"/>
      <c r="K1" s="659"/>
      <c r="L1" s="659"/>
      <c r="M1" s="659"/>
    </row>
    <row r="2" spans="1:13" s="1" customFormat="1" ht="6.75" customHeight="1">
      <c r="A2" s="600"/>
      <c r="B2" s="601"/>
      <c r="C2" s="602"/>
      <c r="D2" s="602"/>
      <c r="E2" s="603"/>
      <c r="F2" s="603"/>
      <c r="G2" s="603"/>
      <c r="H2" s="799"/>
      <c r="I2" s="799"/>
      <c r="J2" s="799"/>
      <c r="K2" s="799"/>
      <c r="L2" s="799"/>
      <c r="M2" s="799"/>
    </row>
    <row r="3" spans="1:13" ht="19.5" customHeight="1">
      <c r="A3" s="944"/>
      <c r="B3" s="595" t="s">
        <v>419</v>
      </c>
      <c r="C3" s="621">
        <v>45</v>
      </c>
      <c r="D3" s="621"/>
      <c r="E3" s="76"/>
      <c r="F3" s="76"/>
      <c r="G3" s="76"/>
      <c r="H3" s="76"/>
      <c r="I3" s="76"/>
      <c r="J3" s="76"/>
      <c r="K3" s="76"/>
      <c r="L3" s="76"/>
      <c r="M3" s="5"/>
    </row>
    <row r="4" spans="1:13" ht="19.5" customHeight="1">
      <c r="A4" s="944"/>
      <c r="B4" s="595" t="s">
        <v>420</v>
      </c>
      <c r="C4" s="621">
        <v>36</v>
      </c>
      <c r="D4" s="621"/>
      <c r="E4" s="76"/>
      <c r="F4" s="76"/>
      <c r="G4" s="76"/>
      <c r="H4" s="76"/>
      <c r="I4" s="76"/>
      <c r="J4" s="76"/>
      <c r="K4" s="76"/>
      <c r="L4" s="76"/>
      <c r="M4" s="5"/>
    </row>
    <row r="5" spans="1:13" ht="19.5" customHeight="1">
      <c r="B5" s="595" t="s">
        <v>423</v>
      </c>
      <c r="C5" s="948">
        <v>41220</v>
      </c>
      <c r="D5" s="948"/>
      <c r="E5" s="76"/>
      <c r="F5" s="76"/>
      <c r="G5" s="76"/>
      <c r="H5" s="76"/>
      <c r="I5" s="76"/>
      <c r="J5" s="76"/>
      <c r="K5" s="76"/>
      <c r="L5" s="76"/>
      <c r="M5" s="5"/>
    </row>
    <row r="6" spans="1:13" ht="4.5" customHeight="1">
      <c r="B6" s="2"/>
      <c r="C6" s="147"/>
      <c r="D6" s="147"/>
      <c r="E6" s="945"/>
      <c r="F6" s="946"/>
      <c r="G6" s="3"/>
      <c r="H6" s="4"/>
      <c r="I6" s="4"/>
      <c r="J6" s="4"/>
      <c r="K6" s="4"/>
      <c r="L6" s="34"/>
      <c r="M6" s="4"/>
    </row>
    <row r="7" spans="1:13" s="6" customFormat="1" ht="13.5" thickBot="1">
      <c r="B7" s="596" t="s">
        <v>421</v>
      </c>
      <c r="C7" s="598" t="s">
        <v>1</v>
      </c>
      <c r="D7" s="598"/>
      <c r="E7" s="599" t="s">
        <v>10</v>
      </c>
      <c r="G7" s="660"/>
    </row>
    <row r="8" spans="1:13">
      <c r="B8" s="207" t="s">
        <v>477</v>
      </c>
      <c r="C8" s="145" t="s">
        <v>80</v>
      </c>
      <c r="D8" s="638"/>
      <c r="E8" s="609">
        <v>2144.73</v>
      </c>
      <c r="M8" s="5"/>
    </row>
    <row r="9" spans="1:13">
      <c r="B9" s="742" t="s">
        <v>11</v>
      </c>
      <c r="C9" s="597" t="s">
        <v>78</v>
      </c>
      <c r="D9" s="638"/>
      <c r="E9" s="609">
        <v>937.04</v>
      </c>
      <c r="M9" s="5"/>
    </row>
    <row r="10" spans="1:13">
      <c r="B10" s="103" t="s">
        <v>13</v>
      </c>
      <c r="C10" s="145" t="s">
        <v>76</v>
      </c>
      <c r="D10" s="639"/>
      <c r="E10" s="610">
        <v>873.83</v>
      </c>
      <c r="M10" s="5"/>
    </row>
    <row r="11" spans="1:13">
      <c r="B11" s="103" t="s">
        <v>471</v>
      </c>
      <c r="C11" s="145" t="s">
        <v>472</v>
      </c>
      <c r="D11" s="639"/>
      <c r="E11" s="610">
        <v>792</v>
      </c>
      <c r="M11" s="5"/>
    </row>
    <row r="12" spans="1:13">
      <c r="B12" s="103" t="s">
        <v>479</v>
      </c>
      <c r="C12" s="145" t="s">
        <v>478</v>
      </c>
      <c r="D12" s="639"/>
      <c r="E12" s="610">
        <v>792</v>
      </c>
      <c r="M12" s="5"/>
    </row>
    <row r="13" spans="1:13">
      <c r="B13" s="103" t="s">
        <v>447</v>
      </c>
      <c r="C13" s="145" t="s">
        <v>448</v>
      </c>
      <c r="D13" s="639"/>
      <c r="E13" s="610">
        <v>1183.6310000000001</v>
      </c>
      <c r="F13" s="415"/>
      <c r="M13" s="5"/>
    </row>
    <row r="14" spans="1:13">
      <c r="B14" s="103" t="s">
        <v>53</v>
      </c>
      <c r="C14" s="716" t="s">
        <v>77</v>
      </c>
      <c r="D14" s="640"/>
      <c r="E14" s="610">
        <v>1065.3499999999999</v>
      </c>
      <c r="F14" s="415"/>
      <c r="M14" s="5"/>
    </row>
    <row r="15" spans="1:13">
      <c r="B15" s="753" t="s">
        <v>208</v>
      </c>
      <c r="C15" s="754" t="s">
        <v>215</v>
      </c>
      <c r="D15" s="755"/>
      <c r="E15" s="756">
        <v>829.6</v>
      </c>
      <c r="F15" s="415"/>
      <c r="M15" s="5"/>
    </row>
    <row r="16" spans="1:13" ht="13.5" thickBot="1">
      <c r="B16" s="606" t="s">
        <v>104</v>
      </c>
      <c r="C16" s="745" t="s">
        <v>424</v>
      </c>
      <c r="D16" s="757"/>
      <c r="E16" s="611">
        <v>689.74</v>
      </c>
      <c r="M16" s="5"/>
    </row>
    <row r="17" spans="1:13" s="4" customFormat="1" ht="13.5" thickBot="1">
      <c r="B17" s="419"/>
      <c r="C17" s="604"/>
      <c r="D17" s="604"/>
      <c r="E17" s="612">
        <f>SUM(E8:E16)</f>
        <v>9307.9210000000003</v>
      </c>
      <c r="F17" s="605"/>
    </row>
    <row r="18" spans="1:13">
      <c r="B18" s="752" t="s">
        <v>104</v>
      </c>
      <c r="C18" s="285" t="s">
        <v>339</v>
      </c>
      <c r="D18" s="285"/>
      <c r="E18" s="613">
        <v>500</v>
      </c>
      <c r="M18" s="5"/>
    </row>
    <row r="19" spans="1:13">
      <c r="B19" s="155" t="s">
        <v>104</v>
      </c>
      <c r="C19" s="597" t="s">
        <v>481</v>
      </c>
      <c r="D19" s="597"/>
      <c r="E19" s="614">
        <v>400</v>
      </c>
      <c r="M19" s="5"/>
    </row>
    <row r="20" spans="1:13">
      <c r="B20" s="155" t="s">
        <v>34</v>
      </c>
      <c r="C20" s="220" t="s">
        <v>48</v>
      </c>
      <c r="D20" s="220"/>
      <c r="E20" s="618">
        <v>950</v>
      </c>
      <c r="M20" s="5"/>
    </row>
    <row r="21" spans="1:13" ht="13.5" thickBot="1">
      <c r="B21" s="208" t="s">
        <v>94</v>
      </c>
      <c r="C21" s="607" t="s">
        <v>95</v>
      </c>
      <c r="D21" s="607"/>
      <c r="E21" s="615">
        <f>3630/4</f>
        <v>907.5</v>
      </c>
      <c r="M21" s="5"/>
    </row>
    <row r="22" spans="1:13" ht="13.5" thickBot="1">
      <c r="B22" s="21"/>
      <c r="C22" s="608" t="s">
        <v>0</v>
      </c>
      <c r="D22" s="608"/>
      <c r="E22" s="616">
        <f>SUM(E17:E21)</f>
        <v>12065.421</v>
      </c>
      <c r="M22" s="5"/>
    </row>
    <row r="23" spans="1:13" ht="12.75" customHeight="1">
      <c r="B23" s="21"/>
      <c r="C23" s="64"/>
      <c r="D23" s="64"/>
      <c r="E23" s="76"/>
      <c r="F23" s="76"/>
      <c r="G23" s="76"/>
      <c r="H23" s="76"/>
      <c r="I23" s="76"/>
      <c r="J23" s="76"/>
      <c r="K23" s="76"/>
      <c r="L23" s="76"/>
      <c r="M23" s="76"/>
    </row>
    <row r="24" spans="1:13" s="600" customFormat="1" ht="6.75" customHeight="1">
      <c r="B24" s="601"/>
      <c r="C24" s="602"/>
      <c r="D24" s="602"/>
      <c r="E24" s="603"/>
      <c r="F24" s="603"/>
      <c r="G24" s="603"/>
      <c r="H24" s="603"/>
      <c r="I24" s="603"/>
      <c r="J24" s="603"/>
      <c r="K24" s="603"/>
      <c r="L24" s="603"/>
      <c r="M24" s="603"/>
    </row>
    <row r="25" spans="1:13" ht="19.5" customHeight="1">
      <c r="A25" s="944"/>
      <c r="B25" s="595" t="s">
        <v>419</v>
      </c>
      <c r="C25" s="621">
        <v>46</v>
      </c>
      <c r="D25" s="621"/>
      <c r="E25" s="76"/>
      <c r="F25" s="76"/>
      <c r="G25" s="76"/>
      <c r="H25" s="76"/>
      <c r="I25" s="76"/>
      <c r="J25" s="76"/>
      <c r="K25" s="76"/>
      <c r="L25" s="76"/>
      <c r="M25" s="5"/>
    </row>
    <row r="26" spans="1:13" ht="19.5" customHeight="1">
      <c r="A26" s="944"/>
      <c r="B26" s="595" t="s">
        <v>420</v>
      </c>
      <c r="C26" s="621">
        <v>37</v>
      </c>
      <c r="D26" s="621"/>
      <c r="E26" s="76"/>
      <c r="F26" s="76"/>
      <c r="G26" s="76"/>
      <c r="H26" s="76"/>
      <c r="I26" s="76"/>
      <c r="J26" s="76"/>
      <c r="K26" s="76"/>
      <c r="L26" s="76"/>
      <c r="M26" s="5"/>
    </row>
    <row r="27" spans="1:13" ht="19.5" customHeight="1">
      <c r="B27" s="595" t="s">
        <v>423</v>
      </c>
      <c r="C27" s="948">
        <v>41227</v>
      </c>
      <c r="D27" s="949"/>
      <c r="E27" s="76"/>
      <c r="F27" s="76"/>
      <c r="G27" s="76"/>
      <c r="H27" s="76"/>
      <c r="I27" s="76"/>
      <c r="J27" s="76"/>
      <c r="K27" s="76"/>
      <c r="L27" s="76"/>
      <c r="M27" s="5"/>
    </row>
    <row r="28" spans="1:13" ht="4.5" customHeight="1">
      <c r="B28" s="2"/>
      <c r="C28" s="147"/>
      <c r="D28" s="147"/>
      <c r="E28" s="945"/>
      <c r="F28" s="946"/>
      <c r="G28" s="3"/>
      <c r="H28" s="4"/>
      <c r="I28" s="4"/>
      <c r="J28" s="4"/>
      <c r="K28" s="4"/>
      <c r="L28" s="34"/>
      <c r="M28" s="4"/>
    </row>
    <row r="29" spans="1:13" s="6" customFormat="1" ht="13.5" thickBot="1">
      <c r="B29" s="596" t="s">
        <v>421</v>
      </c>
      <c r="C29" s="598" t="s">
        <v>1</v>
      </c>
      <c r="D29" s="598"/>
      <c r="E29" s="599" t="s">
        <v>10</v>
      </c>
    </row>
    <row r="30" spans="1:13">
      <c r="B30" s="207" t="s">
        <v>477</v>
      </c>
      <c r="C30" s="145" t="s">
        <v>80</v>
      </c>
      <c r="D30" s="638"/>
      <c r="E30" s="609">
        <v>2338.6999999999998</v>
      </c>
      <c r="M30" s="5"/>
    </row>
    <row r="31" spans="1:13">
      <c r="B31" s="742" t="s">
        <v>11</v>
      </c>
      <c r="C31" s="597" t="s">
        <v>78</v>
      </c>
      <c r="D31" s="638"/>
      <c r="E31" s="609">
        <v>937.04</v>
      </c>
      <c r="M31" s="5"/>
    </row>
    <row r="32" spans="1:13">
      <c r="B32" s="103" t="s">
        <v>13</v>
      </c>
      <c r="C32" s="145" t="s">
        <v>76</v>
      </c>
      <c r="D32" s="639"/>
      <c r="E32" s="610">
        <v>873.83</v>
      </c>
      <c r="M32" s="5"/>
    </row>
    <row r="33" spans="1:13">
      <c r="B33" s="103" t="s">
        <v>471</v>
      </c>
      <c r="C33" s="145" t="s">
        <v>472</v>
      </c>
      <c r="D33" s="639"/>
      <c r="E33" s="610">
        <v>542</v>
      </c>
      <c r="M33" s="5"/>
    </row>
    <row r="34" spans="1:13">
      <c r="B34" s="103" t="s">
        <v>479</v>
      </c>
      <c r="C34" s="145" t="s">
        <v>478</v>
      </c>
      <c r="D34" s="639"/>
      <c r="E34" s="610">
        <v>1029.5999999999999</v>
      </c>
      <c r="M34" s="5"/>
    </row>
    <row r="35" spans="1:13">
      <c r="B35" s="103" t="s">
        <v>447</v>
      </c>
      <c r="C35" s="145" t="s">
        <v>448</v>
      </c>
      <c r="D35" s="639"/>
      <c r="E35" s="610">
        <v>1329.4</v>
      </c>
      <c r="F35" s="415"/>
      <c r="M35" s="5"/>
    </row>
    <row r="36" spans="1:13">
      <c r="B36" s="103" t="s">
        <v>53</v>
      </c>
      <c r="C36" s="716" t="s">
        <v>77</v>
      </c>
      <c r="D36" s="640"/>
      <c r="E36" s="610">
        <v>1065.29</v>
      </c>
      <c r="F36" s="415"/>
      <c r="M36" s="5"/>
    </row>
    <row r="37" spans="1:13">
      <c r="B37" s="753" t="s">
        <v>208</v>
      </c>
      <c r="C37" s="754" t="s">
        <v>215</v>
      </c>
      <c r="D37" s="755"/>
      <c r="E37" s="756">
        <v>870.2</v>
      </c>
      <c r="F37" s="415"/>
      <c r="M37" s="5"/>
    </row>
    <row r="38" spans="1:13" ht="13.5" thickBot="1">
      <c r="B38" s="606" t="s">
        <v>104</v>
      </c>
      <c r="C38" s="745" t="s">
        <v>424</v>
      </c>
      <c r="D38" s="757"/>
      <c r="E38" s="611">
        <v>489.74</v>
      </c>
      <c r="G38" s="5" t="s">
        <v>490</v>
      </c>
      <c r="M38" s="5"/>
    </row>
    <row r="39" spans="1:13" s="4" customFormat="1" ht="13.5" thickBot="1">
      <c r="B39" s="419"/>
      <c r="C39" s="604"/>
      <c r="D39" s="604"/>
      <c r="E39" s="612">
        <f>SUM(E30:E38)</f>
        <v>9475.7999999999993</v>
      </c>
      <c r="F39" s="605"/>
    </row>
    <row r="40" spans="1:13">
      <c r="B40" s="752" t="s">
        <v>104</v>
      </c>
      <c r="C40" s="285" t="s">
        <v>339</v>
      </c>
      <c r="D40" s="285"/>
      <c r="E40" s="613">
        <v>500</v>
      </c>
      <c r="M40" s="5"/>
    </row>
    <row r="41" spans="1:13">
      <c r="B41" s="155" t="s">
        <v>104</v>
      </c>
      <c r="C41" s="597" t="s">
        <v>481</v>
      </c>
      <c r="D41" s="597"/>
      <c r="E41" s="614">
        <f>400+100*0.66</f>
        <v>466</v>
      </c>
      <c r="M41" s="5"/>
    </row>
    <row r="42" spans="1:13">
      <c r="B42" s="155" t="s">
        <v>34</v>
      </c>
      <c r="C42" s="220" t="s">
        <v>48</v>
      </c>
      <c r="D42" s="220"/>
      <c r="E42" s="618">
        <v>950</v>
      </c>
      <c r="M42" s="5"/>
    </row>
    <row r="43" spans="1:13" ht="13.5" thickBot="1">
      <c r="B43" s="208" t="s">
        <v>94</v>
      </c>
      <c r="C43" s="607" t="s">
        <v>95</v>
      </c>
      <c r="D43" s="607"/>
      <c r="E43" s="615">
        <f>3630/4</f>
        <v>907.5</v>
      </c>
      <c r="M43" s="5"/>
    </row>
    <row r="44" spans="1:13" ht="13.5" thickBot="1">
      <c r="B44" s="21"/>
      <c r="C44" s="608" t="s">
        <v>0</v>
      </c>
      <c r="D44" s="608"/>
      <c r="E44" s="616">
        <f>SUM(E39:E43)</f>
        <v>12299.3</v>
      </c>
      <c r="M44" s="5"/>
    </row>
    <row r="45" spans="1:13" ht="12.75" customHeight="1">
      <c r="B45" s="21"/>
      <c r="C45" s="64"/>
      <c r="D45" s="64"/>
      <c r="E45" s="76"/>
      <c r="F45" s="76"/>
      <c r="G45" s="76"/>
      <c r="H45" s="76"/>
      <c r="I45" s="76"/>
      <c r="J45" s="76"/>
      <c r="K45" s="76"/>
      <c r="L45" s="76"/>
      <c r="M45" s="76"/>
    </row>
    <row r="46" spans="1:13" s="600" customFormat="1" ht="6.75" customHeight="1">
      <c r="B46" s="601"/>
      <c r="C46" s="602"/>
      <c r="D46" s="602"/>
      <c r="E46" s="603"/>
      <c r="F46" s="603"/>
      <c r="G46" s="603"/>
      <c r="H46" s="603"/>
      <c r="I46" s="603"/>
      <c r="J46" s="603"/>
      <c r="K46" s="603"/>
      <c r="L46" s="603"/>
      <c r="M46" s="603"/>
    </row>
    <row r="47" spans="1:13" ht="19.5" customHeight="1">
      <c r="A47" s="944"/>
      <c r="B47" s="595" t="s">
        <v>419</v>
      </c>
      <c r="C47" s="621">
        <v>47</v>
      </c>
      <c r="D47" s="621"/>
      <c r="E47" s="76"/>
      <c r="F47" s="76"/>
      <c r="G47" s="76"/>
      <c r="H47" s="76"/>
      <c r="I47" s="76"/>
      <c r="J47" s="76"/>
      <c r="K47" s="76"/>
      <c r="L47" s="76"/>
      <c r="M47" s="5"/>
    </row>
    <row r="48" spans="1:13" ht="19.5" customHeight="1">
      <c r="A48" s="944"/>
      <c r="B48" s="595" t="s">
        <v>420</v>
      </c>
      <c r="C48" s="621">
        <v>38</v>
      </c>
      <c r="D48" s="621"/>
      <c r="E48" s="76"/>
      <c r="F48" s="76"/>
      <c r="G48" s="76"/>
      <c r="H48" s="76"/>
      <c r="I48" s="76"/>
      <c r="J48" s="76"/>
      <c r="K48" s="76"/>
      <c r="L48" s="76"/>
      <c r="M48" s="5"/>
    </row>
    <row r="49" spans="2:13" ht="19.5" customHeight="1">
      <c r="B49" s="595" t="s">
        <v>423</v>
      </c>
      <c r="C49" s="948">
        <v>41234</v>
      </c>
      <c r="D49" s="949"/>
      <c r="E49" s="76"/>
      <c r="F49" s="76"/>
      <c r="G49" s="76"/>
      <c r="H49" s="76"/>
      <c r="I49" s="76"/>
      <c r="J49" s="76"/>
      <c r="K49" s="76"/>
      <c r="L49" s="76"/>
      <c r="M49" s="5"/>
    </row>
    <row r="50" spans="2:13" ht="4.5" customHeight="1">
      <c r="B50" s="2"/>
      <c r="C50" s="147"/>
      <c r="D50" s="147"/>
      <c r="E50" s="945"/>
      <c r="F50" s="946"/>
      <c r="G50" s="3"/>
      <c r="H50" s="4"/>
      <c r="I50" s="4"/>
      <c r="J50" s="4"/>
      <c r="K50" s="4"/>
      <c r="L50" s="34"/>
      <c r="M50" s="4"/>
    </row>
    <row r="51" spans="2:13" s="6" customFormat="1" ht="13.5" thickBot="1">
      <c r="B51" s="596" t="s">
        <v>421</v>
      </c>
      <c r="C51" s="598" t="s">
        <v>1</v>
      </c>
      <c r="D51" s="598"/>
      <c r="E51" s="599" t="s">
        <v>10</v>
      </c>
    </row>
    <row r="52" spans="2:13">
      <c r="B52" s="207" t="s">
        <v>477</v>
      </c>
      <c r="C52" s="145" t="s">
        <v>80</v>
      </c>
      <c r="D52" s="638"/>
      <c r="E52" s="609">
        <v>2260.96</v>
      </c>
      <c r="M52" s="5"/>
    </row>
    <row r="53" spans="2:13">
      <c r="B53" s="742" t="s">
        <v>11</v>
      </c>
      <c r="C53" s="597" t="s">
        <v>78</v>
      </c>
      <c r="D53" s="638"/>
      <c r="E53" s="609">
        <v>937.04</v>
      </c>
      <c r="M53" s="5"/>
    </row>
    <row r="54" spans="2:13">
      <c r="B54" s="103" t="s">
        <v>13</v>
      </c>
      <c r="C54" s="145" t="s">
        <v>76</v>
      </c>
      <c r="D54" s="639"/>
      <c r="E54" s="610">
        <v>873.83</v>
      </c>
      <c r="M54" s="5"/>
    </row>
    <row r="55" spans="2:13">
      <c r="B55" s="103" t="s">
        <v>471</v>
      </c>
      <c r="C55" s="145" t="s">
        <v>472</v>
      </c>
      <c r="D55" s="639"/>
      <c r="E55" s="610">
        <v>542</v>
      </c>
      <c r="M55" s="5"/>
    </row>
    <row r="56" spans="2:13">
      <c r="B56" s="103" t="s">
        <v>479</v>
      </c>
      <c r="C56" s="145" t="s">
        <v>478</v>
      </c>
      <c r="D56" s="639"/>
      <c r="E56" s="610">
        <v>1029.5999999999999</v>
      </c>
      <c r="M56" s="5"/>
    </row>
    <row r="57" spans="2:13">
      <c r="B57" s="103" t="s">
        <v>447</v>
      </c>
      <c r="C57" s="145" t="s">
        <v>448</v>
      </c>
      <c r="D57" s="639"/>
      <c r="E57" s="610">
        <v>1220.02</v>
      </c>
      <c r="F57" s="415"/>
      <c r="M57" s="5"/>
    </row>
    <row r="58" spans="2:13">
      <c r="B58" s="103" t="s">
        <v>53</v>
      </c>
      <c r="C58" s="716" t="s">
        <v>77</v>
      </c>
      <c r="D58" s="640"/>
      <c r="E58" s="610">
        <v>1065.3499999999999</v>
      </c>
      <c r="F58" s="415"/>
      <c r="M58" s="5"/>
    </row>
    <row r="59" spans="2:13">
      <c r="B59" s="753" t="s">
        <v>208</v>
      </c>
      <c r="C59" s="754" t="s">
        <v>215</v>
      </c>
      <c r="D59" s="755"/>
      <c r="E59" s="756">
        <v>651.4</v>
      </c>
      <c r="F59" s="415"/>
      <c r="M59" s="5"/>
    </row>
    <row r="60" spans="2:13" ht="13.5" thickBot="1">
      <c r="B60" s="606" t="s">
        <v>104</v>
      </c>
      <c r="C60" s="745" t="s">
        <v>424</v>
      </c>
      <c r="D60" s="757"/>
      <c r="E60" s="611">
        <v>489.74</v>
      </c>
      <c r="M60" s="5"/>
    </row>
    <row r="61" spans="2:13" s="4" customFormat="1" ht="13.5" thickBot="1">
      <c r="B61" s="419"/>
      <c r="C61" s="604"/>
      <c r="D61" s="604"/>
      <c r="E61" s="612">
        <f>SUM(E52:E60)</f>
        <v>9069.94</v>
      </c>
      <c r="F61" s="605"/>
    </row>
    <row r="62" spans="2:13">
      <c r="B62" s="752" t="s">
        <v>104</v>
      </c>
      <c r="C62" s="285" t="s">
        <v>339</v>
      </c>
      <c r="D62" s="285"/>
      <c r="E62" s="613">
        <v>500</v>
      </c>
      <c r="M62" s="5"/>
    </row>
    <row r="63" spans="2:13">
      <c r="B63" s="155" t="s">
        <v>104</v>
      </c>
      <c r="C63" s="597" t="s">
        <v>481</v>
      </c>
      <c r="D63" s="597"/>
      <c r="E63" s="614">
        <v>500</v>
      </c>
      <c r="M63" s="5"/>
    </row>
    <row r="64" spans="2:13">
      <c r="B64" s="155" t="s">
        <v>34</v>
      </c>
      <c r="C64" s="220" t="s">
        <v>48</v>
      </c>
      <c r="D64" s="220"/>
      <c r="E64" s="618">
        <v>950</v>
      </c>
      <c r="M64" s="5"/>
    </row>
    <row r="65" spans="1:13" ht="13.5" thickBot="1">
      <c r="B65" s="208" t="s">
        <v>94</v>
      </c>
      <c r="C65" s="607" t="s">
        <v>95</v>
      </c>
      <c r="D65" s="607"/>
      <c r="E65" s="615">
        <f>3630/4</f>
        <v>907.5</v>
      </c>
      <c r="M65" s="5"/>
    </row>
    <row r="66" spans="1:13" ht="13.5" thickBot="1">
      <c r="B66" s="21"/>
      <c r="C66" s="608" t="s">
        <v>0</v>
      </c>
      <c r="D66" s="608"/>
      <c r="E66" s="616">
        <f>SUM(E61:E65)</f>
        <v>11927.44</v>
      </c>
      <c r="M66" s="5"/>
    </row>
    <row r="67" spans="1:13" ht="12.75" customHeight="1">
      <c r="B67" s="21"/>
      <c r="C67" s="64"/>
      <c r="D67" s="64"/>
      <c r="E67" s="76"/>
      <c r="F67" s="76"/>
      <c r="G67" s="76"/>
      <c r="H67" s="76"/>
      <c r="I67" s="76"/>
      <c r="J67" s="76"/>
      <c r="K67" s="76"/>
      <c r="L67" s="76"/>
      <c r="M67" s="76"/>
    </row>
    <row r="68" spans="1:13" s="600" customFormat="1" ht="6.75" customHeight="1">
      <c r="B68" s="601"/>
      <c r="C68" s="602"/>
      <c r="D68" s="602"/>
      <c r="E68" s="603"/>
      <c r="F68" s="603"/>
      <c r="G68" s="603"/>
      <c r="H68" s="603"/>
      <c r="I68" s="603"/>
      <c r="J68" s="603"/>
      <c r="K68" s="603"/>
      <c r="L68" s="603"/>
      <c r="M68" s="603"/>
    </row>
    <row r="69" spans="1:13" ht="19.5" customHeight="1">
      <c r="A69" s="944"/>
      <c r="B69" s="595" t="s">
        <v>419</v>
      </c>
      <c r="C69" s="621">
        <v>48</v>
      </c>
      <c r="D69" s="621"/>
      <c r="E69" s="76"/>
      <c r="F69" s="76"/>
      <c r="G69" s="76"/>
      <c r="H69" s="76"/>
      <c r="I69" s="76"/>
      <c r="J69" s="76"/>
      <c r="K69" s="76"/>
      <c r="L69" s="76"/>
      <c r="M69" s="5"/>
    </row>
    <row r="70" spans="1:13" ht="19.5" customHeight="1">
      <c r="A70" s="944"/>
      <c r="B70" s="595" t="s">
        <v>420</v>
      </c>
      <c r="C70" s="621">
        <v>39</v>
      </c>
      <c r="D70" s="621"/>
      <c r="E70" s="76"/>
      <c r="F70" s="76"/>
      <c r="G70" s="76"/>
      <c r="H70" s="76"/>
      <c r="I70" s="76"/>
      <c r="J70" s="76"/>
      <c r="K70" s="76"/>
      <c r="L70" s="76"/>
      <c r="M70" s="5"/>
    </row>
    <row r="71" spans="1:13" ht="19.5" customHeight="1">
      <c r="B71" s="595" t="s">
        <v>423</v>
      </c>
      <c r="C71" s="948">
        <v>41241</v>
      </c>
      <c r="D71" s="949"/>
      <c r="E71" s="76"/>
      <c r="F71" s="76"/>
      <c r="G71" s="76"/>
      <c r="H71" s="76"/>
      <c r="I71" s="76"/>
      <c r="J71" s="76"/>
      <c r="K71" s="76"/>
      <c r="L71" s="76"/>
      <c r="M71" s="5"/>
    </row>
    <row r="72" spans="1:13" ht="4.5" customHeight="1">
      <c r="B72" s="2"/>
      <c r="C72" s="147"/>
      <c r="D72" s="147"/>
      <c r="E72" s="945"/>
      <c r="F72" s="946"/>
      <c r="G72" s="3"/>
      <c r="H72" s="4"/>
      <c r="I72" s="4"/>
      <c r="J72" s="4"/>
      <c r="K72" s="4"/>
      <c r="L72" s="34"/>
      <c r="M72" s="4"/>
    </row>
    <row r="73" spans="1:13" s="6" customFormat="1" ht="13.5" thickBot="1">
      <c r="B73" s="596" t="s">
        <v>421</v>
      </c>
      <c r="C73" s="598" t="s">
        <v>1</v>
      </c>
      <c r="D73" s="598"/>
      <c r="E73" s="599" t="s">
        <v>10</v>
      </c>
    </row>
    <row r="74" spans="1:13">
      <c r="B74" s="207" t="s">
        <v>477</v>
      </c>
      <c r="C74" s="145" t="s">
        <v>80</v>
      </c>
      <c r="D74" s="638"/>
      <c r="E74" s="609">
        <v>1872.95</v>
      </c>
      <c r="F74" s="684"/>
      <c r="M74" s="5"/>
    </row>
    <row r="75" spans="1:13">
      <c r="B75" s="742" t="s">
        <v>11</v>
      </c>
      <c r="C75" s="597" t="s">
        <v>78</v>
      </c>
      <c r="D75" s="638"/>
      <c r="E75" s="609">
        <v>937.04</v>
      </c>
      <c r="M75" s="5"/>
    </row>
    <row r="76" spans="1:13">
      <c r="B76" s="103" t="s">
        <v>13</v>
      </c>
      <c r="C76" s="145" t="s">
        <v>76</v>
      </c>
      <c r="D76" s="639"/>
      <c r="E76" s="610">
        <v>873.83</v>
      </c>
      <c r="M76" s="5"/>
    </row>
    <row r="77" spans="1:13">
      <c r="B77" s="103" t="s">
        <v>471</v>
      </c>
      <c r="C77" s="145" t="s">
        <v>472</v>
      </c>
      <c r="D77" s="639"/>
      <c r="E77" s="610">
        <v>792</v>
      </c>
      <c r="M77" s="5"/>
    </row>
    <row r="78" spans="1:13">
      <c r="B78" s="103" t="s">
        <v>479</v>
      </c>
      <c r="C78" s="145" t="s">
        <v>478</v>
      </c>
      <c r="D78" s="639"/>
      <c r="E78" s="610">
        <v>792</v>
      </c>
      <c r="M78" s="5"/>
    </row>
    <row r="79" spans="1:13">
      <c r="B79" s="103" t="s">
        <v>447</v>
      </c>
      <c r="C79" s="145" t="s">
        <v>448</v>
      </c>
      <c r="D79" s="639"/>
      <c r="E79" s="610">
        <v>1410.73</v>
      </c>
      <c r="F79" s="415"/>
      <c r="M79" s="5"/>
    </row>
    <row r="80" spans="1:13">
      <c r="B80" s="103" t="s">
        <v>53</v>
      </c>
      <c r="C80" s="716" t="s">
        <v>77</v>
      </c>
      <c r="D80" s="640"/>
      <c r="E80" s="610">
        <v>1165.4100000000001</v>
      </c>
      <c r="F80" s="415"/>
      <c r="M80" s="5"/>
    </row>
    <row r="81" spans="1:13">
      <c r="B81" s="753" t="s">
        <v>208</v>
      </c>
      <c r="C81" s="754" t="s">
        <v>215</v>
      </c>
      <c r="D81" s="755"/>
      <c r="E81" s="756">
        <v>592</v>
      </c>
      <c r="F81" s="415"/>
      <c r="M81" s="5"/>
    </row>
    <row r="82" spans="1:13" ht="13.5" thickBot="1">
      <c r="B82" s="606" t="s">
        <v>104</v>
      </c>
      <c r="C82" s="745" t="s">
        <v>424</v>
      </c>
      <c r="D82" s="757"/>
      <c r="E82" s="611">
        <v>489.74</v>
      </c>
      <c r="M82" s="5"/>
    </row>
    <row r="83" spans="1:13" s="4" customFormat="1" ht="13.5" thickBot="1">
      <c r="B83" s="419"/>
      <c r="C83" s="604"/>
      <c r="D83" s="604"/>
      <c r="E83" s="612">
        <f>SUM(E74:E82)</f>
        <v>8925.6999999999989</v>
      </c>
      <c r="F83" s="605"/>
    </row>
    <row r="84" spans="1:13">
      <c r="B84" s="752" t="s">
        <v>104</v>
      </c>
      <c r="C84" s="285" t="s">
        <v>339</v>
      </c>
      <c r="D84" s="285"/>
      <c r="E84" s="613">
        <v>500</v>
      </c>
      <c r="M84" s="5"/>
    </row>
    <row r="85" spans="1:13">
      <c r="B85" s="155" t="s">
        <v>104</v>
      </c>
      <c r="C85" s="597" t="s">
        <v>481</v>
      </c>
      <c r="D85" s="597"/>
      <c r="E85" s="614">
        <v>500</v>
      </c>
      <c r="M85" s="5"/>
    </row>
    <row r="86" spans="1:13">
      <c r="B86" s="155" t="s">
        <v>34</v>
      </c>
      <c r="C86" s="220" t="s">
        <v>48</v>
      </c>
      <c r="D86" s="220"/>
      <c r="E86" s="618">
        <v>950</v>
      </c>
      <c r="M86" s="5"/>
    </row>
    <row r="87" spans="1:13">
      <c r="B87" s="155" t="s">
        <v>94</v>
      </c>
      <c r="C87" s="722" t="s">
        <v>95</v>
      </c>
      <c r="D87" s="722"/>
      <c r="E87" s="618">
        <f>3630/4</f>
        <v>907.5</v>
      </c>
      <c r="M87" s="5"/>
    </row>
    <row r="88" spans="1:13">
      <c r="B88" s="199" t="s">
        <v>142</v>
      </c>
      <c r="C88" s="148" t="s">
        <v>426</v>
      </c>
      <c r="D88" s="148"/>
      <c r="E88" s="614">
        <v>150</v>
      </c>
      <c r="M88" s="5"/>
    </row>
    <row r="89" spans="1:13" ht="13.5" thickBot="1">
      <c r="B89" s="208" t="s">
        <v>156</v>
      </c>
      <c r="C89" s="144" t="s">
        <v>427</v>
      </c>
      <c r="D89" s="144"/>
      <c r="E89" s="615">
        <v>100</v>
      </c>
      <c r="M89" s="5"/>
    </row>
    <row r="90" spans="1:13" ht="13.5" thickBot="1">
      <c r="B90" s="21"/>
      <c r="C90" s="608" t="s">
        <v>0</v>
      </c>
      <c r="D90" s="608"/>
      <c r="E90" s="616">
        <f>SUM(E83:E89)</f>
        <v>12033.199999999999</v>
      </c>
      <c r="M90" s="5"/>
    </row>
    <row r="91" spans="1:13" ht="12.75" customHeight="1">
      <c r="B91" s="21"/>
      <c r="C91" s="64"/>
      <c r="D91" s="64"/>
      <c r="E91" s="76"/>
      <c r="F91" s="76"/>
      <c r="G91" s="76"/>
      <c r="H91" s="76"/>
      <c r="I91" s="76"/>
      <c r="J91" s="76"/>
      <c r="K91" s="76"/>
      <c r="L91" s="76"/>
      <c r="M91" s="76"/>
    </row>
    <row r="92" spans="1:13" s="7" customFormat="1" ht="13.15" customHeight="1">
      <c r="A92" s="122" t="s">
        <v>56</v>
      </c>
      <c r="B92" s="123" t="s">
        <v>57</v>
      </c>
      <c r="C92" s="123"/>
      <c r="D92" s="619">
        <f>Nikki!E582</f>
        <v>8502.7000000000007</v>
      </c>
      <c r="E92" s="619"/>
      <c r="F92" s="122"/>
      <c r="G92" s="123" t="s">
        <v>146</v>
      </c>
      <c r="H92" s="619">
        <v>2500</v>
      </c>
      <c r="I92" s="619"/>
      <c r="J92" s="624"/>
      <c r="K92" s="624"/>
      <c r="L92" s="624"/>
      <c r="M92" s="624"/>
    </row>
    <row r="93" spans="1:13" s="7" customFormat="1" ht="13.15" customHeight="1">
      <c r="A93" s="122" t="s">
        <v>58</v>
      </c>
      <c r="B93" s="123" t="s">
        <v>172</v>
      </c>
      <c r="C93" s="123"/>
      <c r="D93" s="619">
        <f>Nikki!E608</f>
        <v>2181.3499999999995</v>
      </c>
      <c r="E93" s="619"/>
      <c r="F93" s="122" t="s">
        <v>68</v>
      </c>
      <c r="G93" s="123" t="s">
        <v>69</v>
      </c>
      <c r="H93" s="619">
        <v>1200</v>
      </c>
      <c r="I93" s="624"/>
      <c r="J93" s="624"/>
      <c r="K93" s="624"/>
      <c r="L93" s="624"/>
      <c r="M93" s="624"/>
    </row>
    <row r="94" spans="1:13" s="7" customFormat="1" ht="13.15" customHeight="1">
      <c r="A94" s="122" t="s">
        <v>56</v>
      </c>
      <c r="B94" s="123" t="s">
        <v>462</v>
      </c>
      <c r="C94" s="123"/>
      <c r="D94" s="619">
        <v>250</v>
      </c>
      <c r="E94" s="619"/>
      <c r="F94" s="122" t="s">
        <v>68</v>
      </c>
      <c r="G94" s="123" t="s">
        <v>147</v>
      </c>
      <c r="H94" s="619">
        <f>120000*15%/12</f>
        <v>1500</v>
      </c>
      <c r="I94" s="624"/>
      <c r="J94" s="624"/>
      <c r="K94" s="624"/>
      <c r="L94" s="624"/>
      <c r="M94" s="624"/>
    </row>
    <row r="95" spans="1:13" s="7" customFormat="1" ht="13.15" customHeight="1">
      <c r="A95" s="122" t="s">
        <v>59</v>
      </c>
      <c r="B95" s="123" t="s">
        <v>60</v>
      </c>
      <c r="C95" s="123"/>
      <c r="D95" s="619">
        <v>2500</v>
      </c>
      <c r="E95" s="619"/>
      <c r="F95" s="122" t="s">
        <v>81</v>
      </c>
      <c r="G95" s="123" t="s">
        <v>69</v>
      </c>
      <c r="H95" s="619">
        <v>1800</v>
      </c>
      <c r="I95" s="800"/>
      <c r="J95" s="625"/>
    </row>
    <row r="96" spans="1:13" s="7" customFormat="1" ht="13.15" customHeight="1">
      <c r="A96" s="122" t="s">
        <v>59</v>
      </c>
      <c r="B96" s="123" t="s">
        <v>61</v>
      </c>
      <c r="C96" s="123"/>
      <c r="D96" s="619">
        <v>268</v>
      </c>
      <c r="E96" s="619"/>
      <c r="F96" s="122" t="s">
        <v>58</v>
      </c>
      <c r="G96" s="123" t="s">
        <v>148</v>
      </c>
      <c r="H96" s="619">
        <v>1012</v>
      </c>
      <c r="I96" s="800"/>
      <c r="J96" s="625"/>
    </row>
    <row r="97" spans="1:13" s="7" customFormat="1" ht="13.15" customHeight="1">
      <c r="A97" s="122" t="s">
        <v>62</v>
      </c>
      <c r="B97" s="123" t="s">
        <v>63</v>
      </c>
      <c r="C97" s="123"/>
      <c r="D97" s="619">
        <v>601.12</v>
      </c>
      <c r="E97" s="619"/>
      <c r="F97" s="122" t="s">
        <v>272</v>
      </c>
      <c r="G97" s="123" t="s">
        <v>274</v>
      </c>
      <c r="H97" s="619">
        <v>500</v>
      </c>
      <c r="I97" s="800"/>
      <c r="J97" s="625"/>
    </row>
    <row r="98" spans="1:13" s="7" customFormat="1" ht="13.15" customHeight="1">
      <c r="A98" s="122" t="s">
        <v>62</v>
      </c>
      <c r="B98" s="123" t="s">
        <v>64</v>
      </c>
      <c r="C98" s="123"/>
      <c r="D98" s="619">
        <v>383.94</v>
      </c>
      <c r="E98" s="619"/>
      <c r="F98" s="122" t="s">
        <v>273</v>
      </c>
      <c r="G98" s="123" t="s">
        <v>275</v>
      </c>
      <c r="H98" s="619">
        <v>500</v>
      </c>
      <c r="I98" s="214"/>
      <c r="J98" s="625"/>
    </row>
    <row r="99" spans="1:13" s="7" customFormat="1" ht="13.15" customHeight="1">
      <c r="A99" s="122" t="s">
        <v>62</v>
      </c>
      <c r="B99" s="123" t="s">
        <v>101</v>
      </c>
      <c r="C99" s="123"/>
      <c r="D99" s="619">
        <v>550</v>
      </c>
      <c r="E99" s="619"/>
      <c r="F99" s="122" t="s">
        <v>59</v>
      </c>
      <c r="G99" s="123" t="s">
        <v>82</v>
      </c>
      <c r="H99" s="619">
        <v>11000</v>
      </c>
      <c r="I99" s="800"/>
      <c r="J99" s="625"/>
    </row>
    <row r="100" spans="1:13" s="7" customFormat="1" ht="13.15" customHeight="1" thickBot="1">
      <c r="A100" s="122" t="s">
        <v>66</v>
      </c>
      <c r="B100" s="123" t="s">
        <v>67</v>
      </c>
      <c r="C100" s="619"/>
      <c r="D100" s="619">
        <v>8000</v>
      </c>
      <c r="E100" s="619"/>
      <c r="F100" s="223" t="s">
        <v>102</v>
      </c>
      <c r="G100" s="123" t="s">
        <v>83</v>
      </c>
      <c r="H100" s="620">
        <v>11000</v>
      </c>
      <c r="I100" s="800"/>
      <c r="J100" s="625"/>
    </row>
    <row r="101" spans="1:13" s="7" customFormat="1" ht="13.15" customHeight="1" thickTop="1" thickBot="1">
      <c r="A101" s="122" t="s">
        <v>65</v>
      </c>
      <c r="B101" s="123" t="s">
        <v>228</v>
      </c>
      <c r="C101" s="619"/>
      <c r="D101" s="619">
        <v>1000</v>
      </c>
      <c r="E101" s="619"/>
      <c r="F101" s="130"/>
      <c r="G101" s="123"/>
      <c r="H101" s="800">
        <f>SUM(H92:H100)+SUM(D92:D101)</f>
        <v>55249.11</v>
      </c>
      <c r="I101" s="800"/>
      <c r="J101" s="625"/>
    </row>
    <row r="102" spans="1:13" s="7" customFormat="1" ht="13.15" customHeight="1" thickBot="1">
      <c r="B102" s="122"/>
      <c r="C102" s="123"/>
      <c r="D102" s="123"/>
      <c r="E102" s="619"/>
      <c r="F102" s="130"/>
      <c r="G102" s="642" t="s">
        <v>17</v>
      </c>
      <c r="H102" s="643">
        <f>H101+E90</f>
        <v>67282.31</v>
      </c>
      <c r="I102" s="800"/>
      <c r="J102" s="625"/>
    </row>
    <row r="103" spans="1:13" s="7" customFormat="1" ht="13.15" customHeight="1">
      <c r="B103" s="122"/>
      <c r="C103" s="123"/>
      <c r="D103" s="123"/>
      <c r="E103" s="619"/>
      <c r="F103" s="124"/>
      <c r="G103" s="123"/>
      <c r="H103" s="800"/>
      <c r="I103" s="800"/>
      <c r="J103" s="625"/>
    </row>
    <row r="104" spans="1:13" s="7" customFormat="1" ht="13.15" customHeight="1">
      <c r="B104" s="122"/>
      <c r="C104" s="123"/>
      <c r="D104" s="123"/>
      <c r="E104" s="619"/>
      <c r="F104" s="130"/>
      <c r="G104" s="123"/>
      <c r="H104" s="800"/>
      <c r="I104" s="800"/>
      <c r="J104" s="625"/>
    </row>
    <row r="105" spans="1:13" s="7" customFormat="1" ht="13.15" customHeight="1">
      <c r="B105" s="122"/>
      <c r="C105" s="123"/>
      <c r="D105" s="123"/>
      <c r="E105" s="619"/>
      <c r="F105" s="130"/>
      <c r="G105" s="642"/>
      <c r="H105" s="686"/>
      <c r="I105" s="800"/>
      <c r="J105" s="625"/>
    </row>
    <row r="106" spans="1:13" s="7" customFormat="1" ht="13.15" customHeight="1">
      <c r="B106" s="122"/>
      <c r="C106" s="123"/>
      <c r="D106" s="123"/>
      <c r="E106" s="619"/>
      <c r="F106" s="124"/>
      <c r="G106" s="123"/>
      <c r="H106" s="800"/>
      <c r="I106" s="800"/>
      <c r="J106" s="625"/>
    </row>
    <row r="107" spans="1:13" s="7" customFormat="1" ht="13.15" customHeight="1">
      <c r="B107" s="122"/>
      <c r="C107" s="123"/>
      <c r="D107" s="15"/>
      <c r="E107" s="619"/>
      <c r="F107" s="15"/>
      <c r="G107" s="15"/>
      <c r="H107" s="15"/>
      <c r="I107" s="800"/>
      <c r="J107" s="625"/>
    </row>
    <row r="108" spans="1:13" s="7" customFormat="1" ht="13.15" customHeight="1">
      <c r="B108" s="122"/>
      <c r="C108" s="123"/>
      <c r="D108" s="14"/>
      <c r="E108" s="15"/>
      <c r="F108" s="15"/>
      <c r="G108" s="15"/>
      <c r="H108" s="15"/>
      <c r="I108" s="800"/>
      <c r="J108" s="625"/>
    </row>
    <row r="109" spans="1:13" s="7" customFormat="1" ht="13.15" customHeight="1">
      <c r="B109" s="122"/>
      <c r="C109" s="123"/>
      <c r="D109" s="14"/>
      <c r="E109" s="15"/>
      <c r="F109" s="15"/>
      <c r="G109" s="15"/>
      <c r="H109" s="15"/>
      <c r="I109" s="800"/>
      <c r="J109" s="625"/>
    </row>
    <row r="110" spans="1:13" s="15" customFormat="1" ht="12">
      <c r="B110" s="17"/>
      <c r="D110" s="14"/>
      <c r="M110" s="17"/>
    </row>
    <row r="111" spans="1:13" s="15" customFormat="1" ht="12">
      <c r="B111" s="17"/>
      <c r="C111" s="14"/>
      <c r="D111" s="14"/>
      <c r="M111" s="17"/>
    </row>
    <row r="112" spans="1:13" s="15" customFormat="1" ht="12">
      <c r="B112" s="17"/>
      <c r="C112" s="14"/>
      <c r="D112" s="14"/>
      <c r="M112" s="17"/>
    </row>
    <row r="113" spans="2:13" s="15" customFormat="1" ht="12">
      <c r="B113" s="17"/>
      <c r="C113" s="14"/>
      <c r="D113" s="14"/>
      <c r="M113" s="17"/>
    </row>
    <row r="114" spans="2:13" s="15" customFormat="1" ht="12">
      <c r="B114" s="17"/>
      <c r="C114" s="14"/>
      <c r="M114" s="17"/>
    </row>
    <row r="115" spans="2:13" s="15" customFormat="1" ht="12">
      <c r="B115" s="17"/>
      <c r="C115" s="14"/>
      <c r="M115" s="17"/>
    </row>
    <row r="116" spans="2:13" s="15" customFormat="1" ht="12">
      <c r="B116" s="17"/>
      <c r="C116" s="14"/>
      <c r="M116" s="17"/>
    </row>
    <row r="117" spans="2:13" s="15" customFormat="1" ht="12">
      <c r="B117" s="17"/>
      <c r="M117" s="17"/>
    </row>
    <row r="118" spans="2:13" s="15" customFormat="1" ht="12">
      <c r="B118" s="17"/>
      <c r="M118" s="17"/>
    </row>
    <row r="119" spans="2:13" s="15" customFormat="1" ht="12">
      <c r="B119" s="17"/>
      <c r="M119" s="17"/>
    </row>
    <row r="120" spans="2:13" s="15" customFormat="1">
      <c r="B120" s="17"/>
      <c r="D120" s="5"/>
      <c r="F120" s="5"/>
      <c r="G120" s="5"/>
      <c r="H120" s="5"/>
      <c r="M120" s="17"/>
    </row>
    <row r="121" spans="2:13" s="15" customFormat="1">
      <c r="B121" s="17"/>
      <c r="D121" s="5"/>
      <c r="E121" s="5"/>
      <c r="F121" s="5"/>
      <c r="G121" s="5"/>
      <c r="H121" s="5"/>
      <c r="M121" s="17"/>
    </row>
    <row r="122" spans="2:13" s="15" customFormat="1">
      <c r="B122" s="17"/>
      <c r="D122" s="5"/>
      <c r="E122" s="5"/>
      <c r="F122" s="5"/>
      <c r="G122" s="5"/>
      <c r="H122" s="5"/>
      <c r="M122" s="17"/>
    </row>
    <row r="123" spans="2:13" s="15" customFormat="1">
      <c r="B123" s="2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7"/>
    </row>
    <row r="124" spans="2:13" s="15" customFormat="1">
      <c r="B124" s="2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7"/>
    </row>
    <row r="125" spans="2:13" s="15" customFormat="1">
      <c r="B125" s="2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7"/>
    </row>
    <row r="126" spans="2:13" s="15" customFormat="1">
      <c r="B126" s="2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7"/>
    </row>
  </sheetData>
  <mergeCells count="13">
    <mergeCell ref="C27:D27"/>
    <mergeCell ref="A1:H1"/>
    <mergeCell ref="A3:A4"/>
    <mergeCell ref="C5:D5"/>
    <mergeCell ref="E6:F6"/>
    <mergeCell ref="A25:A26"/>
    <mergeCell ref="A69:A70"/>
    <mergeCell ref="C71:D71"/>
    <mergeCell ref="E72:F72"/>
    <mergeCell ref="E28:F28"/>
    <mergeCell ref="A47:A48"/>
    <mergeCell ref="C49:D49"/>
    <mergeCell ref="E50:F5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March '12</vt:lpstr>
      <vt:lpstr>April '12</vt:lpstr>
      <vt:lpstr>May '12</vt:lpstr>
      <vt:lpstr>June '12</vt:lpstr>
      <vt:lpstr>July '12</vt:lpstr>
      <vt:lpstr>August '12</vt:lpstr>
      <vt:lpstr>September '12</vt:lpstr>
      <vt:lpstr>October '12</vt:lpstr>
      <vt:lpstr>November '12</vt:lpstr>
      <vt:lpstr>December '12</vt:lpstr>
      <vt:lpstr>January '13</vt:lpstr>
      <vt:lpstr>February '13</vt:lpstr>
      <vt:lpstr>Increases</vt:lpstr>
      <vt:lpstr>Joseph</vt:lpstr>
      <vt:lpstr>Madala</vt:lpstr>
      <vt:lpstr>Dora</vt:lpstr>
      <vt:lpstr>Henry</vt:lpstr>
      <vt:lpstr>Andrew</vt:lpstr>
      <vt:lpstr>Buks</vt:lpstr>
      <vt:lpstr>Eric</vt:lpstr>
      <vt:lpstr>Nikki</vt:lpstr>
      <vt:lpstr>Andrew!Print_Area</vt:lpstr>
      <vt:lpstr>'April ''12'!Print_Area</vt:lpstr>
      <vt:lpstr>'August ''12'!Print_Area</vt:lpstr>
      <vt:lpstr>Buks!Print_Area</vt:lpstr>
      <vt:lpstr>'December ''12'!Print_Area</vt:lpstr>
      <vt:lpstr>Dora!Print_Area</vt:lpstr>
      <vt:lpstr>Eric!Print_Area</vt:lpstr>
      <vt:lpstr>'February ''13'!Print_Area</vt:lpstr>
      <vt:lpstr>Henry!Print_Area</vt:lpstr>
      <vt:lpstr>Increases!Print_Area</vt:lpstr>
      <vt:lpstr>'January ''13'!Print_Area</vt:lpstr>
      <vt:lpstr>Joseph!Print_Area</vt:lpstr>
      <vt:lpstr>'July ''12'!Print_Area</vt:lpstr>
      <vt:lpstr>'June ''12'!Print_Area</vt:lpstr>
      <vt:lpstr>Madala!Print_Area</vt:lpstr>
      <vt:lpstr>'March ''12'!Print_Area</vt:lpstr>
      <vt:lpstr>'May ''12'!Print_Area</vt:lpstr>
      <vt:lpstr>'November ''12'!Print_Area</vt:lpstr>
      <vt:lpstr>'October ''12'!Print_Area</vt:lpstr>
      <vt:lpstr>'September ''12'!Print_Area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2013-02-28T10:39:19Z</cp:lastPrinted>
  <dcterms:created xsi:type="dcterms:W3CDTF">2006-03-02T06:43:14Z</dcterms:created>
  <dcterms:modified xsi:type="dcterms:W3CDTF">2013-11-13T11:49:50Z</dcterms:modified>
</cp:coreProperties>
</file>