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V75" sheetId="2" r:id="rId1"/>
    <sheet name="DBZ DIESEL PARTS" sheetId="1" r:id="rId2"/>
    <sheet name="SVH" sheetId="3" r:id="rId3"/>
  </sheets>
  <calcPr calcId="145621"/>
</workbook>
</file>

<file path=xl/calcChain.xml><?xml version="1.0" encoding="utf-8"?>
<calcChain xmlns="http://schemas.openxmlformats.org/spreadsheetml/2006/main">
  <c r="I60" i="2" l="1"/>
  <c r="I63" i="2"/>
  <c r="D24" i="2" l="1"/>
  <c r="D39" i="2" l="1"/>
  <c r="F8" i="3" l="1"/>
  <c r="F7" i="3"/>
  <c r="F5" i="3"/>
  <c r="F4" i="3"/>
  <c r="E8" i="3"/>
  <c r="E7" i="3"/>
  <c r="E5" i="3"/>
  <c r="H9" i="3"/>
  <c r="F9" i="3"/>
  <c r="F11" i="3"/>
  <c r="F10" i="3"/>
  <c r="H10" i="3" s="1"/>
  <c r="H11" i="3"/>
  <c r="H8" i="3"/>
  <c r="H7" i="3"/>
  <c r="H6" i="3"/>
  <c r="H5" i="3"/>
  <c r="H4" i="3"/>
  <c r="H12" i="3" l="1"/>
  <c r="E7" i="2" l="1"/>
  <c r="H63" i="2" l="1"/>
  <c r="F6" i="2"/>
  <c r="F5" i="2"/>
  <c r="F4" i="2"/>
  <c r="M36" i="2"/>
  <c r="K36" i="2"/>
  <c r="I36" i="2"/>
  <c r="F52" i="2" l="1"/>
  <c r="F50" i="2"/>
  <c r="F45" i="2"/>
  <c r="F44" i="2"/>
  <c r="F41" i="2"/>
  <c r="F40" i="2"/>
  <c r="F32" i="2"/>
  <c r="F29" i="2"/>
  <c r="F26" i="2" l="1"/>
  <c r="F28" i="2"/>
  <c r="F25" i="2"/>
  <c r="F13" i="2"/>
  <c r="E26" i="2"/>
  <c r="F11" i="2"/>
  <c r="F9" i="2"/>
  <c r="F8" i="2"/>
  <c r="F7" i="2"/>
  <c r="E44" i="2"/>
  <c r="G44" i="2" s="1"/>
  <c r="E41" i="2"/>
  <c r="E40" i="2"/>
  <c r="G40" i="2" s="1"/>
  <c r="E45" i="2"/>
  <c r="M39" i="2"/>
  <c r="M49" i="2"/>
  <c r="K35" i="2"/>
  <c r="K39" i="2"/>
  <c r="K49" i="2"/>
  <c r="I35" i="2"/>
  <c r="I39" i="2"/>
  <c r="I49" i="2"/>
  <c r="G48" i="2"/>
  <c r="I48" i="2" s="1"/>
  <c r="G47" i="2"/>
  <c r="M47" i="2" s="1"/>
  <c r="G46" i="2"/>
  <c r="K46" i="2" s="1"/>
  <c r="G45" i="2"/>
  <c r="K45" i="2" s="1"/>
  <c r="G43" i="2"/>
  <c r="K43" i="2" s="1"/>
  <c r="G42" i="2"/>
  <c r="K42" i="2" s="1"/>
  <c r="G41" i="2"/>
  <c r="M41" i="2" s="1"/>
  <c r="I46" i="2" l="1"/>
  <c r="M46" i="2"/>
  <c r="M45" i="2"/>
  <c r="M48" i="2"/>
  <c r="K48" i="2"/>
  <c r="I47" i="2"/>
  <c r="K47" i="2"/>
  <c r="I42" i="2"/>
  <c r="M42" i="2"/>
  <c r="I44" i="2"/>
  <c r="M44" i="2"/>
  <c r="K44" i="2"/>
  <c r="K41" i="2"/>
  <c r="I41" i="2"/>
  <c r="K40" i="2"/>
  <c r="I40" i="2"/>
  <c r="M40" i="2"/>
  <c r="I45" i="2"/>
  <c r="I43" i="2"/>
  <c r="M43" i="2"/>
  <c r="E52" i="2" l="1"/>
  <c r="G52" i="2" s="1"/>
  <c r="E50" i="2"/>
  <c r="E32" i="2"/>
  <c r="E29" i="2"/>
  <c r="E13" i="2"/>
  <c r="E11" i="2"/>
  <c r="E9" i="2"/>
  <c r="E8" i="2"/>
  <c r="I55" i="2"/>
  <c r="G53" i="2"/>
  <c r="G54" i="2"/>
  <c r="G55" i="2"/>
  <c r="K55" i="2" s="1"/>
  <c r="G56" i="2"/>
  <c r="K56" i="2" s="1"/>
  <c r="G57" i="2"/>
  <c r="G51" i="2"/>
  <c r="G50" i="2"/>
  <c r="G38" i="2"/>
  <c r="G37" i="2"/>
  <c r="K54" i="2"/>
  <c r="K51" i="2" l="1"/>
  <c r="M51" i="2"/>
  <c r="I51" i="2"/>
  <c r="K52" i="2"/>
  <c r="M52" i="2"/>
  <c r="I52" i="2"/>
  <c r="I37" i="2"/>
  <c r="K37" i="2"/>
  <c r="M53" i="2"/>
  <c r="I53" i="2"/>
  <c r="M38" i="2"/>
  <c r="K38" i="2"/>
  <c r="I38" i="2"/>
  <c r="I50" i="2"/>
  <c r="K50" i="2"/>
  <c r="M50" i="2"/>
  <c r="M55" i="2"/>
  <c r="I56" i="2"/>
  <c r="M56" i="2"/>
  <c r="M37" i="2"/>
  <c r="K53" i="2"/>
  <c r="M54" i="2"/>
  <c r="I54" i="2"/>
  <c r="G33" i="2" l="1"/>
  <c r="G34" i="2"/>
  <c r="I34" i="2" s="1"/>
  <c r="M34" i="2" l="1"/>
  <c r="G7" i="2" l="1"/>
  <c r="I7" i="2" s="1"/>
  <c r="G12" i="2"/>
  <c r="K12" i="2" s="1"/>
  <c r="G13" i="2"/>
  <c r="K13" i="2" s="1"/>
  <c r="I13" i="2"/>
  <c r="G14" i="2"/>
  <c r="K14" i="2" s="1"/>
  <c r="G15" i="2"/>
  <c r="K15" i="2" s="1"/>
  <c r="G16" i="2"/>
  <c r="K16" i="2" s="1"/>
  <c r="G5" i="2"/>
  <c r="K5" i="2" s="1"/>
  <c r="G6" i="2"/>
  <c r="K6" i="2" s="1"/>
  <c r="G8" i="2"/>
  <c r="M8" i="2" s="1"/>
  <c r="G9" i="2"/>
  <c r="M9" i="2" s="1"/>
  <c r="G10" i="2"/>
  <c r="K10" i="2" s="1"/>
  <c r="G11" i="2"/>
  <c r="I11" i="2" s="1"/>
  <c r="G18" i="2"/>
  <c r="M18" i="2" s="1"/>
  <c r="G19" i="2"/>
  <c r="K19" i="2" s="1"/>
  <c r="G20" i="2"/>
  <c r="I20" i="2" s="1"/>
  <c r="G21" i="2"/>
  <c r="K21" i="2" s="1"/>
  <c r="G22" i="2"/>
  <c r="I22" i="2" s="1"/>
  <c r="G23" i="2"/>
  <c r="M23" i="2" s="1"/>
  <c r="G25" i="2"/>
  <c r="K25" i="2" s="1"/>
  <c r="G26" i="2"/>
  <c r="I26" i="2" s="1"/>
  <c r="G27" i="2"/>
  <c r="M27" i="2" s="1"/>
  <c r="G28" i="2"/>
  <c r="M28" i="2" s="1"/>
  <c r="G29" i="2"/>
  <c r="K29" i="2" s="1"/>
  <c r="G30" i="2"/>
  <c r="I30" i="2" s="1"/>
  <c r="G32" i="2"/>
  <c r="M32" i="2" s="1"/>
  <c r="K33" i="2"/>
  <c r="M57" i="2"/>
  <c r="G4" i="2"/>
  <c r="I4" i="2" s="1"/>
  <c r="I15" i="2" l="1"/>
  <c r="I9" i="2"/>
  <c r="K32" i="2"/>
  <c r="K23" i="2"/>
  <c r="I28" i="2"/>
  <c r="K18" i="2"/>
  <c r="I33" i="2"/>
  <c r="I19" i="2"/>
  <c r="I29" i="2"/>
  <c r="I21" i="2"/>
  <c r="I10" i="2"/>
  <c r="K57" i="2"/>
  <c r="K27" i="2"/>
  <c r="K8" i="2"/>
  <c r="I25" i="2"/>
  <c r="I6" i="2"/>
  <c r="I32" i="2"/>
  <c r="I18" i="2"/>
  <c r="K28" i="2"/>
  <c r="K9" i="2"/>
  <c r="M30" i="2"/>
  <c r="M26" i="2"/>
  <c r="M22" i="2"/>
  <c r="M20" i="2"/>
  <c r="M11" i="2"/>
  <c r="M7" i="2"/>
  <c r="K34" i="2"/>
  <c r="K30" i="2"/>
  <c r="K26" i="2"/>
  <c r="K22" i="2"/>
  <c r="K20" i="2"/>
  <c r="K11" i="2"/>
  <c r="K7" i="2"/>
  <c r="M33" i="2"/>
  <c r="M29" i="2"/>
  <c r="M25" i="2"/>
  <c r="M21" i="2"/>
  <c r="M19" i="2"/>
  <c r="M10" i="2"/>
  <c r="M6" i="2"/>
  <c r="I57" i="2"/>
  <c r="I27" i="2"/>
  <c r="I23" i="2"/>
  <c r="I8" i="2"/>
  <c r="I16" i="2"/>
  <c r="I14" i="2"/>
  <c r="I12" i="2"/>
  <c r="M4" i="2"/>
  <c r="M16" i="2"/>
  <c r="M15" i="2"/>
  <c r="M14" i="2"/>
  <c r="M13" i="2"/>
  <c r="M12" i="2"/>
  <c r="K4" i="2"/>
  <c r="I5" i="2"/>
  <c r="M5" i="2"/>
  <c r="I58" i="2" l="1"/>
  <c r="K58" i="2"/>
  <c r="M58" i="2"/>
  <c r="M60" i="2" l="1"/>
  <c r="M63" i="2"/>
  <c r="K60" i="2"/>
  <c r="K63" i="2"/>
</calcChain>
</file>

<file path=xl/sharedStrings.xml><?xml version="1.0" encoding="utf-8"?>
<sst xmlns="http://schemas.openxmlformats.org/spreadsheetml/2006/main" count="270" uniqueCount="165">
  <si>
    <t>V75-1</t>
  </si>
  <si>
    <t>1 BANK VALVE</t>
  </si>
  <si>
    <t>B-210081</t>
  </si>
  <si>
    <t>V75-2</t>
  </si>
  <si>
    <t>2 BANK VALVE</t>
  </si>
  <si>
    <t>B-210082</t>
  </si>
  <si>
    <t>V75-3</t>
  </si>
  <si>
    <t>3 BANK VALVE</t>
  </si>
  <si>
    <t>B-210083</t>
  </si>
  <si>
    <t>V75-HA</t>
  </si>
  <si>
    <t>HANDLE ASSEMBLY</t>
  </si>
  <si>
    <t>B-220190</t>
  </si>
  <si>
    <t>V75-HB</t>
  </si>
  <si>
    <t>HANDLE BRACKET</t>
  </si>
  <si>
    <t>B-202201</t>
  </si>
  <si>
    <t>V75-HP</t>
  </si>
  <si>
    <t>HANDLE PINS</t>
  </si>
  <si>
    <t>B-220615</t>
  </si>
  <si>
    <t>V75-KU</t>
  </si>
  <si>
    <t>V75 U-LINK KIT</t>
  </si>
  <si>
    <t>V75-RC</t>
  </si>
  <si>
    <t>PORT RELIEF CARTRIDGE</t>
  </si>
  <si>
    <t>V75-KS-1</t>
  </si>
  <si>
    <t>V75-KS-2</t>
  </si>
  <si>
    <t>SINGLE BANK SEAL KIT</t>
  </si>
  <si>
    <t>DOUBLE BANK SEAL KIT</t>
  </si>
  <si>
    <t>B-202202</t>
  </si>
  <si>
    <t>V75-CS-4</t>
  </si>
  <si>
    <t>@2012</t>
  </si>
  <si>
    <t>V75 CENTRE SECTION</t>
  </si>
  <si>
    <t>PART NO</t>
  </si>
  <si>
    <t>DESCRIPTION</t>
  </si>
  <si>
    <t>COST</t>
  </si>
  <si>
    <t>V75-1 QTY</t>
  </si>
  <si>
    <t>V75-2 QTY</t>
  </si>
  <si>
    <t>V75-3 QTY</t>
  </si>
  <si>
    <t>V75-1 COST</t>
  </si>
  <si>
    <t>V75-2 COST</t>
  </si>
  <si>
    <t>V75-3 COST</t>
  </si>
  <si>
    <t>V75-CS</t>
  </si>
  <si>
    <t>MACHINING</t>
  </si>
  <si>
    <t>V75-IC</t>
  </si>
  <si>
    <t>V75-OC</t>
  </si>
  <si>
    <t>TOTAL COST</t>
  </si>
  <si>
    <t>V75-BS</t>
  </si>
  <si>
    <t>SPRING WASHER</t>
  </si>
  <si>
    <t>BONNET SPRING WASHER</t>
  </si>
  <si>
    <t>COMMENTS</t>
  </si>
  <si>
    <t>M6-25 CH</t>
  </si>
  <si>
    <t>BONNET SCREW</t>
  </si>
  <si>
    <t>INLET COVER</t>
  </si>
  <si>
    <t>OUTLET COVER</t>
  </si>
  <si>
    <t>CENTRE SECTION</t>
  </si>
  <si>
    <t>SPOOL</t>
  </si>
  <si>
    <t>SPOOL CLEVIS</t>
  </si>
  <si>
    <t>SPRING CUP</t>
  </si>
  <si>
    <t>STD SPOOL SPRING</t>
  </si>
  <si>
    <t>SPOOL POSITIONER</t>
  </si>
  <si>
    <t>SPOOL SEALING WASHER</t>
  </si>
  <si>
    <t>STEEL BONNET</t>
  </si>
  <si>
    <t>V75-KS</t>
  </si>
  <si>
    <t>SEAL KIT</t>
  </si>
  <si>
    <t>2-210</t>
  </si>
  <si>
    <t>1 X SPOOL</t>
  </si>
  <si>
    <t>HANDLE SCREW</t>
  </si>
  <si>
    <t>HANDLE SPRING WASHER</t>
  </si>
  <si>
    <t>WS-6</t>
  </si>
  <si>
    <t>2-118</t>
  </si>
  <si>
    <t>2-116</t>
  </si>
  <si>
    <t>3 X BTW CS</t>
  </si>
  <si>
    <t>1 X BTW CS</t>
  </si>
  <si>
    <t>WS-08</t>
  </si>
  <si>
    <t>HANDLE STEM</t>
  </si>
  <si>
    <t>NUT</t>
  </si>
  <si>
    <t>M10</t>
  </si>
  <si>
    <t>HANDLE BASE</t>
  </si>
  <si>
    <t>CLEVIS PIN</t>
  </si>
  <si>
    <t>U-LINK KIT</t>
  </si>
  <si>
    <t>U-LINK</t>
  </si>
  <si>
    <t>U-LINK PLATE</t>
  </si>
  <si>
    <t>BLACK KNOB</t>
  </si>
  <si>
    <t>V75 VALVES BILLS OF MATERIALS AND COSTING</t>
  </si>
  <si>
    <t>M10-210 TIE ROD T20/20</t>
  </si>
  <si>
    <t>ESTIMATED PRICE</t>
  </si>
  <si>
    <t>5MM RETAINING RING</t>
  </si>
  <si>
    <t>E-CLIP</t>
  </si>
  <si>
    <t>SUPPLIER</t>
  </si>
  <si>
    <t>HIGH DUTY CASTINGS</t>
  </si>
  <si>
    <t>KPL DIE CASTINGS</t>
  </si>
  <si>
    <t>BASCOL</t>
  </si>
  <si>
    <t>AGRIGEL</t>
  </si>
  <si>
    <t>TURBO FASTENERS</t>
  </si>
  <si>
    <t>VARCO INDUSTRIAL</t>
  </si>
  <si>
    <t>DIA 12 BMS</t>
  </si>
  <si>
    <t>-</t>
  </si>
  <si>
    <t>IN-HOUSE</t>
  </si>
  <si>
    <t>Material</t>
  </si>
  <si>
    <t>Dia 7 BMS x 3m length</t>
  </si>
  <si>
    <t>Dia 9.52 EN8 x 3m length</t>
  </si>
  <si>
    <t>V75-RCP</t>
  </si>
  <si>
    <t>PORT RELIEF PLUG</t>
  </si>
  <si>
    <t>PORT RELIEF PLUG HOUSING</t>
  </si>
  <si>
    <t>LOAD HOLDING SPRING</t>
  </si>
  <si>
    <t>LOAD HOLDING CHECK</t>
  </si>
  <si>
    <t>BACKUP</t>
  </si>
  <si>
    <t>SEAL</t>
  </si>
  <si>
    <t>8-015</t>
  </si>
  <si>
    <t>8-016</t>
  </si>
  <si>
    <t>2-015</t>
  </si>
  <si>
    <t>2-016</t>
  </si>
  <si>
    <t>17HEX EN8 50mm</t>
  </si>
  <si>
    <t>DIA 30 EN8 16mm</t>
  </si>
  <si>
    <t>DIA 38 EN8 3.5mm</t>
  </si>
  <si>
    <t>DIA 20 EN8/EN1A HRC</t>
  </si>
  <si>
    <t>DIA 20 EN8 34mm</t>
  </si>
  <si>
    <t>CAST ZINC</t>
  </si>
  <si>
    <t>STUDS</t>
  </si>
  <si>
    <t>STUD</t>
  </si>
  <si>
    <t>28HEX EN8 65mm</t>
  </si>
  <si>
    <t>DIA 19 EN8   HEAT/TR</t>
  </si>
  <si>
    <t>Hardchroming each</t>
  </si>
  <si>
    <t>Plating per kg</t>
  </si>
  <si>
    <t>DIA 19 EN8 20mm H/T</t>
  </si>
  <si>
    <t>DIA 12 BMS 75mm</t>
  </si>
  <si>
    <t>DIA 9.252 EN8 30mm</t>
  </si>
  <si>
    <t xml:space="preserve">DIA 9.525 </t>
  </si>
  <si>
    <t>3/8</t>
  </si>
  <si>
    <t>Joseph</t>
  </si>
  <si>
    <t>Andrew</t>
  </si>
  <si>
    <t>ABS / HDPE</t>
  </si>
  <si>
    <t>V75-RPA</t>
  </si>
  <si>
    <t>MAIN RELIEF</t>
  </si>
  <si>
    <t>MAIN RELIEF HOUSING</t>
  </si>
  <si>
    <t>POPPET</t>
  </si>
  <si>
    <t>POPPET SEAL</t>
  </si>
  <si>
    <t>SPRING</t>
  </si>
  <si>
    <t>ADJUSTER</t>
  </si>
  <si>
    <t>ADJUSTER NUT</t>
  </si>
  <si>
    <t>BACK O-RING</t>
  </si>
  <si>
    <t>NUT O-RING</t>
  </si>
  <si>
    <t>2-022</t>
  </si>
  <si>
    <t>3-910</t>
  </si>
  <si>
    <t>FRONT O-RING</t>
  </si>
  <si>
    <t>2-020</t>
  </si>
  <si>
    <t>32 HEX 58mm    HT</t>
  </si>
  <si>
    <t>DIA 16 EN8 35mm HT</t>
  </si>
  <si>
    <t>PTFE dia 16 6mm</t>
  </si>
  <si>
    <t>TEFLEX</t>
  </si>
  <si>
    <t>DIA 22 EN8 20mm PL 20 g</t>
  </si>
  <si>
    <t>28HEX EN8 12mm PL 15g</t>
  </si>
  <si>
    <t>Dahlih Machining</t>
  </si>
  <si>
    <t>Lathe Machining</t>
  </si>
  <si>
    <t>Other</t>
  </si>
  <si>
    <t xml:space="preserve">Current Price : </t>
  </si>
  <si>
    <t xml:space="preserve">Profit : </t>
  </si>
  <si>
    <t>HOUSING</t>
  </si>
  <si>
    <t>RED KNOB</t>
  </si>
  <si>
    <t>SPRING CUP 1</t>
  </si>
  <si>
    <t>SPRING CUP 2</t>
  </si>
  <si>
    <t>QTY</t>
  </si>
  <si>
    <t>BOLT</t>
  </si>
  <si>
    <t>8mm</t>
  </si>
  <si>
    <t>Dia 24 EN1A</t>
  </si>
  <si>
    <t>Dia 20 En8</t>
  </si>
  <si>
    <t>M8-16 Set Screw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</si>
</sst>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R&quot;\ * #,##0.00_ ;_ &quot;R&quot;\ * \-#,##0.00_ ;_ &quot;R&quot;\ * &quot;-&quot;??_ ;_ @_ "/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 wrapText="1"/>
    </xf>
    <xf numFmtId="44" fontId="3" fillId="0" borderId="0" xfId="2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44" fontId="0" fillId="0" borderId="0" xfId="2" applyFont="1" applyBorder="1"/>
    <xf numFmtId="44" fontId="3" fillId="0" borderId="0" xfId="2" applyFont="1" applyBorder="1" applyAlignment="1">
      <alignment vertical="center"/>
    </xf>
    <xf numFmtId="44" fontId="0" fillId="0" borderId="0" xfId="2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quotePrefix="1" applyFont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3" fontId="2" fillId="0" borderId="16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3" fontId="1" fillId="0" borderId="17" xfId="1" applyFont="1" applyBorder="1" applyAlignment="1">
      <alignment vertical="center"/>
    </xf>
    <xf numFmtId="43" fontId="1" fillId="0" borderId="14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vertical="center"/>
    </xf>
    <xf numFmtId="43" fontId="1" fillId="4" borderId="2" xfId="0" applyNumberFormat="1" applyFont="1" applyFill="1" applyBorder="1" applyAlignment="1">
      <alignment vertical="center"/>
    </xf>
    <xf numFmtId="43" fontId="1" fillId="3" borderId="2" xfId="0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1" fillId="0" borderId="18" xfId="1" applyFont="1" applyBorder="1" applyAlignment="1">
      <alignment vertical="center"/>
    </xf>
    <xf numFmtId="43" fontId="1" fillId="0" borderId="13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1" fillId="4" borderId="3" xfId="0" applyNumberFormat="1" applyFont="1" applyFill="1" applyBorder="1" applyAlignment="1">
      <alignment vertical="center"/>
    </xf>
    <xf numFmtId="43" fontId="1" fillId="3" borderId="3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1" fillId="0" borderId="19" xfId="1" applyFont="1" applyBorder="1" applyAlignment="1">
      <alignment vertical="center"/>
    </xf>
    <xf numFmtId="43" fontId="1" fillId="0" borderId="12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43" fontId="1" fillId="2" borderId="6" xfId="0" applyNumberFormat="1" applyFont="1" applyFill="1" applyBorder="1" applyAlignment="1">
      <alignment vertical="center"/>
    </xf>
    <xf numFmtId="43" fontId="1" fillId="4" borderId="6" xfId="0" applyNumberFormat="1" applyFont="1" applyFill="1" applyBorder="1" applyAlignment="1">
      <alignment vertical="center"/>
    </xf>
    <xf numFmtId="43" fontId="1" fillId="3" borderId="6" xfId="0" applyNumberFormat="1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vertical="center"/>
    </xf>
    <xf numFmtId="43" fontId="1" fillId="0" borderId="1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2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6" fontId="5" fillId="0" borderId="0" xfId="0" quotePrefix="1" applyNumberFormat="1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1" fillId="0" borderId="21" xfId="1" applyFont="1" applyBorder="1" applyAlignment="1">
      <alignment vertical="center"/>
    </xf>
    <xf numFmtId="43" fontId="2" fillId="0" borderId="5" xfId="1" applyFont="1" applyBorder="1" applyAlignment="1">
      <alignment horizontal="center" vertical="center"/>
    </xf>
    <xf numFmtId="43" fontId="1" fillId="0" borderId="9" xfId="1" applyFont="1" applyBorder="1" applyAlignment="1">
      <alignment vertical="center"/>
    </xf>
    <xf numFmtId="43" fontId="1" fillId="0" borderId="22" xfId="1" applyFont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43" fontId="1" fillId="0" borderId="24" xfId="1" applyFont="1" applyBorder="1" applyAlignment="1">
      <alignment vertical="center"/>
    </xf>
    <xf numFmtId="43" fontId="1" fillId="0" borderId="24" xfId="0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43" fontId="0" fillId="0" borderId="1" xfId="0" applyNumberFormat="1" applyBorder="1"/>
    <xf numFmtId="0" fontId="1" fillId="0" borderId="24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NumberForma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2" fontId="0" fillId="0" borderId="23" xfId="0" applyNumberFormat="1" applyBorder="1" applyAlignment="1">
      <alignment vertical="center"/>
    </xf>
    <xf numFmtId="43" fontId="5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pane ySplit="1140" topLeftCell="A13" activePane="bottomLeft"/>
      <selection pane="bottomLeft" activeCell="I6" sqref="I6"/>
    </sheetView>
  </sheetViews>
  <sheetFormatPr defaultRowHeight="15" x14ac:dyDescent="0.25"/>
  <cols>
    <col min="1" max="1" width="8.42578125" style="16" customWidth="1"/>
    <col min="2" max="2" width="21.140625" style="16" customWidth="1"/>
    <col min="3" max="3" width="17.5703125" style="16" customWidth="1"/>
    <col min="4" max="4" width="16.85546875" style="27" customWidth="1"/>
    <col min="5" max="5" width="14.7109375" style="17" customWidth="1"/>
    <col min="6" max="6" width="13" style="17" customWidth="1"/>
    <col min="7" max="7" width="12.7109375" style="18" customWidth="1"/>
    <col min="8" max="8" width="10.7109375" style="19" customWidth="1"/>
    <col min="9" max="9" width="12.7109375" style="18" customWidth="1"/>
    <col min="10" max="10" width="10.7109375" style="19" customWidth="1"/>
    <col min="11" max="11" width="12.7109375" style="18" customWidth="1"/>
    <col min="12" max="12" width="10.7109375" style="19" customWidth="1"/>
    <col min="13" max="13" width="12.7109375" style="18" customWidth="1"/>
    <col min="14" max="16384" width="9.140625" style="16"/>
  </cols>
  <sheetData>
    <row r="1" spans="1:13" ht="15.75" x14ac:dyDescent="0.25">
      <c r="A1" s="60" t="s">
        <v>81</v>
      </c>
    </row>
    <row r="2" spans="1:13" ht="10.5" customHeight="1" thickBot="1" x14ac:dyDescent="0.3"/>
    <row r="3" spans="1:13" s="27" customFormat="1" ht="15.75" thickBot="1" x14ac:dyDescent="0.3">
      <c r="A3" s="59" t="s">
        <v>30</v>
      </c>
      <c r="B3" s="21" t="s">
        <v>31</v>
      </c>
      <c r="C3" s="21" t="s">
        <v>47</v>
      </c>
      <c r="D3" s="21" t="s">
        <v>86</v>
      </c>
      <c r="E3" s="20" t="s">
        <v>32</v>
      </c>
      <c r="F3" s="69" t="s">
        <v>40</v>
      </c>
      <c r="G3" s="22" t="s">
        <v>43</v>
      </c>
      <c r="H3" s="23" t="s">
        <v>33</v>
      </c>
      <c r="I3" s="24" t="s">
        <v>36</v>
      </c>
      <c r="J3" s="23" t="s">
        <v>34</v>
      </c>
      <c r="K3" s="25" t="s">
        <v>37</v>
      </c>
      <c r="L3" s="23" t="s">
        <v>35</v>
      </c>
      <c r="M3" s="26" t="s">
        <v>38</v>
      </c>
    </row>
    <row r="4" spans="1:13" x14ac:dyDescent="0.25">
      <c r="A4" s="28" t="s">
        <v>41</v>
      </c>
      <c r="B4" s="29" t="s">
        <v>50</v>
      </c>
      <c r="C4" s="29"/>
      <c r="D4" s="54" t="s">
        <v>87</v>
      </c>
      <c r="E4" s="30">
        <v>196</v>
      </c>
      <c r="F4" s="70">
        <f>$C$63*(10/60)+$C$63*(20/60)</f>
        <v>150</v>
      </c>
      <c r="G4" s="31">
        <f>SUM(E4:F4)</f>
        <v>346</v>
      </c>
      <c r="H4" s="32">
        <v>1</v>
      </c>
      <c r="I4" s="33">
        <f>G4*H4</f>
        <v>346</v>
      </c>
      <c r="J4" s="32">
        <v>1</v>
      </c>
      <c r="K4" s="34">
        <f>G4*J4</f>
        <v>346</v>
      </c>
      <c r="L4" s="32">
        <v>1</v>
      </c>
      <c r="M4" s="35">
        <f>G4*L4</f>
        <v>346</v>
      </c>
    </row>
    <row r="5" spans="1:13" x14ac:dyDescent="0.25">
      <c r="A5" s="36" t="s">
        <v>42</v>
      </c>
      <c r="B5" s="37" t="s">
        <v>51</v>
      </c>
      <c r="C5" s="37"/>
      <c r="D5" s="55" t="s">
        <v>87</v>
      </c>
      <c r="E5" s="38">
        <v>185</v>
      </c>
      <c r="F5" s="71">
        <f>$C$63*(10/60)+$C$63*(15/60)</f>
        <v>125</v>
      </c>
      <c r="G5" s="39">
        <f t="shared" ref="G5:G57" si="0">SUM(E5:F5)</f>
        <v>310</v>
      </c>
      <c r="H5" s="19">
        <v>1</v>
      </c>
      <c r="I5" s="40">
        <f t="shared" ref="I5:I57" si="1">G5*H5</f>
        <v>310</v>
      </c>
      <c r="J5" s="19">
        <v>1</v>
      </c>
      <c r="K5" s="41">
        <f t="shared" ref="K5:K57" si="2">G5*J5</f>
        <v>310</v>
      </c>
      <c r="L5" s="19">
        <v>1</v>
      </c>
      <c r="M5" s="42">
        <f t="shared" ref="M5:M57" si="3">G5*L5</f>
        <v>310</v>
      </c>
    </row>
    <row r="6" spans="1:13" x14ac:dyDescent="0.25">
      <c r="A6" s="36" t="s">
        <v>39</v>
      </c>
      <c r="B6" s="37" t="s">
        <v>52</v>
      </c>
      <c r="C6" s="37"/>
      <c r="D6" s="55" t="s">
        <v>87</v>
      </c>
      <c r="E6" s="38">
        <v>232</v>
      </c>
      <c r="F6" s="71">
        <f>$C$63*(10/60)+$C$63*(40/60)</f>
        <v>250</v>
      </c>
      <c r="G6" s="39">
        <f t="shared" si="0"/>
        <v>482</v>
      </c>
      <c r="H6" s="19">
        <v>1</v>
      </c>
      <c r="I6" s="40">
        <f t="shared" si="1"/>
        <v>482</v>
      </c>
      <c r="J6" s="19">
        <v>2</v>
      </c>
      <c r="K6" s="41">
        <f t="shared" si="2"/>
        <v>964</v>
      </c>
      <c r="L6" s="19">
        <v>3</v>
      </c>
      <c r="M6" s="42">
        <f t="shared" si="3"/>
        <v>1446</v>
      </c>
    </row>
    <row r="7" spans="1:13" x14ac:dyDescent="0.25">
      <c r="A7" s="36"/>
      <c r="B7" s="37" t="s">
        <v>53</v>
      </c>
      <c r="C7" s="37" t="s">
        <v>113</v>
      </c>
      <c r="D7" s="61" t="s">
        <v>95</v>
      </c>
      <c r="E7" s="38">
        <f>48.4+165/3000*210</f>
        <v>59.95</v>
      </c>
      <c r="F7" s="67">
        <f>$C$64*(10/60)+$C$65*(10/60)</f>
        <v>66.666666666666657</v>
      </c>
      <c r="G7" s="39">
        <f t="shared" si="0"/>
        <v>126.61666666666666</v>
      </c>
      <c r="H7" s="19">
        <v>1</v>
      </c>
      <c r="I7" s="40">
        <f t="shared" si="1"/>
        <v>126.61666666666666</v>
      </c>
      <c r="J7" s="19">
        <v>2</v>
      </c>
      <c r="K7" s="41">
        <f t="shared" si="2"/>
        <v>253.23333333333332</v>
      </c>
      <c r="L7" s="19">
        <v>3</v>
      </c>
      <c r="M7" s="42">
        <f t="shared" si="3"/>
        <v>379.84999999999997</v>
      </c>
    </row>
    <row r="8" spans="1:13" x14ac:dyDescent="0.25">
      <c r="A8" s="36"/>
      <c r="B8" s="37" t="s">
        <v>54</v>
      </c>
      <c r="C8" s="37" t="s">
        <v>110</v>
      </c>
      <c r="D8" s="61" t="s">
        <v>95</v>
      </c>
      <c r="E8" s="38">
        <f>134/3000*50+5/1000*36</f>
        <v>2.4133333333333336</v>
      </c>
      <c r="F8" s="67">
        <f>$C$64*(4/60)+$C$65*(3/60)</f>
        <v>24.166666666666668</v>
      </c>
      <c r="G8" s="39">
        <f t="shared" si="0"/>
        <v>26.580000000000002</v>
      </c>
      <c r="H8" s="19">
        <v>1</v>
      </c>
      <c r="I8" s="40">
        <f t="shared" si="1"/>
        <v>26.580000000000002</v>
      </c>
      <c r="J8" s="19">
        <v>2</v>
      </c>
      <c r="K8" s="41">
        <f t="shared" si="2"/>
        <v>53.160000000000004</v>
      </c>
      <c r="L8" s="19">
        <v>3</v>
      </c>
      <c r="M8" s="42">
        <f t="shared" si="3"/>
        <v>79.740000000000009</v>
      </c>
    </row>
    <row r="9" spans="1:13" x14ac:dyDescent="0.25">
      <c r="A9" s="36"/>
      <c r="B9" s="37" t="s">
        <v>55</v>
      </c>
      <c r="C9" s="37" t="s">
        <v>111</v>
      </c>
      <c r="D9" s="61" t="s">
        <v>95</v>
      </c>
      <c r="E9" s="38">
        <f>490/3000*16+5/1000*18</f>
        <v>2.7033333333333331</v>
      </c>
      <c r="F9" s="67">
        <f>$C$64*(4/60)</f>
        <v>16.666666666666668</v>
      </c>
      <c r="G9" s="39">
        <f t="shared" si="0"/>
        <v>19.37</v>
      </c>
      <c r="H9" s="19">
        <v>2</v>
      </c>
      <c r="I9" s="40">
        <f t="shared" si="1"/>
        <v>38.74</v>
      </c>
      <c r="J9" s="19">
        <v>4</v>
      </c>
      <c r="K9" s="41">
        <f t="shared" si="2"/>
        <v>77.48</v>
      </c>
      <c r="L9" s="19">
        <v>6</v>
      </c>
      <c r="M9" s="42">
        <f t="shared" si="3"/>
        <v>116.22</v>
      </c>
    </row>
    <row r="10" spans="1:13" x14ac:dyDescent="0.25">
      <c r="A10" s="36"/>
      <c r="B10" s="37" t="s">
        <v>56</v>
      </c>
      <c r="C10" s="37"/>
      <c r="D10" s="55"/>
      <c r="E10" s="38">
        <v>2</v>
      </c>
      <c r="F10" s="67">
        <v>0</v>
      </c>
      <c r="G10" s="39">
        <f t="shared" si="0"/>
        <v>2</v>
      </c>
      <c r="H10" s="19">
        <v>1</v>
      </c>
      <c r="I10" s="40">
        <f t="shared" si="1"/>
        <v>2</v>
      </c>
      <c r="J10" s="19">
        <v>2</v>
      </c>
      <c r="K10" s="41">
        <f t="shared" si="2"/>
        <v>4</v>
      </c>
      <c r="L10" s="19">
        <v>3</v>
      </c>
      <c r="M10" s="42">
        <f t="shared" si="3"/>
        <v>6</v>
      </c>
    </row>
    <row r="11" spans="1:13" x14ac:dyDescent="0.25">
      <c r="A11" s="36"/>
      <c r="B11" s="37" t="s">
        <v>57</v>
      </c>
      <c r="C11" s="37" t="s">
        <v>114</v>
      </c>
      <c r="D11" s="61" t="s">
        <v>95</v>
      </c>
      <c r="E11" s="38">
        <f>165/3000*34+5/1000*22</f>
        <v>1.9800000000000002</v>
      </c>
      <c r="F11" s="67">
        <f>$C$64*(3/60)</f>
        <v>12.5</v>
      </c>
      <c r="G11" s="39">
        <f t="shared" si="0"/>
        <v>14.48</v>
      </c>
      <c r="H11" s="19">
        <v>1</v>
      </c>
      <c r="I11" s="40">
        <f t="shared" si="1"/>
        <v>14.48</v>
      </c>
      <c r="J11" s="19">
        <v>2</v>
      </c>
      <c r="K11" s="41">
        <f t="shared" si="2"/>
        <v>28.96</v>
      </c>
      <c r="L11" s="19">
        <v>3</v>
      </c>
      <c r="M11" s="42">
        <f t="shared" si="3"/>
        <v>43.44</v>
      </c>
    </row>
    <row r="12" spans="1:13" x14ac:dyDescent="0.25">
      <c r="A12" s="36"/>
      <c r="B12" s="37" t="s">
        <v>45</v>
      </c>
      <c r="C12" s="37" t="s">
        <v>71</v>
      </c>
      <c r="D12" s="55" t="s">
        <v>91</v>
      </c>
      <c r="E12" s="38">
        <v>0.04</v>
      </c>
      <c r="F12" s="67">
        <v>0</v>
      </c>
      <c r="G12" s="39">
        <f t="shared" ref="G12:G16" si="4">SUM(E12:F12)</f>
        <v>0.04</v>
      </c>
      <c r="H12" s="19">
        <v>1</v>
      </c>
      <c r="I12" s="40">
        <f t="shared" ref="I12:I16" si="5">G12*H12</f>
        <v>0.04</v>
      </c>
      <c r="J12" s="19">
        <v>2</v>
      </c>
      <c r="K12" s="41">
        <f t="shared" ref="K12:K16" si="6">G12*J12</f>
        <v>0.08</v>
      </c>
      <c r="L12" s="19">
        <v>3</v>
      </c>
      <c r="M12" s="42">
        <f t="shared" ref="M12:M16" si="7">G12*L12</f>
        <v>0.12</v>
      </c>
    </row>
    <row r="13" spans="1:13" x14ac:dyDescent="0.25">
      <c r="A13" s="36"/>
      <c r="B13" s="37" t="s">
        <v>58</v>
      </c>
      <c r="C13" s="37" t="s">
        <v>112</v>
      </c>
      <c r="D13" s="61" t="s">
        <v>95</v>
      </c>
      <c r="E13" s="38">
        <f>670/3000*3.5+5/1000*12</f>
        <v>0.84166666666666656</v>
      </c>
      <c r="F13" s="67">
        <f>$C$64*(3/60)</f>
        <v>12.5</v>
      </c>
      <c r="G13" s="39">
        <f t="shared" si="4"/>
        <v>13.341666666666667</v>
      </c>
      <c r="H13" s="19">
        <v>1</v>
      </c>
      <c r="I13" s="40">
        <f t="shared" si="5"/>
        <v>13.341666666666667</v>
      </c>
      <c r="J13" s="19">
        <v>2</v>
      </c>
      <c r="K13" s="41">
        <f t="shared" si="6"/>
        <v>26.683333333333334</v>
      </c>
      <c r="L13" s="19">
        <v>3</v>
      </c>
      <c r="M13" s="42">
        <f t="shared" si="7"/>
        <v>40.024999999999999</v>
      </c>
    </row>
    <row r="14" spans="1:13" x14ac:dyDescent="0.25">
      <c r="A14" s="36" t="s">
        <v>44</v>
      </c>
      <c r="B14" s="37" t="s">
        <v>59</v>
      </c>
      <c r="C14" s="37" t="s">
        <v>83</v>
      </c>
      <c r="D14" s="55" t="s">
        <v>88</v>
      </c>
      <c r="E14" s="38">
        <v>16</v>
      </c>
      <c r="F14" s="67">
        <v>0</v>
      </c>
      <c r="G14" s="39">
        <f t="shared" si="4"/>
        <v>16</v>
      </c>
      <c r="H14" s="19">
        <v>1</v>
      </c>
      <c r="I14" s="40">
        <f t="shared" si="5"/>
        <v>16</v>
      </c>
      <c r="J14" s="19">
        <v>2</v>
      </c>
      <c r="K14" s="41">
        <f t="shared" si="6"/>
        <v>32</v>
      </c>
      <c r="L14" s="19">
        <v>3</v>
      </c>
      <c r="M14" s="42">
        <f t="shared" si="7"/>
        <v>48</v>
      </c>
    </row>
    <row r="15" spans="1:13" x14ac:dyDescent="0.25">
      <c r="A15" s="36"/>
      <c r="B15" s="37" t="s">
        <v>49</v>
      </c>
      <c r="C15" s="37" t="s">
        <v>48</v>
      </c>
      <c r="D15" s="55" t="s">
        <v>91</v>
      </c>
      <c r="E15" s="38">
        <v>0.24</v>
      </c>
      <c r="F15" s="67">
        <v>0</v>
      </c>
      <c r="G15" s="39">
        <f t="shared" si="4"/>
        <v>0.24</v>
      </c>
      <c r="H15" s="19">
        <v>2</v>
      </c>
      <c r="I15" s="40">
        <f t="shared" si="5"/>
        <v>0.48</v>
      </c>
      <c r="J15" s="19">
        <v>4</v>
      </c>
      <c r="K15" s="41">
        <f t="shared" si="6"/>
        <v>0.96</v>
      </c>
      <c r="L15" s="19">
        <v>6</v>
      </c>
      <c r="M15" s="42">
        <f t="shared" si="7"/>
        <v>1.44</v>
      </c>
    </row>
    <row r="16" spans="1:13" x14ac:dyDescent="0.25">
      <c r="A16" s="36"/>
      <c r="B16" s="37" t="s">
        <v>46</v>
      </c>
      <c r="C16" s="37" t="s">
        <v>66</v>
      </c>
      <c r="D16" s="55" t="s">
        <v>91</v>
      </c>
      <c r="E16" s="38">
        <v>0.04</v>
      </c>
      <c r="F16" s="67">
        <v>0</v>
      </c>
      <c r="G16" s="39">
        <f t="shared" si="4"/>
        <v>0.04</v>
      </c>
      <c r="H16" s="19">
        <v>2</v>
      </c>
      <c r="I16" s="40">
        <f t="shared" si="5"/>
        <v>0.08</v>
      </c>
      <c r="J16" s="19">
        <v>4</v>
      </c>
      <c r="K16" s="41">
        <f t="shared" si="6"/>
        <v>0.16</v>
      </c>
      <c r="L16" s="19">
        <v>6</v>
      </c>
      <c r="M16" s="42">
        <f t="shared" si="7"/>
        <v>0.24</v>
      </c>
    </row>
    <row r="17" spans="1:13" x14ac:dyDescent="0.25">
      <c r="A17" s="36" t="s">
        <v>60</v>
      </c>
      <c r="B17" s="43" t="s">
        <v>61</v>
      </c>
      <c r="C17" s="37"/>
      <c r="D17" s="55" t="s">
        <v>94</v>
      </c>
      <c r="E17" s="38"/>
      <c r="F17" s="67"/>
      <c r="G17" s="39"/>
      <c r="I17" s="40"/>
      <c r="K17" s="41"/>
      <c r="M17" s="42"/>
    </row>
    <row r="18" spans="1:13" x14ac:dyDescent="0.25">
      <c r="A18" s="36"/>
      <c r="B18" s="56" t="s">
        <v>62</v>
      </c>
      <c r="C18" s="37" t="s">
        <v>63</v>
      </c>
      <c r="D18" s="55" t="s">
        <v>92</v>
      </c>
      <c r="E18" s="38">
        <v>0.32</v>
      </c>
      <c r="F18" s="67">
        <v>0</v>
      </c>
      <c r="G18" s="39">
        <f t="shared" si="0"/>
        <v>0.32</v>
      </c>
      <c r="H18" s="19">
        <v>1</v>
      </c>
      <c r="I18" s="40">
        <f t="shared" si="1"/>
        <v>0.32</v>
      </c>
      <c r="J18" s="19">
        <v>2</v>
      </c>
      <c r="K18" s="41">
        <f t="shared" si="2"/>
        <v>0.64</v>
      </c>
      <c r="L18" s="19">
        <v>3</v>
      </c>
      <c r="M18" s="42">
        <f t="shared" si="3"/>
        <v>0.96</v>
      </c>
    </row>
    <row r="19" spans="1:13" x14ac:dyDescent="0.25">
      <c r="A19" s="36"/>
      <c r="B19" s="56" t="s">
        <v>68</v>
      </c>
      <c r="C19" s="37" t="s">
        <v>70</v>
      </c>
      <c r="D19" s="55" t="s">
        <v>92</v>
      </c>
      <c r="E19" s="38">
        <v>0.24</v>
      </c>
      <c r="F19" s="67">
        <v>0</v>
      </c>
      <c r="G19" s="39">
        <f t="shared" si="0"/>
        <v>0.24</v>
      </c>
      <c r="H19" s="19">
        <v>2</v>
      </c>
      <c r="I19" s="40">
        <f t="shared" si="1"/>
        <v>0.48</v>
      </c>
      <c r="J19" s="19">
        <v>4</v>
      </c>
      <c r="K19" s="41">
        <f t="shared" si="2"/>
        <v>0.96</v>
      </c>
      <c r="L19" s="19">
        <v>6</v>
      </c>
      <c r="M19" s="42">
        <f t="shared" si="3"/>
        <v>1.44</v>
      </c>
    </row>
    <row r="20" spans="1:13" x14ac:dyDescent="0.25">
      <c r="A20" s="36"/>
      <c r="B20" s="56" t="s">
        <v>67</v>
      </c>
      <c r="C20" s="37" t="s">
        <v>69</v>
      </c>
      <c r="D20" s="55" t="s">
        <v>92</v>
      </c>
      <c r="E20" s="38">
        <v>0.24</v>
      </c>
      <c r="F20" s="67">
        <v>0</v>
      </c>
      <c r="G20" s="39">
        <f t="shared" si="0"/>
        <v>0.24</v>
      </c>
      <c r="H20" s="19">
        <v>6</v>
      </c>
      <c r="I20" s="40">
        <f t="shared" si="1"/>
        <v>1.44</v>
      </c>
      <c r="J20" s="19">
        <v>12</v>
      </c>
      <c r="K20" s="41">
        <f t="shared" si="2"/>
        <v>2.88</v>
      </c>
      <c r="L20" s="19">
        <v>18</v>
      </c>
      <c r="M20" s="42">
        <f t="shared" si="3"/>
        <v>4.32</v>
      </c>
    </row>
    <row r="21" spans="1:13" x14ac:dyDescent="0.25">
      <c r="A21" s="36" t="s">
        <v>12</v>
      </c>
      <c r="B21" s="37" t="s">
        <v>13</v>
      </c>
      <c r="C21" s="37" t="s">
        <v>115</v>
      </c>
      <c r="D21" s="55" t="s">
        <v>88</v>
      </c>
      <c r="E21" s="38">
        <v>15.64</v>
      </c>
      <c r="F21" s="67">
        <v>0</v>
      </c>
      <c r="G21" s="39">
        <f t="shared" si="0"/>
        <v>15.64</v>
      </c>
      <c r="H21" s="19">
        <v>1</v>
      </c>
      <c r="I21" s="40">
        <f t="shared" si="1"/>
        <v>15.64</v>
      </c>
      <c r="J21" s="19">
        <v>2</v>
      </c>
      <c r="K21" s="41">
        <f t="shared" si="2"/>
        <v>31.28</v>
      </c>
      <c r="L21" s="19">
        <v>3</v>
      </c>
      <c r="M21" s="42">
        <f t="shared" si="3"/>
        <v>46.92</v>
      </c>
    </row>
    <row r="22" spans="1:13" x14ac:dyDescent="0.25">
      <c r="A22" s="36"/>
      <c r="B22" s="37" t="s">
        <v>64</v>
      </c>
      <c r="C22" s="37" t="s">
        <v>48</v>
      </c>
      <c r="D22" s="55" t="s">
        <v>91</v>
      </c>
      <c r="E22" s="38">
        <v>0.24</v>
      </c>
      <c r="F22" s="67">
        <v>0</v>
      </c>
      <c r="G22" s="39">
        <f t="shared" si="0"/>
        <v>0.24</v>
      </c>
      <c r="H22" s="19">
        <v>2</v>
      </c>
      <c r="I22" s="40">
        <f t="shared" si="1"/>
        <v>0.48</v>
      </c>
      <c r="J22" s="19">
        <v>4</v>
      </c>
      <c r="K22" s="41">
        <f t="shared" si="2"/>
        <v>0.96</v>
      </c>
      <c r="L22" s="19">
        <v>6</v>
      </c>
      <c r="M22" s="42">
        <f t="shared" si="3"/>
        <v>1.44</v>
      </c>
    </row>
    <row r="23" spans="1:13" x14ac:dyDescent="0.25">
      <c r="A23" s="36"/>
      <c r="B23" s="37" t="s">
        <v>65</v>
      </c>
      <c r="C23" s="37" t="s">
        <v>66</v>
      </c>
      <c r="D23" s="55" t="s">
        <v>91</v>
      </c>
      <c r="E23" s="38">
        <v>0.04</v>
      </c>
      <c r="F23" s="67">
        <v>0</v>
      </c>
      <c r="G23" s="39">
        <f t="shared" si="0"/>
        <v>0.04</v>
      </c>
      <c r="H23" s="19">
        <v>2</v>
      </c>
      <c r="I23" s="40">
        <f t="shared" si="1"/>
        <v>0.08</v>
      </c>
      <c r="J23" s="19">
        <v>4</v>
      </c>
      <c r="K23" s="41">
        <f t="shared" si="2"/>
        <v>0.16</v>
      </c>
      <c r="L23" s="19">
        <v>6</v>
      </c>
      <c r="M23" s="42">
        <f t="shared" si="3"/>
        <v>0.24</v>
      </c>
    </row>
    <row r="24" spans="1:13" x14ac:dyDescent="0.25">
      <c r="A24" s="36" t="s">
        <v>9</v>
      </c>
      <c r="B24" s="43" t="s">
        <v>10</v>
      </c>
      <c r="C24" s="37"/>
      <c r="D24" s="90">
        <f>SUM(G25:G34)</f>
        <v>77.953499999999991</v>
      </c>
      <c r="E24" s="38"/>
      <c r="F24" s="67"/>
      <c r="G24" s="39"/>
      <c r="I24" s="40"/>
      <c r="K24" s="41"/>
      <c r="M24" s="42"/>
    </row>
    <row r="25" spans="1:13" x14ac:dyDescent="0.25">
      <c r="A25" s="36"/>
      <c r="B25" s="56" t="s">
        <v>72</v>
      </c>
      <c r="C25" s="37" t="s">
        <v>82</v>
      </c>
      <c r="D25" s="55" t="s">
        <v>89</v>
      </c>
      <c r="E25" s="38">
        <v>2.8</v>
      </c>
      <c r="F25" s="67">
        <f>$C$65*(6/60)</f>
        <v>15</v>
      </c>
      <c r="G25" s="39">
        <f t="shared" si="0"/>
        <v>17.8</v>
      </c>
      <c r="H25" s="19">
        <v>1</v>
      </c>
      <c r="I25" s="40">
        <f t="shared" si="1"/>
        <v>17.8</v>
      </c>
      <c r="J25" s="19">
        <v>2</v>
      </c>
      <c r="K25" s="41">
        <f t="shared" si="2"/>
        <v>35.6</v>
      </c>
      <c r="L25" s="19">
        <v>3</v>
      </c>
      <c r="M25" s="42">
        <f t="shared" si="3"/>
        <v>53.400000000000006</v>
      </c>
    </row>
    <row r="26" spans="1:13" x14ac:dyDescent="0.25">
      <c r="A26" s="36"/>
      <c r="B26" s="56" t="s">
        <v>80</v>
      </c>
      <c r="C26" s="37" t="s">
        <v>129</v>
      </c>
      <c r="D26" s="55" t="s">
        <v>90</v>
      </c>
      <c r="E26" s="38">
        <f>20/1000*20</f>
        <v>0.4</v>
      </c>
      <c r="F26" s="67">
        <f>$C$65*(3/60)</f>
        <v>7.5</v>
      </c>
      <c r="G26" s="39">
        <f t="shared" si="0"/>
        <v>7.9</v>
      </c>
      <c r="H26" s="19">
        <v>1</v>
      </c>
      <c r="I26" s="40">
        <f t="shared" si="1"/>
        <v>7.9</v>
      </c>
      <c r="J26" s="19">
        <v>2</v>
      </c>
      <c r="K26" s="41">
        <f t="shared" si="2"/>
        <v>15.8</v>
      </c>
      <c r="L26" s="19">
        <v>3</v>
      </c>
      <c r="M26" s="42">
        <f t="shared" si="3"/>
        <v>23.700000000000003</v>
      </c>
    </row>
    <row r="27" spans="1:13" x14ac:dyDescent="0.25">
      <c r="A27" s="36"/>
      <c r="B27" s="56" t="s">
        <v>73</v>
      </c>
      <c r="C27" s="37" t="s">
        <v>74</v>
      </c>
      <c r="D27" s="55" t="s">
        <v>91</v>
      </c>
      <c r="E27" s="38">
        <v>0.38</v>
      </c>
      <c r="F27" s="67">
        <v>0</v>
      </c>
      <c r="G27" s="39">
        <f t="shared" si="0"/>
        <v>0.38</v>
      </c>
      <c r="H27" s="19">
        <v>1</v>
      </c>
      <c r="I27" s="40">
        <f t="shared" si="1"/>
        <v>0.38</v>
      </c>
      <c r="J27" s="19">
        <v>2</v>
      </c>
      <c r="K27" s="41">
        <f t="shared" si="2"/>
        <v>0.76</v>
      </c>
      <c r="L27" s="19">
        <v>3</v>
      </c>
      <c r="M27" s="42">
        <f t="shared" si="3"/>
        <v>1.1400000000000001</v>
      </c>
    </row>
    <row r="28" spans="1:13" x14ac:dyDescent="0.25">
      <c r="A28" s="36"/>
      <c r="B28" s="56" t="s">
        <v>75</v>
      </c>
      <c r="C28" s="37" t="s">
        <v>115</v>
      </c>
      <c r="D28" s="55" t="s">
        <v>88</v>
      </c>
      <c r="E28" s="38">
        <v>15.11</v>
      </c>
      <c r="F28" s="67">
        <f>$C$65*(3/60)</f>
        <v>7.5</v>
      </c>
      <c r="G28" s="39">
        <f t="shared" si="0"/>
        <v>22.61</v>
      </c>
      <c r="H28" s="19">
        <v>1</v>
      </c>
      <c r="I28" s="40">
        <f t="shared" si="1"/>
        <v>22.61</v>
      </c>
      <c r="J28" s="19">
        <v>2</v>
      </c>
      <c r="K28" s="41">
        <f t="shared" si="2"/>
        <v>45.22</v>
      </c>
      <c r="L28" s="19">
        <v>3</v>
      </c>
      <c r="M28" s="42">
        <f t="shared" si="3"/>
        <v>67.83</v>
      </c>
    </row>
    <row r="29" spans="1:13" x14ac:dyDescent="0.25">
      <c r="A29" s="36" t="s">
        <v>15</v>
      </c>
      <c r="B29" s="56" t="s">
        <v>76</v>
      </c>
      <c r="C29" s="37" t="s">
        <v>124</v>
      </c>
      <c r="D29" s="61" t="s">
        <v>95</v>
      </c>
      <c r="E29" s="38">
        <f>22/3000*30+5/1000*6.5</f>
        <v>0.2525</v>
      </c>
      <c r="F29" s="67">
        <f>$C$64*(3/60)</f>
        <v>12.5</v>
      </c>
      <c r="G29" s="39">
        <f t="shared" si="0"/>
        <v>12.7525</v>
      </c>
      <c r="H29" s="19">
        <v>1</v>
      </c>
      <c r="I29" s="40">
        <f t="shared" si="1"/>
        <v>12.7525</v>
      </c>
      <c r="J29" s="19">
        <v>2</v>
      </c>
      <c r="K29" s="41">
        <f t="shared" si="2"/>
        <v>25.504999999999999</v>
      </c>
      <c r="L29" s="19">
        <v>3</v>
      </c>
      <c r="M29" s="42">
        <f t="shared" si="3"/>
        <v>38.2575</v>
      </c>
    </row>
    <row r="30" spans="1:13" x14ac:dyDescent="0.25">
      <c r="A30" s="36"/>
      <c r="B30" s="56" t="s">
        <v>85</v>
      </c>
      <c r="C30" s="37" t="s">
        <v>84</v>
      </c>
      <c r="D30" s="55" t="s">
        <v>91</v>
      </c>
      <c r="E30" s="38">
        <v>0.36</v>
      </c>
      <c r="F30" s="67">
        <v>0</v>
      </c>
      <c r="G30" s="39">
        <f t="shared" si="0"/>
        <v>0.36</v>
      </c>
      <c r="H30" s="19">
        <v>1</v>
      </c>
      <c r="I30" s="40">
        <f t="shared" si="1"/>
        <v>0.36</v>
      </c>
      <c r="J30" s="19">
        <v>2</v>
      </c>
      <c r="K30" s="41">
        <f t="shared" si="2"/>
        <v>0.72</v>
      </c>
      <c r="L30" s="19">
        <v>3</v>
      </c>
      <c r="M30" s="42">
        <f t="shared" si="3"/>
        <v>1.08</v>
      </c>
    </row>
    <row r="31" spans="1:13" x14ac:dyDescent="0.25">
      <c r="A31" s="36" t="s">
        <v>18</v>
      </c>
      <c r="B31" s="57" t="s">
        <v>77</v>
      </c>
      <c r="C31" s="37"/>
      <c r="D31" s="55" t="s">
        <v>94</v>
      </c>
      <c r="E31" s="38"/>
      <c r="F31" s="67"/>
      <c r="G31" s="39"/>
      <c r="I31" s="40"/>
      <c r="K31" s="41"/>
      <c r="M31" s="42"/>
    </row>
    <row r="32" spans="1:13" x14ac:dyDescent="0.25">
      <c r="A32" s="36"/>
      <c r="B32" s="58" t="s">
        <v>78</v>
      </c>
      <c r="C32" s="37" t="s">
        <v>123</v>
      </c>
      <c r="D32" s="61" t="s">
        <v>95</v>
      </c>
      <c r="E32" s="38">
        <f>47/3000*75+5/1000*23.2</f>
        <v>1.2909999999999999</v>
      </c>
      <c r="F32" s="67">
        <f>$C$64*(3/60)</f>
        <v>12.5</v>
      </c>
      <c r="G32" s="39">
        <f t="shared" si="0"/>
        <v>13.791</v>
      </c>
      <c r="H32" s="19">
        <v>1</v>
      </c>
      <c r="I32" s="40">
        <f t="shared" si="1"/>
        <v>13.791</v>
      </c>
      <c r="J32" s="19">
        <v>2</v>
      </c>
      <c r="K32" s="41">
        <f t="shared" si="2"/>
        <v>27.582000000000001</v>
      </c>
      <c r="L32" s="19">
        <v>3</v>
      </c>
      <c r="M32" s="42">
        <f t="shared" si="3"/>
        <v>41.373000000000005</v>
      </c>
    </row>
    <row r="33" spans="1:13" x14ac:dyDescent="0.25">
      <c r="A33" s="36"/>
      <c r="B33" s="58" t="s">
        <v>79</v>
      </c>
      <c r="C33" s="37"/>
      <c r="D33" s="61" t="s">
        <v>95</v>
      </c>
      <c r="E33" s="38">
        <v>2</v>
      </c>
      <c r="F33" s="67">
        <v>0</v>
      </c>
      <c r="G33" s="39">
        <f t="shared" si="0"/>
        <v>2</v>
      </c>
      <c r="H33" s="19">
        <v>1</v>
      </c>
      <c r="I33" s="40">
        <f t="shared" si="1"/>
        <v>2</v>
      </c>
      <c r="J33" s="19">
        <v>2</v>
      </c>
      <c r="K33" s="41">
        <f t="shared" si="2"/>
        <v>4</v>
      </c>
      <c r="L33" s="19">
        <v>3</v>
      </c>
      <c r="M33" s="42">
        <f t="shared" si="3"/>
        <v>6</v>
      </c>
    </row>
    <row r="34" spans="1:13" x14ac:dyDescent="0.25">
      <c r="A34" s="36"/>
      <c r="B34" s="58" t="s">
        <v>85</v>
      </c>
      <c r="C34" s="37" t="s">
        <v>84</v>
      </c>
      <c r="D34" s="55" t="s">
        <v>91</v>
      </c>
      <c r="E34" s="38">
        <v>0.36</v>
      </c>
      <c r="F34" s="67">
        <v>0</v>
      </c>
      <c r="G34" s="39">
        <f t="shared" si="0"/>
        <v>0.36</v>
      </c>
      <c r="H34" s="19">
        <v>2</v>
      </c>
      <c r="I34" s="40">
        <f t="shared" si="1"/>
        <v>0.72</v>
      </c>
      <c r="J34" s="19">
        <v>4</v>
      </c>
      <c r="K34" s="41">
        <f t="shared" si="2"/>
        <v>1.44</v>
      </c>
      <c r="L34" s="19">
        <v>6</v>
      </c>
      <c r="M34" s="42">
        <f t="shared" si="3"/>
        <v>2.16</v>
      </c>
    </row>
    <row r="35" spans="1:13" x14ac:dyDescent="0.25">
      <c r="A35" s="36"/>
      <c r="B35" s="64" t="s">
        <v>116</v>
      </c>
      <c r="C35" s="65"/>
      <c r="D35" s="61"/>
      <c r="E35" s="38"/>
      <c r="F35" s="67"/>
      <c r="G35" s="39"/>
      <c r="I35" s="40">
        <f t="shared" si="1"/>
        <v>0</v>
      </c>
      <c r="K35" s="41">
        <f t="shared" si="2"/>
        <v>0</v>
      </c>
      <c r="M35" s="42"/>
    </row>
    <row r="36" spans="1:13" x14ac:dyDescent="0.25">
      <c r="A36" s="36"/>
      <c r="B36" s="56" t="s">
        <v>117</v>
      </c>
      <c r="C36" s="37" t="s">
        <v>125</v>
      </c>
      <c r="D36" s="61" t="s">
        <v>95</v>
      </c>
      <c r="E36" s="38"/>
      <c r="F36" s="67"/>
      <c r="G36" s="39"/>
      <c r="H36" s="19">
        <v>3</v>
      </c>
      <c r="I36" s="40">
        <f>3*(22/3000*(260-45-45-45))+385/25000*50+150*(3/60)</f>
        <v>11.02</v>
      </c>
      <c r="J36" s="19">
        <v>3</v>
      </c>
      <c r="K36" s="41">
        <f>3*(22/3000*(260-45-45))+385/25000*75+150*(3/60)</f>
        <v>12.395</v>
      </c>
      <c r="L36" s="19">
        <v>3</v>
      </c>
      <c r="M36" s="42">
        <f>3*(22/3000*(260-45))+385/25000*100+150*(3/60)</f>
        <v>13.77</v>
      </c>
    </row>
    <row r="37" spans="1:13" x14ac:dyDescent="0.25">
      <c r="A37" s="36"/>
      <c r="B37" s="56" t="s">
        <v>73</v>
      </c>
      <c r="C37" s="66" t="s">
        <v>126</v>
      </c>
      <c r="D37" s="55" t="s">
        <v>91</v>
      </c>
      <c r="E37" s="38">
        <v>0.36</v>
      </c>
      <c r="F37" s="67">
        <v>0</v>
      </c>
      <c r="G37" s="39">
        <f t="shared" si="0"/>
        <v>0.36</v>
      </c>
      <c r="H37" s="19">
        <v>6</v>
      </c>
      <c r="I37" s="40">
        <f t="shared" si="1"/>
        <v>2.16</v>
      </c>
      <c r="J37" s="19">
        <v>6</v>
      </c>
      <c r="K37" s="41">
        <f t="shared" si="2"/>
        <v>2.16</v>
      </c>
      <c r="L37" s="19">
        <v>6</v>
      </c>
      <c r="M37" s="42">
        <f t="shared" si="3"/>
        <v>2.16</v>
      </c>
    </row>
    <row r="38" spans="1:13" x14ac:dyDescent="0.25">
      <c r="A38" s="36"/>
      <c r="B38" s="56" t="s">
        <v>45</v>
      </c>
      <c r="C38" s="66" t="s">
        <v>126</v>
      </c>
      <c r="D38" s="55" t="s">
        <v>91</v>
      </c>
      <c r="E38" s="38">
        <v>0.12</v>
      </c>
      <c r="F38" s="67">
        <v>0</v>
      </c>
      <c r="G38" s="39">
        <f t="shared" si="0"/>
        <v>0.12</v>
      </c>
      <c r="H38" s="19">
        <v>6</v>
      </c>
      <c r="I38" s="40">
        <f t="shared" si="1"/>
        <v>0.72</v>
      </c>
      <c r="J38" s="19">
        <v>6</v>
      </c>
      <c r="K38" s="41">
        <f t="shared" si="2"/>
        <v>0.72</v>
      </c>
      <c r="L38" s="19">
        <v>6</v>
      </c>
      <c r="M38" s="42">
        <f t="shared" si="3"/>
        <v>0.72</v>
      </c>
    </row>
    <row r="39" spans="1:13" x14ac:dyDescent="0.25">
      <c r="A39" s="36" t="s">
        <v>130</v>
      </c>
      <c r="B39" s="64" t="s">
        <v>131</v>
      </c>
      <c r="C39" s="66"/>
      <c r="D39" s="90">
        <f>SUM(G40:G48)</f>
        <v>177.125</v>
      </c>
      <c r="E39" s="38"/>
      <c r="F39" s="67"/>
      <c r="G39" s="39"/>
      <c r="I39" s="40">
        <f t="shared" si="1"/>
        <v>0</v>
      </c>
      <c r="K39" s="41">
        <f t="shared" si="2"/>
        <v>0</v>
      </c>
      <c r="M39" s="42">
        <f t="shared" si="3"/>
        <v>0</v>
      </c>
    </row>
    <row r="40" spans="1:13" x14ac:dyDescent="0.25">
      <c r="A40" s="36"/>
      <c r="B40" s="56" t="s">
        <v>132</v>
      </c>
      <c r="C40" s="66" t="s">
        <v>144</v>
      </c>
      <c r="D40" s="61" t="s">
        <v>95</v>
      </c>
      <c r="E40" s="38">
        <f>650/3000*58+385/25000*35</f>
        <v>13.105666666666666</v>
      </c>
      <c r="F40" s="67">
        <f>$C$64*(10/60)+$C$65*(15/60)</f>
        <v>79.166666666666657</v>
      </c>
      <c r="G40" s="39">
        <f t="shared" si="0"/>
        <v>92.272333333333322</v>
      </c>
      <c r="H40" s="19">
        <v>1</v>
      </c>
      <c r="I40" s="40">
        <f t="shared" si="1"/>
        <v>92.272333333333322</v>
      </c>
      <c r="J40" s="19">
        <v>1</v>
      </c>
      <c r="K40" s="41">
        <f t="shared" si="2"/>
        <v>92.272333333333322</v>
      </c>
      <c r="L40" s="19">
        <v>1</v>
      </c>
      <c r="M40" s="42">
        <f t="shared" si="3"/>
        <v>92.272333333333322</v>
      </c>
    </row>
    <row r="41" spans="1:13" x14ac:dyDescent="0.25">
      <c r="A41" s="36"/>
      <c r="B41" s="56" t="s">
        <v>133</v>
      </c>
      <c r="C41" s="66" t="s">
        <v>145</v>
      </c>
      <c r="D41" s="61" t="s">
        <v>95</v>
      </c>
      <c r="E41" s="38">
        <f>90/3000*35+385/25000*15</f>
        <v>1.2810000000000001</v>
      </c>
      <c r="F41" s="67">
        <f>$C$64*(5/60)+$C$65*(6/60)</f>
        <v>35.833333333333329</v>
      </c>
      <c r="G41" s="39">
        <f t="shared" si="0"/>
        <v>37.114333333333327</v>
      </c>
      <c r="H41" s="19">
        <v>1</v>
      </c>
      <c r="I41" s="40">
        <f t="shared" si="1"/>
        <v>37.114333333333327</v>
      </c>
      <c r="J41" s="19">
        <v>1</v>
      </c>
      <c r="K41" s="41">
        <f t="shared" si="2"/>
        <v>37.114333333333327</v>
      </c>
      <c r="L41" s="19">
        <v>1</v>
      </c>
      <c r="M41" s="42">
        <f t="shared" si="3"/>
        <v>37.114333333333327</v>
      </c>
    </row>
    <row r="42" spans="1:13" x14ac:dyDescent="0.25">
      <c r="A42" s="36"/>
      <c r="B42" s="56" t="s">
        <v>134</v>
      </c>
      <c r="C42" s="66" t="s">
        <v>146</v>
      </c>
      <c r="D42" s="55" t="s">
        <v>147</v>
      </c>
      <c r="E42" s="38">
        <v>0.5</v>
      </c>
      <c r="F42" s="67">
        <v>0</v>
      </c>
      <c r="G42" s="39">
        <f t="shared" si="0"/>
        <v>0.5</v>
      </c>
      <c r="H42" s="19">
        <v>1</v>
      </c>
      <c r="I42" s="40">
        <f t="shared" si="1"/>
        <v>0.5</v>
      </c>
      <c r="J42" s="19">
        <v>1</v>
      </c>
      <c r="K42" s="41">
        <f t="shared" si="2"/>
        <v>0.5</v>
      </c>
      <c r="L42" s="19">
        <v>1</v>
      </c>
      <c r="M42" s="42">
        <f t="shared" si="3"/>
        <v>0.5</v>
      </c>
    </row>
    <row r="43" spans="1:13" x14ac:dyDescent="0.25">
      <c r="A43" s="36"/>
      <c r="B43" s="56" t="s">
        <v>135</v>
      </c>
      <c r="C43" s="66"/>
      <c r="D43" s="55"/>
      <c r="E43" s="38">
        <v>2</v>
      </c>
      <c r="F43" s="67">
        <v>0</v>
      </c>
      <c r="G43" s="39">
        <f t="shared" si="0"/>
        <v>2</v>
      </c>
      <c r="H43" s="19">
        <v>1</v>
      </c>
      <c r="I43" s="40">
        <f t="shared" si="1"/>
        <v>2</v>
      </c>
      <c r="J43" s="19">
        <v>1</v>
      </c>
      <c r="K43" s="41">
        <f t="shared" si="2"/>
        <v>2</v>
      </c>
      <c r="L43" s="19">
        <v>1</v>
      </c>
      <c r="M43" s="42">
        <f t="shared" si="3"/>
        <v>2</v>
      </c>
    </row>
    <row r="44" spans="1:13" x14ac:dyDescent="0.25">
      <c r="A44" s="36"/>
      <c r="B44" s="56" t="s">
        <v>136</v>
      </c>
      <c r="C44" s="66" t="s">
        <v>148</v>
      </c>
      <c r="D44" s="61" t="s">
        <v>95</v>
      </c>
      <c r="E44" s="38">
        <f>156/3000*20+5/1000*20</f>
        <v>1.1400000000000001</v>
      </c>
      <c r="F44" s="67">
        <f>$C$64*(5/60)+$C$65*(3/60)</f>
        <v>28.333333333333332</v>
      </c>
      <c r="G44" s="39">
        <f t="shared" si="0"/>
        <v>29.473333333333333</v>
      </c>
      <c r="H44" s="19">
        <v>1</v>
      </c>
      <c r="I44" s="40">
        <f t="shared" si="1"/>
        <v>29.473333333333333</v>
      </c>
      <c r="J44" s="19">
        <v>1</v>
      </c>
      <c r="K44" s="41">
        <f t="shared" si="2"/>
        <v>29.473333333333333</v>
      </c>
      <c r="L44" s="19">
        <v>1</v>
      </c>
      <c r="M44" s="42">
        <f t="shared" si="3"/>
        <v>29.473333333333333</v>
      </c>
    </row>
    <row r="45" spans="1:13" x14ac:dyDescent="0.25">
      <c r="A45" s="36"/>
      <c r="B45" s="56" t="s">
        <v>137</v>
      </c>
      <c r="C45" s="66" t="s">
        <v>149</v>
      </c>
      <c r="D45" s="61" t="s">
        <v>95</v>
      </c>
      <c r="E45" s="38">
        <f>485/3000*12+5/1000*15</f>
        <v>2.0150000000000001</v>
      </c>
      <c r="F45" s="67">
        <f>$C$64*(3/60)</f>
        <v>12.5</v>
      </c>
      <c r="G45" s="39">
        <f t="shared" si="0"/>
        <v>14.515000000000001</v>
      </c>
      <c r="H45" s="19">
        <v>1</v>
      </c>
      <c r="I45" s="40">
        <f t="shared" si="1"/>
        <v>14.515000000000001</v>
      </c>
      <c r="J45" s="19">
        <v>1</v>
      </c>
      <c r="K45" s="41">
        <f t="shared" si="2"/>
        <v>14.515000000000001</v>
      </c>
      <c r="L45" s="19">
        <v>1</v>
      </c>
      <c r="M45" s="42">
        <f t="shared" si="3"/>
        <v>14.515000000000001</v>
      </c>
    </row>
    <row r="46" spans="1:13" x14ac:dyDescent="0.25">
      <c r="A46" s="36"/>
      <c r="B46" s="56" t="s">
        <v>142</v>
      </c>
      <c r="C46" s="66" t="s">
        <v>143</v>
      </c>
      <c r="D46" s="55" t="s">
        <v>92</v>
      </c>
      <c r="E46" s="38">
        <v>0.2</v>
      </c>
      <c r="F46" s="67">
        <v>0</v>
      </c>
      <c r="G46" s="39">
        <f t="shared" si="0"/>
        <v>0.2</v>
      </c>
      <c r="H46" s="19">
        <v>1</v>
      </c>
      <c r="I46" s="40">
        <f t="shared" si="1"/>
        <v>0.2</v>
      </c>
      <c r="J46" s="19">
        <v>1</v>
      </c>
      <c r="K46" s="41">
        <f t="shared" si="2"/>
        <v>0.2</v>
      </c>
      <c r="L46" s="19">
        <v>1</v>
      </c>
      <c r="M46" s="42">
        <f t="shared" si="3"/>
        <v>0.2</v>
      </c>
    </row>
    <row r="47" spans="1:13" x14ac:dyDescent="0.25">
      <c r="A47" s="36"/>
      <c r="B47" s="56" t="s">
        <v>138</v>
      </c>
      <c r="C47" s="66" t="s">
        <v>140</v>
      </c>
      <c r="D47" s="55" t="s">
        <v>92</v>
      </c>
      <c r="E47" s="38">
        <v>0.3</v>
      </c>
      <c r="F47" s="67">
        <v>0</v>
      </c>
      <c r="G47" s="39">
        <f t="shared" si="0"/>
        <v>0.3</v>
      </c>
      <c r="H47" s="19">
        <v>1</v>
      </c>
      <c r="I47" s="40">
        <f t="shared" si="1"/>
        <v>0.3</v>
      </c>
      <c r="J47" s="19">
        <v>1</v>
      </c>
      <c r="K47" s="41">
        <f t="shared" si="2"/>
        <v>0.3</v>
      </c>
      <c r="L47" s="19">
        <v>1</v>
      </c>
      <c r="M47" s="42">
        <f t="shared" si="3"/>
        <v>0.3</v>
      </c>
    </row>
    <row r="48" spans="1:13" x14ac:dyDescent="0.25">
      <c r="A48" s="36"/>
      <c r="B48" s="56" t="s">
        <v>139</v>
      </c>
      <c r="C48" s="66" t="s">
        <v>141</v>
      </c>
      <c r="D48" s="55" t="s">
        <v>92</v>
      </c>
      <c r="E48" s="38">
        <v>0.75</v>
      </c>
      <c r="F48" s="67">
        <v>0</v>
      </c>
      <c r="G48" s="39">
        <f t="shared" si="0"/>
        <v>0.75</v>
      </c>
      <c r="H48" s="19">
        <v>1</v>
      </c>
      <c r="I48" s="40">
        <f t="shared" si="1"/>
        <v>0.75</v>
      </c>
      <c r="J48" s="19">
        <v>1</v>
      </c>
      <c r="K48" s="41">
        <f t="shared" si="2"/>
        <v>0.75</v>
      </c>
      <c r="L48" s="19">
        <v>1</v>
      </c>
      <c r="M48" s="42">
        <f t="shared" si="3"/>
        <v>0.75</v>
      </c>
    </row>
    <row r="49" spans="1:13" x14ac:dyDescent="0.25">
      <c r="A49" s="36" t="s">
        <v>99</v>
      </c>
      <c r="B49" s="43" t="s">
        <v>100</v>
      </c>
      <c r="C49" s="37"/>
      <c r="D49" s="55"/>
      <c r="E49" s="38"/>
      <c r="F49" s="67"/>
      <c r="G49" s="39"/>
      <c r="I49" s="40">
        <f t="shared" si="1"/>
        <v>0</v>
      </c>
      <c r="K49" s="41">
        <f t="shared" si="2"/>
        <v>0</v>
      </c>
      <c r="M49" s="42">
        <f t="shared" si="3"/>
        <v>0</v>
      </c>
    </row>
    <row r="50" spans="1:13" x14ac:dyDescent="0.25">
      <c r="A50" s="36"/>
      <c r="B50" s="58" t="s">
        <v>101</v>
      </c>
      <c r="C50" s="37" t="s">
        <v>118</v>
      </c>
      <c r="D50" s="61" t="s">
        <v>95</v>
      </c>
      <c r="E50" s="38">
        <f>(485/3000*65)+5/1000*143</f>
        <v>11.223333333333333</v>
      </c>
      <c r="F50" s="67">
        <f>$C$64*(4/60)</f>
        <v>16.666666666666668</v>
      </c>
      <c r="G50" s="39">
        <f t="shared" si="0"/>
        <v>27.89</v>
      </c>
      <c r="H50" s="19">
        <v>1</v>
      </c>
      <c r="I50" s="40">
        <f t="shared" si="1"/>
        <v>27.89</v>
      </c>
      <c r="J50" s="19">
        <v>2</v>
      </c>
      <c r="K50" s="41">
        <f t="shared" si="2"/>
        <v>55.78</v>
      </c>
      <c r="L50" s="19">
        <v>3</v>
      </c>
      <c r="M50" s="42">
        <f t="shared" si="3"/>
        <v>83.67</v>
      </c>
    </row>
    <row r="51" spans="1:13" x14ac:dyDescent="0.25">
      <c r="A51" s="36"/>
      <c r="B51" s="58" t="s">
        <v>102</v>
      </c>
      <c r="C51" s="37"/>
      <c r="D51" s="61"/>
      <c r="E51" s="38">
        <v>2</v>
      </c>
      <c r="F51" s="67">
        <v>0</v>
      </c>
      <c r="G51" s="39">
        <f t="shared" si="0"/>
        <v>2</v>
      </c>
      <c r="H51" s="19">
        <v>1</v>
      </c>
      <c r="I51" s="40">
        <f t="shared" si="1"/>
        <v>2</v>
      </c>
      <c r="J51" s="19">
        <v>2</v>
      </c>
      <c r="K51" s="41">
        <f t="shared" si="2"/>
        <v>4</v>
      </c>
      <c r="L51" s="19">
        <v>3</v>
      </c>
      <c r="M51" s="42">
        <f t="shared" si="3"/>
        <v>6</v>
      </c>
    </row>
    <row r="52" spans="1:13" x14ac:dyDescent="0.25">
      <c r="A52" s="36"/>
      <c r="B52" s="58" t="s">
        <v>103</v>
      </c>
      <c r="C52" s="37" t="s">
        <v>122</v>
      </c>
      <c r="D52" s="61" t="s">
        <v>95</v>
      </c>
      <c r="E52" s="38">
        <f>140/3000*20+385/25000*10</f>
        <v>1.0873333333333333</v>
      </c>
      <c r="F52" s="67">
        <f>$C$64*(3/60)</f>
        <v>12.5</v>
      </c>
      <c r="G52" s="39">
        <f t="shared" si="0"/>
        <v>13.587333333333333</v>
      </c>
      <c r="H52" s="19">
        <v>1</v>
      </c>
      <c r="I52" s="40">
        <f t="shared" si="1"/>
        <v>13.587333333333333</v>
      </c>
      <c r="J52" s="19">
        <v>2</v>
      </c>
      <c r="K52" s="41">
        <f t="shared" si="2"/>
        <v>27.174666666666667</v>
      </c>
      <c r="L52" s="19">
        <v>3</v>
      </c>
      <c r="M52" s="42">
        <f t="shared" si="3"/>
        <v>40.762</v>
      </c>
    </row>
    <row r="53" spans="1:13" x14ac:dyDescent="0.25">
      <c r="A53" s="36"/>
      <c r="B53" s="58" t="s">
        <v>104</v>
      </c>
      <c r="C53" s="37" t="s">
        <v>106</v>
      </c>
      <c r="D53" s="55" t="s">
        <v>92</v>
      </c>
      <c r="E53" s="38">
        <v>0.8</v>
      </c>
      <c r="F53" s="67">
        <v>0</v>
      </c>
      <c r="G53" s="39">
        <f t="shared" si="0"/>
        <v>0.8</v>
      </c>
      <c r="H53" s="19">
        <v>2</v>
      </c>
      <c r="I53" s="40">
        <f t="shared" si="1"/>
        <v>1.6</v>
      </c>
      <c r="J53" s="19">
        <v>4</v>
      </c>
      <c r="K53" s="41">
        <f t="shared" si="2"/>
        <v>3.2</v>
      </c>
      <c r="L53" s="19">
        <v>6</v>
      </c>
      <c r="M53" s="42">
        <f t="shared" si="3"/>
        <v>4.8000000000000007</v>
      </c>
    </row>
    <row r="54" spans="1:13" x14ac:dyDescent="0.25">
      <c r="A54" s="36"/>
      <c r="B54" s="58" t="s">
        <v>104</v>
      </c>
      <c r="C54" s="37" t="s">
        <v>107</v>
      </c>
      <c r="D54" s="55" t="s">
        <v>92</v>
      </c>
      <c r="E54" s="38">
        <v>0.3</v>
      </c>
      <c r="F54" s="67">
        <v>0</v>
      </c>
      <c r="G54" s="39">
        <f t="shared" si="0"/>
        <v>0.3</v>
      </c>
      <c r="H54" s="19">
        <v>1</v>
      </c>
      <c r="I54" s="40">
        <f t="shared" si="1"/>
        <v>0.3</v>
      </c>
      <c r="J54" s="19">
        <v>2</v>
      </c>
      <c r="K54" s="41">
        <f t="shared" si="2"/>
        <v>0.6</v>
      </c>
      <c r="L54" s="19">
        <v>3</v>
      </c>
      <c r="M54" s="42">
        <f t="shared" si="3"/>
        <v>0.89999999999999991</v>
      </c>
    </row>
    <row r="55" spans="1:13" x14ac:dyDescent="0.25">
      <c r="A55" s="36"/>
      <c r="B55" s="58" t="s">
        <v>105</v>
      </c>
      <c r="C55" s="37" t="s">
        <v>108</v>
      </c>
      <c r="D55" s="55" t="s">
        <v>92</v>
      </c>
      <c r="E55" s="38">
        <v>0.15</v>
      </c>
      <c r="F55" s="67">
        <v>0</v>
      </c>
      <c r="G55" s="39">
        <f t="shared" si="0"/>
        <v>0.15</v>
      </c>
      <c r="H55" s="19">
        <v>1</v>
      </c>
      <c r="I55" s="40">
        <f t="shared" si="1"/>
        <v>0.15</v>
      </c>
      <c r="J55" s="19">
        <v>2</v>
      </c>
      <c r="K55" s="41">
        <f t="shared" si="2"/>
        <v>0.3</v>
      </c>
      <c r="L55" s="19">
        <v>3</v>
      </c>
      <c r="M55" s="42">
        <f t="shared" si="3"/>
        <v>0.44999999999999996</v>
      </c>
    </row>
    <row r="56" spans="1:13" x14ac:dyDescent="0.25">
      <c r="A56" s="36"/>
      <c r="B56" s="58" t="s">
        <v>105</v>
      </c>
      <c r="C56" s="37" t="s">
        <v>109</v>
      </c>
      <c r="D56" s="55" t="s">
        <v>92</v>
      </c>
      <c r="E56" s="38">
        <v>0.15</v>
      </c>
      <c r="F56" s="67">
        <v>0</v>
      </c>
      <c r="G56" s="39">
        <f t="shared" si="0"/>
        <v>0.15</v>
      </c>
      <c r="H56" s="19">
        <v>1</v>
      </c>
      <c r="I56" s="40">
        <f t="shared" si="1"/>
        <v>0.15</v>
      </c>
      <c r="J56" s="19">
        <v>2</v>
      </c>
      <c r="K56" s="41">
        <f t="shared" si="2"/>
        <v>0.3</v>
      </c>
      <c r="L56" s="19">
        <v>3</v>
      </c>
      <c r="M56" s="42">
        <f t="shared" si="3"/>
        <v>0.44999999999999996</v>
      </c>
    </row>
    <row r="57" spans="1:13" ht="15.75" thickBot="1" x14ac:dyDescent="0.3">
      <c r="A57" s="44"/>
      <c r="B57" s="62" t="s">
        <v>105</v>
      </c>
      <c r="C57" s="45" t="s">
        <v>67</v>
      </c>
      <c r="D57" s="63" t="s">
        <v>92</v>
      </c>
      <c r="E57" s="46">
        <v>0.24</v>
      </c>
      <c r="F57" s="68">
        <v>0</v>
      </c>
      <c r="G57" s="47">
        <f t="shared" si="0"/>
        <v>0.24</v>
      </c>
      <c r="H57" s="48">
        <v>1</v>
      </c>
      <c r="I57" s="49">
        <f t="shared" si="1"/>
        <v>0.24</v>
      </c>
      <c r="J57" s="48">
        <v>2</v>
      </c>
      <c r="K57" s="50">
        <f t="shared" si="2"/>
        <v>0.48</v>
      </c>
      <c r="L57" s="48">
        <v>3</v>
      </c>
      <c r="M57" s="51">
        <f t="shared" si="3"/>
        <v>0.72</v>
      </c>
    </row>
    <row r="58" spans="1:13" ht="15.75" thickBot="1" x14ac:dyDescent="0.3">
      <c r="G58" s="52"/>
      <c r="I58" s="53">
        <f>SUM(I4:I57)</f>
        <v>1710.054166666667</v>
      </c>
      <c r="K58" s="53">
        <f>SUM(K4:K57)</f>
        <v>2574.4583333333335</v>
      </c>
      <c r="M58" s="53">
        <f>SUM(M4:M57)</f>
        <v>3438.8624999999993</v>
      </c>
    </row>
    <row r="59" spans="1:13" x14ac:dyDescent="0.25">
      <c r="G59" s="52"/>
      <c r="H59" s="72" t="s">
        <v>153</v>
      </c>
      <c r="I59" s="52">
        <v>2180</v>
      </c>
      <c r="K59" s="52">
        <v>3190</v>
      </c>
      <c r="M59" s="52">
        <v>4340</v>
      </c>
    </row>
    <row r="60" spans="1:13" x14ac:dyDescent="0.25">
      <c r="B60" s="16" t="s">
        <v>120</v>
      </c>
      <c r="C60" s="16">
        <v>48.4</v>
      </c>
      <c r="H60" s="72" t="s">
        <v>154</v>
      </c>
      <c r="I60" s="52">
        <f>I59-I58</f>
        <v>469.94583333333298</v>
      </c>
      <c r="K60" s="52">
        <f>K59-K58</f>
        <v>615.54166666666652</v>
      </c>
      <c r="M60" s="52">
        <f>M59-M58</f>
        <v>901.13750000000073</v>
      </c>
    </row>
    <row r="61" spans="1:13" x14ac:dyDescent="0.25">
      <c r="B61" s="16" t="s">
        <v>121</v>
      </c>
      <c r="C61" s="16">
        <v>5</v>
      </c>
    </row>
    <row r="62" spans="1:13" x14ac:dyDescent="0.25">
      <c r="I62" s="73">
        <v>2070</v>
      </c>
      <c r="K62" s="52">
        <v>3030</v>
      </c>
      <c r="M62" s="52">
        <v>4120</v>
      </c>
    </row>
    <row r="63" spans="1:13" x14ac:dyDescent="0.25">
      <c r="B63" s="16" t="s">
        <v>150</v>
      </c>
      <c r="C63" s="16">
        <v>300</v>
      </c>
      <c r="H63" s="74">
        <f>I59-I62</f>
        <v>110</v>
      </c>
      <c r="I63" s="52">
        <f>I62-I58</f>
        <v>359.94583333333298</v>
      </c>
      <c r="K63" s="52">
        <f>K62-K58</f>
        <v>455.54166666666652</v>
      </c>
      <c r="M63" s="52">
        <f>M62-M58</f>
        <v>681.13750000000073</v>
      </c>
    </row>
    <row r="64" spans="1:13" x14ac:dyDescent="0.25">
      <c r="B64" s="16" t="s">
        <v>151</v>
      </c>
      <c r="C64" s="16">
        <v>250</v>
      </c>
      <c r="H64" s="74"/>
    </row>
    <row r="65" spans="1:3" x14ac:dyDescent="0.25">
      <c r="B65" s="16" t="s">
        <v>152</v>
      </c>
      <c r="C65" s="16">
        <v>150</v>
      </c>
    </row>
    <row r="67" spans="1:3" x14ac:dyDescent="0.25">
      <c r="A67" s="16" t="s">
        <v>96</v>
      </c>
      <c r="B67" s="16" t="s">
        <v>97</v>
      </c>
      <c r="C67" s="16">
        <v>35</v>
      </c>
    </row>
    <row r="68" spans="1:3" x14ac:dyDescent="0.25">
      <c r="B68" s="16" t="s">
        <v>98</v>
      </c>
      <c r="C68" s="16">
        <v>22</v>
      </c>
    </row>
    <row r="69" spans="1:3" x14ac:dyDescent="0.25">
      <c r="B69" s="37" t="s">
        <v>113</v>
      </c>
      <c r="C69" s="16">
        <v>165</v>
      </c>
    </row>
    <row r="70" spans="1:3" x14ac:dyDescent="0.25">
      <c r="B70" s="37" t="s">
        <v>110</v>
      </c>
      <c r="C70" s="16">
        <v>134</v>
      </c>
    </row>
    <row r="71" spans="1:3" x14ac:dyDescent="0.25">
      <c r="B71" s="37" t="s">
        <v>111</v>
      </c>
      <c r="C71" s="16">
        <v>490</v>
      </c>
    </row>
    <row r="72" spans="1:3" x14ac:dyDescent="0.25">
      <c r="B72" s="37" t="s">
        <v>114</v>
      </c>
      <c r="C72" s="16">
        <v>165</v>
      </c>
    </row>
    <row r="73" spans="1:3" x14ac:dyDescent="0.25">
      <c r="B73" s="37" t="s">
        <v>112</v>
      </c>
      <c r="C73" s="16">
        <v>670</v>
      </c>
    </row>
    <row r="74" spans="1:3" x14ac:dyDescent="0.25">
      <c r="B74" s="37" t="s">
        <v>93</v>
      </c>
      <c r="C74" s="16">
        <v>47</v>
      </c>
    </row>
    <row r="75" spans="1:3" x14ac:dyDescent="0.25">
      <c r="B75" s="37" t="s">
        <v>118</v>
      </c>
      <c r="C75" s="16">
        <v>485</v>
      </c>
    </row>
    <row r="76" spans="1:3" x14ac:dyDescent="0.25">
      <c r="B76" s="37" t="s">
        <v>119</v>
      </c>
      <c r="C76" s="16">
        <v>140</v>
      </c>
    </row>
    <row r="78" spans="1:3" x14ac:dyDescent="0.25">
      <c r="B78" s="16" t="s">
        <v>127</v>
      </c>
      <c r="C78" s="16">
        <v>43.5</v>
      </c>
    </row>
    <row r="79" spans="1:3" x14ac:dyDescent="0.25">
      <c r="B79" s="16" t="s">
        <v>128</v>
      </c>
      <c r="C79" s="16">
        <v>24</v>
      </c>
    </row>
    <row r="81" spans="2:3" x14ac:dyDescent="0.25">
      <c r="B81" s="66" t="s">
        <v>144</v>
      </c>
      <c r="C81" s="16">
        <v>650</v>
      </c>
    </row>
    <row r="82" spans="2:3" x14ac:dyDescent="0.25">
      <c r="B82" s="66" t="s">
        <v>145</v>
      </c>
      <c r="C82" s="16">
        <v>90</v>
      </c>
    </row>
    <row r="83" spans="2:3" x14ac:dyDescent="0.25">
      <c r="B83" s="66" t="s">
        <v>148</v>
      </c>
      <c r="C83" s="16">
        <v>156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4" sqref="A14"/>
    </sheetView>
  </sheetViews>
  <sheetFormatPr defaultRowHeight="15" x14ac:dyDescent="0.25"/>
  <cols>
    <col min="1" max="1" width="9.140625" style="3"/>
    <col min="2" max="2" width="35.85546875" style="3" customWidth="1"/>
    <col min="3" max="3" width="14.85546875" style="3" customWidth="1"/>
    <col min="4" max="4" width="16.140625" style="12" customWidth="1"/>
    <col min="5" max="6" width="9.140625" style="3"/>
    <col min="7" max="7" width="16.5703125" style="3" customWidth="1"/>
    <col min="8" max="16384" width="9.140625" style="3"/>
  </cols>
  <sheetData>
    <row r="1" spans="1:7" x14ac:dyDescent="0.25">
      <c r="A1" s="1" t="s">
        <v>0</v>
      </c>
      <c r="B1" s="1" t="s">
        <v>1</v>
      </c>
      <c r="C1" s="2" t="s">
        <v>2</v>
      </c>
      <c r="D1" s="10">
        <v>2180</v>
      </c>
    </row>
    <row r="2" spans="1:7" x14ac:dyDescent="0.25">
      <c r="A2" s="1" t="s">
        <v>3</v>
      </c>
      <c r="B2" s="1" t="s">
        <v>4</v>
      </c>
      <c r="C2" s="2" t="s">
        <v>5</v>
      </c>
      <c r="D2" s="10">
        <v>3190</v>
      </c>
    </row>
    <row r="3" spans="1:7" x14ac:dyDescent="0.25">
      <c r="A3" s="1" t="s">
        <v>6</v>
      </c>
      <c r="B3" s="1" t="s">
        <v>7</v>
      </c>
      <c r="C3" s="2" t="s">
        <v>8</v>
      </c>
      <c r="D3" s="10">
        <v>4340</v>
      </c>
    </row>
    <row r="4" spans="1:7" x14ac:dyDescent="0.25">
      <c r="A4" s="4" t="s">
        <v>9</v>
      </c>
      <c r="B4" s="5" t="s">
        <v>10</v>
      </c>
      <c r="C4" s="6" t="s">
        <v>11</v>
      </c>
      <c r="D4" s="11">
        <v>90</v>
      </c>
      <c r="E4" s="7"/>
      <c r="F4" s="7"/>
      <c r="G4" s="8"/>
    </row>
    <row r="5" spans="1:7" x14ac:dyDescent="0.25">
      <c r="A5" s="4" t="s">
        <v>12</v>
      </c>
      <c r="B5" s="5" t="s">
        <v>13</v>
      </c>
      <c r="C5" s="9" t="s">
        <v>14</v>
      </c>
      <c r="D5" s="11">
        <v>45</v>
      </c>
      <c r="E5" s="7"/>
      <c r="F5" s="7"/>
      <c r="G5" s="8"/>
    </row>
    <row r="6" spans="1:7" x14ac:dyDescent="0.25">
      <c r="A6" s="4" t="s">
        <v>15</v>
      </c>
      <c r="B6" s="5" t="s">
        <v>16</v>
      </c>
      <c r="C6" s="6" t="s">
        <v>17</v>
      </c>
      <c r="D6" s="11">
        <v>12</v>
      </c>
      <c r="E6" s="7"/>
      <c r="F6" s="7"/>
      <c r="G6" s="8"/>
    </row>
    <row r="7" spans="1:7" x14ac:dyDescent="0.25">
      <c r="A7" s="4" t="s">
        <v>18</v>
      </c>
      <c r="B7" s="5" t="s">
        <v>19</v>
      </c>
      <c r="C7" s="6" t="s">
        <v>26</v>
      </c>
      <c r="D7" s="11">
        <v>22</v>
      </c>
      <c r="E7" s="7"/>
      <c r="F7" s="7"/>
      <c r="G7" s="8"/>
    </row>
    <row r="8" spans="1:7" x14ac:dyDescent="0.25">
      <c r="A8" s="4" t="s">
        <v>20</v>
      </c>
      <c r="B8" s="5" t="s">
        <v>21</v>
      </c>
      <c r="C8" s="6"/>
      <c r="D8" s="11">
        <v>350</v>
      </c>
      <c r="E8" s="7"/>
      <c r="F8" s="7"/>
      <c r="G8" s="8"/>
    </row>
    <row r="9" spans="1:7" x14ac:dyDescent="0.25">
      <c r="A9" s="13" t="s">
        <v>22</v>
      </c>
      <c r="B9" s="14" t="s">
        <v>24</v>
      </c>
      <c r="D9" s="12">
        <v>240</v>
      </c>
      <c r="E9" s="1"/>
      <c r="F9" s="1"/>
      <c r="G9" s="1"/>
    </row>
    <row r="10" spans="1:7" x14ac:dyDescent="0.25">
      <c r="A10" s="13" t="s">
        <v>23</v>
      </c>
      <c r="B10" s="14" t="s">
        <v>25</v>
      </c>
      <c r="D10" s="12">
        <v>300</v>
      </c>
    </row>
    <row r="11" spans="1:7" x14ac:dyDescent="0.25">
      <c r="A11" s="13" t="s">
        <v>27</v>
      </c>
      <c r="B11" s="14" t="s">
        <v>29</v>
      </c>
      <c r="D11" s="12">
        <v>997.5</v>
      </c>
      <c r="E11" s="15" t="s">
        <v>28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31" sqref="E31"/>
    </sheetView>
  </sheetViews>
  <sheetFormatPr defaultRowHeight="15" x14ac:dyDescent="0.25"/>
  <cols>
    <col min="2" max="2" width="21.140625" customWidth="1"/>
    <col min="3" max="3" width="16.85546875" customWidth="1"/>
    <col min="4" max="4" width="16.5703125" customWidth="1"/>
    <col min="5" max="6" width="12.7109375" customWidth="1"/>
    <col min="7" max="7" width="6.85546875" customWidth="1"/>
    <col min="8" max="8" width="12.7109375" customWidth="1"/>
  </cols>
  <sheetData>
    <row r="1" spans="1:8" ht="15.75" x14ac:dyDescent="0.25">
      <c r="A1" s="60" t="s">
        <v>81</v>
      </c>
      <c r="B1" s="16"/>
      <c r="C1" s="16"/>
      <c r="D1" s="27"/>
      <c r="E1" s="17"/>
      <c r="F1" s="17"/>
      <c r="G1" s="17"/>
      <c r="H1" s="18"/>
    </row>
    <row r="2" spans="1:8" ht="15.75" thickBot="1" x14ac:dyDescent="0.3">
      <c r="A2" s="16"/>
      <c r="B2" s="16"/>
      <c r="C2" s="16"/>
      <c r="D2" s="27"/>
      <c r="E2" s="17"/>
      <c r="F2" s="17"/>
      <c r="G2" s="17"/>
      <c r="H2" s="18"/>
    </row>
    <row r="3" spans="1:8" ht="15.75" thickBot="1" x14ac:dyDescent="0.3">
      <c r="A3" s="59" t="s">
        <v>30</v>
      </c>
      <c r="B3" s="21" t="s">
        <v>31</v>
      </c>
      <c r="C3" s="21" t="s">
        <v>47</v>
      </c>
      <c r="D3" s="21" t="s">
        <v>86</v>
      </c>
      <c r="E3" s="20" t="s">
        <v>32</v>
      </c>
      <c r="F3" s="69" t="s">
        <v>40</v>
      </c>
      <c r="G3" s="69" t="s">
        <v>159</v>
      </c>
      <c r="H3" s="82" t="s">
        <v>43</v>
      </c>
    </row>
    <row r="4" spans="1:8" s="85" customFormat="1" x14ac:dyDescent="0.25">
      <c r="A4" s="78"/>
      <c r="B4" s="78" t="s">
        <v>155</v>
      </c>
      <c r="C4" s="78"/>
      <c r="D4" s="79" t="s">
        <v>87</v>
      </c>
      <c r="E4" s="80">
        <v>123</v>
      </c>
      <c r="F4" s="80">
        <f>C20*15/60</f>
        <v>75</v>
      </c>
      <c r="G4" s="84">
        <v>1</v>
      </c>
      <c r="H4" s="81">
        <f t="shared" ref="H4:H11" si="0">(E4+F4)*G4</f>
        <v>198</v>
      </c>
    </row>
    <row r="5" spans="1:8" s="85" customFormat="1" x14ac:dyDescent="0.25">
      <c r="A5" s="86"/>
      <c r="B5" s="75" t="s">
        <v>53</v>
      </c>
      <c r="C5" s="86" t="s">
        <v>163</v>
      </c>
      <c r="D5" s="76" t="s">
        <v>95</v>
      </c>
      <c r="E5" s="86">
        <f>48.4+165/3000*155</f>
        <v>56.924999999999997</v>
      </c>
      <c r="F5" s="89">
        <f>C21*10/60+C22*8/60</f>
        <v>61.666666666666664</v>
      </c>
      <c r="G5" s="87">
        <v>1</v>
      </c>
      <c r="H5" s="81">
        <f t="shared" si="0"/>
        <v>118.59166666666667</v>
      </c>
    </row>
    <row r="6" spans="1:8" s="85" customFormat="1" x14ac:dyDescent="0.25">
      <c r="A6" s="86"/>
      <c r="B6" s="77" t="s">
        <v>156</v>
      </c>
      <c r="C6" s="86"/>
      <c r="D6" s="76" t="s">
        <v>95</v>
      </c>
      <c r="E6" s="86">
        <v>4.5</v>
      </c>
      <c r="F6" s="89"/>
      <c r="G6" s="87">
        <v>1</v>
      </c>
      <c r="H6" s="81">
        <f t="shared" si="0"/>
        <v>4.5</v>
      </c>
    </row>
    <row r="7" spans="1:8" s="85" customFormat="1" x14ac:dyDescent="0.25">
      <c r="A7" s="86"/>
      <c r="B7" s="77" t="s">
        <v>157</v>
      </c>
      <c r="C7" s="86" t="s">
        <v>162</v>
      </c>
      <c r="D7" s="76" t="s">
        <v>95</v>
      </c>
      <c r="E7" s="89">
        <f>190/3000*20+5/1000*20</f>
        <v>1.3666666666666669</v>
      </c>
      <c r="F7" s="89">
        <f>C21*4/60</f>
        <v>16.666666666666668</v>
      </c>
      <c r="G7" s="87">
        <v>1</v>
      </c>
      <c r="H7" s="81">
        <f t="shared" si="0"/>
        <v>18.033333333333335</v>
      </c>
    </row>
    <row r="8" spans="1:8" s="85" customFormat="1" x14ac:dyDescent="0.25">
      <c r="A8" s="86"/>
      <c r="B8" s="77" t="s">
        <v>158</v>
      </c>
      <c r="C8" s="86" t="s">
        <v>162</v>
      </c>
      <c r="D8" s="76" t="s">
        <v>95</v>
      </c>
      <c r="E8" s="89">
        <f>190/3000*20+5/1000*20</f>
        <v>1.3666666666666669</v>
      </c>
      <c r="F8" s="89">
        <f>C21*4/60</f>
        <v>16.666666666666668</v>
      </c>
      <c r="G8" s="87">
        <v>1</v>
      </c>
      <c r="H8" s="81">
        <f t="shared" si="0"/>
        <v>18.033333333333335</v>
      </c>
    </row>
    <row r="9" spans="1:8" s="85" customFormat="1" x14ac:dyDescent="0.25">
      <c r="A9" s="86"/>
      <c r="B9" s="77" t="s">
        <v>105</v>
      </c>
      <c r="C9" s="86"/>
      <c r="D9" s="76"/>
      <c r="E9" s="80">
        <v>0.5</v>
      </c>
      <c r="F9" s="80">
        <f>$C$64*(10/60)+$C$64*(15/60)</f>
        <v>0</v>
      </c>
      <c r="G9" s="87">
        <v>2</v>
      </c>
      <c r="H9" s="81">
        <f t="shared" si="0"/>
        <v>1</v>
      </c>
    </row>
    <row r="10" spans="1:8" s="85" customFormat="1" x14ac:dyDescent="0.25">
      <c r="A10" s="86"/>
      <c r="B10" s="77" t="s">
        <v>45</v>
      </c>
      <c r="C10" s="86" t="s">
        <v>161</v>
      </c>
      <c r="D10" s="88" t="s">
        <v>91</v>
      </c>
      <c r="E10" s="80">
        <v>0.04</v>
      </c>
      <c r="F10" s="80">
        <f>$C$64*(10/60)+$C$64*(15/60)</f>
        <v>0</v>
      </c>
      <c r="G10" s="87">
        <v>2</v>
      </c>
      <c r="H10" s="81">
        <f t="shared" si="0"/>
        <v>0.08</v>
      </c>
    </row>
    <row r="11" spans="1:8" s="85" customFormat="1" ht="15.75" thickBot="1" x14ac:dyDescent="0.3">
      <c r="A11" s="86"/>
      <c r="B11" s="77" t="s">
        <v>160</v>
      </c>
      <c r="C11" s="86" t="s">
        <v>164</v>
      </c>
      <c r="D11" s="88" t="s">
        <v>91</v>
      </c>
      <c r="E11" s="80">
        <v>0.36</v>
      </c>
      <c r="F11" s="80">
        <f>$C$64*(10/60)+$C$64*(15/60)</f>
        <v>0</v>
      </c>
      <c r="G11" s="87">
        <v>2</v>
      </c>
      <c r="H11" s="81">
        <f t="shared" si="0"/>
        <v>0.72</v>
      </c>
    </row>
    <row r="12" spans="1:8" ht="15.75" thickBot="1" x14ac:dyDescent="0.3">
      <c r="H12" s="83">
        <f>SUM(H4:H11)</f>
        <v>358.95833333333343</v>
      </c>
    </row>
    <row r="17" spans="1:3" x14ac:dyDescent="0.25">
      <c r="A17" s="16"/>
      <c r="B17" s="16" t="s">
        <v>120</v>
      </c>
      <c r="C17" s="16">
        <v>48.4</v>
      </c>
    </row>
    <row r="18" spans="1:3" x14ac:dyDescent="0.25">
      <c r="A18" s="16"/>
      <c r="B18" s="16" t="s">
        <v>121</v>
      </c>
      <c r="C18" s="16">
        <v>5</v>
      </c>
    </row>
    <row r="19" spans="1:3" x14ac:dyDescent="0.25">
      <c r="A19" s="16"/>
      <c r="B19" s="16"/>
      <c r="C19" s="16"/>
    </row>
    <row r="20" spans="1:3" x14ac:dyDescent="0.25">
      <c r="A20" s="16"/>
      <c r="B20" s="16" t="s">
        <v>150</v>
      </c>
      <c r="C20" s="16">
        <v>300</v>
      </c>
    </row>
    <row r="21" spans="1:3" x14ac:dyDescent="0.25">
      <c r="A21" s="16"/>
      <c r="B21" s="16" t="s">
        <v>151</v>
      </c>
      <c r="C21" s="16">
        <v>250</v>
      </c>
    </row>
    <row r="22" spans="1:3" x14ac:dyDescent="0.25">
      <c r="A22" s="16"/>
      <c r="B22" s="16" t="s">
        <v>152</v>
      </c>
      <c r="C22" s="16">
        <v>150</v>
      </c>
    </row>
    <row r="23" spans="1:3" x14ac:dyDescent="0.25">
      <c r="A23" s="16"/>
      <c r="B23" s="16"/>
      <c r="C23" s="16"/>
    </row>
    <row r="24" spans="1:3" x14ac:dyDescent="0.25">
      <c r="A24" s="16" t="s">
        <v>96</v>
      </c>
      <c r="B24" s="16" t="s">
        <v>97</v>
      </c>
      <c r="C24" s="16">
        <v>35</v>
      </c>
    </row>
    <row r="25" spans="1:3" x14ac:dyDescent="0.25">
      <c r="A25" s="16"/>
      <c r="B25" s="16" t="s">
        <v>98</v>
      </c>
      <c r="C25" s="16">
        <v>22</v>
      </c>
    </row>
    <row r="26" spans="1:3" x14ac:dyDescent="0.25">
      <c r="A26" s="16"/>
      <c r="B26" s="37" t="s">
        <v>113</v>
      </c>
      <c r="C26" s="16">
        <v>165</v>
      </c>
    </row>
    <row r="27" spans="1:3" x14ac:dyDescent="0.25">
      <c r="A27" s="16"/>
      <c r="B27" s="37" t="s">
        <v>110</v>
      </c>
      <c r="C27" s="16">
        <v>134</v>
      </c>
    </row>
    <row r="28" spans="1:3" x14ac:dyDescent="0.25">
      <c r="A28" s="16"/>
      <c r="B28" s="37" t="s">
        <v>111</v>
      </c>
      <c r="C28" s="16">
        <v>490</v>
      </c>
    </row>
    <row r="29" spans="1:3" x14ac:dyDescent="0.25">
      <c r="A29" s="16"/>
      <c r="B29" s="37" t="s">
        <v>114</v>
      </c>
      <c r="C29" s="16">
        <v>165</v>
      </c>
    </row>
    <row r="30" spans="1:3" x14ac:dyDescent="0.25">
      <c r="A30" s="16"/>
      <c r="B30" s="37" t="s">
        <v>112</v>
      </c>
      <c r="C30" s="16">
        <v>670</v>
      </c>
    </row>
    <row r="31" spans="1:3" x14ac:dyDescent="0.25">
      <c r="A31" s="16"/>
      <c r="B31" s="37" t="s">
        <v>93</v>
      </c>
      <c r="C31" s="16">
        <v>47</v>
      </c>
    </row>
    <row r="32" spans="1:3" x14ac:dyDescent="0.25">
      <c r="A32" s="16"/>
      <c r="B32" s="37" t="s">
        <v>118</v>
      </c>
      <c r="C32" s="16">
        <v>485</v>
      </c>
    </row>
    <row r="33" spans="1:3" x14ac:dyDescent="0.25">
      <c r="A33" s="16"/>
      <c r="B33" s="37" t="s">
        <v>119</v>
      </c>
      <c r="C33" s="16">
        <v>140</v>
      </c>
    </row>
    <row r="34" spans="1:3" x14ac:dyDescent="0.25">
      <c r="A34" s="16"/>
      <c r="B34" s="16"/>
      <c r="C34" s="16"/>
    </row>
    <row r="35" spans="1:3" x14ac:dyDescent="0.25">
      <c r="A35" s="16"/>
      <c r="B35" s="16" t="s">
        <v>127</v>
      </c>
      <c r="C35" s="16">
        <v>43.5</v>
      </c>
    </row>
    <row r="36" spans="1:3" x14ac:dyDescent="0.25">
      <c r="A36" s="16"/>
      <c r="B36" s="16" t="s">
        <v>128</v>
      </c>
      <c r="C36" s="16">
        <v>24</v>
      </c>
    </row>
    <row r="37" spans="1:3" x14ac:dyDescent="0.25">
      <c r="A37" s="16"/>
      <c r="B37" s="16"/>
      <c r="C37" s="16"/>
    </row>
    <row r="38" spans="1:3" x14ac:dyDescent="0.25">
      <c r="A38" s="16"/>
      <c r="B38" s="66" t="s">
        <v>144</v>
      </c>
      <c r="C38" s="16">
        <v>650</v>
      </c>
    </row>
    <row r="39" spans="1:3" x14ac:dyDescent="0.25">
      <c r="A39" s="16"/>
      <c r="B39" s="66" t="s">
        <v>145</v>
      </c>
      <c r="C39" s="16">
        <v>90</v>
      </c>
    </row>
    <row r="40" spans="1:3" x14ac:dyDescent="0.25">
      <c r="A40" s="16"/>
      <c r="B40" s="66" t="s">
        <v>148</v>
      </c>
      <c r="C40" s="16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V75</vt:lpstr>
      <vt:lpstr>DBZ DIESEL PARTS</vt:lpstr>
      <vt:lpstr>SVH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2015-05-13T13:10:12Z</dcterms:created>
  <dcterms:modified xsi:type="dcterms:W3CDTF">2015-08-27T08:08:33Z</dcterms:modified>
</cp:coreProperties>
</file>